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showInkAnnotation="0" codeName="ThisWorkbook" defaultThemeVersion="124226"/>
  <mc:AlternateContent xmlns:mc="http://schemas.openxmlformats.org/markup-compatibility/2006">
    <mc:Choice Requires="x15">
      <x15ac:absPath xmlns:x15ac="http://schemas.microsoft.com/office/spreadsheetml/2010/11/ac" url="C:\Users\Brian Waterfield\Dropbox\Georgia Developments - Timshel Only\Augusta - Lakeview Terrace\LIHTC\LIH01 Application Documents\Core DCA Application\2020-0xxLkvwTerAppFldr\"/>
    </mc:Choice>
  </mc:AlternateContent>
  <xr:revisionPtr revIDLastSave="0" documentId="13_ncr:1_{8C927C23-8912-47D6-B1C7-881256BF4304}" xr6:coauthVersionLast="47" xr6:coauthVersionMax="47"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108" yWindow="-108" windowWidth="23256" windowHeight="12576" tabRatio="87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1" i="78" l="1"/>
  <c r="G82" i="78"/>
  <c r="P1249" i="94"/>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K1827" i="94" s="1"/>
  <c r="M1827" i="94" s="1"/>
  <c r="J1826" i="94"/>
  <c r="I1826" i="94"/>
  <c r="J1825" i="94"/>
  <c r="I1825" i="94"/>
  <c r="K1825" i="94" s="1"/>
  <c r="J1824" i="94"/>
  <c r="I1824" i="94"/>
  <c r="J1823" i="94"/>
  <c r="I1823" i="94"/>
  <c r="J1822" i="94"/>
  <c r="I1822" i="94"/>
  <c r="J1821" i="94"/>
  <c r="I1821" i="94"/>
  <c r="J1820" i="94"/>
  <c r="I1820" i="94"/>
  <c r="J1819" i="94"/>
  <c r="I1819" i="94"/>
  <c r="J1818" i="94"/>
  <c r="I1818" i="94"/>
  <c r="H1827" i="94"/>
  <c r="G1827" i="94"/>
  <c r="H1826" i="94"/>
  <c r="K1826" i="94" s="1"/>
  <c r="G1826" i="94"/>
  <c r="H1825" i="94"/>
  <c r="G1825" i="94"/>
  <c r="H1824" i="94"/>
  <c r="G1824" i="94"/>
  <c r="H1823" i="94"/>
  <c r="G1823" i="94"/>
  <c r="H1822" i="94"/>
  <c r="K1822" i="94" s="1"/>
  <c r="G1822" i="94"/>
  <c r="H1821" i="94"/>
  <c r="G1821" i="94"/>
  <c r="H1820" i="94"/>
  <c r="K1820" i="94" s="1"/>
  <c r="G1820" i="94"/>
  <c r="H1819" i="94"/>
  <c r="G1819" i="94"/>
  <c r="H1818" i="94"/>
  <c r="K1818" i="94" s="1"/>
  <c r="M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F1812" i="94"/>
  <c r="Q1783" i="94"/>
  <c r="Q1780" i="94"/>
  <c r="Q1769" i="94"/>
  <c r="L1769" i="94"/>
  <c r="J1769" i="94"/>
  <c r="Q1758" i="94"/>
  <c r="Q1753" i="94"/>
  <c r="F1748" i="94"/>
  <c r="Q1746" i="94"/>
  <c r="J1730" i="94"/>
  <c r="Q1711" i="94"/>
  <c r="K1707" i="94"/>
  <c r="O1691" i="94"/>
  <c r="P1688" i="94" s="1"/>
  <c r="J1691" i="94"/>
  <c r="F1691" i="94"/>
  <c r="P1683" i="94" s="1"/>
  <c r="P1684" i="94"/>
  <c r="P1665" i="94"/>
  <c r="M1661" i="94"/>
  <c r="B1661" i="94"/>
  <c r="A1656" i="94"/>
  <c r="Q272" i="72"/>
  <c r="M1825" i="94" l="1"/>
  <c r="U1825" i="94" s="1"/>
  <c r="M1826" i="94"/>
  <c r="U1826" i="94" s="1"/>
  <c r="M1820" i="94"/>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l="1"/>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I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F1342" i="94" l="1"/>
  <c r="K1342" i="94"/>
  <c r="L1342" i="94"/>
  <c r="H1342" i="94"/>
  <c r="AD559" i="94"/>
  <c r="N1218" i="94"/>
  <c r="N1222" i="94"/>
  <c r="N1223" i="94" s="1"/>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L984" i="94" s="1"/>
  <c r="K982" i="94"/>
  <c r="J982" i="94"/>
  <c r="I982" i="94"/>
  <c r="H982" i="94"/>
  <c r="L979" i="94"/>
  <c r="K979" i="94"/>
  <c r="J979" i="94"/>
  <c r="I979" i="94"/>
  <c r="H979" i="94"/>
  <c r="L978" i="94"/>
  <c r="K978" i="94"/>
  <c r="J978" i="94"/>
  <c r="I978" i="94"/>
  <c r="H978" i="94"/>
  <c r="Q974" i="94"/>
  <c r="Q975" i="94" s="1"/>
  <c r="P974" i="94"/>
  <c r="O974" i="94"/>
  <c r="N974" i="94"/>
  <c r="M974" i="94"/>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ND786" i="94" s="1"/>
  <c r="P786" i="94"/>
  <c r="Q786" i="94"/>
  <c r="N787" i="94"/>
  <c r="LZ787" i="94" s="1"/>
  <c r="O787" i="94"/>
  <c r="P787" i="94"/>
  <c r="Q787" i="94"/>
  <c r="N788" i="94"/>
  <c r="O788" i="94"/>
  <c r="NB788" i="94" s="1"/>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MZ806" i="94" s="1"/>
  <c r="P806" i="94"/>
  <c r="Q806" i="94"/>
  <c r="N807" i="94"/>
  <c r="O807" i="94"/>
  <c r="P807" i="94"/>
  <c r="Q807" i="94"/>
  <c r="N808" i="94"/>
  <c r="O808" i="94"/>
  <c r="LD808" i="94" s="1"/>
  <c r="P808" i="94"/>
  <c r="Q808" i="94"/>
  <c r="N809" i="94"/>
  <c r="O809" i="94"/>
  <c r="P809" i="94"/>
  <c r="Q809" i="94"/>
  <c r="N810" i="94"/>
  <c r="O810" i="94"/>
  <c r="IU810" i="94" s="1"/>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BZ809" i="94" s="1"/>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LY787" i="94" s="1"/>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LZ805" i="94" s="1"/>
  <c r="C805" i="94"/>
  <c r="D805" i="94"/>
  <c r="E805" i="94"/>
  <c r="F805" i="94"/>
  <c r="G805" i="94"/>
  <c r="H805" i="94"/>
  <c r="I805" i="94"/>
  <c r="B806" i="94"/>
  <c r="C806" i="94"/>
  <c r="D806" i="94"/>
  <c r="E806" i="94"/>
  <c r="F806" i="94"/>
  <c r="G806" i="94"/>
  <c r="H806" i="94"/>
  <c r="I806" i="94"/>
  <c r="B807" i="94"/>
  <c r="FR807" i="94" s="1"/>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FX811" i="94" s="1"/>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GB815" i="94" s="1"/>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F775" i="94"/>
  <c r="G774" i="94"/>
  <c r="Q1019" i="94"/>
  <c r="S986"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EE809" i="94"/>
  <c r="CT809" i="94"/>
  <c r="BC809" i="94"/>
  <c r="LO808" i="94"/>
  <c r="KN808" i="94"/>
  <c r="JU808" i="94"/>
  <c r="JK808" i="94"/>
  <c r="IY808" i="94"/>
  <c r="IO808" i="94"/>
  <c r="IG808" i="94"/>
  <c r="HZ808" i="94"/>
  <c r="LU807" i="94"/>
  <c r="GE807" i="94"/>
  <c r="GD807" i="94"/>
  <c r="GC807" i="94"/>
  <c r="FU807" i="94"/>
  <c r="FN807" i="94"/>
  <c r="FH807" i="94"/>
  <c r="FA807" i="94"/>
  <c r="ET807" i="94"/>
  <c r="ER807" i="94"/>
  <c r="EO807" i="94"/>
  <c r="EK807" i="94"/>
  <c r="EH807" i="94"/>
  <c r="EG807" i="94"/>
  <c r="ED807" i="94"/>
  <c r="BJ807" i="94"/>
  <c r="BG807" i="94"/>
  <c r="BC807" i="94"/>
  <c r="AZ807" i="94"/>
  <c r="AV807" i="94"/>
  <c r="AT807" i="94"/>
  <c r="AQ807" i="94"/>
  <c r="AM807" i="94"/>
  <c r="AJ807" i="94"/>
  <c r="AF807" i="94"/>
  <c r="AD807" i="94"/>
  <c r="AA807" i="94"/>
  <c r="ND806" i="94"/>
  <c r="NA806" i="94"/>
  <c r="LN806" i="94"/>
  <c r="LM806" i="94"/>
  <c r="LL806" i="94"/>
  <c r="LI806" i="94"/>
  <c r="LF806" i="94"/>
  <c r="LE806" i="94"/>
  <c r="LB806" i="94"/>
  <c r="LA806" i="94"/>
  <c r="KX806" i="94"/>
  <c r="KV806" i="94"/>
  <c r="KT806" i="94"/>
  <c r="KS806" i="94"/>
  <c r="KO806" i="94"/>
  <c r="KN806" i="94"/>
  <c r="KL806" i="94"/>
  <c r="KH806" i="94"/>
  <c r="KG806" i="94"/>
  <c r="KF806" i="94"/>
  <c r="KC806" i="94"/>
  <c r="JZ806" i="94"/>
  <c r="JY806" i="94"/>
  <c r="JW806" i="94"/>
  <c r="JV806" i="94"/>
  <c r="JU806" i="94"/>
  <c r="JQ806" i="94"/>
  <c r="JP806" i="94"/>
  <c r="JO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Y805" i="94"/>
  <c r="LW805" i="94"/>
  <c r="LU805" i="94"/>
  <c r="LS805" i="94"/>
  <c r="LQ805" i="94"/>
  <c r="ID805" i="94"/>
  <c r="GF805" i="94"/>
  <c r="GE805" i="94"/>
  <c r="GD805" i="94"/>
  <c r="GC805" i="94"/>
  <c r="GB805" i="94"/>
  <c r="FU805" i="94"/>
  <c r="FT805" i="94"/>
  <c r="FS805" i="94"/>
  <c r="FQ805" i="94"/>
  <c r="FP805" i="94"/>
  <c r="FO805" i="94"/>
  <c r="FM805" i="94"/>
  <c r="FL805" i="94"/>
  <c r="FK805" i="94"/>
  <c r="FI805" i="94"/>
  <c r="FH805" i="94"/>
  <c r="FG805" i="94"/>
  <c r="FE805" i="94"/>
  <c r="FD805" i="94"/>
  <c r="FC805" i="94"/>
  <c r="FA805" i="94"/>
  <c r="EZ805" i="94"/>
  <c r="EY805" i="94"/>
  <c r="EW805" i="94"/>
  <c r="EV805" i="94"/>
  <c r="EU805" i="94"/>
  <c r="ES805" i="94"/>
  <c r="ER805" i="94"/>
  <c r="EQ805" i="94"/>
  <c r="EO805" i="94"/>
  <c r="EN805" i="94"/>
  <c r="EM805" i="94"/>
  <c r="EK805" i="94"/>
  <c r="EJ805" i="94"/>
  <c r="EI805" i="94"/>
  <c r="EH805" i="94"/>
  <c r="EG805" i="94"/>
  <c r="EF805" i="94"/>
  <c r="EE805" i="94"/>
  <c r="ED805" i="94"/>
  <c r="DY805" i="94"/>
  <c r="DQ805" i="94"/>
  <c r="DI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KY788" i="94"/>
  <c r="KD788" i="94"/>
  <c r="JI788" i="94"/>
  <c r="IM788" i="94"/>
  <c r="GE787" i="94"/>
  <c r="GD787" i="94"/>
  <c r="FY787" i="94"/>
  <c r="FJ787" i="94"/>
  <c r="EG787" i="94"/>
  <c r="EF787" i="94"/>
  <c r="DE787" i="94"/>
  <c r="BA787" i="94"/>
  <c r="NA786" i="94"/>
  <c r="LN786" i="94"/>
  <c r="LJ786" i="94"/>
  <c r="LF786" i="94"/>
  <c r="LB786" i="94"/>
  <c r="KX786" i="94"/>
  <c r="KT786" i="94"/>
  <c r="KP786" i="94"/>
  <c r="KL786" i="94"/>
  <c r="KH786" i="94"/>
  <c r="KD786" i="94"/>
  <c r="JZ786" i="94"/>
  <c r="JV786" i="94"/>
  <c r="JR786" i="94"/>
  <c r="JN786" i="94"/>
  <c r="JJ786" i="94"/>
  <c r="JF786" i="94"/>
  <c r="JB786" i="94"/>
  <c r="IX786" i="94"/>
  <c r="IT786" i="94"/>
  <c r="IP786" i="94"/>
  <c r="IL786" i="94"/>
  <c r="IH786" i="94"/>
  <c r="ID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ED787" i="94" l="1"/>
  <c r="EH787" i="94"/>
  <c r="GB787" i="94"/>
  <c r="GF787" i="94"/>
  <c r="AK787" i="94"/>
  <c r="EE787" i="94"/>
  <c r="ET787" i="94"/>
  <c r="GC787" i="94"/>
  <c r="IS788" i="94"/>
  <c r="JN788" i="94"/>
  <c r="KI788" i="94"/>
  <c r="LE788" i="94"/>
  <c r="IC788" i="94"/>
  <c r="IX788" i="94"/>
  <c r="JS788" i="94"/>
  <c r="KO788" i="94"/>
  <c r="LJ788" i="94"/>
  <c r="IH788" i="94"/>
  <c r="JC788" i="94"/>
  <c r="JY788" i="94"/>
  <c r="KT788" i="94"/>
  <c r="LO788" i="94"/>
  <c r="ID788" i="94"/>
  <c r="IO788" i="94"/>
  <c r="IY788" i="94"/>
  <c r="JJ788" i="94"/>
  <c r="JO788" i="94"/>
  <c r="JZ788" i="94"/>
  <c r="KP788" i="94"/>
  <c r="LA788" i="94"/>
  <c r="MZ788" i="94"/>
  <c r="IA788" i="94"/>
  <c r="IE788" i="94"/>
  <c r="IK788" i="94"/>
  <c r="IP788" i="94"/>
  <c r="IU788" i="94"/>
  <c r="JA788" i="94"/>
  <c r="JF788" i="94"/>
  <c r="JK788" i="94"/>
  <c r="JQ788" i="94"/>
  <c r="JV788" i="94"/>
  <c r="KA788" i="94"/>
  <c r="KG788" i="94"/>
  <c r="KL788" i="94"/>
  <c r="KQ788" i="94"/>
  <c r="KW788" i="94"/>
  <c r="LB788" i="94"/>
  <c r="LG788" i="94"/>
  <c r="LM788" i="94"/>
  <c r="NA788" i="94"/>
  <c r="NC788" i="94"/>
  <c r="HZ788" i="94"/>
  <c r="II788" i="94"/>
  <c r="IT788" i="94"/>
  <c r="JE788" i="94"/>
  <c r="JU788" i="94"/>
  <c r="KE788" i="94"/>
  <c r="KK788" i="94"/>
  <c r="KU788" i="94"/>
  <c r="LF788" i="94"/>
  <c r="LK788" i="94"/>
  <c r="IB788" i="94"/>
  <c r="IG788" i="94"/>
  <c r="IL788" i="94"/>
  <c r="IQ788" i="94"/>
  <c r="IW788" i="94"/>
  <c r="JB788" i="94"/>
  <c r="JG788" i="94"/>
  <c r="JM788" i="94"/>
  <c r="JR788" i="94"/>
  <c r="JW788" i="94"/>
  <c r="KC788" i="94"/>
  <c r="KH788" i="94"/>
  <c r="KM788" i="94"/>
  <c r="KS788" i="94"/>
  <c r="KX788" i="94"/>
  <c r="LC788" i="94"/>
  <c r="LI788" i="94"/>
  <c r="LN788" i="94"/>
  <c r="IA786" i="94"/>
  <c r="IE786" i="94"/>
  <c r="II786" i="94"/>
  <c r="IM786" i="94"/>
  <c r="IQ786" i="94"/>
  <c r="IU786" i="94"/>
  <c r="IY786" i="94"/>
  <c r="JC786" i="94"/>
  <c r="JG786" i="94"/>
  <c r="JK786" i="94"/>
  <c r="JO786" i="94"/>
  <c r="JS786" i="94"/>
  <c r="JW786" i="94"/>
  <c r="KA786" i="94"/>
  <c r="KE786" i="94"/>
  <c r="KI786" i="94"/>
  <c r="KM786" i="94"/>
  <c r="KQ786" i="94"/>
  <c r="KU786" i="94"/>
  <c r="KY786" i="94"/>
  <c r="LC786" i="94"/>
  <c r="LG786" i="94"/>
  <c r="LK786" i="94"/>
  <c r="LO786" i="94"/>
  <c r="NB786" i="94"/>
  <c r="IB786" i="94"/>
  <c r="IF786" i="94"/>
  <c r="IJ786" i="94"/>
  <c r="IN786" i="94"/>
  <c r="IR786" i="94"/>
  <c r="IV786" i="94"/>
  <c r="IZ786" i="94"/>
  <c r="JD786" i="94"/>
  <c r="JH786" i="94"/>
  <c r="JL786" i="94"/>
  <c r="JP786" i="94"/>
  <c r="JT786" i="94"/>
  <c r="JX786" i="94"/>
  <c r="KB786" i="94"/>
  <c r="KF786" i="94"/>
  <c r="KJ786" i="94"/>
  <c r="KN786" i="94"/>
  <c r="KR786" i="94"/>
  <c r="KV786" i="94"/>
  <c r="KZ786" i="94"/>
  <c r="LD786" i="94"/>
  <c r="LH786" i="94"/>
  <c r="LL786" i="94"/>
  <c r="LP786" i="94"/>
  <c r="NC786" i="94"/>
  <c r="IC786" i="94"/>
  <c r="IG786" i="94"/>
  <c r="IK786" i="94"/>
  <c r="IO786" i="94"/>
  <c r="IS786" i="94"/>
  <c r="IW786" i="94"/>
  <c r="JA786" i="94"/>
  <c r="JE786" i="94"/>
  <c r="JI786" i="94"/>
  <c r="JM786" i="94"/>
  <c r="JQ786" i="94"/>
  <c r="JU786" i="94"/>
  <c r="JY786" i="94"/>
  <c r="KC786" i="94"/>
  <c r="KG786" i="94"/>
  <c r="KK786" i="94"/>
  <c r="KO786" i="94"/>
  <c r="KS786" i="94"/>
  <c r="KW786" i="94"/>
  <c r="LA786" i="94"/>
  <c r="LE786" i="94"/>
  <c r="LI786" i="94"/>
  <c r="LM786" i="94"/>
  <c r="MZ786" i="94"/>
  <c r="IF788" i="94"/>
  <c r="IJ788" i="94"/>
  <c r="IN788" i="94"/>
  <c r="IR788" i="94"/>
  <c r="IV788" i="94"/>
  <c r="IZ788" i="94"/>
  <c r="JD788" i="94"/>
  <c r="JH788" i="94"/>
  <c r="JL788" i="94"/>
  <c r="JP788" i="94"/>
  <c r="JT788" i="94"/>
  <c r="JX788" i="94"/>
  <c r="KB788" i="94"/>
  <c r="KF788" i="94"/>
  <c r="KJ788" i="94"/>
  <c r="KN788" i="94"/>
  <c r="KR788" i="94"/>
  <c r="KV788" i="94"/>
  <c r="KZ788" i="94"/>
  <c r="LD788" i="94"/>
  <c r="LH788" i="94"/>
  <c r="LL788" i="94"/>
  <c r="LP788" i="94"/>
  <c r="Y787" i="94"/>
  <c r="AO787" i="94"/>
  <c r="BE787" i="94"/>
  <c r="EX787" i="94"/>
  <c r="FN787" i="94"/>
  <c r="AC787" i="94"/>
  <c r="AS787" i="94"/>
  <c r="BI787" i="94"/>
  <c r="EL787" i="94"/>
  <c r="FB787" i="94"/>
  <c r="FR787" i="94"/>
  <c r="LR787" i="94"/>
  <c r="AG787" i="94"/>
  <c r="AW787" i="94"/>
  <c r="BY787" i="94"/>
  <c r="EP787" i="94"/>
  <c r="FF787" i="94"/>
  <c r="FV787" i="94"/>
  <c r="LV787" i="94"/>
  <c r="Z787" i="94"/>
  <c r="AD787" i="94"/>
  <c r="AH787" i="94"/>
  <c r="AL787" i="94"/>
  <c r="AP787" i="94"/>
  <c r="AT787" i="94"/>
  <c r="AX787" i="94"/>
  <c r="BB787" i="94"/>
  <c r="BF787" i="94"/>
  <c r="BJ787" i="94"/>
  <c r="CG787" i="94"/>
  <c r="DM787" i="94"/>
  <c r="EI787" i="94"/>
  <c r="EM787" i="94"/>
  <c r="EQ787" i="94"/>
  <c r="EU787" i="94"/>
  <c r="EY787" i="94"/>
  <c r="FC787" i="94"/>
  <c r="FG787" i="94"/>
  <c r="FK787" i="94"/>
  <c r="FO787" i="94"/>
  <c r="FS787" i="94"/>
  <c r="LS787" i="94"/>
  <c r="LW787" i="94"/>
  <c r="AA787" i="94"/>
  <c r="AE787" i="94"/>
  <c r="AI787" i="94"/>
  <c r="AM787" i="94"/>
  <c r="AQ787" i="94"/>
  <c r="AU787" i="94"/>
  <c r="AY787" i="94"/>
  <c r="BC787" i="94"/>
  <c r="BG787" i="94"/>
  <c r="BK787" i="94"/>
  <c r="CO787" i="94"/>
  <c r="DU787" i="94"/>
  <c r="EJ787" i="94"/>
  <c r="EN787" i="94"/>
  <c r="ER787" i="94"/>
  <c r="EV787" i="94"/>
  <c r="EZ787" i="94"/>
  <c r="FD787" i="94"/>
  <c r="FH787" i="94"/>
  <c r="FL787" i="94"/>
  <c r="FP787" i="94"/>
  <c r="FT787" i="94"/>
  <c r="LT787" i="94"/>
  <c r="LX787" i="94"/>
  <c r="X787" i="94"/>
  <c r="AB787" i="94"/>
  <c r="AF787" i="94"/>
  <c r="AJ787" i="94"/>
  <c r="AN787" i="94"/>
  <c r="AR787" i="94"/>
  <c r="AV787" i="94"/>
  <c r="AZ787" i="94"/>
  <c r="BD787" i="94"/>
  <c r="BH787" i="94"/>
  <c r="BQ787" i="94"/>
  <c r="CW787" i="94"/>
  <c r="EC787" i="94"/>
  <c r="EK787" i="94"/>
  <c r="EO787" i="94"/>
  <c r="ES787" i="94"/>
  <c r="EW787" i="94"/>
  <c r="FA787" i="94"/>
  <c r="FE787" i="94"/>
  <c r="FI787" i="94"/>
  <c r="FM787" i="94"/>
  <c r="FQ787" i="94"/>
  <c r="FU787" i="94"/>
  <c r="LQ787" i="94"/>
  <c r="LU787" i="94"/>
  <c r="LT805" i="94"/>
  <c r="LX805" i="94"/>
  <c r="NC806" i="94"/>
  <c r="AB807" i="94"/>
  <c r="AI807" i="94"/>
  <c r="AN807" i="94"/>
  <c r="AU807" i="94"/>
  <c r="BB807" i="94"/>
  <c r="BH807" i="94"/>
  <c r="EL807" i="94"/>
  <c r="ES807" i="94"/>
  <c r="FF807" i="94"/>
  <c r="IB808" i="94"/>
  <c r="IR808" i="94"/>
  <c r="JL808" i="94"/>
  <c r="BA809" i="94"/>
  <c r="AI809" i="94"/>
  <c r="AU809" i="94"/>
  <c r="AC809" i="94"/>
  <c r="EU809" i="94"/>
  <c r="BK809" i="94"/>
  <c r="AP809" i="94"/>
  <c r="Z809" i="94"/>
  <c r="LZ807" i="94"/>
  <c r="LS807" i="94"/>
  <c r="FQ807" i="94"/>
  <c r="FJ807" i="94"/>
  <c r="FE807" i="94"/>
  <c r="EX807" i="94"/>
  <c r="LW807" i="94"/>
  <c r="LR807" i="94"/>
  <c r="FV807" i="94"/>
  <c r="FP807" i="94"/>
  <c r="FI807" i="94"/>
  <c r="FB807" i="94"/>
  <c r="EW807" i="94"/>
  <c r="EA809" i="94"/>
  <c r="CP809" i="94"/>
  <c r="BR809" i="94"/>
  <c r="FW809" i="94"/>
  <c r="DR809" i="94"/>
  <c r="CG809" i="94"/>
  <c r="BO809" i="94"/>
  <c r="DE809" i="94"/>
  <c r="CD809" i="94"/>
  <c r="LL808" i="94"/>
  <c r="KV808" i="94"/>
  <c r="KK808" i="94"/>
  <c r="LK808" i="94"/>
  <c r="KU808" i="94"/>
  <c r="KE808" i="94"/>
  <c r="JS808" i="94"/>
  <c r="JF808" i="94"/>
  <c r="IW808" i="94"/>
  <c r="IM808" i="94"/>
  <c r="ID808" i="94"/>
  <c r="LG808" i="94"/>
  <c r="KS808" i="94"/>
  <c r="KC808" i="94"/>
  <c r="JM808" i="94"/>
  <c r="JE808" i="94"/>
  <c r="IU808" i="94"/>
  <c r="IJ808" i="94"/>
  <c r="IC808" i="94"/>
  <c r="CS805" i="94"/>
  <c r="EL805" i="94"/>
  <c r="EP805" i="94"/>
  <c r="ET805" i="94"/>
  <c r="EX805" i="94"/>
  <c r="FB805" i="94"/>
  <c r="FF805" i="94"/>
  <c r="FJ805" i="94"/>
  <c r="FN805" i="94"/>
  <c r="FR805" i="94"/>
  <c r="FV805" i="94"/>
  <c r="LR805" i="94"/>
  <c r="LV805" i="94"/>
  <c r="JN806" i="94"/>
  <c r="JR806" i="94"/>
  <c r="JX806" i="94"/>
  <c r="KD806" i="94"/>
  <c r="KK806" i="94"/>
  <c r="KP806" i="94"/>
  <c r="KW806" i="94"/>
  <c r="LD806" i="94"/>
  <c r="LJ806" i="94"/>
  <c r="X807" i="94"/>
  <c r="AE807" i="94"/>
  <c r="AL807" i="94"/>
  <c r="AR807" i="94"/>
  <c r="AY807" i="94"/>
  <c r="BD807" i="94"/>
  <c r="BK807" i="94"/>
  <c r="EJ807" i="94"/>
  <c r="EP807" i="94"/>
  <c r="EZ807" i="94"/>
  <c r="FM807" i="94"/>
  <c r="LV807" i="94"/>
  <c r="IH808" i="94"/>
  <c r="IZ808" i="94"/>
  <c r="KA808" i="94"/>
  <c r="AL809" i="94"/>
  <c r="BR792" i="94"/>
  <c r="CD784" i="94"/>
  <c r="M953" i="94"/>
  <c r="MD779" i="94"/>
  <c r="ID816" i="94"/>
  <c r="IC814" i="94"/>
  <c r="LC812" i="94"/>
  <c r="KA810" i="94"/>
  <c r="IC809" i="94"/>
  <c r="LI808" i="94"/>
  <c r="GQ795" i="94"/>
  <c r="HU793" i="94"/>
  <c r="HT789" i="94"/>
  <c r="HT787" i="94"/>
  <c r="GJ785" i="94"/>
  <c r="HI783" i="94"/>
  <c r="MK781"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O851"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N887" i="94" l="1"/>
  <c r="L832" i="94"/>
  <c r="L834" i="94" s="1"/>
  <c r="L836" i="94" s="1"/>
  <c r="H101" i="94"/>
  <c r="P202" i="94"/>
  <c r="N832" i="94"/>
  <c r="N834" i="94" s="1"/>
  <c r="N836" i="94" s="1"/>
  <c r="P835" i="94"/>
  <c r="Q938" i="94" s="1"/>
  <c r="P930" i="94"/>
  <c r="L920" i="94"/>
  <c r="L884" i="94"/>
  <c r="P938" i="94"/>
  <c r="P933" i="94"/>
  <c r="L935" i="94"/>
  <c r="L937" i="94" s="1"/>
  <c r="L939" i="94" s="1"/>
  <c r="N884" i="94"/>
  <c r="P833" i="94"/>
  <c r="Q936" i="94" s="1"/>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M942" i="94" l="1"/>
  <c r="N942" i="94"/>
  <c r="L942" i="94"/>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Q322" i="72"/>
  <c r="P314" i="72"/>
  <c r="P1973" i="94" s="1"/>
  <c r="O314" i="72"/>
  <c r="O1973" i="94" s="1"/>
  <c r="L315" i="72"/>
  <c r="L316" i="72"/>
  <c r="J312" i="72"/>
  <c r="K33" i="93" l="1"/>
  <c r="K52" i="93" s="1"/>
  <c r="K54" i="93" s="1"/>
  <c r="K68" i="93" s="1"/>
  <c r="K70" i="93" s="1"/>
  <c r="G1105" i="94"/>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D56" i="86"/>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F115" i="74"/>
  <c r="F1143" i="94" s="1"/>
  <c r="E115" i="74"/>
  <c r="E1143" i="94" s="1"/>
  <c r="D115" i="74"/>
  <c r="D1143" i="94" s="1"/>
  <c r="C115" i="74"/>
  <c r="C1143" i="94" s="1"/>
  <c r="B115" i="74"/>
  <c r="B1143" i="94" s="1"/>
  <c r="K85" i="74"/>
  <c r="K1113" i="94" s="1"/>
  <c r="J85" i="74"/>
  <c r="J1113" i="94" s="1"/>
  <c r="I85" i="74"/>
  <c r="I1113" i="94" s="1"/>
  <c r="H85" i="74"/>
  <c r="H1113" i="94" s="1"/>
  <c r="G85" i="74"/>
  <c r="G1113" i="94" s="1"/>
  <c r="F85" i="74"/>
  <c r="F1113" i="94" s="1"/>
  <c r="E85" i="74"/>
  <c r="E1113" i="94" s="1"/>
  <c r="D85" i="74"/>
  <c r="D1113" i="94" s="1"/>
  <c r="C85" i="74"/>
  <c r="C1113" i="94" s="1"/>
  <c r="B85" i="74"/>
  <c r="B1113" i="94" s="1"/>
  <c r="K53" i="74"/>
  <c r="K1081" i="94" s="1"/>
  <c r="J53" i="74"/>
  <c r="J1081" i="94" s="1"/>
  <c r="I53" i="74"/>
  <c r="I1081" i="94" s="1"/>
  <c r="H53" i="74"/>
  <c r="H1081" i="94" s="1"/>
  <c r="G53" i="74"/>
  <c r="G1081" i="94" s="1"/>
  <c r="F53" i="74"/>
  <c r="F1081" i="94" s="1"/>
  <c r="E53" i="74"/>
  <c r="E1081" i="94" s="1"/>
  <c r="D53" i="74"/>
  <c r="D1081" i="94" s="1"/>
  <c r="C53" i="74"/>
  <c r="C1081" i="94" s="1"/>
  <c r="B53" i="74"/>
  <c r="B1081" i="94" s="1"/>
  <c r="K21" i="74"/>
  <c r="K1049" i="94" s="1"/>
  <c r="J21" i="74"/>
  <c r="J1049" i="94" s="1"/>
  <c r="I21" i="74"/>
  <c r="I1049" i="94" s="1"/>
  <c r="H21" i="74"/>
  <c r="H1049" i="94" s="1"/>
  <c r="G21" i="74"/>
  <c r="G1049" i="94" s="1"/>
  <c r="F21" i="74"/>
  <c r="F1049" i="94" s="1"/>
  <c r="E21" i="74"/>
  <c r="E1049" i="94" s="1"/>
  <c r="D21" i="74"/>
  <c r="D1049" i="94" s="1"/>
  <c r="C21" i="74"/>
  <c r="C1049" i="94" s="1"/>
  <c r="B21" i="74"/>
  <c r="B1049" i="94"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19" i="75" s="1"/>
  <c r="J788" i="94" s="1"/>
  <c r="L788" i="94" s="1"/>
  <c r="M788" i="94" s="1"/>
  <c r="K22" i="76"/>
  <c r="J18"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17" i="72"/>
  <c r="P54" i="66"/>
  <c r="P79"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B41" i="74"/>
  <c r="C40" i="74"/>
  <c r="C1068" i="94" s="1"/>
  <c r="M15" i="75"/>
  <c r="M13" i="75"/>
  <c r="F99" i="74"/>
  <c r="F1127" i="94" s="1"/>
  <c r="B68" i="74"/>
  <c r="B1096" i="94" s="1"/>
  <c r="J36" i="74"/>
  <c r="J1064" i="94" s="1"/>
  <c r="C68" i="74"/>
  <c r="C1096" i="94" s="1"/>
  <c r="T211"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E35" i="74"/>
  <c r="E1063" i="94" s="1"/>
  <c r="F35" i="74"/>
  <c r="F1063" i="94" s="1"/>
  <c r="H42" i="74"/>
  <c r="H1070" i="94" s="1"/>
  <c r="H41" i="74"/>
  <c r="H1069" i="94" s="1"/>
  <c r="I40" i="74"/>
  <c r="I1068" i="94" s="1"/>
  <c r="J35" i="74"/>
  <c r="J1063"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28" i="74"/>
  <c r="D1156"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I58" i="68"/>
  <c r="J616" i="94" s="1"/>
  <c r="P43" i="68"/>
  <c r="H75" i="74"/>
  <c r="H1103" i="94" s="1"/>
  <c r="I75" i="74"/>
  <c r="I1103" i="94" s="1"/>
  <c r="J75" i="74"/>
  <c r="J1103" i="94" s="1"/>
  <c r="K75" i="74"/>
  <c r="K1103" i="94" s="1"/>
  <c r="J610" i="94" l="1"/>
  <c r="J611" i="94" s="1"/>
  <c r="B119" i="74"/>
  <c r="K89" i="74"/>
  <c r="E89" i="74"/>
  <c r="B33" i="87" s="1"/>
  <c r="J57" i="74"/>
  <c r="C25" i="74"/>
  <c r="B11" i="87" s="1"/>
  <c r="F25" i="74"/>
  <c r="F45" i="82" s="1"/>
  <c r="F89" i="74"/>
  <c r="G89" i="74"/>
  <c r="B35" i="87" s="1"/>
  <c r="K57" i="74"/>
  <c r="B89" i="74"/>
  <c r="B1117" i="94" s="1"/>
  <c r="F57" i="74"/>
  <c r="B24" i="87" s="1"/>
  <c r="E119" i="74"/>
  <c r="E1147" i="94" s="1"/>
  <c r="D57" i="74"/>
  <c r="D1085" i="94" s="1"/>
  <c r="H57" i="74"/>
  <c r="H65" i="82" s="1"/>
  <c r="E57" i="74"/>
  <c r="C89" i="74"/>
  <c r="B31" i="87" s="1"/>
  <c r="G57" i="74"/>
  <c r="B25" i="87" s="1"/>
  <c r="B25" i="74"/>
  <c r="B39" i="74" s="1"/>
  <c r="B57" i="74"/>
  <c r="B1085" i="94" s="1"/>
  <c r="I25" i="74"/>
  <c r="B17" i="87" s="1"/>
  <c r="D119" i="74"/>
  <c r="D1147" i="94" s="1"/>
  <c r="I57" i="74"/>
  <c r="D25" i="74"/>
  <c r="I89" i="74"/>
  <c r="B37" i="87" s="1"/>
  <c r="C57" i="74"/>
  <c r="J25" i="74"/>
  <c r="J1053" i="94" s="1"/>
  <c r="F119" i="74"/>
  <c r="B44" i="87" s="1"/>
  <c r="J89" i="74"/>
  <c r="B38" i="87" s="1"/>
  <c r="E25" i="74"/>
  <c r="B13" i="87" s="1"/>
  <c r="H89" i="74"/>
  <c r="B36" i="87" s="1"/>
  <c r="K25" i="74"/>
  <c r="B19" i="87" s="1"/>
  <c r="H25" i="74"/>
  <c r="D89" i="74"/>
  <c r="B32" i="87" s="1"/>
  <c r="G25" i="74"/>
  <c r="G1053" i="94" s="1"/>
  <c r="C119" i="74"/>
  <c r="C1147" i="94" s="1"/>
  <c r="K40" i="66"/>
  <c r="I65" i="94"/>
  <c r="E16" i="87"/>
  <c r="H1054" i="94"/>
  <c r="C129" i="74"/>
  <c r="C1157" i="94" s="1"/>
  <c r="C1150" i="94"/>
  <c r="R1144" i="94" s="1"/>
  <c r="S1144" i="94" s="1"/>
  <c r="H68" i="74"/>
  <c r="H1096" i="94" s="1"/>
  <c r="H1088" i="94"/>
  <c r="D98" i="74"/>
  <c r="D1126" i="94" s="1"/>
  <c r="H32" i="87"/>
  <c r="D1119" i="94"/>
  <c r="B67" i="74"/>
  <c r="B1095" i="94" s="1"/>
  <c r="H20" i="87"/>
  <c r="B1087" i="94"/>
  <c r="F98" i="74"/>
  <c r="F1126" i="94" s="1"/>
  <c r="H34" i="87"/>
  <c r="F1119" i="94"/>
  <c r="H35" i="74"/>
  <c r="H1063" i="94" s="1"/>
  <c r="H16" i="87"/>
  <c r="H1055" i="94"/>
  <c r="H10" i="87"/>
  <c r="B1055" i="94"/>
  <c r="G67" i="74"/>
  <c r="G1095" i="94" s="1"/>
  <c r="H25" i="87"/>
  <c r="G1087" i="94"/>
  <c r="H39" i="87"/>
  <c r="K1119" i="94"/>
  <c r="B99" i="74"/>
  <c r="B1127" i="94" s="1"/>
  <c r="B1120" i="94"/>
  <c r="F68" i="78"/>
  <c r="E514" i="94"/>
  <c r="F514" i="94" s="1"/>
  <c r="B42" i="87"/>
  <c r="G35" i="74"/>
  <c r="G1063" i="94" s="1"/>
  <c r="H15" i="87"/>
  <c r="G1055" i="94"/>
  <c r="C1085" i="94"/>
  <c r="F129" i="74"/>
  <c r="F1157" i="94" s="1"/>
  <c r="F1150" i="94"/>
  <c r="F1147" i="94"/>
  <c r="H98" i="74"/>
  <c r="H1126" i="94" s="1"/>
  <c r="H36" i="87"/>
  <c r="H1119" i="94"/>
  <c r="H27" i="87"/>
  <c r="I1087" i="94"/>
  <c r="H1117" i="94"/>
  <c r="E39" i="87"/>
  <c r="K1118" i="94"/>
  <c r="D1117" i="94"/>
  <c r="B15" i="87"/>
  <c r="H19" i="87"/>
  <c r="K1055" i="94"/>
  <c r="B14" i="87"/>
  <c r="F1053" i="94"/>
  <c r="T1833" i="94"/>
  <c r="P775" i="94"/>
  <c r="N775" i="94"/>
  <c r="O65" i="94"/>
  <c r="F68" i="74"/>
  <c r="F1096" i="94" s="1"/>
  <c r="F1088" i="94"/>
  <c r="C127" i="74"/>
  <c r="C1155" i="94" s="1"/>
  <c r="E41" i="87"/>
  <c r="C1148" i="94"/>
  <c r="D67" i="74"/>
  <c r="D1095" i="94" s="1"/>
  <c r="H22" i="87"/>
  <c r="D1087" i="94"/>
  <c r="E21" i="87"/>
  <c r="C1086" i="94"/>
  <c r="L411" i="94"/>
  <c r="L412" i="94" s="1"/>
  <c r="F84" i="92"/>
  <c r="E65" i="89"/>
  <c r="B63" i="74"/>
  <c r="F34" i="86" s="1"/>
  <c r="P422" i="94"/>
  <c r="I99" i="74"/>
  <c r="I1127" i="94" s="1"/>
  <c r="I1120" i="94"/>
  <c r="B1053" i="94"/>
  <c r="D99" i="74"/>
  <c r="D1127" i="94" s="1"/>
  <c r="D1120" i="94"/>
  <c r="H23" i="87"/>
  <c r="E1087" i="94"/>
  <c r="J99" i="74"/>
  <c r="J1127" i="94" s="1"/>
  <c r="J1120" i="94"/>
  <c r="C12" i="86"/>
  <c r="B1069" i="94"/>
  <c r="I68" i="74"/>
  <c r="I1096" i="94" s="1"/>
  <c r="I1088" i="94"/>
  <c r="B18" i="87"/>
  <c r="H37" i="87"/>
  <c r="I1119" i="94"/>
  <c r="H24" i="87"/>
  <c r="F1087" i="94"/>
  <c r="J98" i="74"/>
  <c r="J1126" i="94" s="1"/>
  <c r="H38" i="87"/>
  <c r="J1119" i="94"/>
  <c r="H14" i="87"/>
  <c r="F1055" i="94"/>
  <c r="H29" i="87"/>
  <c r="K1087" i="94"/>
  <c r="H43" i="87"/>
  <c r="E1149" i="94"/>
  <c r="H1053" i="94"/>
  <c r="K36" i="74"/>
  <c r="K1064" i="94" s="1"/>
  <c r="B39" i="87"/>
  <c r="K1117" i="94"/>
  <c r="E68" i="74"/>
  <c r="E1096" i="94" s="1"/>
  <c r="E1088" i="94"/>
  <c r="F36" i="74"/>
  <c r="F1064" i="94" s="1"/>
  <c r="F1056" i="94"/>
  <c r="B40" i="87"/>
  <c r="B1147" i="94"/>
  <c r="B34" i="87"/>
  <c r="F1117"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C99" i="74"/>
  <c r="C1127" i="94" s="1"/>
  <c r="C1120" i="94"/>
  <c r="B30" i="87"/>
  <c r="C36" i="74"/>
  <c r="C1064" i="94" s="1"/>
  <c r="C1056"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B43" i="87"/>
  <c r="B22" i="87"/>
  <c r="E129" i="74"/>
  <c r="E1157" i="94" s="1"/>
  <c r="E1150" i="94"/>
  <c r="R1082" i="94"/>
  <c r="S1082" i="94" s="1"/>
  <c r="C11" i="86"/>
  <c r="B1068" i="94"/>
  <c r="B26" i="87"/>
  <c r="H1085" i="94"/>
  <c r="I36" i="74"/>
  <c r="I1064" i="94" s="1"/>
  <c r="I1056" i="94"/>
  <c r="A2" i="88"/>
  <c r="H1" i="95"/>
  <c r="K58" i="74"/>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21" i="75"/>
  <c r="M21" i="75" s="1"/>
  <c r="J790" i="94"/>
  <c r="L790" i="94" s="1"/>
  <c r="M790" i="94" s="1"/>
  <c r="L38" i="75"/>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J801" i="94"/>
  <c r="L801" i="94" s="1"/>
  <c r="M801" i="94" s="1"/>
  <c r="L40" i="75"/>
  <c r="M40" i="75" s="1"/>
  <c r="J809" i="94"/>
  <c r="L809" i="94" s="1"/>
  <c r="M809" i="94" s="1"/>
  <c r="L25" i="75"/>
  <c r="M25" i="75" s="1"/>
  <c r="J794" i="94"/>
  <c r="L794" i="94" s="1"/>
  <c r="M794" i="94" s="1"/>
  <c r="L33" i="75"/>
  <c r="M33" i="75" s="1"/>
  <c r="J802" i="94"/>
  <c r="L802" i="94" s="1"/>
  <c r="M802" i="94" s="1"/>
  <c r="L18" i="75"/>
  <c r="J787" i="94"/>
  <c r="L787" i="94" s="1"/>
  <c r="M787" i="94" s="1"/>
  <c r="L26" i="75"/>
  <c r="M26" i="75" s="1"/>
  <c r="J795" i="94"/>
  <c r="L795" i="94" s="1"/>
  <c r="M795" i="94" s="1"/>
  <c r="L34" i="75"/>
  <c r="M34" i="75" s="1"/>
  <c r="J803" i="94"/>
  <c r="L803" i="94" s="1"/>
  <c r="M803" i="94" s="1"/>
  <c r="L42" i="75"/>
  <c r="J811" i="94"/>
  <c r="L811" i="94" s="1"/>
  <c r="M811" i="94" s="1"/>
  <c r="Q988" i="94"/>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B44" i="78"/>
  <c r="F47" i="78" s="1"/>
  <c r="C8" i="90"/>
  <c r="J20" i="75"/>
  <c r="J789" i="94" s="1"/>
  <c r="L789" i="94" s="1"/>
  <c r="M789" i="94" s="1"/>
  <c r="F37" i="78"/>
  <c r="F483" i="94" s="1"/>
  <c r="F35" i="78"/>
  <c r="J22" i="75"/>
  <c r="J791" i="94" s="1"/>
  <c r="L791" i="94" s="1"/>
  <c r="M791" i="94" s="1"/>
  <c r="I31" i="74"/>
  <c r="C34" i="86" s="1"/>
  <c r="H31" i="74"/>
  <c r="C21" i="90"/>
  <c r="K31" i="74"/>
  <c r="E31" i="86"/>
  <c r="F16" i="86"/>
  <c r="M132" i="78"/>
  <c r="M149" i="78" s="1"/>
  <c r="M151" i="78" s="1"/>
  <c r="M153" i="78" s="1"/>
  <c r="S132" i="78"/>
  <c r="J164" i="78"/>
  <c r="E35" i="78"/>
  <c r="P132" i="78"/>
  <c r="P149" i="78" s="1"/>
  <c r="P151" i="78" s="1"/>
  <c r="P153" i="78" s="1"/>
  <c r="V132" i="78"/>
  <c r="E36" i="78"/>
  <c r="E37" i="78"/>
  <c r="H1" i="91"/>
  <c r="K60" i="84"/>
  <c r="G60" i="84"/>
  <c r="M38" i="75"/>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M42" i="75"/>
  <c r="I59" i="84"/>
  <c r="G59" i="84"/>
  <c r="M12" i="75"/>
  <c r="M3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M1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T177" i="72"/>
  <c r="A2" i="83"/>
  <c r="F12" i="85"/>
  <c r="E15" i="89"/>
  <c r="A1" i="87"/>
  <c r="A47" i="84"/>
  <c r="C28" i="90"/>
  <c r="G5" i="92" s="1"/>
  <c r="J372" i="73"/>
  <c r="H15" i="84"/>
  <c r="F18" i="85" s="1"/>
  <c r="K66" i="74"/>
  <c r="K1094" i="94" s="1"/>
  <c r="E51" i="86"/>
  <c r="B129" i="74"/>
  <c r="B1157" i="94" s="1"/>
  <c r="I58" i="74"/>
  <c r="D26" i="74"/>
  <c r="C90" i="74"/>
  <c r="G90" i="74"/>
  <c r="H34" i="74"/>
  <c r="H1062" i="94" s="1"/>
  <c r="K99" i="74"/>
  <c r="K1127" i="94" s="1"/>
  <c r="I90" i="74"/>
  <c r="E58" i="74"/>
  <c r="I26" i="74"/>
  <c r="F58" i="74"/>
  <c r="J170" i="78"/>
  <c r="E90" i="74"/>
  <c r="H58" i="74"/>
  <c r="K26" i="74"/>
  <c r="F90" i="74"/>
  <c r="B26" i="74"/>
  <c r="B45" i="82" s="1"/>
  <c r="I32" i="86"/>
  <c r="F51" i="86"/>
  <c r="D32" i="86"/>
  <c r="F12" i="86"/>
  <c r="H90" i="74"/>
  <c r="D58" i="74"/>
  <c r="G26" i="74"/>
  <c r="G58" i="74"/>
  <c r="D120" i="74"/>
  <c r="F120" i="74"/>
  <c r="D90" i="74"/>
  <c r="C26" i="74"/>
  <c r="J26" i="74"/>
  <c r="E26" i="74"/>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C31" i="86"/>
  <c r="H12" i="86"/>
  <c r="D36" i="74"/>
  <c r="D1064" i="94" s="1"/>
  <c r="E36" i="74"/>
  <c r="E1064" i="94" s="1"/>
  <c r="C29" i="84"/>
  <c r="K26" i="84" s="1"/>
  <c r="G36" i="86"/>
  <c r="H56" i="86"/>
  <c r="C56" i="86"/>
  <c r="F15" i="85"/>
  <c r="K67" i="74"/>
  <c r="K1095" i="94" s="1"/>
  <c r="C66" i="74"/>
  <c r="C1094" i="94" s="1"/>
  <c r="D11" i="86"/>
  <c r="G68" i="74"/>
  <c r="G1096" i="94" s="1"/>
  <c r="C36" i="86"/>
  <c r="H36" i="86"/>
  <c r="D36" i="86"/>
  <c r="G12" i="86"/>
  <c r="G99" i="74"/>
  <c r="G1127" i="94" s="1"/>
  <c r="C30" i="74"/>
  <c r="C1058" i="94" s="1"/>
  <c r="H16" i="86"/>
  <c r="I16" i="86"/>
  <c r="D63" i="74"/>
  <c r="G51" i="86"/>
  <c r="C52" i="86"/>
  <c r="I31" i="86"/>
  <c r="G52" i="86"/>
  <c r="D51" i="86"/>
  <c r="H51" i="86"/>
  <c r="F63" i="74"/>
  <c r="F31" i="86"/>
  <c r="J31" i="74"/>
  <c r="F52" i="86"/>
  <c r="H31" i="86"/>
  <c r="H36" i="74"/>
  <c r="H1064" i="94" s="1"/>
  <c r="R116" i="74"/>
  <c r="S116" i="74" s="1"/>
  <c r="G11" i="86"/>
  <c r="R86" i="74"/>
  <c r="S86" i="74" s="1"/>
  <c r="E99" i="74"/>
  <c r="E1127" i="94" s="1"/>
  <c r="G45" i="82"/>
  <c r="R54" i="74"/>
  <c r="S54" i="74" s="1"/>
  <c r="E11" i="86"/>
  <c r="D68" i="74"/>
  <c r="D1096" i="94" s="1"/>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J1059" i="94" l="1"/>
  <c r="C1091" i="94"/>
  <c r="B1091" i="94"/>
  <c r="E1091" i="94"/>
  <c r="F1091" i="94"/>
  <c r="D1091" i="94"/>
  <c r="I1059" i="94"/>
  <c r="B1059" i="94"/>
  <c r="B43" i="74"/>
  <c r="B1071" i="94" s="1"/>
  <c r="F1059" i="94"/>
  <c r="E1059" i="94"/>
  <c r="C1059" i="94"/>
  <c r="E1117" i="94"/>
  <c r="I45" i="82"/>
  <c r="J1085" i="94"/>
  <c r="B28" i="87"/>
  <c r="B10" i="87"/>
  <c r="B27" i="87"/>
  <c r="K1085" i="94"/>
  <c r="G1085" i="94"/>
  <c r="B21" i="87"/>
  <c r="C65" i="82"/>
  <c r="B29" i="87"/>
  <c r="E1053" i="94"/>
  <c r="K65" i="82"/>
  <c r="C39" i="74"/>
  <c r="D10" i="86" s="1"/>
  <c r="H45" i="82"/>
  <c r="C10" i="86"/>
  <c r="G1117" i="94"/>
  <c r="B16" i="87"/>
  <c r="J1117" i="94"/>
  <c r="I1085" i="94"/>
  <c r="I1053" i="94"/>
  <c r="C1117" i="94"/>
  <c r="B1067" i="94"/>
  <c r="C1053" i="94"/>
  <c r="I1117" i="94"/>
  <c r="F1085" i="94"/>
  <c r="K45" i="82"/>
  <c r="E1085" i="94"/>
  <c r="D1053" i="94"/>
  <c r="E65" i="82"/>
  <c r="B23" i="87"/>
  <c r="K1053" i="94"/>
  <c r="B20" i="87"/>
  <c r="B41" i="87"/>
  <c r="B12" i="87"/>
  <c r="E33" i="87"/>
  <c r="E1118" i="94"/>
  <c r="I14" i="86"/>
  <c r="H1059" i="94"/>
  <c r="J2057" i="94"/>
  <c r="G1881" i="94"/>
  <c r="P1215" i="94"/>
  <c r="I438" i="94"/>
  <c r="D14" i="86"/>
  <c r="G34" i="86"/>
  <c r="E20" i="87"/>
  <c r="B1086" i="94"/>
  <c r="E13" i="87"/>
  <c r="E1054" i="94"/>
  <c r="E15" i="87"/>
  <c r="G1054" i="94"/>
  <c r="E34" i="87"/>
  <c r="F1118" i="94"/>
  <c r="E37" i="87"/>
  <c r="I1118" i="94"/>
  <c r="E27" i="87"/>
  <c r="I1086" i="94"/>
  <c r="H14" i="86"/>
  <c r="G1059" i="94"/>
  <c r="F34" i="78"/>
  <c r="F481" i="94"/>
  <c r="F480" i="94" s="1"/>
  <c r="E30" i="87"/>
  <c r="B1118" i="94"/>
  <c r="E28" i="87"/>
  <c r="J1086" i="94"/>
  <c r="E32" i="87"/>
  <c r="D1118" i="94"/>
  <c r="E10" i="87"/>
  <c r="B1054" i="94"/>
  <c r="E23" i="87"/>
  <c r="E1086" i="94"/>
  <c r="E29" i="87"/>
  <c r="K1086" i="94"/>
  <c r="C75" i="84"/>
  <c r="E75" i="84" s="1"/>
  <c r="E77" i="84" s="1"/>
  <c r="E66" i="74"/>
  <c r="E1094" i="94" s="1"/>
  <c r="C45" i="82"/>
  <c r="E127" i="74"/>
  <c r="E1155" i="94" s="1"/>
  <c r="E43" i="87"/>
  <c r="E1148" i="94"/>
  <c r="E38" i="87"/>
  <c r="J1118" i="94"/>
  <c r="J45" i="82"/>
  <c r="E18" i="87"/>
  <c r="J1054" i="94"/>
  <c r="E44" i="87"/>
  <c r="F1148" i="94"/>
  <c r="E22" i="87"/>
  <c r="D1086" i="94"/>
  <c r="K34" i="74"/>
  <c r="K1062" i="94" s="1"/>
  <c r="E19" i="87"/>
  <c r="K1054" i="94"/>
  <c r="F65" i="82"/>
  <c r="E24" i="87"/>
  <c r="F1086" i="94"/>
  <c r="G97" i="74"/>
  <c r="G1125" i="94" s="1"/>
  <c r="E35" i="87"/>
  <c r="G1118" i="94"/>
  <c r="H18" i="84"/>
  <c r="J18" i="84" s="1"/>
  <c r="E34" i="86"/>
  <c r="K1059" i="94"/>
  <c r="G65" i="82"/>
  <c r="E25" i="87"/>
  <c r="G1086" i="94"/>
  <c r="E12" i="87"/>
  <c r="D1054" i="94"/>
  <c r="F14" i="86"/>
  <c r="E40" i="87"/>
  <c r="B1148" i="94"/>
  <c r="E14" i="87"/>
  <c r="F1054" i="94"/>
  <c r="E11" i="87"/>
  <c r="C1054" i="94"/>
  <c r="E42" i="87"/>
  <c r="D1148" i="94"/>
  <c r="E36" i="87"/>
  <c r="H1118" i="94"/>
  <c r="E26" i="87"/>
  <c r="H1086" i="94"/>
  <c r="E17" i="87"/>
  <c r="I1054" i="94"/>
  <c r="E31" i="87"/>
  <c r="C1118" i="94"/>
  <c r="E14" i="86"/>
  <c r="D1059" i="94"/>
  <c r="R1114" i="94"/>
  <c r="S1114" i="94" s="1"/>
  <c r="H92" i="73"/>
  <c r="T1836" i="94"/>
  <c r="H1262" i="94"/>
  <c r="Q998" i="94"/>
  <c r="K65" i="94"/>
  <c r="O329" i="72"/>
  <c r="O1988" i="94" s="1"/>
  <c r="Q336" i="72"/>
  <c r="M154" i="75"/>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Q996" i="94"/>
  <c r="O989" i="94"/>
  <c r="O990" i="94"/>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O154" i="75"/>
  <c r="K127" i="75"/>
  <c r="K153" i="75"/>
  <c r="F55" i="73" s="1"/>
  <c r="F1225" i="94" s="1"/>
  <c r="C36" i="84"/>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7" i="84"/>
  <c r="K35" i="84"/>
  <c r="C40" i="84"/>
  <c r="J151" i="78"/>
  <c r="J153" i="78" s="1"/>
  <c r="E3" i="86"/>
  <c r="B4" i="82"/>
  <c r="C18" i="84"/>
  <c r="J398" i="72"/>
  <c r="G222" i="72"/>
  <c r="K9" i="88"/>
  <c r="K23" i="88" s="1"/>
  <c r="K28" i="88" s="1"/>
  <c r="F39" i="88" s="1"/>
  <c r="I59" i="68"/>
  <c r="P141" i="75"/>
  <c r="M152" i="75"/>
  <c r="P114" i="75"/>
  <c r="G14" i="86"/>
  <c r="G101" i="90"/>
  <c r="N996" i="94" l="1"/>
  <c r="C43" i="74"/>
  <c r="G75" i="84"/>
  <c r="G77" i="84" s="1"/>
  <c r="C1067" i="94"/>
  <c r="D39" i="74"/>
  <c r="E39" i="74" s="1"/>
  <c r="E1067" i="94" s="1"/>
  <c r="F10" i="86"/>
  <c r="K75" i="84"/>
  <c r="K77" i="84" s="1"/>
  <c r="C77" i="84"/>
  <c r="C80" i="84" s="1"/>
  <c r="E30" i="74"/>
  <c r="E1058" i="94" s="1"/>
  <c r="D1058" i="94"/>
  <c r="P429" i="94"/>
  <c r="P428" i="94"/>
  <c r="I439" i="94"/>
  <c r="I75" i="84"/>
  <c r="I77" i="84" s="1"/>
  <c r="M2058" i="94"/>
  <c r="J2058" i="94"/>
  <c r="J2059" i="94" s="1"/>
  <c r="Q58" i="73"/>
  <c r="Q1228" i="94" s="1"/>
  <c r="I51" i="73"/>
  <c r="F1221" i="94"/>
  <c r="I1221" i="94" s="1"/>
  <c r="I45" i="73"/>
  <c r="F1215" i="94"/>
  <c r="I1215" i="94" s="1"/>
  <c r="H57" i="73"/>
  <c r="H1227" i="94" s="1"/>
  <c r="F1227" i="94"/>
  <c r="H63" i="73"/>
  <c r="H1233" i="94" s="1"/>
  <c r="F1233" i="94"/>
  <c r="I1233" i="94" s="1"/>
  <c r="I49" i="73"/>
  <c r="F1219" i="94"/>
  <c r="I1219" i="94" s="1"/>
  <c r="I1225" i="94"/>
  <c r="F1228" i="94"/>
  <c r="I1232" i="94"/>
  <c r="N1232" i="94"/>
  <c r="N1225"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I58" i="73" s="1"/>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B38" i="74" s="1"/>
  <c r="B1066"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C1071" i="94" l="1"/>
  <c r="D43" i="74"/>
  <c r="F39" i="74"/>
  <c r="C81" i="84"/>
  <c r="E10" i="86"/>
  <c r="D1067" i="94"/>
  <c r="F1067" i="94"/>
  <c r="G39" i="74"/>
  <c r="H10" i="86" s="1"/>
  <c r="G10" i="86"/>
  <c r="P430" i="94"/>
  <c r="N66" i="73"/>
  <c r="K1236" i="94"/>
  <c r="N1236" i="94" s="1"/>
  <c r="N1230" i="94"/>
  <c r="N65" i="73"/>
  <c r="K1235" i="94"/>
  <c r="E14" i="74"/>
  <c r="E1042" i="94" s="1"/>
  <c r="B1042" i="94"/>
  <c r="I66" i="73"/>
  <c r="F1236" i="94"/>
  <c r="I1236" i="94" s="1"/>
  <c r="I1237" i="94" s="1"/>
  <c r="M43" i="73"/>
  <c r="M1213" i="94" s="1"/>
  <c r="K1213" i="94"/>
  <c r="N1213" i="94" s="1"/>
  <c r="I1211" i="94"/>
  <c r="I1216" i="94" s="1"/>
  <c r="F1216" i="94"/>
  <c r="K1230" i="94"/>
  <c r="K463" i="73"/>
  <c r="K1633" i="94"/>
  <c r="I52" i="73"/>
  <c r="F1222" i="94"/>
  <c r="I1222" i="94" s="1"/>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I1226" i="94" s="1"/>
  <c r="L59" i="73"/>
  <c r="L1229" i="94" s="1"/>
  <c r="G1229" i="94"/>
  <c r="L44" i="73"/>
  <c r="L1214" i="94" s="1"/>
  <c r="G1214" i="94"/>
  <c r="L57" i="73"/>
  <c r="L1227" i="94" s="1"/>
  <c r="G1227" i="94"/>
  <c r="I1227" i="94" s="1"/>
  <c r="L62" i="73"/>
  <c r="L1232" i="94" s="1"/>
  <c r="G1232" i="94"/>
  <c r="L42" i="73"/>
  <c r="L1212" i="94" s="1"/>
  <c r="G1212" i="94"/>
  <c r="L63" i="73"/>
  <c r="L1233" i="94" s="1"/>
  <c r="G1233" i="94"/>
  <c r="L58" i="73"/>
  <c r="L1228" i="94" s="1"/>
  <c r="G1228" i="94"/>
  <c r="I1228" i="94" s="1"/>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F23" i="74"/>
  <c r="F1051" i="94" s="1"/>
  <c r="F14" i="74"/>
  <c r="F1042" i="94" s="1"/>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F20" i="74"/>
  <c r="H65" i="73"/>
  <c r="H1235" i="94" s="1"/>
  <c r="F67" i="73"/>
  <c r="I65" i="73"/>
  <c r="O19" i="86"/>
  <c r="O23" i="86" s="1"/>
  <c r="O25" i="86" s="1"/>
  <c r="O31" i="86" s="1"/>
  <c r="N56" i="73"/>
  <c r="K60" i="73"/>
  <c r="M56" i="73"/>
  <c r="M1226" i="94" s="1"/>
  <c r="I61" i="66"/>
  <c r="E1048" i="94" l="1"/>
  <c r="E38" i="74"/>
  <c r="E1066" i="94" s="1"/>
  <c r="D1048" i="94"/>
  <c r="D38" i="74"/>
  <c r="D1066" i="94" s="1"/>
  <c r="C1048" i="94"/>
  <c r="C38" i="74"/>
  <c r="C1066" i="94" s="1"/>
  <c r="F1048" i="94"/>
  <c r="F38" i="74"/>
  <c r="F1066" i="94" s="1"/>
  <c r="I1230" i="94"/>
  <c r="D1071" i="94"/>
  <c r="E43" i="74"/>
  <c r="G1067" i="94"/>
  <c r="H39" i="74"/>
  <c r="I1223" i="94"/>
  <c r="H1239" i="94" s="1"/>
  <c r="N67" i="73"/>
  <c r="F1223" i="94"/>
  <c r="K1216" i="94"/>
  <c r="H8" i="88"/>
  <c r="I8" i="88" s="1"/>
  <c r="N1235" i="94"/>
  <c r="N1237" i="94" s="1"/>
  <c r="K1237" i="94"/>
  <c r="N1216" i="94"/>
  <c r="J600" i="94"/>
  <c r="J601" i="94" s="1"/>
  <c r="J603" i="94" s="1"/>
  <c r="F1237" i="94"/>
  <c r="M600" i="94"/>
  <c r="M601" i="94" s="1"/>
  <c r="M603" i="94" s="1"/>
  <c r="N1003" i="94"/>
  <c r="Q1003" i="94"/>
  <c r="Q1015" i="94"/>
  <c r="B15" i="74"/>
  <c r="G15" i="74" s="1"/>
  <c r="G1043" i="94" s="1"/>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N227"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G1042" i="94" s="1"/>
  <c r="G20" i="74"/>
  <c r="P154" i="78"/>
  <c r="P155" i="78" s="1"/>
  <c r="P157" i="78" s="1"/>
  <c r="E172" i="90"/>
  <c r="E173" i="90" s="1"/>
  <c r="B22" i="74"/>
  <c r="B1050" i="94" s="1"/>
  <c r="C66" i="84"/>
  <c r="N234" i="75"/>
  <c r="Q234" i="75"/>
  <c r="Q246" i="75"/>
  <c r="I53" i="73"/>
  <c r="F69" i="73"/>
  <c r="G1048" i="94" l="1"/>
  <c r="G38" i="74"/>
  <c r="G1066" i="94" s="1"/>
  <c r="E1071" i="94"/>
  <c r="F43" i="74"/>
  <c r="H1067" i="94"/>
  <c r="I39" i="74"/>
  <c r="I10" i="86"/>
  <c r="B16" i="74"/>
  <c r="B1044" i="94" s="1"/>
  <c r="D15" i="74"/>
  <c r="D1043" i="94" s="1"/>
  <c r="E15" i="74"/>
  <c r="E1043" i="94" s="1"/>
  <c r="C53" i="84"/>
  <c r="I53" i="84" s="1"/>
  <c r="I54" i="84" s="1"/>
  <c r="I56" i="84" s="1"/>
  <c r="I64" i="84" s="1"/>
  <c r="C15" i="74"/>
  <c r="C1043" i="94" s="1"/>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B19" i="74"/>
  <c r="B1047" i="94" s="1"/>
  <c r="AE116" i="78"/>
  <c r="D580" i="94"/>
  <c r="E524" i="94"/>
  <c r="J489" i="94"/>
  <c r="E47" i="78"/>
  <c r="E493" i="94" s="1"/>
  <c r="K234" i="75"/>
  <c r="E78" i="78"/>
  <c r="K236" i="75"/>
  <c r="O424" i="72"/>
  <c r="O425" i="72" s="1"/>
  <c r="AE113" i="78"/>
  <c r="P85" i="75"/>
  <c r="P73" i="75"/>
  <c r="P88" i="75"/>
  <c r="P79" i="75"/>
  <c r="P82" i="75"/>
  <c r="P70" i="75"/>
  <c r="P76" i="75"/>
  <c r="O221" i="75"/>
  <c r="K235" i="75"/>
  <c r="I13" i="88"/>
  <c r="AE118" i="78"/>
  <c r="N461" i="73"/>
  <c r="N463" i="73" s="1"/>
  <c r="N464" i="73"/>
  <c r="O464" i="73" s="1"/>
  <c r="O220" i="75"/>
  <c r="O232" i="73"/>
  <c r="J43" i="78"/>
  <c r="D134" i="78"/>
  <c r="N90" i="66"/>
  <c r="N115" i="94" s="1"/>
  <c r="O418" i="72"/>
  <c r="O419" i="72" s="1"/>
  <c r="AE115" i="78"/>
  <c r="I282" i="72"/>
  <c r="M305" i="73"/>
  <c r="L305" i="73" s="1"/>
  <c r="F124" i="78"/>
  <c r="F570" i="94" s="1"/>
  <c r="C13" i="84"/>
  <c r="F52" i="89" s="1"/>
  <c r="N87" i="66"/>
  <c r="N112" i="94" s="1"/>
  <c r="P228" i="75"/>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G16" i="74"/>
  <c r="G1044" i="94" s="1"/>
  <c r="H23" i="74"/>
  <c r="H1051" i="94" s="1"/>
  <c r="I13" i="74"/>
  <c r="I22" i="74" s="1"/>
  <c r="I1050" i="94" s="1"/>
  <c r="H15" i="74"/>
  <c r="H1043" i="94" s="1"/>
  <c r="H14" i="74"/>
  <c r="H1042" i="94" s="1"/>
  <c r="H20" i="74"/>
  <c r="H1048" i="94" l="1"/>
  <c r="H38" i="74"/>
  <c r="H1066" i="94" s="1"/>
  <c r="C16" i="74"/>
  <c r="C1044" i="94" s="1"/>
  <c r="F1071" i="94"/>
  <c r="G43" i="74"/>
  <c r="I1067" i="94"/>
  <c r="J39" i="74"/>
  <c r="C30" i="86"/>
  <c r="C54" i="84"/>
  <c r="C56" i="84" s="1"/>
  <c r="C64" i="84" s="1"/>
  <c r="C70" i="84" s="1"/>
  <c r="C72" i="84" s="1"/>
  <c r="K5" i="74"/>
  <c r="K1033" i="94" s="1"/>
  <c r="L4" i="95"/>
  <c r="K7" i="74"/>
  <c r="K1035" i="94" s="1"/>
  <c r="J4" i="91"/>
  <c r="D16" i="74"/>
  <c r="D1044" i="94" s="1"/>
  <c r="K53" i="84"/>
  <c r="K54" i="84" s="1"/>
  <c r="K56" i="84" s="1"/>
  <c r="K64" i="84" s="1"/>
  <c r="K70" i="84" s="1"/>
  <c r="K72" i="84" s="1"/>
  <c r="G53" i="84"/>
  <c r="G54" i="84" s="1"/>
  <c r="E16" i="74"/>
  <c r="E1044" i="94" s="1"/>
  <c r="E53" i="84"/>
  <c r="E54" i="84" s="1"/>
  <c r="E56" i="84" s="1"/>
  <c r="E64" i="84" s="1"/>
  <c r="E70" i="84" s="1"/>
  <c r="E76" i="84" s="1"/>
  <c r="E73" i="84" s="1"/>
  <c r="O58" i="72"/>
  <c r="O1713" i="94" s="1"/>
  <c r="B24" i="74"/>
  <c r="AF559" i="94"/>
  <c r="N1633" i="94"/>
  <c r="K1634" i="94"/>
  <c r="AF562" i="94"/>
  <c r="F1043" i="94"/>
  <c r="F16" i="74"/>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O50" i="72"/>
  <c r="O1705" i="94" s="1"/>
  <c r="R1705" i="94" s="1"/>
  <c r="I70" i="84"/>
  <c r="I76" i="84" s="1"/>
  <c r="I73" i="84" s="1"/>
  <c r="C19" i="74"/>
  <c r="C1047" i="94" s="1"/>
  <c r="G19" i="74"/>
  <c r="G1047" i="94" s="1"/>
  <c r="C33" i="86"/>
  <c r="D13" i="86"/>
  <c r="H16" i="74"/>
  <c r="H1044" i="94" s="1"/>
  <c r="E13" i="86"/>
  <c r="I53" i="82"/>
  <c r="J30" i="74"/>
  <c r="J1058" i="94" s="1"/>
  <c r="L236" i="72"/>
  <c r="K236" i="72"/>
  <c r="I23" i="74"/>
  <c r="I1051" i="94" s="1"/>
  <c r="J13" i="74"/>
  <c r="I15" i="74"/>
  <c r="I1043" i="94" s="1"/>
  <c r="I14" i="74"/>
  <c r="I1042" i="94" s="1"/>
  <c r="I20" i="74"/>
  <c r="I13" i="86"/>
  <c r="H13" i="86"/>
  <c r="F13" i="86"/>
  <c r="G13" i="86"/>
  <c r="I1048" i="94" l="1"/>
  <c r="I38" i="74"/>
  <c r="I1066" i="94" s="1"/>
  <c r="B1052" i="94"/>
  <c r="B33" i="74"/>
  <c r="B1061" i="94" s="1"/>
  <c r="B37" i="74"/>
  <c r="B1065" i="94" s="1"/>
  <c r="G1071" i="94"/>
  <c r="H43" i="74"/>
  <c r="J1067" i="94"/>
  <c r="K39" i="74"/>
  <c r="D30" i="86"/>
  <c r="E19" i="74"/>
  <c r="E1047" i="94" s="1"/>
  <c r="D19" i="74"/>
  <c r="D1047" i="94" s="1"/>
  <c r="G56" i="84"/>
  <c r="G64" i="84" s="1"/>
  <c r="G70" i="84" s="1"/>
  <c r="G76" i="84" s="1"/>
  <c r="G73" i="84" s="1"/>
  <c r="C76" i="84"/>
  <c r="C73" i="84" s="1"/>
  <c r="G90" i="75"/>
  <c r="G81" i="75"/>
  <c r="G72" i="75"/>
  <c r="G87" i="75"/>
  <c r="G84" i="75"/>
  <c r="G75" i="75"/>
  <c r="G78" i="75"/>
  <c r="B44" i="82"/>
  <c r="B51" i="82" s="1"/>
  <c r="B32" i="74"/>
  <c r="B1060" i="94" s="1"/>
  <c r="A118" i="78"/>
  <c r="E564" i="94"/>
  <c r="A564" i="94" s="1"/>
  <c r="F1044" i="94"/>
  <c r="F19" i="74"/>
  <c r="P1713" i="94"/>
  <c r="P50" i="72"/>
  <c r="P1705" i="94" s="1"/>
  <c r="K21" i="88"/>
  <c r="K30" i="88" s="1"/>
  <c r="K34" i="88" s="1"/>
  <c r="J169" i="78"/>
  <c r="J615" i="94" s="1"/>
  <c r="J617" i="94" s="1"/>
  <c r="J619" i="94" s="1"/>
  <c r="J622" i="94" s="1"/>
  <c r="J626" i="94" s="1"/>
  <c r="K13" i="88"/>
  <c r="R50" i="72"/>
  <c r="I72" i="84"/>
  <c r="E72" i="84"/>
  <c r="K76" i="84"/>
  <c r="K73" i="84" s="1"/>
  <c r="C24" i="74"/>
  <c r="G24" i="74"/>
  <c r="K30" i="74"/>
  <c r="K1058" i="94" s="1"/>
  <c r="J53" i="82"/>
  <c r="K13" i="74"/>
  <c r="J23" i="74"/>
  <c r="J1051" i="94" s="1"/>
  <c r="J14" i="74"/>
  <c r="J1042" i="94" s="1"/>
  <c r="J15" i="74"/>
  <c r="J1043" i="94" s="1"/>
  <c r="J20" i="74"/>
  <c r="J22" i="74"/>
  <c r="J1050" i="94" s="1"/>
  <c r="I16" i="74"/>
  <c r="I1044" i="94" s="1"/>
  <c r="H19" i="74"/>
  <c r="H1047" i="94" s="1"/>
  <c r="J1048" i="94" l="1"/>
  <c r="J38" i="74"/>
  <c r="J1066" i="94" s="1"/>
  <c r="E24" i="74"/>
  <c r="E44" i="82" s="1"/>
  <c r="E46" i="82" s="1"/>
  <c r="C37" i="74"/>
  <c r="C1065" i="94" s="1"/>
  <c r="C33" i="74"/>
  <c r="C1061" i="94" s="1"/>
  <c r="G37" i="74"/>
  <c r="G1065" i="94" s="1"/>
  <c r="G33" i="74"/>
  <c r="G1061" i="94" s="1"/>
  <c r="H1071" i="94"/>
  <c r="I43" i="74"/>
  <c r="K1067" i="94"/>
  <c r="B71" i="74"/>
  <c r="E30" i="86"/>
  <c r="M628" i="94"/>
  <c r="J630" i="94"/>
  <c r="G72" i="84"/>
  <c r="D24" i="74"/>
  <c r="B46" i="82"/>
  <c r="S20" i="74"/>
  <c r="S1048" i="94" s="1"/>
  <c r="C9" i="86"/>
  <c r="C17" i="86" s="1"/>
  <c r="C18" i="86" s="1"/>
  <c r="C20" i="86" s="1"/>
  <c r="C24" i="86" s="1"/>
  <c r="K6" i="86" s="1"/>
  <c r="G66" i="86" s="1"/>
  <c r="N85" i="85" s="1"/>
  <c r="F1047" i="94"/>
  <c r="F24" i="74"/>
  <c r="G44" i="82"/>
  <c r="G51" i="82" s="1"/>
  <c r="G1052" i="94"/>
  <c r="C32" i="74"/>
  <c r="C1060" i="94" s="1"/>
  <c r="C1052" i="94"/>
  <c r="J171" i="78"/>
  <c r="J173" i="78" s="1"/>
  <c r="E32" i="74"/>
  <c r="C44" i="82"/>
  <c r="C46" i="82" s="1"/>
  <c r="G32" i="74"/>
  <c r="I19" i="74"/>
  <c r="K23" i="74"/>
  <c r="K1051" i="94" s="1"/>
  <c r="B45" i="74"/>
  <c r="K14" i="74"/>
  <c r="K1042" i="94" s="1"/>
  <c r="K15" i="74"/>
  <c r="K1043" i="94" s="1"/>
  <c r="K20" i="74"/>
  <c r="K22" i="74"/>
  <c r="K1050" i="94" s="1"/>
  <c r="H24" i="74"/>
  <c r="D33" i="86"/>
  <c r="B62" i="74"/>
  <c r="B1090" i="94" s="1"/>
  <c r="K53" i="82"/>
  <c r="J16" i="74"/>
  <c r="J1044" i="94" s="1"/>
  <c r="K1048" i="94" l="1"/>
  <c r="K38" i="74"/>
  <c r="K1066" i="94" s="1"/>
  <c r="E37" i="74"/>
  <c r="E1065" i="94" s="1"/>
  <c r="E33" i="74"/>
  <c r="E1061" i="94" s="1"/>
  <c r="E1052" i="94"/>
  <c r="F33" i="74"/>
  <c r="F1061" i="94" s="1"/>
  <c r="F37" i="74"/>
  <c r="F1065" i="94" s="1"/>
  <c r="D44" i="82"/>
  <c r="D46" i="82" s="1"/>
  <c r="D33" i="74"/>
  <c r="D1061" i="94" s="1"/>
  <c r="D37" i="74"/>
  <c r="D1065" i="94" s="1"/>
  <c r="H1052" i="94"/>
  <c r="H37" i="74"/>
  <c r="H1065" i="94" s="1"/>
  <c r="H33" i="74"/>
  <c r="H1061" i="94" s="1"/>
  <c r="I1071" i="94"/>
  <c r="J43" i="74"/>
  <c r="B1099" i="94"/>
  <c r="C71" i="74"/>
  <c r="F30" i="86"/>
  <c r="D32" i="74"/>
  <c r="D1060" i="94" s="1"/>
  <c r="B15" i="82"/>
  <c r="J176" i="78"/>
  <c r="J180" i="78" s="1"/>
  <c r="D1052" i="94"/>
  <c r="S21" i="74"/>
  <c r="S1049" i="94" s="1"/>
  <c r="D9" i="86"/>
  <c r="D17" i="86" s="1"/>
  <c r="D18" i="86" s="1"/>
  <c r="D20" i="86" s="1"/>
  <c r="D24" i="86" s="1"/>
  <c r="K7" i="86" s="1"/>
  <c r="G46" i="82"/>
  <c r="F1052" i="94"/>
  <c r="F44" i="82"/>
  <c r="F32" i="74"/>
  <c r="E51" i="82"/>
  <c r="H9" i="86"/>
  <c r="H17" i="86" s="1"/>
  <c r="H18" i="86" s="1"/>
  <c r="H20" i="86" s="1"/>
  <c r="H24" i="86" s="1"/>
  <c r="K11" i="86" s="1"/>
  <c r="G1060" i="94"/>
  <c r="F9" i="86"/>
  <c r="F17" i="86" s="1"/>
  <c r="F18" i="86" s="1"/>
  <c r="F20" i="86" s="1"/>
  <c r="F24" i="86" s="1"/>
  <c r="K9" i="86" s="1"/>
  <c r="E1060" i="94"/>
  <c r="I24" i="74"/>
  <c r="I1047" i="94"/>
  <c r="C51" i="82"/>
  <c r="J19" i="74"/>
  <c r="H44" i="82"/>
  <c r="H32" i="74"/>
  <c r="H1060" i="94" s="1"/>
  <c r="K16" i="74"/>
  <c r="K1044" i="94" s="1"/>
  <c r="C45" i="74"/>
  <c r="B55" i="74"/>
  <c r="B1083" i="94" s="1"/>
  <c r="B47" i="74"/>
  <c r="B1075" i="94" s="1"/>
  <c r="B46" i="74"/>
  <c r="B1074" i="94" s="1"/>
  <c r="B52" i="74"/>
  <c r="B54" i="74"/>
  <c r="B1082" i="94" s="1"/>
  <c r="C62" i="74"/>
  <c r="C1090" i="94" s="1"/>
  <c r="B73" i="82"/>
  <c r="E33" i="86"/>
  <c r="B1080" i="94" l="1"/>
  <c r="B70" i="74"/>
  <c r="B1098" i="94" s="1"/>
  <c r="D51" i="82"/>
  <c r="I1052" i="94"/>
  <c r="I37" i="74"/>
  <c r="I1065" i="94" s="1"/>
  <c r="I33" i="74"/>
  <c r="I1061" i="94" s="1"/>
  <c r="J1071" i="94"/>
  <c r="K43" i="74"/>
  <c r="M182" i="78"/>
  <c r="J184" i="78"/>
  <c r="S22" i="74"/>
  <c r="S1050" i="94" s="1"/>
  <c r="S23" i="74"/>
  <c r="S1051" i="94" s="1"/>
  <c r="S25" i="74"/>
  <c r="S1053" i="94" s="1"/>
  <c r="C1099" i="94"/>
  <c r="D71" i="74"/>
  <c r="G30" i="86"/>
  <c r="E9" i="86"/>
  <c r="E17" i="86" s="1"/>
  <c r="E18" i="86" s="1"/>
  <c r="E20" i="86" s="1"/>
  <c r="E24" i="86" s="1"/>
  <c r="K8" i="86" s="1"/>
  <c r="F1060" i="94"/>
  <c r="G9" i="86"/>
  <c r="G17" i="86" s="1"/>
  <c r="G18" i="86" s="1"/>
  <c r="G20" i="86" s="1"/>
  <c r="G24" i="86" s="1"/>
  <c r="K10" i="86" s="1"/>
  <c r="F46" i="82"/>
  <c r="F51" i="82"/>
  <c r="S24" i="74"/>
  <c r="S1052" i="94" s="1"/>
  <c r="I44" i="82"/>
  <c r="I51" i="82" s="1"/>
  <c r="J24" i="74"/>
  <c r="J1047" i="94"/>
  <c r="I32" i="74"/>
  <c r="I1060" i="94" s="1"/>
  <c r="C73" i="82"/>
  <c r="D62" i="74"/>
  <c r="D1090" i="94" s="1"/>
  <c r="C47" i="74"/>
  <c r="C1075" i="94" s="1"/>
  <c r="C55" i="74"/>
  <c r="C1083" i="94" s="1"/>
  <c r="D45" i="74"/>
  <c r="C46" i="74"/>
  <c r="C1074" i="94" s="1"/>
  <c r="C52" i="74"/>
  <c r="C54" i="74"/>
  <c r="C1082" i="94" s="1"/>
  <c r="B48" i="74"/>
  <c r="B1076" i="94" s="1"/>
  <c r="I9" i="86"/>
  <c r="S26" i="74"/>
  <c r="S1054" i="94" s="1"/>
  <c r="H51" i="82"/>
  <c r="H46" i="82"/>
  <c r="F33" i="86"/>
  <c r="K19" i="74"/>
  <c r="K1047" i="94" s="1"/>
  <c r="C1080" i="94" l="1"/>
  <c r="C70" i="74"/>
  <c r="C1098" i="94" s="1"/>
  <c r="J1052" i="94"/>
  <c r="J33" i="74"/>
  <c r="J1061" i="94" s="1"/>
  <c r="J37" i="74"/>
  <c r="J1065" i="94" s="1"/>
  <c r="K1071" i="94"/>
  <c r="B75" i="74"/>
  <c r="C21" i="86"/>
  <c r="L50" i="68"/>
  <c r="E99" i="78"/>
  <c r="M61" i="85"/>
  <c r="P61" i="85" s="1"/>
  <c r="I34" i="94"/>
  <c r="I9" i="66"/>
  <c r="L49" i="68"/>
  <c r="D1099" i="94"/>
  <c r="E71" i="74"/>
  <c r="H30" i="86"/>
  <c r="I46" i="82"/>
  <c r="J32" i="74"/>
  <c r="J1060" i="94" s="1"/>
  <c r="J44" i="82"/>
  <c r="J46" i="82" s="1"/>
  <c r="C29" i="86"/>
  <c r="C37" i="86" s="1"/>
  <c r="C38" i="86" s="1"/>
  <c r="C40" i="86" s="1"/>
  <c r="C44" i="86" s="1"/>
  <c r="K13" i="86" s="1"/>
  <c r="S27" i="74"/>
  <c r="S1055" i="94" s="1"/>
  <c r="I17" i="86"/>
  <c r="I18" i="86" s="1"/>
  <c r="I20" i="86" s="1"/>
  <c r="I24" i="86" s="1"/>
  <c r="K12" i="86" s="1"/>
  <c r="E45" i="74"/>
  <c r="D55" i="74"/>
  <c r="D1083" i="94" s="1"/>
  <c r="D47" i="74"/>
  <c r="D1075" i="94" s="1"/>
  <c r="D46" i="74"/>
  <c r="D1074" i="94" s="1"/>
  <c r="D52" i="74"/>
  <c r="D54" i="74"/>
  <c r="D1082" i="94" s="1"/>
  <c r="E62" i="74"/>
  <c r="E1090" i="94" s="1"/>
  <c r="D73" i="82"/>
  <c r="G33" i="86"/>
  <c r="K24" i="74"/>
  <c r="B51" i="74"/>
  <c r="B1079" i="94" s="1"/>
  <c r="C48" i="74"/>
  <c r="C1076" i="94" s="1"/>
  <c r="D1080" i="94" l="1"/>
  <c r="D70" i="74"/>
  <c r="D1098" i="94" s="1"/>
  <c r="K1052" i="94"/>
  <c r="K37" i="74"/>
  <c r="K1065" i="94" s="1"/>
  <c r="K33" i="74"/>
  <c r="K1061" i="94" s="1"/>
  <c r="B1103" i="94"/>
  <c r="C75" i="74"/>
  <c r="E545" i="94"/>
  <c r="J545" i="94" s="1"/>
  <c r="J99" i="78"/>
  <c r="B14" i="82"/>
  <c r="L428" i="94"/>
  <c r="N49" i="68"/>
  <c r="N428" i="94" s="1"/>
  <c r="N50" i="68"/>
  <c r="N429" i="94" s="1"/>
  <c r="L429" i="94"/>
  <c r="C41" i="86"/>
  <c r="D41" i="86" s="1"/>
  <c r="E41" i="86" s="1"/>
  <c r="C22" i="86"/>
  <c r="C42" i="86" s="1"/>
  <c r="D42" i="86" s="1"/>
  <c r="E42" i="86" s="1"/>
  <c r="D21" i="86"/>
  <c r="E1099" i="94"/>
  <c r="F71" i="74"/>
  <c r="C50" i="86" s="1"/>
  <c r="I30" i="86"/>
  <c r="J51" i="82"/>
  <c r="S28" i="74"/>
  <c r="S1056" i="94" s="1"/>
  <c r="D29" i="86"/>
  <c r="D37" i="86" s="1"/>
  <c r="D38" i="86" s="1"/>
  <c r="D40" i="86" s="1"/>
  <c r="D44" i="86" s="1"/>
  <c r="K14" i="86" s="1"/>
  <c r="C51" i="74"/>
  <c r="E73" i="82"/>
  <c r="F62" i="74"/>
  <c r="F1090" i="94" s="1"/>
  <c r="D48" i="74"/>
  <c r="D1076" i="94" s="1"/>
  <c r="B56" i="74"/>
  <c r="K44" i="82"/>
  <c r="K32" i="74"/>
  <c r="K1060" i="94" s="1"/>
  <c r="E46" i="74"/>
  <c r="E1074" i="94" s="1"/>
  <c r="E55" i="74"/>
  <c r="E1083" i="94" s="1"/>
  <c r="F45" i="74"/>
  <c r="E47" i="74"/>
  <c r="E1075" i="94" s="1"/>
  <c r="E52" i="74"/>
  <c r="E54" i="74"/>
  <c r="E1082" i="94" s="1"/>
  <c r="H33" i="86"/>
  <c r="E1080" i="94" l="1"/>
  <c r="E70" i="74"/>
  <c r="E1098" i="94" s="1"/>
  <c r="B1084" i="94"/>
  <c r="B65" i="74"/>
  <c r="B1093" i="94" s="1"/>
  <c r="B69" i="74"/>
  <c r="B1097" i="94" s="1"/>
  <c r="C1103" i="94"/>
  <c r="D75" i="74"/>
  <c r="B20" i="82"/>
  <c r="B21" i="82" s="1"/>
  <c r="G20" i="82"/>
  <c r="E21" i="86"/>
  <c r="D22" i="86"/>
  <c r="F1099" i="94"/>
  <c r="G71" i="74"/>
  <c r="C56" i="74"/>
  <c r="C1079" i="94"/>
  <c r="D51" i="74"/>
  <c r="D1079" i="94" s="1"/>
  <c r="F55" i="74"/>
  <c r="F1083" i="94" s="1"/>
  <c r="F47" i="74"/>
  <c r="F1075" i="94" s="1"/>
  <c r="F46" i="74"/>
  <c r="F1074" i="94" s="1"/>
  <c r="G45" i="74"/>
  <c r="F52" i="74"/>
  <c r="F54" i="74"/>
  <c r="F1082" i="94" s="1"/>
  <c r="E48" i="74"/>
  <c r="E1076" i="94" s="1"/>
  <c r="E29" i="86"/>
  <c r="S29" i="74"/>
  <c r="S1057" i="94" s="1"/>
  <c r="F73" i="82"/>
  <c r="G62" i="74"/>
  <c r="G1090" i="94" s="1"/>
  <c r="K51" i="82"/>
  <c r="K46" i="82"/>
  <c r="B25" i="82" s="1"/>
  <c r="I33" i="86"/>
  <c r="B64" i="82"/>
  <c r="B64" i="74"/>
  <c r="B1092" i="94" s="1"/>
  <c r="F1080" i="94" l="1"/>
  <c r="F70" i="74"/>
  <c r="F1098" i="94" s="1"/>
  <c r="C1084" i="94"/>
  <c r="C65" i="74"/>
  <c r="C1093" i="94" s="1"/>
  <c r="C69" i="74"/>
  <c r="C1097" i="94" s="1"/>
  <c r="D1103" i="94"/>
  <c r="E75" i="74"/>
  <c r="F21" i="86"/>
  <c r="E22" i="86"/>
  <c r="G1099" i="94"/>
  <c r="H71" i="74"/>
  <c r="E50" i="86" s="1"/>
  <c r="D50" i="86"/>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1074" i="94" s="1"/>
  <c r="G52" i="74"/>
  <c r="G54" i="74"/>
  <c r="G1082" i="94" s="1"/>
  <c r="G1080" i="94" l="1"/>
  <c r="G70" i="74"/>
  <c r="G1098" i="94" s="1"/>
  <c r="D1084" i="94"/>
  <c r="D69" i="74"/>
  <c r="D1097" i="94" s="1"/>
  <c r="D65" i="74"/>
  <c r="D1093" i="94" s="1"/>
  <c r="E1103" i="94"/>
  <c r="F75" i="74"/>
  <c r="G21" i="86"/>
  <c r="F22" i="86"/>
  <c r="H1099" i="94"/>
  <c r="I71" i="74"/>
  <c r="G29" i="86"/>
  <c r="G37" i="86" s="1"/>
  <c r="G38" i="86" s="1"/>
  <c r="G40" i="86" s="1"/>
  <c r="G44" i="86" s="1"/>
  <c r="K17" i="86" s="1"/>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1074" i="94" s="1"/>
  <c r="H47" i="74"/>
  <c r="H1075" i="94" s="1"/>
  <c r="I45" i="74"/>
  <c r="H52" i="74"/>
  <c r="H54" i="74"/>
  <c r="H1082" i="94" s="1"/>
  <c r="D53" i="86"/>
  <c r="D57" i="86" s="1"/>
  <c r="D58" i="86" s="1"/>
  <c r="D60" i="86" s="1"/>
  <c r="D64" i="86" s="1"/>
  <c r="K21" i="86" s="1"/>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H1080" i="94" l="1"/>
  <c r="H70" i="74"/>
  <c r="H1098" i="94" s="1"/>
  <c r="E65" i="74"/>
  <c r="E1093" i="94" s="1"/>
  <c r="E69" i="74"/>
  <c r="E1097" i="94" s="1"/>
  <c r="F1103" i="94"/>
  <c r="G75" i="74"/>
  <c r="G1103" i="94" s="1"/>
  <c r="G22" i="86"/>
  <c r="H21" i="86"/>
  <c r="I1099" i="94"/>
  <c r="J71" i="74"/>
  <c r="F50" i="86"/>
  <c r="E64" i="82"/>
  <c r="E71" i="82" s="1"/>
  <c r="E74" i="82" s="1"/>
  <c r="E1084" i="94"/>
  <c r="E64" i="74"/>
  <c r="B76" i="82"/>
  <c r="E53" i="86"/>
  <c r="E57" i="86" s="1"/>
  <c r="E58" i="86" s="1"/>
  <c r="E60" i="86" s="1"/>
  <c r="E64" i="86" s="1"/>
  <c r="K22" i="86" s="1"/>
  <c r="H29" i="86"/>
  <c r="S32" i="74"/>
  <c r="S1060" i="94" s="1"/>
  <c r="J45" i="74"/>
  <c r="I55" i="74"/>
  <c r="I1083" i="94" s="1"/>
  <c r="I46" i="74"/>
  <c r="I1074" i="94" s="1"/>
  <c r="I47" i="74"/>
  <c r="I1075" i="94" s="1"/>
  <c r="I52" i="74"/>
  <c r="I54" i="74"/>
  <c r="I1082" i="94" s="1"/>
  <c r="D71" i="82"/>
  <c r="D74" i="82" s="1"/>
  <c r="D66" i="82"/>
  <c r="B29" i="82"/>
  <c r="G21" i="82"/>
  <c r="G51" i="74"/>
  <c r="G1079" i="94" s="1"/>
  <c r="H48" i="74"/>
  <c r="H1076" i="94" s="1"/>
  <c r="J62" i="74"/>
  <c r="J1090" i="94" s="1"/>
  <c r="I73" i="82"/>
  <c r="F56" i="74"/>
  <c r="I1080" i="94" l="1"/>
  <c r="I70" i="74"/>
  <c r="I1098" i="94" s="1"/>
  <c r="F1084" i="94"/>
  <c r="F69" i="74"/>
  <c r="F1097" i="94" s="1"/>
  <c r="F65" i="74"/>
  <c r="F1093" i="94" s="1"/>
  <c r="I21" i="86"/>
  <c r="I22" i="86" s="1"/>
  <c r="H22" i="86"/>
  <c r="J1099" i="94"/>
  <c r="K71" i="74"/>
  <c r="G50" i="86"/>
  <c r="E66" i="82"/>
  <c r="S33" i="74"/>
  <c r="S1061" i="94" s="1"/>
  <c r="E1092" i="94"/>
  <c r="I29" i="86"/>
  <c r="I37" i="86" s="1"/>
  <c r="I38" i="86" s="1"/>
  <c r="I40" i="86" s="1"/>
  <c r="I44" i="86" s="1"/>
  <c r="K19" i="86" s="1"/>
  <c r="J47" i="74"/>
  <c r="J1075" i="94" s="1"/>
  <c r="K45" i="74"/>
  <c r="J55" i="74"/>
  <c r="J1083" i="94" s="1"/>
  <c r="J46" i="74"/>
  <c r="J1074" i="94" s="1"/>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F57" i="86" s="1"/>
  <c r="F58" i="86" s="1"/>
  <c r="F60" i="86" s="1"/>
  <c r="F64" i="86" s="1"/>
  <c r="K23" i="86" s="1"/>
  <c r="J1080" i="94" l="1"/>
  <c r="J70" i="74"/>
  <c r="J1098" i="94" s="1"/>
  <c r="G1084" i="94"/>
  <c r="G69" i="74"/>
  <c r="G1097" i="94" s="1"/>
  <c r="G65" i="74"/>
  <c r="G1093" i="94" s="1"/>
  <c r="L63" i="85"/>
  <c r="C85" i="90"/>
  <c r="L93" i="85"/>
  <c r="K1099" i="94"/>
  <c r="O8" i="86"/>
  <c r="O14" i="86" s="1"/>
  <c r="O33" i="86" s="1"/>
  <c r="H63" i="86" s="1"/>
  <c r="B102" i="74"/>
  <c r="H50" i="86"/>
  <c r="I51" i="74"/>
  <c r="F66" i="82"/>
  <c r="F71" i="82"/>
  <c r="F74" i="82" s="1"/>
  <c r="G53" i="86"/>
  <c r="G57" i="86" s="1"/>
  <c r="G58" i="86" s="1"/>
  <c r="G60" i="86" s="1"/>
  <c r="G64" i="86" s="1"/>
  <c r="K24" i="86" s="1"/>
  <c r="G64" i="82"/>
  <c r="G64" i="74"/>
  <c r="G1092" i="94" s="1"/>
  <c r="J48" i="74"/>
  <c r="J1076" i="94" s="1"/>
  <c r="C49" i="86"/>
  <c r="S34" i="74"/>
  <c r="K73" i="82"/>
  <c r="B94" i="74"/>
  <c r="B1122" i="94" s="1"/>
  <c r="B77" i="74"/>
  <c r="K55" i="74"/>
  <c r="K1083" i="94" s="1"/>
  <c r="K46" i="74"/>
  <c r="K1074" i="94" s="1"/>
  <c r="K47" i="74"/>
  <c r="K1075" i="94" s="1"/>
  <c r="K52" i="74"/>
  <c r="K54" i="74"/>
  <c r="K1082" i="94" s="1"/>
  <c r="H56" i="74"/>
  <c r="K1080" i="94" l="1"/>
  <c r="K70" i="74"/>
  <c r="K1098" i="94" s="1"/>
  <c r="H1084" i="94"/>
  <c r="H69" i="74"/>
  <c r="H1097" i="94" s="1"/>
  <c r="H65" i="74"/>
  <c r="H1093" i="94" s="1"/>
  <c r="B1130" i="94"/>
  <c r="C102" i="74"/>
  <c r="F45" i="68"/>
  <c r="F424" i="94" s="1"/>
  <c r="S1062" i="94"/>
  <c r="I56" i="74"/>
  <c r="I1079" i="94"/>
  <c r="J51" i="74"/>
  <c r="C57" i="86"/>
  <c r="C58" i="86" s="1"/>
  <c r="C60" i="86" s="1"/>
  <c r="C64" i="86" s="1"/>
  <c r="K20" i="86" s="1"/>
  <c r="F75" i="82"/>
  <c r="F76" i="82" s="1"/>
  <c r="B87" i="74"/>
  <c r="B1115" i="94" s="1"/>
  <c r="B78" i="74"/>
  <c r="B1106" i="94" s="1"/>
  <c r="B79" i="74"/>
  <c r="B1107" i="94" s="1"/>
  <c r="C77" i="74"/>
  <c r="B84" i="74"/>
  <c r="B86" i="74"/>
  <c r="B1114" i="94" s="1"/>
  <c r="S35" i="74"/>
  <c r="S1063" i="94" s="1"/>
  <c r="H64" i="82"/>
  <c r="H64" i="74"/>
  <c r="H1092" i="94" s="1"/>
  <c r="H53" i="86"/>
  <c r="H57" i="86" s="1"/>
  <c r="H58" i="86" s="1"/>
  <c r="H60" i="86" s="1"/>
  <c r="H64" i="86" s="1"/>
  <c r="K25" i="86" s="1"/>
  <c r="G66" i="82"/>
  <c r="G71" i="82"/>
  <c r="G74" i="82" s="1"/>
  <c r="K48" i="74"/>
  <c r="K1076" i="94" s="1"/>
  <c r="C94" i="74"/>
  <c r="C1122" i="94" s="1"/>
  <c r="B1112" i="94" l="1"/>
  <c r="B101" i="74"/>
  <c r="B1129" i="94" s="1"/>
  <c r="I1084" i="94"/>
  <c r="I69" i="74"/>
  <c r="I1097" i="94" s="1"/>
  <c r="I65" i="74"/>
  <c r="I1093" i="94" s="1"/>
  <c r="C1130" i="94"/>
  <c r="D102" i="74"/>
  <c r="I64" i="74"/>
  <c r="I1092" i="94" s="1"/>
  <c r="L45" i="68"/>
  <c r="L424" i="94" s="1"/>
  <c r="J56" i="74"/>
  <c r="J1079" i="94"/>
  <c r="I64" i="82"/>
  <c r="I66" i="82" s="1"/>
  <c r="K51" i="74"/>
  <c r="K1079" i="94" s="1"/>
  <c r="B80" i="74"/>
  <c r="B1108" i="94" s="1"/>
  <c r="S36" i="74"/>
  <c r="S1064" i="94" s="1"/>
  <c r="D94" i="74"/>
  <c r="D1122" i="94" s="1"/>
  <c r="H66" i="82"/>
  <c r="H71" i="82"/>
  <c r="H74" i="82" s="1"/>
  <c r="C78" i="74"/>
  <c r="C1106" i="94" s="1"/>
  <c r="D77" i="74"/>
  <c r="C87" i="74"/>
  <c r="C1115" i="94" s="1"/>
  <c r="C79" i="74"/>
  <c r="C1107" i="94" s="1"/>
  <c r="C84" i="74"/>
  <c r="C86" i="74"/>
  <c r="C1114" i="94" s="1"/>
  <c r="G75" i="82"/>
  <c r="G76" i="82" s="1"/>
  <c r="C1112" i="94" l="1"/>
  <c r="C101" i="74"/>
  <c r="C1129" i="94" s="1"/>
  <c r="J1084" i="94"/>
  <c r="J65" i="74"/>
  <c r="J1093" i="94" s="1"/>
  <c r="J69" i="74"/>
  <c r="J1097" i="94" s="1"/>
  <c r="D1130" i="94"/>
  <c r="E102" i="74"/>
  <c r="I71" i="82"/>
  <c r="I74" i="82" s="1"/>
  <c r="I75" i="82" s="1"/>
  <c r="I76" i="82" s="1"/>
  <c r="J64" i="74"/>
  <c r="J1092" i="94" s="1"/>
  <c r="F85" i="92"/>
  <c r="F89" i="92" s="1"/>
  <c r="F105" i="92" s="1"/>
  <c r="S37" i="74"/>
  <c r="S1065" i="94" s="1"/>
  <c r="J64" i="82"/>
  <c r="J66" i="82" s="1"/>
  <c r="E77" i="74"/>
  <c r="D78" i="74"/>
  <c r="D1106" i="94" s="1"/>
  <c r="D79" i="74"/>
  <c r="D1107" i="94" s="1"/>
  <c r="D87" i="74"/>
  <c r="D1115" i="94" s="1"/>
  <c r="D84" i="74"/>
  <c r="D86" i="74"/>
  <c r="D1114" i="94" s="1"/>
  <c r="C80" i="74"/>
  <c r="C1108" i="94" s="1"/>
  <c r="E94" i="74"/>
  <c r="E1122" i="94" s="1"/>
  <c r="B83" i="74"/>
  <c r="B1111" i="94" s="1"/>
  <c r="H75" i="82"/>
  <c r="H76" i="82" s="1"/>
  <c r="K56" i="74"/>
  <c r="D1112" i="94" l="1"/>
  <c r="D101" i="74"/>
  <c r="D1129" i="94" s="1"/>
  <c r="K1084" i="94"/>
  <c r="K69" i="74"/>
  <c r="K1097" i="94" s="1"/>
  <c r="K65" i="74"/>
  <c r="K1093" i="94" s="1"/>
  <c r="E1130" i="94"/>
  <c r="F102" i="74"/>
  <c r="S38" i="74"/>
  <c r="S1066" i="94" s="1"/>
  <c r="J71" i="82"/>
  <c r="J74" i="82" s="1"/>
  <c r="J75" i="82" s="1"/>
  <c r="J76" i="82" s="1"/>
  <c r="C83" i="74"/>
  <c r="C1111" i="94" s="1"/>
  <c r="F94" i="74"/>
  <c r="F1122" i="94" s="1"/>
  <c r="K64" i="74"/>
  <c r="K1092" i="94" s="1"/>
  <c r="K64" i="82"/>
  <c r="D80" i="74"/>
  <c r="D1108" i="94" s="1"/>
  <c r="F77" i="74"/>
  <c r="E87" i="74"/>
  <c r="E1115" i="94" s="1"/>
  <c r="E78" i="74"/>
  <c r="E1106" i="94" s="1"/>
  <c r="E79" i="74"/>
  <c r="E1107" i="94" s="1"/>
  <c r="E84" i="74"/>
  <c r="E86" i="74"/>
  <c r="E1114" i="94" s="1"/>
  <c r="B88" i="74"/>
  <c r="E1112" i="94" l="1"/>
  <c r="E101" i="74"/>
  <c r="E1129" i="94" s="1"/>
  <c r="B96" i="74"/>
  <c r="B1124" i="94" s="1"/>
  <c r="B100" i="74"/>
  <c r="B1128" i="94" s="1"/>
  <c r="F1130" i="94"/>
  <c r="G102" i="74"/>
  <c r="B95" i="74"/>
  <c r="B1123" i="94" s="1"/>
  <c r="B1116" i="94"/>
  <c r="C88" i="74"/>
  <c r="D83" i="74"/>
  <c r="D1111" i="94" s="1"/>
  <c r="E80" i="74"/>
  <c r="E1108" i="94" s="1"/>
  <c r="K71" i="82"/>
  <c r="K74" i="82" s="1"/>
  <c r="K66" i="82"/>
  <c r="F87" i="74"/>
  <c r="F1115" i="94" s="1"/>
  <c r="G77" i="74"/>
  <c r="F79" i="74"/>
  <c r="F1107" i="94" s="1"/>
  <c r="F78" i="74"/>
  <c r="F1106" i="94" s="1"/>
  <c r="F84" i="74"/>
  <c r="F86" i="74"/>
  <c r="F1114" i="94" s="1"/>
  <c r="S39" i="74"/>
  <c r="S1067" i="94" s="1"/>
  <c r="G94" i="74"/>
  <c r="G1122" i="94" s="1"/>
  <c r="F1112" i="94" l="1"/>
  <c r="F101" i="74"/>
  <c r="F1129" i="94" s="1"/>
  <c r="C100" i="74"/>
  <c r="C1128" i="94" s="1"/>
  <c r="C96" i="74"/>
  <c r="C1124" i="94" s="1"/>
  <c r="G1130" i="94"/>
  <c r="H102" i="74"/>
  <c r="C95" i="74"/>
  <c r="C1123" i="94" s="1"/>
  <c r="C1116" i="94"/>
  <c r="E83" i="74"/>
  <c r="E1111" i="94" s="1"/>
  <c r="G78" i="74"/>
  <c r="G1106" i="94" s="1"/>
  <c r="G87" i="74"/>
  <c r="G1115" i="94" s="1"/>
  <c r="G79" i="74"/>
  <c r="G1107" i="94" s="1"/>
  <c r="H77" i="74"/>
  <c r="G84" i="74"/>
  <c r="G86" i="74"/>
  <c r="G1114" i="94" s="1"/>
  <c r="K75" i="82"/>
  <c r="K76" i="82" s="1"/>
  <c r="H94" i="74"/>
  <c r="H1122" i="94" s="1"/>
  <c r="F80" i="74"/>
  <c r="F1108" i="94" s="1"/>
  <c r="D88" i="74"/>
  <c r="G1112" i="94" l="1"/>
  <c r="G101" i="74"/>
  <c r="G1129" i="94" s="1"/>
  <c r="D96" i="74"/>
  <c r="D1124" i="94" s="1"/>
  <c r="D100" i="74"/>
  <c r="D1128" i="94" s="1"/>
  <c r="H1130" i="94"/>
  <c r="I102" i="74"/>
  <c r="D95" i="74"/>
  <c r="D1123" i="94" s="1"/>
  <c r="D1116" i="94"/>
  <c r="E88" i="74"/>
  <c r="F83" i="74"/>
  <c r="F1111" i="94" s="1"/>
  <c r="H87" i="74"/>
  <c r="H1115" i="94" s="1"/>
  <c r="H79" i="74"/>
  <c r="H1107" i="94" s="1"/>
  <c r="H78" i="74"/>
  <c r="H1106" i="94" s="1"/>
  <c r="I77" i="74"/>
  <c r="H84" i="74"/>
  <c r="H86" i="74"/>
  <c r="H1114" i="94" s="1"/>
  <c r="G80" i="74"/>
  <c r="G1108" i="94" s="1"/>
  <c r="I94" i="74"/>
  <c r="I1122" i="94" s="1"/>
  <c r="H1112" i="94" l="1"/>
  <c r="H101" i="74"/>
  <c r="H1129" i="94" s="1"/>
  <c r="E96" i="74"/>
  <c r="E1124" i="94" s="1"/>
  <c r="E100" i="74"/>
  <c r="E1128" i="94" s="1"/>
  <c r="I1130" i="94"/>
  <c r="J102" i="74"/>
  <c r="E95" i="74"/>
  <c r="E1123" i="94" s="1"/>
  <c r="E1116" i="94"/>
  <c r="F88" i="74"/>
  <c r="G83" i="74"/>
  <c r="G1111" i="94" s="1"/>
  <c r="I87" i="74"/>
  <c r="I1115" i="94" s="1"/>
  <c r="I78" i="74"/>
  <c r="I1106" i="94" s="1"/>
  <c r="J77" i="74"/>
  <c r="I79" i="74"/>
  <c r="I1107" i="94" s="1"/>
  <c r="I84" i="74"/>
  <c r="I86" i="74"/>
  <c r="I1114" i="94" s="1"/>
  <c r="H80" i="74"/>
  <c r="H1108" i="94" s="1"/>
  <c r="J94" i="74"/>
  <c r="J1122" i="94" s="1"/>
  <c r="I1112" i="94" l="1"/>
  <c r="I101" i="74"/>
  <c r="I1129" i="94" s="1"/>
  <c r="F100" i="74"/>
  <c r="F1128" i="94" s="1"/>
  <c r="F96" i="74"/>
  <c r="F1124" i="94" s="1"/>
  <c r="J1130" i="94"/>
  <c r="K102" i="74"/>
  <c r="F95" i="74"/>
  <c r="F1123" i="94" s="1"/>
  <c r="F1116" i="94"/>
  <c r="J79" i="74"/>
  <c r="J1107" i="94" s="1"/>
  <c r="K77" i="74"/>
  <c r="J78" i="74"/>
  <c r="J1106" i="94" s="1"/>
  <c r="J87" i="74"/>
  <c r="J1115" i="94" s="1"/>
  <c r="J84" i="74"/>
  <c r="J86" i="74"/>
  <c r="J1114" i="94" s="1"/>
  <c r="I80" i="74"/>
  <c r="I1108" i="94" s="1"/>
  <c r="K94" i="74"/>
  <c r="K1122" i="94" s="1"/>
  <c r="G88" i="74"/>
  <c r="H83" i="74"/>
  <c r="H1111" i="94" s="1"/>
  <c r="J1112" i="94" l="1"/>
  <c r="J101" i="74"/>
  <c r="J1129" i="94" s="1"/>
  <c r="G96" i="74"/>
  <c r="G1124" i="94" s="1"/>
  <c r="G100" i="74"/>
  <c r="G1128" i="94" s="1"/>
  <c r="K1130" i="94"/>
  <c r="B132" i="74"/>
  <c r="G95" i="74"/>
  <c r="G1123" i="94" s="1"/>
  <c r="G1116" i="94"/>
  <c r="H88" i="74"/>
  <c r="J80" i="74"/>
  <c r="J1108" i="94" s="1"/>
  <c r="B124" i="74"/>
  <c r="B1152" i="94" s="1"/>
  <c r="K79" i="74"/>
  <c r="K1107" i="94" s="1"/>
  <c r="B107" i="74"/>
  <c r="K87" i="74"/>
  <c r="K1115" i="94" s="1"/>
  <c r="K78" i="74"/>
  <c r="K1106" i="94" s="1"/>
  <c r="K84" i="74"/>
  <c r="K86" i="74"/>
  <c r="K1114" i="94" s="1"/>
  <c r="I83" i="74"/>
  <c r="I1111" i="94" s="1"/>
  <c r="K1112" i="94" l="1"/>
  <c r="K101" i="74"/>
  <c r="K1129" i="94" s="1"/>
  <c r="H96" i="74"/>
  <c r="H1124" i="94" s="1"/>
  <c r="H100" i="74"/>
  <c r="H1128" i="94" s="1"/>
  <c r="B1160" i="94"/>
  <c r="C132" i="74"/>
  <c r="H95" i="74"/>
  <c r="H1123" i="94" s="1"/>
  <c r="H1116" i="94"/>
  <c r="J83" i="74"/>
  <c r="K80" i="74"/>
  <c r="K1108" i="94" s="1"/>
  <c r="C124" i="74"/>
  <c r="C1152" i="94" s="1"/>
  <c r="I88" i="74"/>
  <c r="B108" i="74"/>
  <c r="B1136" i="94" s="1"/>
  <c r="C107" i="74"/>
  <c r="B109" i="74"/>
  <c r="B1137" i="94" s="1"/>
  <c r="B117" i="74"/>
  <c r="B1145" i="94" s="1"/>
  <c r="B114" i="74"/>
  <c r="B116" i="74"/>
  <c r="B1144" i="94" s="1"/>
  <c r="B1142" i="94" l="1"/>
  <c r="B131" i="74"/>
  <c r="B1159" i="94" s="1"/>
  <c r="I96" i="74"/>
  <c r="I1124" i="94" s="1"/>
  <c r="I100" i="74"/>
  <c r="I1128" i="94" s="1"/>
  <c r="C1160" i="94"/>
  <c r="D132" i="74"/>
  <c r="I95" i="74"/>
  <c r="I1123" i="94" s="1"/>
  <c r="I1116" i="94"/>
  <c r="J88" i="74"/>
  <c r="J1111" i="94"/>
  <c r="K83" i="74"/>
  <c r="D107" i="74"/>
  <c r="C108" i="74"/>
  <c r="C1136" i="94" s="1"/>
  <c r="C117" i="74"/>
  <c r="C1145" i="94" s="1"/>
  <c r="C109" i="74"/>
  <c r="C1137" i="94" s="1"/>
  <c r="C114" i="74"/>
  <c r="C116" i="74"/>
  <c r="C1144" i="94" s="1"/>
  <c r="D124" i="74"/>
  <c r="D1152" i="94" s="1"/>
  <c r="B110" i="74"/>
  <c r="B1138" i="94" s="1"/>
  <c r="C1142" i="94" l="1"/>
  <c r="C131" i="74"/>
  <c r="C1159" i="94" s="1"/>
  <c r="J96" i="74"/>
  <c r="J1124" i="94" s="1"/>
  <c r="J100" i="74"/>
  <c r="J1128" i="94" s="1"/>
  <c r="D1160" i="94"/>
  <c r="E132" i="74"/>
  <c r="K88" i="74"/>
  <c r="K1111" i="94"/>
  <c r="J95" i="74"/>
  <c r="J1123" i="94" s="1"/>
  <c r="J1116" i="94"/>
  <c r="B113" i="74"/>
  <c r="B1141" i="94" s="1"/>
  <c r="C110" i="74"/>
  <c r="C1138" i="94" s="1"/>
  <c r="E124" i="74"/>
  <c r="E1152" i="94" s="1"/>
  <c r="D117" i="74"/>
  <c r="D1145" i="94" s="1"/>
  <c r="D108" i="74"/>
  <c r="D1136" i="94" s="1"/>
  <c r="E107" i="74"/>
  <c r="D109" i="74"/>
  <c r="D1137" i="94" s="1"/>
  <c r="D114" i="74"/>
  <c r="D116" i="74"/>
  <c r="D1144" i="94" s="1"/>
  <c r="D1142" i="94" l="1"/>
  <c r="D131" i="74"/>
  <c r="D1159" i="94" s="1"/>
  <c r="K96" i="74"/>
  <c r="K1124" i="94" s="1"/>
  <c r="K100" i="74"/>
  <c r="K1128" i="94" s="1"/>
  <c r="E1160" i="94"/>
  <c r="F132" i="74"/>
  <c r="F1160" i="94" s="1"/>
  <c r="K95" i="74"/>
  <c r="K1123" i="94" s="1"/>
  <c r="K1116" i="94"/>
  <c r="B118" i="74"/>
  <c r="C113" i="74"/>
  <c r="C1141" i="94" s="1"/>
  <c r="F124" i="74"/>
  <c r="F1152" i="94" s="1"/>
  <c r="F107" i="74"/>
  <c r="E108" i="74"/>
  <c r="E1136" i="94" s="1"/>
  <c r="E117" i="74"/>
  <c r="E1145" i="94" s="1"/>
  <c r="E109" i="74"/>
  <c r="E1137" i="94" s="1"/>
  <c r="E114" i="74"/>
  <c r="E116" i="74"/>
  <c r="E1144" i="94" s="1"/>
  <c r="D110" i="74"/>
  <c r="D1138" i="94" s="1"/>
  <c r="E1142" i="94" l="1"/>
  <c r="E131" i="74"/>
  <c r="E1159" i="94" s="1"/>
  <c r="B126" i="74"/>
  <c r="B1154" i="94" s="1"/>
  <c r="B130" i="74"/>
  <c r="B1158" i="94" s="1"/>
  <c r="B125" i="74"/>
  <c r="B1153" i="94" s="1"/>
  <c r="B1146" i="94"/>
  <c r="C118" i="74"/>
  <c r="E110" i="74"/>
  <c r="E1138" i="94" s="1"/>
  <c r="F117" i="74"/>
  <c r="F1145" i="94" s="1"/>
  <c r="F109" i="74"/>
  <c r="F1137" i="94" s="1"/>
  <c r="F108" i="74"/>
  <c r="F1136" i="94" s="1"/>
  <c r="F114" i="74"/>
  <c r="F116" i="74"/>
  <c r="F1144" i="94" s="1"/>
  <c r="D113" i="74"/>
  <c r="D1141" i="94" s="1"/>
  <c r="F1142" i="94" l="1"/>
  <c r="F131" i="74"/>
  <c r="F1159" i="94" s="1"/>
  <c r="C130" i="74"/>
  <c r="C1158" i="94" s="1"/>
  <c r="C126" i="74"/>
  <c r="C1154" i="94" s="1"/>
  <c r="C125" i="74"/>
  <c r="C1153" i="94" s="1"/>
  <c r="C1146" i="94"/>
  <c r="E113" i="74"/>
  <c r="E1141" i="94" s="1"/>
  <c r="F110" i="74"/>
  <c r="F1138" i="94" s="1"/>
  <c r="D118" i="74"/>
  <c r="D130" i="74" l="1"/>
  <c r="D1158" i="94" s="1"/>
  <c r="D126" i="74"/>
  <c r="D1154" i="94" s="1"/>
  <c r="D125" i="74"/>
  <c r="D1153" i="94" s="1"/>
  <c r="D1146" i="94"/>
  <c r="E118" i="74"/>
  <c r="F113" i="74"/>
  <c r="F1141" i="94" s="1"/>
  <c r="E126" i="74" l="1"/>
  <c r="E1154" i="94" s="1"/>
  <c r="E130" i="74"/>
  <c r="E1158" i="94" s="1"/>
  <c r="E125" i="74"/>
  <c r="E1153" i="94" s="1"/>
  <c r="E1146" i="94"/>
  <c r="F118" i="74"/>
  <c r="F130" i="74" l="1"/>
  <c r="F1158" i="94" s="1"/>
  <c r="F126" i="74"/>
  <c r="F1154"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O312" i="72"/>
  <c r="E20" i="72" s="1"/>
  <c r="E1675" i="94" s="1"/>
  <c r="E1674" i="94"/>
  <c r="O1956" i="94"/>
  <c r="P312" i="72"/>
  <c r="P1971" i="94" s="1"/>
  <c r="P1956" i="94"/>
  <c r="P2098" i="94" l="1"/>
  <c r="P1661" i="94" s="1"/>
  <c r="O1971" i="94"/>
  <c r="O2098" i="94" s="1"/>
  <c r="O1661" i="94" s="1"/>
  <c r="O439" i="72"/>
  <c r="O6" i="72" s="1"/>
  <c r="P439" i="72"/>
  <c r="P2101" i="94" l="1"/>
  <c r="P442" i="72"/>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<sst xmlns="http://schemas.openxmlformats.org/spreadsheetml/2006/main" count="19391" uniqueCount="7166">
  <si>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</si>
  <si>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</si>
  <si>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</si>
  <si>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</si>
  <si>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</si>
  <si>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</si>
  <si>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</si>
  <si>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</si>
  <si>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</si>
  <si>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</si>
  <si>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</si>
  <si>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</si>
  <si>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</si>
  <si>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</si>
  <si>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</si>
  <si>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</si>
  <si>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</si>
  <si>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</si>
  <si>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</si>
  <si>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</si>
  <si>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</si>
  <si>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</si>
  <si>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</si>
  <si>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</si>
  <si>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</si>
  <si>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</si>
  <si>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</si>
  <si>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</si>
  <si>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</si>
  <si>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</si>
  <si>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</si>
  <si>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</si>
  <si>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</si>
  <si>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</si>
  <si>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</si>
  <si>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</si>
  <si>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</si>
  <si>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</si>
  <si>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</si>
  <si>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</si>
  <si>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</si>
  <si>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</si>
  <si>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</si>
  <si>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</si>
  <si>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</si>
  <si>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</si>
  <si>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</si>
  <si>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</si>
  <si>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</si>
  <si>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</si>
  <si>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</si>
  <si>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</si>
  <si>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</si>
  <si>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</si>
  <si>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</si>
  <si>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</si>
  <si>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</si>
  <si>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</si>
  <si>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</si>
  <si>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</si>
  <si>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</si>
  <si>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</si>
  <si>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</si>
  <si>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</si>
  <si>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</si>
  <si>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</si>
  <si>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</si>
  <si>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</si>
  <si>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</si>
  <si>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</si>
  <si>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</si>
  <si>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</si>
  <si>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</si>
  <si>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</si>
  <si>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</si>
  <si>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</si>
  <si>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</si>
  <si>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</si>
  <si>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</si>
  <si>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</si>
  <si>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</si>
  <si>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</si>
  <si>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</si>
  <si>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</si>
  <si>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</si>
  <si>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</si>
  <si>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</si>
  <si>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</si>
  <si>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</si>
  <si>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</si>
  <si>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</si>
  <si>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</si>
  <si>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</si>
  <si>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</si>
  <si>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</si>
  <si>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</si>
  <si>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</si>
  <si>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</si>
  <si>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</si>
  <si>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</si>
  <si>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</si>
  <si>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</si>
  <si>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</si>
  <si>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</si>
  <si>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</si>
  <si>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</si>
  <si>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</si>
  <si>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</si>
  <si>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</si>
  <si>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</si>
  <si>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</si>
  <si>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</si>
  <si>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</si>
  <si>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</si>
  <si>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</si>
  <si>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</si>
  <si>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</si>
  <si>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</si>
  <si>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</si>
  <si>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</si>
  <si>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</si>
  <si>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</si>
  <si>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</si>
  <si>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</si>
  <si>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</si>
  <si>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</si>
  <si>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</si>
  <si>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</si>
  <si>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</si>
  <si>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</si>
  <si>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</si>
  <si>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</si>
  <si>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</si>
  <si>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</si>
  <si>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</si>
  <si>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</si>
  <si>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</si>
  <si>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</si>
  <si>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</si>
  <si>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</si>
  <si>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</si>
  <si>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</si>
  <si>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</si>
  <si>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</si>
  <si>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</si>
  <si>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</si>
  <si>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</si>
  <si>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</si>
  <si>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</si>
  <si>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</si>
  <si>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</si>
  <si>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</si>
  <si>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</si>
  <si>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</si>
  <si>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</si>
  <si>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</si>
  <si>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</si>
  <si>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</si>
  <si>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</si>
  <si>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</si>
  <si>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</si>
  <si>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</si>
  <si>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</si>
  <si>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</si>
  <si>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</si>
  <si>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</si>
  <si>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</si>
  <si>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</si>
  <si>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</si>
  <si>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</si>
  <si>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</si>
  <si>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</si>
  <si>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</si>
  <si>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</si>
  <si>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</si>
  <si>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</si>
  <si>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</si>
  <si>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</si>
  <si>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</si>
  <si>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</si>
  <si>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</si>
  <si>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</si>
  <si>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</si>
  <si>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</si>
  <si>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</si>
  <si>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</si>
  <si>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</si>
  <si>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</si>
  <si>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</si>
  <si>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</si>
  <si>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</si>
  <si>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</si>
  <si>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</si>
  <si>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</si>
  <si>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</si>
  <si>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</si>
  <si>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</si>
  <si>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</si>
  <si>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</si>
  <si>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</si>
  <si>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</si>
  <si>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</si>
  <si>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</si>
  <si>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</si>
  <si>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</si>
  <si>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</si>
  <si>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</si>
  <si>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</si>
  <si>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</si>
  <si>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</si>
  <si>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</si>
  <si>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</si>
  <si>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</si>
  <si>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</si>
  <si>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</si>
  <si>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</si>
  <si>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</si>
  <si>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</si>
  <si>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</si>
  <si>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</si>
  <si>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</si>
  <si>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</si>
  <si>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</si>
  <si>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</si>
  <si>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</si>
  <si>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</si>
  <si>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</si>
  <si>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</si>
  <si>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</si>
  <si>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</si>
  <si>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</si>
  <si>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</si>
  <si>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</si>
  <si>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</si>
  <si>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</si>
  <si>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</si>
  <si>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</si>
  <si>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</si>
  <si>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</si>
  <si>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</si>
  <si>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</si>
  <si>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</si>
  <si>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</si>
  <si>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</si>
  <si>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</si>
  <si>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</si>
  <si>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</si>
  <si>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</si>
  <si>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</si>
  <si>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</si>
  <si>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</si>
  <si>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</si>
  <si>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</si>
  <si>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</si>
  <si>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</si>
  <si>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</si>
  <si>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</si>
  <si>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</si>
  <si>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</si>
  <si>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</si>
  <si>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</si>
  <si>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</si>
  <si>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</si>
  <si>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</si>
  <si>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</si>
  <si>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</si>
  <si>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</si>
  <si>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</si>
  <si>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</si>
  <si>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</si>
  <si>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</si>
  <si>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</si>
  <si>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</si>
  <si>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</si>
  <si>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</si>
  <si>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</si>
  <si>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</si>
  <si>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</si>
  <si>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</si>
  <si>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</si>
  <si>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</si>
  <si>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</si>
  <si>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</si>
  <si>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</si>
  <si>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</si>
  <si>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</si>
  <si>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</si>
  <si>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</si>
  <si>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</si>
  <si>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</si>
  <si>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</si>
  <si>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</si>
  <si>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</si>
  <si>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</si>
  <si>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</si>
  <si>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</si>
  <si>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</si>
  <si>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</si>
  <si>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</si>
  <si>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</si>
  <si>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</si>
  <si>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</si>
  <si>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</si>
  <si>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</si>
  <si>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</si>
  <si>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</si>
  <si>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</si>
  <si>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</si>
  <si>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</si>
  <si>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</si>
  <si>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</si>
  <si>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</si>
  <si>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</si>
  <si>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</si>
  <si>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</si>
  <si>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</si>
  <si>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</si>
  <si>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</si>
  <si>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</si>
  <si>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</si>
  <si>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</si>
  <si>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</si>
  <si>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</si>
  <si>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</si>
  <si>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</si>
  <si>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</si>
  <si>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</si>
  <si>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</si>
  <si>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</si>
  <si>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</si>
  <si>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</si>
  <si>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</si>
  <si>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</si>
  <si>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</si>
  <si>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</si>
  <si>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</si>
  <si>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</si>
  <si>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</si>
  <si>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</si>
  <si>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</si>
  <si>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</si>
  <si>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</si>
  <si>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</si>
  <si>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</si>
  <si>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</si>
  <si>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</si>
  <si>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</si>
  <si>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</si>
  <si>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</si>
  <si>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</si>
  <si>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</si>
  <si>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</si>
  <si>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</si>
  <si>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</si>
  <si>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</si>
  <si>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</si>
  <si>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</si>
  <si>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</si>
  <si>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</si>
  <si>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</si>
  <si>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</si>
  <si>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</si>
  <si>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</si>
  <si>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</si>
  <si>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</si>
  <si>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</si>
  <si>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</si>
  <si>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</si>
  <si>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</si>
  <si>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</si>
  <si>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</si>
  <si>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</si>
  <si>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</si>
  <si>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</si>
  <si>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</si>
  <si>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</si>
  <si>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</si>
  <si>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</si>
  <si>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</si>
  <si>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</si>
  <si>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</si>
  <si>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</si>
  <si>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</si>
  <si>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</si>
  <si>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</si>
  <si>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</si>
  <si>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</si>
  <si>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</si>
  <si>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</si>
  <si>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</si>
  <si>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</si>
  <si>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</si>
  <si>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</si>
  <si>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</si>
  <si>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</si>
  <si>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</si>
  <si>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</si>
  <si>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</si>
  <si>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</si>
  <si>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</si>
  <si>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</si>
  <si>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</si>
  <si>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</si>
  <si>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</si>
  <si>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</si>
  <si>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</si>
  <si>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</si>
  <si>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</si>
  <si>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</si>
  <si>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</si>
  <si>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</si>
  <si>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</si>
  <si>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</si>
  <si>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</si>
  <si>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</si>
  <si>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</si>
  <si>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</si>
  <si>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</si>
  <si>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</si>
  <si>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</si>
  <si>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</si>
  <si>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</si>
  <si>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</si>
  <si>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</si>
  <si>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</si>
  <si>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</si>
  <si>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</si>
  <si>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</si>
  <si>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</si>
  <si>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</si>
  <si>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</si>
  <si>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</si>
  <si>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</si>
  <si>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</si>
  <si>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</si>
  <si>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</si>
  <si>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</si>
  <si>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</si>
  <si>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</si>
  <si>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</si>
  <si>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</si>
  <si>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</si>
  <si>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</si>
  <si>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</si>
  <si>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</si>
  <si>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</si>
  <si>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</si>
  <si>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</si>
  <si>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</si>
  <si>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</si>
  <si>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</si>
  <si>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</si>
  <si>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</si>
  <si>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</si>
  <si>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</si>
  <si>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</si>
  <si>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</si>
  <si>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</si>
  <si>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</si>
  <si>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</si>
  <si>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</si>
  <si>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</si>
  <si>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</si>
  <si>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</si>
  <si>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</si>
  <si>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</si>
  <si>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</si>
  <si>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</si>
  <si>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</si>
  <si>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</si>
  <si>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</si>
  <si>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</si>
  <si>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</si>
  <si>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</si>
  <si>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</si>
  <si>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</si>
  <si>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</si>
  <si>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</si>
  <si>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</si>
  <si>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</si>
  <si>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</si>
  <si>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</si>
  <si>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</si>
  <si>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</si>
  <si>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</si>
  <si>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</si>
  <si>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</si>
  <si>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</si>
  <si>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</si>
  <si>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</si>
  <si>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</si>
  <si>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</si>
  <si>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</si>
  <si>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</si>
  <si>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</si>
  <si>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</si>
  <si>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</si>
  <si>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</si>
  <si>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</si>
  <si>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</si>
  <si>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</si>
  <si>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</si>
  <si>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</si>
  <si>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</si>
  <si>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</si>
  <si>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</si>
  <si>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</si>
  <si>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</si>
  <si>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</si>
  <si>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</si>
  <si>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</si>
  <si>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</si>
  <si>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</si>
  <si>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</si>
  <si>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</si>
  <si>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</si>
  <si>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</si>
  <si>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</si>
  <si>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</si>
  <si>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</si>
  <si>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</si>
  <si>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</si>
  <si>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</si>
  <si>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</si>
  <si>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</si>
  <si>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</si>
  <si>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</si>
  <si>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</si>
  <si>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</si>
  <si>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</si>
  <si>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</si>
  <si>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</si>
  <si>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</si>
  <si>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</si>
  <si>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</si>
  <si>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</si>
  <si>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</si>
  <si>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</si>
  <si>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</si>
  <si>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</si>
  <si>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</si>
  <si>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</si>
  <si>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</si>
  <si>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</si>
  <si>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</si>
  <si>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</si>
  <si>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</si>
  <si>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</si>
  <si>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</si>
  <si>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</si>
  <si>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</si>
  <si>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</si>
  <si>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</si>
  <si>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</si>
  <si>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</si>
  <si>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</si>
  <si>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</si>
  <si>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</si>
  <si>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</si>
  <si>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</si>
  <si>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</si>
  <si>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</si>
  <si>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</si>
  <si>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</si>
  <si>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</si>
  <si>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</si>
  <si>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</si>
  <si>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</si>
  <si>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</si>
  <si>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</si>
  <si>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</si>
  <si>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</si>
  <si>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</si>
  <si>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</si>
  <si>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</si>
  <si>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</si>
  <si>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</si>
  <si>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</si>
  <si>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</si>
  <si>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</si>
  <si>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</si>
  <si>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</si>
  <si>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</si>
  <si>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</si>
  <si>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</si>
  <si>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</si>
  <si>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</si>
  <si>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</si>
  <si>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</si>
  <si>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</si>
  <si>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</si>
  <si>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</si>
  <si>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</si>
  <si>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</si>
  <si>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</si>
  <si>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</si>
  <si>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</si>
  <si>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</si>
  <si>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</si>
  <si>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</si>
  <si>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</si>
  <si>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</si>
  <si>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</si>
  <si>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</si>
  <si>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</si>
  <si>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</si>
  <si>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</si>
  <si>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</si>
  <si>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</si>
  <si>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</si>
  <si>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</si>
  <si>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</si>
  <si>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</si>
  <si>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</si>
  <si>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</si>
  <si>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</si>
  <si>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</si>
  <si>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</si>
  <si>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</si>
  <si>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</si>
  <si>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</si>
  <si>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</si>
  <si>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</si>
  <si>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</si>
  <si>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</si>
  <si>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</si>
  <si>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</si>
  <si>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</si>
  <si>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</si>
  <si>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</si>
  <si>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</si>
  <si>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</si>
  <si>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</si>
  <si>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</si>
  <si>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</si>
  <si>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</si>
  <si>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</si>
  <si>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</si>
  <si>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</si>
  <si>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</si>
  <si>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</si>
  <si>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</si>
  <si>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</si>
  <si>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</si>
  <si>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</si>
  <si>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</si>
  <si>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</si>
  <si>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</si>
  <si>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</si>
  <si>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</si>
  <si>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</si>
  <si>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</si>
  <si>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</si>
  <si>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</si>
  <si>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</si>
  <si>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</si>
  <si>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</si>
  <si>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</si>
  <si>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</si>
  <si>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</si>
  <si>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</si>
  <si>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</si>
  <si>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</si>
  <si>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</si>
  <si>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</si>
  <si>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</si>
  <si>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</si>
  <si>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</si>
  <si>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</si>
  <si>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</si>
  <si>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</si>
  <si>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</si>
  <si>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</si>
  <si>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</si>
  <si>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</si>
  <si>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</si>
  <si>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</si>
  <si>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</si>
  <si>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</si>
  <si>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</si>
  <si>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</si>
  <si>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</si>
  <si>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</si>
  <si>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</si>
  <si>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</si>
  <si>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</si>
  <si>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</si>
  <si>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</si>
  <si>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</si>
  <si>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</si>
  <si>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</si>
  <si>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</si>
  <si>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</si>
  <si>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</si>
  <si>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</si>
  <si>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</si>
  <si>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</si>
  <si>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</si>
  <si>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</si>
  <si>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</si>
  <si>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</si>
  <si>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</si>
  <si>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</si>
  <si>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</si>
  <si>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</si>
  <si>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</si>
  <si>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</si>
  <si>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</si>
  <si>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</si>
  <si>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</si>
  <si>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</si>
  <si>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</si>
  <si>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</si>
  <si>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</si>
  <si>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</si>
  <si>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</si>
  <si>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</si>
  <si>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</si>
  <si>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</si>
  <si>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</si>
  <si>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</si>
  <si>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</si>
  <si>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</si>
  <si>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</si>
  <si>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</si>
  <si>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</si>
  <si>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</si>
  <si>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</si>
  <si>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</si>
  <si>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</si>
  <si>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</si>
  <si>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</si>
  <si>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</si>
  <si>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</si>
  <si>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</si>
  <si>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</si>
  <si>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</si>
  <si>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</si>
  <si>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</si>
  <si>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</si>
  <si>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</si>
  <si>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</si>
  <si>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</si>
  <si>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</si>
  <si>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</si>
  <si>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</si>
  <si>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</si>
  <si>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</si>
  <si>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</si>
  <si>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</si>
  <si>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</si>
  <si>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</si>
  <si>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</si>
  <si>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</si>
  <si>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</si>
  <si>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</si>
  <si>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</si>
  <si>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</si>
  <si>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</si>
  <si>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</si>
  <si>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</si>
  <si>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</si>
  <si>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</si>
  <si>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</si>
  <si>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</si>
  <si>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</si>
  <si>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</si>
  <si>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</si>
  <si>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</si>
  <si>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</si>
  <si>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</si>
  <si>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</si>
  <si>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</si>
  <si>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</si>
  <si>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</si>
  <si>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</si>
  <si>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</si>
  <si>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</si>
  <si>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</si>
  <si>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</si>
  <si>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</si>
  <si>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</si>
  <si>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</si>
  <si>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</si>
  <si>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</si>
  <si>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</si>
  <si>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</si>
  <si>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</si>
  <si>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</si>
  <si>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</si>
  <si>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</si>
  <si>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</si>
  <si>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</si>
  <si>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</si>
  <si>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</si>
  <si>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</si>
  <si>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</si>
  <si>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</si>
  <si>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</si>
  <si>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</si>
  <si>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</si>
  <si>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</si>
  <si>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</si>
  <si>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</si>
  <si>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</si>
  <si>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</si>
  <si>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</si>
  <si>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</si>
  <si>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</si>
  <si>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</si>
  <si>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</si>
  <si>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</si>
  <si>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</si>
  <si>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</si>
  <si>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</si>
  <si>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</si>
  <si>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</si>
  <si>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</si>
  <si>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</si>
  <si>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</si>
  <si>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</si>
  <si>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</si>
  <si>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</si>
  <si>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</si>
  <si>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</si>
  <si>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</si>
  <si>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</si>
  <si>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</si>
  <si>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</si>
  <si>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</si>
  <si>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</si>
  <si>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</si>
  <si>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</si>
  <si>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</si>
  <si>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</si>
  <si>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</si>
  <si>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</si>
  <si>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</si>
  <si>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</si>
  <si>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</si>
  <si>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</si>
  <si>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</si>
  <si>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</si>
  <si>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</si>
  <si>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</si>
  <si>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</si>
  <si>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</si>
  <si>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</si>
  <si>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</si>
  <si>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</si>
  <si>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</si>
  <si>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</si>
  <si>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</si>
  <si>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</si>
  <si>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</si>
  <si>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</si>
  <si>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</si>
  <si>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</si>
  <si>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</si>
  <si>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</si>
  <si>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</si>
  <si>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</si>
  <si>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</si>
  <si>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</si>
  <si>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</si>
  <si>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</si>
  <si>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</si>
  <si>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</si>
  <si>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</si>
  <si>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</si>
  <si>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</si>
  <si>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</si>
  <si>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</si>
  <si>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</si>
  <si>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</si>
  <si>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</si>
  <si>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</si>
  <si>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</si>
  <si>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</si>
  <si>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</si>
  <si>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</si>
  <si>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</si>
  <si>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</si>
  <si>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</si>
  <si>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</si>
  <si>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</si>
  <si>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</si>
  <si>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</si>
  <si>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</si>
  <si>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</si>
  <si>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</si>
  <si>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</si>
  <si>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</si>
  <si>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</si>
  <si>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</si>
  <si>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</si>
  <si>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</si>
  <si>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</si>
  <si>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</si>
  <si>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</si>
  <si>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</si>
  <si>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</si>
  <si>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</si>
  <si>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</si>
  <si>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</si>
  <si>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</si>
  <si>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</si>
  <si>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</si>
  <si>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</si>
  <si>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</si>
  <si>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</si>
  <si>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</si>
  <si>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</si>
  <si>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</si>
  <si>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</si>
  <si>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</si>
  <si>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</si>
  <si>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</si>
  <si>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</si>
  <si>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</si>
  <si>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</si>
  <si>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</si>
  <si>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</si>
  <si>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</si>
  <si>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</si>
  <si>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</si>
  <si>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</si>
  <si>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</si>
  <si>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</si>
  <si>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</si>
  <si>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</si>
  <si>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</si>
  <si>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</si>
  <si>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</si>
  <si>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</si>
  <si>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</si>
  <si>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</si>
  <si>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</si>
  <si>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</si>
  <si>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</si>
  <si>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</si>
  <si>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</si>
  <si>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</si>
  <si>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</si>
  <si>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</si>
  <si>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</si>
  <si>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</si>
  <si>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</si>
  <si>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</si>
  <si>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</si>
  <si>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</si>
  <si>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</si>
  <si>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</si>
  <si>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</si>
  <si>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</si>
  <si>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</si>
  <si>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</si>
  <si>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</si>
  <si>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</si>
  <si>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</si>
  <si>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</si>
  <si>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</si>
  <si>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</si>
  <si>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</si>
  <si>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</si>
  <si>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</si>
  <si>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</si>
  <si>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</si>
  <si>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</si>
  <si>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</si>
  <si>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</si>
  <si>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</si>
  <si>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</si>
  <si>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</si>
  <si>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</si>
  <si>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</si>
  <si>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</si>
  <si>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</si>
  <si>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</si>
  <si>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</si>
  <si>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</si>
  <si>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</si>
  <si>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</si>
  <si>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</si>
  <si>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</si>
  <si>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</si>
  <si>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</si>
  <si>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</si>
  <si>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</si>
  <si>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</si>
  <si>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</si>
  <si>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</si>
  <si>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</si>
  <si>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</si>
  <si>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</si>
  <si>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</si>
  <si>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</si>
  <si>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</si>
  <si>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</si>
  <si>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</si>
  <si>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</si>
  <si>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</si>
  <si>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</si>
  <si>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</si>
  <si>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</si>
  <si>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</si>
  <si>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</si>
  <si>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</si>
  <si>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</si>
  <si>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</si>
  <si>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</si>
  <si>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</si>
  <si>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</si>
  <si>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</si>
  <si>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</si>
  <si>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</si>
  <si>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</si>
  <si>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</si>
  <si>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</si>
  <si>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</si>
  <si>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</si>
  <si>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</si>
  <si>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</si>
  <si>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</si>
  <si>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</si>
  <si>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</si>
  <si>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</si>
  <si>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</si>
  <si>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</si>
  <si>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</si>
  <si>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</si>
  <si>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</si>
  <si>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</si>
  <si>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</si>
  <si>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</si>
  <si>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</si>
  <si>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</si>
  <si>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</si>
  <si>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</si>
  <si>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</si>
  <si>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</si>
  <si>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</si>
  <si>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</si>
  <si>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</si>
  <si>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</si>
  <si>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</si>
  <si>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</si>
  <si>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</si>
  <si>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</si>
  <si>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</si>
  <si>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</si>
  <si>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</si>
  <si>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</si>
  <si>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</si>
  <si>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</si>
  <si>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</si>
  <si>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</si>
  <si>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</si>
  <si>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</si>
  <si>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</si>
  <si>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</si>
  <si>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</si>
  <si>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</si>
  <si>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</si>
  <si>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</si>
  <si>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</si>
  <si>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</si>
  <si>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</si>
  <si>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</si>
  <si>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</si>
  <si>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</si>
  <si>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</si>
  <si>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</si>
  <si>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</si>
  <si>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</si>
  <si>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</si>
  <si>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</si>
  <si>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</si>
  <si>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</si>
  <si>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</si>
  <si>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</si>
  <si>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</si>
  <si>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</si>
  <si>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</si>
  <si>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</si>
  <si>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</si>
  <si>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</si>
  <si>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</si>
  <si>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</si>
  <si>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</si>
  <si>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</si>
  <si>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</si>
  <si>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</si>
  <si>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</si>
  <si>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</si>
  <si>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</si>
  <si>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</si>
  <si>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</si>
  <si>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</si>
  <si>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</si>
  <si>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</si>
  <si>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</si>
  <si>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</si>
  <si>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</si>
  <si>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</si>
  <si>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</si>
  <si>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</si>
  <si>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</si>
  <si>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</si>
  <si>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</si>
  <si>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</si>
  <si>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</si>
  <si>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</si>
  <si>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</si>
  <si>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</si>
  <si>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</si>
  <si>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</si>
  <si>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</si>
  <si>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</si>
  <si>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</si>
  <si>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</si>
  <si>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</si>
  <si>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</si>
  <si>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</si>
  <si>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</si>
  <si>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</si>
  <si>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</si>
  <si>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</si>
  <si>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</si>
  <si>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</si>
  <si>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</si>
  <si>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</si>
  <si>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</si>
  <si>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</si>
  <si>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</si>
  <si>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</si>
  <si>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</si>
  <si>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</si>
  <si>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</si>
  <si>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</si>
  <si>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</si>
  <si>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</si>
  <si>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</si>
  <si>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</si>
  <si>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</si>
  <si>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</si>
  <si>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</si>
  <si>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</si>
  <si>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</si>
  <si>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</si>
  <si>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</si>
  <si>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</si>
  <si>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</si>
  <si>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</si>
  <si>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</si>
  <si>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</si>
  <si>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</si>
  <si>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</si>
  <si>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</si>
  <si>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</si>
  <si>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</si>
  <si>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</si>
  <si>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</si>
  <si>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</si>
  <si>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</si>
  <si>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</si>
  <si>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</si>
  <si>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</si>
  <si>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</si>
  <si>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</si>
  <si>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</si>
  <si>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</si>
  <si>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</si>
  <si>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</si>
  <si>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</si>
  <si>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</si>
  <si>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</si>
  <si>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</si>
  <si>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</si>
  <si>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</si>
  <si>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</si>
  <si>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</si>
  <si>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</si>
  <si>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</si>
  <si>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</si>
  <si>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</si>
  <si>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</si>
  <si>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</si>
  <si>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</si>
  <si>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</si>
  <si>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</si>
  <si>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</si>
  <si>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</si>
  <si>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</si>
  <si>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</si>
  <si>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</si>
  <si>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</si>
  <si>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</si>
  <si>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</si>
  <si>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</si>
  <si>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</si>
  <si>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</si>
  <si>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</si>
  <si>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</si>
  <si>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</si>
  <si>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</si>
  <si>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</si>
  <si>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</si>
  <si>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</si>
  <si>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</si>
  <si>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</si>
  <si>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</si>
  <si>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</si>
  <si>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</si>
  <si>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</si>
  <si>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</si>
  <si>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</si>
  <si>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</si>
  <si>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</si>
  <si>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</si>
  <si>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</si>
  <si>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</si>
  <si>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</si>
  <si>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</si>
  <si>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</si>
  <si>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</si>
  <si>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</si>
  <si>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</si>
  <si>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</si>
  <si>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</si>
  <si>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</si>
  <si>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</si>
  <si>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</si>
  <si>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</si>
  <si>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</si>
  <si>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</si>
  <si>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</si>
  <si>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</si>
  <si>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</si>
  <si>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</si>
  <si>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</si>
  <si>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</si>
  <si>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</si>
  <si>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</si>
  <si>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</si>
  <si>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</si>
  <si>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</si>
  <si>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</si>
  <si>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</si>
  <si>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</si>
  <si>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</si>
  <si>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</si>
  <si>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</si>
  <si>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</si>
  <si>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</si>
  <si>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</si>
  <si>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</si>
  <si>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</si>
  <si>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</si>
  <si>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</si>
  <si>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</si>
  <si>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</si>
  <si>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</si>
  <si>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</si>
  <si>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</si>
  <si>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</si>
  <si>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</si>
  <si>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</si>
  <si>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</si>
  <si>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</si>
  <si>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</si>
  <si>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</si>
  <si>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</si>
  <si>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</si>
  <si>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</si>
  <si>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</si>
  <si>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</si>
  <si>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</si>
  <si>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</si>
  <si>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</si>
  <si>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</si>
  <si>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</si>
  <si>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</si>
  <si>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</si>
  <si>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</si>
  <si>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</si>
  <si>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</si>
  <si>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</si>
  <si>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</si>
  <si>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</si>
  <si>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</si>
  <si>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</si>
  <si>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</si>
  <si>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</si>
  <si>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</si>
  <si>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</si>
  <si>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</si>
  <si>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</si>
  <si>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</si>
  <si>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</si>
  <si>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</si>
  <si>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</si>
  <si>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</si>
  <si>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</si>
  <si>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</si>
  <si>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</si>
  <si>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</si>
  <si>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</si>
  <si>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</si>
  <si>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</si>
  <si>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</si>
  <si>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</si>
  <si>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</si>
  <si>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</si>
  <si>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</si>
  <si>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</si>
  <si>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</si>
  <si>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</si>
  <si>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</si>
  <si>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</si>
  <si>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</si>
  <si>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</si>
  <si>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</si>
  <si>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</si>
  <si>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</si>
  <si>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</si>
  <si>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</si>
  <si>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</si>
  <si>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</si>
  <si>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</si>
  <si>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</si>
  <si>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</si>
  <si>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</si>
  <si>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</si>
  <si>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</si>
  <si>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</si>
  <si>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</si>
  <si>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</si>
  <si>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</si>
  <si>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</si>
  <si>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</si>
  <si>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</si>
  <si>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</si>
  <si>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</si>
  <si>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</si>
  <si>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</si>
  <si>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</si>
  <si>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</si>
  <si>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</si>
  <si>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</si>
  <si>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</si>
  <si>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</si>
  <si>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</si>
  <si>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</si>
  <si>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</si>
  <si>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</si>
  <si>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</si>
  <si>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</si>
  <si>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</si>
  <si>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</si>
  <si>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</si>
  <si>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</si>
  <si>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</si>
  <si>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</si>
  <si>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</si>
  <si>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</si>
  <si>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</si>
  <si>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</si>
  <si>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</si>
  <si>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</si>
  <si>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</si>
  <si>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</si>
  <si>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</si>
  <si>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</si>
  <si>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</si>
  <si>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</si>
  <si>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</si>
  <si>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</si>
  <si>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</si>
  <si>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</si>
  <si>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</si>
  <si>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</si>
  <si>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</si>
  <si>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</si>
  <si>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</si>
  <si>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</si>
  <si>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</si>
  <si>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</si>
  <si>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</si>
  <si>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</si>
  <si>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</si>
  <si>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</si>
  <si>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</si>
  <si>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</si>
  <si>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</si>
  <si>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</si>
  <si>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</si>
  <si>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</si>
  <si>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</si>
  <si>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</si>
  <si>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</si>
  <si>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</si>
  <si>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</si>
  <si>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</si>
  <si>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</si>
  <si>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</si>
  <si>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</si>
  <si>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</si>
  <si>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</si>
  <si>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</si>
  <si>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</si>
  <si>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</si>
  <si>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</si>
  <si>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</si>
  <si>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</si>
  <si>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</si>
  <si>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</si>
  <si>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</si>
  <si>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</si>
  <si>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</si>
  <si>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</si>
  <si>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</si>
  <si>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</si>
  <si>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</si>
  <si>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</si>
  <si>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</si>
  <si>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</si>
  <si>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</si>
  <si>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</si>
  <si>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</si>
  <si>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</si>
  <si>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</si>
  <si>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</si>
  <si>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</si>
  <si>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</si>
  <si>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</si>
  <si>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</si>
  <si>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</si>
  <si>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</si>
  <si>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</si>
  <si>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</si>
  <si>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</si>
  <si>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</si>
  <si>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</si>
  <si>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</si>
  <si>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</si>
  <si>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</si>
  <si>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</si>
  <si>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</si>
  <si>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</si>
  <si>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</si>
  <si>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</si>
  <si>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</si>
  <si>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</si>
  <si>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</si>
  <si>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</si>
  <si>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</si>
  <si>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</si>
  <si>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</si>
  <si>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</si>
  <si>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</si>
  <si>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</si>
  <si>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</si>
  <si>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</si>
  <si>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</si>
  <si>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</si>
  <si>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</si>
  <si>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</si>
  <si>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</si>
  <si>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</si>
  <si>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</si>
  <si>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</si>
  <si>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</si>
  <si>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</si>
  <si>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</si>
  <si>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</si>
  <si>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</si>
  <si>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</si>
  <si>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</si>
  <si>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</si>
  <si>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</si>
  <si>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</si>
  <si>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</si>
  <si>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</si>
  <si>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</si>
  <si>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</si>
  <si>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</si>
  <si>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</si>
  <si>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</si>
  <si>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</si>
  <si>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</si>
  <si>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</si>
  <si>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</si>
  <si>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</si>
  <si>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</si>
  <si>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</si>
  <si>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</si>
  <si>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</si>
  <si>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</si>
  <si>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</si>
  <si>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</si>
  <si>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</si>
  <si>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</si>
  <si>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</si>
  <si>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</si>
  <si>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</si>
  <si>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</si>
  <si>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</si>
  <si>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</si>
  <si>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</si>
  <si>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</si>
  <si>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</si>
  <si>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</si>
  <si>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</si>
  <si>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</si>
  <si>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</si>
  <si>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</si>
  <si>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</si>
  <si>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</si>
  <si>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</si>
  <si>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</si>
  <si>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</si>
  <si>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</si>
  <si>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</si>
  <si>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</si>
  <si>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</si>
  <si>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</si>
  <si>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</si>
  <si>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</si>
  <si>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</si>
  <si>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</si>
  <si>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</si>
  <si>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</si>
  <si>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</si>
  <si>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</si>
  <si>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</si>
  <si>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</si>
  <si>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</si>
  <si>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</si>
  <si>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</si>
  <si>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</si>
  <si>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</si>
  <si>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</si>
  <si>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</si>
  <si>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</si>
  <si>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</si>
  <si>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</si>
  <si>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</si>
  <si>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</si>
  <si>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</si>
  <si>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</si>
  <si>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</si>
  <si>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</si>
  <si>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</si>
  <si>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</si>
  <si>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</si>
  <si>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</si>
  <si>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</si>
  <si>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</si>
  <si>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</si>
  <si>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</si>
  <si>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</si>
  <si>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</si>
  <si>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</si>
  <si>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</si>
  <si>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</si>
  <si>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</si>
  <si>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</si>
  <si>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</si>
  <si>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</si>
  <si>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</si>
  <si>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</si>
  <si>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</si>
  <si>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</si>
  <si>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</si>
  <si>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</si>
  <si>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</si>
  <si>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</si>
  <si>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</si>
  <si>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</si>
  <si>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</si>
  <si>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</si>
  <si>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</si>
  <si>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</si>
  <si>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</si>
  <si>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</si>
  <si>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</si>
  <si>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</si>
  <si>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</si>
  <si>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</si>
  <si>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</si>
  <si>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</si>
  <si>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</si>
  <si>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</si>
  <si>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</si>
  <si>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</si>
  <si>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</si>
  <si>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</si>
  <si>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</si>
  <si>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</si>
  <si>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</si>
  <si>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</si>
  <si>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</si>
  <si>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</si>
  <si>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</si>
  <si>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</si>
  <si>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</si>
  <si>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</si>
  <si>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</si>
  <si>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</si>
  <si>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</si>
  <si>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</si>
  <si>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</si>
  <si>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</si>
  <si>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</si>
  <si>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</si>
  <si>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</si>
  <si>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</si>
  <si>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</si>
  <si>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</si>
  <si>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</si>
  <si>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</si>
  <si>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</si>
  <si>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</si>
  <si>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</si>
  <si>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</si>
  <si>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</si>
  <si>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</si>
  <si>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</si>
  <si>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</si>
  <si>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</si>
  <si>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</si>
  <si>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</si>
  <si>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</si>
  <si>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</si>
  <si>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</si>
  <si>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</si>
  <si>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</si>
  <si>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</si>
  <si>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</si>
  <si>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</si>
  <si>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</si>
  <si>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</si>
  <si>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</si>
  <si>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</si>
  <si>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</si>
  <si>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</si>
  <si>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</si>
  <si>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</si>
  <si>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</si>
  <si>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</si>
  <si>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</si>
  <si>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</si>
  <si>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</si>
  <si>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</si>
  <si>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</si>
  <si>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</si>
  <si>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</si>
  <si>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</si>
  <si>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</si>
  <si>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</si>
  <si>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</si>
  <si>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</si>
  <si>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</si>
  <si>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</si>
  <si>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</si>
  <si>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</si>
  <si>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</si>
  <si>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</si>
  <si>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</si>
  <si>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</si>
  <si>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</si>
  <si>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</si>
  <si>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</si>
  <si>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</si>
  <si>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</si>
  <si>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</si>
  <si>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</si>
  <si>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</si>
  <si>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</si>
  <si>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</si>
  <si>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</si>
  <si>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</si>
  <si>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</si>
  <si>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</si>
  <si>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</si>
  <si>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</si>
  <si>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</si>
  <si>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</si>
  <si>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</si>
  <si>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</si>
  <si>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</si>
  <si>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</si>
  <si>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</si>
  <si>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</si>
  <si>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</si>
  <si>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</si>
  <si>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</si>
  <si>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</si>
  <si>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</si>
  <si>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</si>
  <si>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</si>
  <si>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</si>
  <si>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</si>
  <si>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</si>
  <si>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</si>
  <si>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</si>
  <si>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</si>
  <si>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</si>
  <si>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</si>
  <si>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</si>
  <si>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</si>
  <si>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</si>
  <si>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</si>
  <si>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</si>
  <si>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</si>
  <si>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</si>
  <si>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</si>
  <si>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</si>
  <si>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</si>
  <si>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</si>
  <si>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</si>
  <si>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</si>
  <si>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</si>
  <si>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</si>
  <si>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</si>
  <si>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</si>
  <si>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</si>
  <si>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</si>
  <si>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</si>
  <si>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</si>
  <si>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</si>
  <si>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</si>
  <si>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</si>
  <si>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</si>
  <si>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</si>
  <si>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</si>
  <si>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</si>
  <si>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</si>
  <si>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</si>
  <si>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</si>
  <si>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</si>
  <si>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</si>
  <si>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</si>
  <si>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</si>
  <si>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</si>
  <si>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</si>
  <si>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</si>
  <si>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</si>
  <si>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</si>
  <si>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</si>
  <si>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</si>
  <si>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</si>
  <si>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</si>
  <si>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</si>
  <si>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</si>
  <si>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</si>
  <si>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</si>
  <si>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</si>
  <si>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</si>
  <si>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</si>
  <si>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</si>
  <si>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</si>
  <si>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</si>
  <si>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</si>
  <si>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</si>
  <si>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</si>
  <si>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</si>
  <si>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</si>
  <si>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</si>
  <si>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</si>
  <si>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</si>
  <si>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</si>
  <si>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</si>
  <si>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</si>
  <si>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</si>
  <si>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</si>
  <si>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</si>
  <si>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</si>
  <si>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</si>
  <si>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</si>
  <si>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</si>
  <si>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</si>
  <si>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</si>
  <si>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</si>
  <si>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</si>
  <si>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</si>
  <si>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</si>
  <si>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</si>
  <si>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</si>
  <si>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</si>
  <si>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</si>
  <si>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</si>
  <si>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</si>
  <si>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</si>
  <si>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</si>
  <si>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</si>
  <si>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</si>
  <si>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</si>
  <si>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</si>
  <si>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</si>
  <si>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</si>
  <si>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</si>
  <si>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</si>
  <si>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</si>
  <si>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</si>
  <si>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</si>
  <si>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</si>
  <si>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</si>
  <si>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</si>
  <si>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</si>
  <si>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</si>
  <si>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</si>
  <si>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</si>
  <si>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</si>
  <si>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</si>
  <si>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</si>
  <si>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</si>
  <si>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</si>
  <si>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</si>
  <si>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</si>
  <si>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</si>
  <si>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</si>
  <si>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</si>
  <si>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</si>
  <si>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</si>
  <si>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</si>
  <si>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</si>
  <si>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</si>
  <si>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</si>
  <si>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</si>
  <si>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</si>
  <si>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</si>
  <si>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</si>
  <si>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</si>
  <si>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</si>
  <si>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</si>
  <si>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</si>
  <si>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</si>
  <si>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</si>
  <si>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</si>
  <si>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</si>
  <si>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</si>
  <si>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</si>
  <si>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</si>
  <si>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</si>
  <si>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</si>
  <si>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</si>
  <si>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</si>
  <si>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</si>
  <si>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</si>
  <si>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</si>
  <si>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</si>
  <si>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</si>
  <si>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</si>
  <si>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</si>
  <si>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</si>
  <si>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</si>
  <si>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</si>
  <si>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</si>
  <si>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</si>
  <si>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</si>
  <si>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</si>
  <si>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</si>
  <si>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</si>
  <si>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</si>
  <si>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</si>
  <si>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</si>
  <si>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</si>
  <si>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</si>
  <si>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</si>
  <si>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</si>
  <si>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</si>
  <si>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</si>
  <si>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</si>
  <si>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</si>
  <si>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</si>
  <si>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</si>
  <si>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</si>
  <si>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</si>
  <si>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</si>
  <si>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</si>
  <si>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</si>
  <si>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</si>
  <si>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</si>
  <si>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</si>
  <si>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</si>
  <si>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</si>
  <si>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</si>
  <si>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</si>
  <si>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</si>
  <si>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</si>
  <si>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</si>
  <si>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</si>
  <si>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</si>
  <si>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</si>
  <si>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</si>
  <si>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</si>
  <si>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</si>
  <si>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</si>
  <si>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</si>
  <si>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</si>
  <si>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</si>
  <si>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</si>
  <si>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</si>
  <si>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</si>
  <si>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</si>
  <si>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</si>
  <si>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</si>
  <si>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</si>
  <si>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</si>
  <si>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</si>
  <si>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</si>
  <si>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</si>
  <si>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</si>
  <si>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</si>
  <si>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</si>
  <si>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</si>
  <si>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</si>
  <si>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</si>
  <si>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</si>
  <si>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</si>
  <si>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</si>
  <si>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</si>
  <si>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</si>
  <si>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</si>
  <si>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</si>
  <si>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</si>
  <si>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</si>
  <si>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</si>
  <si>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</si>
  <si>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</si>
  <si>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</si>
  <si>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</si>
  <si>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</si>
  <si>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</si>
  <si>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</si>
  <si>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</si>
  <si>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</si>
  <si>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</si>
  <si>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</si>
  <si>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</si>
  <si>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</si>
  <si>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</si>
  <si>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</si>
  <si>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</si>
  <si>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</si>
  <si>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</si>
  <si>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</si>
  <si>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</si>
  <si>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</si>
  <si>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</si>
  <si>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</si>
  <si>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</si>
  <si>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</si>
  <si>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</si>
  <si>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</si>
  <si>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</si>
  <si>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</si>
  <si>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</si>
  <si>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</si>
  <si>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</si>
  <si>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</si>
  <si>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</si>
  <si>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</si>
  <si>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</si>
  <si>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</si>
  <si>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</si>
  <si>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</si>
  <si>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</si>
  <si>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</si>
  <si>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</si>
  <si>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</si>
  <si>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</si>
  <si>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</si>
  <si>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</si>
  <si>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</si>
  <si>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</si>
  <si>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</si>
  <si>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</si>
  <si>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</si>
  <si>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</si>
  <si>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</si>
  <si>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</si>
  <si>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</si>
  <si>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</si>
  <si>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</si>
  <si>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</si>
  <si>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</si>
  <si>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</si>
  <si>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</si>
  <si>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</si>
  <si>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</si>
  <si>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</si>
  <si>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</si>
  <si>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</si>
  <si>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</si>
  <si>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</si>
  <si>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</si>
  <si>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</si>
  <si>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</si>
  <si>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</si>
  <si>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</si>
  <si>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</si>
  <si>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</si>
  <si>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</si>
  <si>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</si>
  <si>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</si>
  <si>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</si>
  <si>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</si>
  <si>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</si>
  <si>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</si>
  <si>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</si>
  <si>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</si>
  <si>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</si>
  <si>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</si>
  <si>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</si>
  <si>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</si>
  <si>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</si>
  <si>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</si>
  <si>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</si>
  <si>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</si>
  <si>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</si>
  <si>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</si>
  <si>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</si>
  <si>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</si>
  <si>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</si>
  <si>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</si>
  <si>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</si>
  <si>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</si>
  <si>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</si>
  <si>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</si>
  <si>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</si>
  <si>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</si>
  <si>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</si>
  <si>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</si>
  <si>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</si>
  <si>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</si>
  <si>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</si>
  <si>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</si>
  <si>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</si>
  <si>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</si>
  <si>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</si>
  <si>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</si>
  <si>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</si>
  <si>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</si>
  <si>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</si>
  <si>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</si>
  <si>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</si>
  <si>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</si>
  <si>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</si>
  <si>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</si>
  <si>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</si>
  <si>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</si>
  <si>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</si>
  <si>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</si>
  <si>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</si>
  <si>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</si>
  <si>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</si>
  <si>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</si>
  <si>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</si>
  <si>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</si>
  <si>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</si>
  <si>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</si>
  <si>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</si>
  <si>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</si>
  <si>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</si>
  <si>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</si>
  <si>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</si>
  <si>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</si>
  <si>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</si>
  <si>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</si>
  <si>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</si>
  <si>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</si>
  <si>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</si>
  <si>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</si>
  <si>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</si>
  <si>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</si>
  <si>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</si>
  <si>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</si>
  <si>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</si>
  <si>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</si>
  <si>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</si>
  <si>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</si>
  <si>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</si>
  <si>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</si>
  <si>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</si>
  <si>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</si>
  <si>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</si>
  <si>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</si>
  <si>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</si>
  <si>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</si>
  <si>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</si>
  <si>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</si>
  <si>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</si>
  <si>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</si>
  <si>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</si>
  <si>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</si>
  <si>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</si>
  <si>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</si>
  <si>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</si>
  <si>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</si>
  <si>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</si>
  <si>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</si>
  <si>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</si>
  <si>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</si>
  <si>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</si>
  <si>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</si>
  <si>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</si>
  <si>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</si>
  <si>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</si>
  <si>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</si>
  <si>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</si>
  <si>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</si>
  <si>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</si>
  <si>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</si>
  <si>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</si>
  <si>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</si>
  <si>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</si>
  <si>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</si>
  <si>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</si>
  <si>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</si>
  <si>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</si>
  <si>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</si>
  <si>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</si>
  <si>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</si>
  <si>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</si>
  <si>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</si>
  <si>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</si>
  <si>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</si>
  <si>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</si>
  <si>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</si>
  <si>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</si>
  <si>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</si>
  <si>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</si>
  <si>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</si>
  <si>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</si>
  <si>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</si>
  <si>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</si>
  <si>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</si>
  <si>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</si>
  <si>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</si>
  <si>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</si>
  <si>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</si>
  <si>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</si>
  <si>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</si>
  <si>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</si>
  <si>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</si>
  <si>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</si>
  <si>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</si>
  <si>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</si>
  <si>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</si>
  <si>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</si>
  <si>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</si>
  <si>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</si>
  <si>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</si>
  <si>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</si>
  <si>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</si>
  <si>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</si>
  <si>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</si>
  <si>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</si>
  <si>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</si>
  <si>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</si>
  <si>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</si>
  <si>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</si>
  <si>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</si>
  <si>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</si>
  <si>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</si>
  <si>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</si>
  <si>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</si>
  <si>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</si>
  <si>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</si>
  <si>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</si>
  <si>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</si>
  <si>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</si>
  <si>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</si>
  <si>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</si>
  <si>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</si>
  <si>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</si>
  <si>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</si>
  <si>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</si>
  <si>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</si>
  <si>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</si>
  <si>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</si>
  <si>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</si>
  <si>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</si>
  <si>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</si>
  <si>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</si>
  <si>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</si>
  <si>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</si>
  <si>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</si>
  <si>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</si>
  <si>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</si>
  <si>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</si>
  <si>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</si>
  <si>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</si>
  <si>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</si>
  <si>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</si>
  <si>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</si>
  <si>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</si>
  <si>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</si>
  <si>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</si>
  <si>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</si>
  <si>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</si>
  <si>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</si>
  <si>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</si>
  <si>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</si>
  <si>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</si>
  <si>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</si>
  <si>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</si>
  <si>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</si>
  <si>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</si>
  <si>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</si>
  <si>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</si>
  <si>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</si>
  <si>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</si>
  <si>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</si>
  <si>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</si>
  <si>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</si>
  <si>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</si>
  <si>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</si>
  <si>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</si>
  <si>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</si>
  <si>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</si>
  <si>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</si>
  <si>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</si>
  <si>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</si>
  <si>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</si>
  <si>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</si>
  <si>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</si>
  <si>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</si>
  <si>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</si>
  <si>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</si>
  <si>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</si>
  <si>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</si>
  <si>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</si>
  <si>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</si>
  <si>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</si>
  <si>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</si>
  <si>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</si>
  <si>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</si>
  <si>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</si>
  <si>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</si>
  <si>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</si>
  <si>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</si>
  <si>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</si>
  <si>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</si>
  <si>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</si>
  <si>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</si>
  <si>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</si>
  <si>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</si>
  <si>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</si>
  <si>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</si>
  <si>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</si>
  <si>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</si>
  <si>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</si>
  <si>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</si>
  <si>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</si>
  <si>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</si>
  <si>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</si>
  <si>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</si>
  <si>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</si>
  <si>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</si>
  <si>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</si>
  <si>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</si>
  <si>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</si>
  <si>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</si>
  <si>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</si>
  <si>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</si>
  <si>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</si>
  <si>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</si>
  <si>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</si>
  <si>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</si>
  <si>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</si>
  <si>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</si>
  <si>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</si>
  <si>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</si>
  <si>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</si>
  <si>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</si>
  <si>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</si>
  <si>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</si>
  <si>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</si>
  <si>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</si>
  <si>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</si>
  <si>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</si>
  <si>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</si>
  <si>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</si>
  <si>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</si>
  <si>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</si>
  <si>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</si>
  <si>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</si>
  <si>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</si>
  <si>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</si>
  <si>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</si>
  <si>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</si>
  <si>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</si>
  <si>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</si>
  <si>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</si>
  <si>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</si>
  <si>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</si>
  <si>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</si>
  <si>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</si>
  <si>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</si>
  <si>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</si>
  <si>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</si>
  <si>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</si>
  <si>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</si>
  <si>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</si>
  <si>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</si>
  <si>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</si>
  <si>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</si>
  <si>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</si>
  <si>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</si>
  <si>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</si>
  <si>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</si>
  <si>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</si>
  <si>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</si>
  <si>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</si>
  <si>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</si>
  <si>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</si>
  <si>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</si>
  <si>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</si>
  <si>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</si>
  <si>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</si>
  <si>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</si>
  <si>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</si>
  <si>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</si>
  <si>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</si>
  <si>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</si>
  <si>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</si>
  <si>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</si>
  <si>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</si>
  <si>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</si>
  <si>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</si>
  <si>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</si>
  <si>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</si>
  <si>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</si>
  <si>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</si>
  <si>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</si>
  <si>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</si>
  <si>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</si>
  <si>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</si>
  <si>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</si>
  <si>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</si>
  <si>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</si>
  <si>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</si>
  <si>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</si>
  <si>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</si>
  <si>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</si>
  <si>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</si>
  <si>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</si>
  <si>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</si>
  <si>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</si>
  <si>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</si>
  <si>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</si>
  <si>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</si>
  <si>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</si>
  <si>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</si>
  <si>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</si>
  <si>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</si>
  <si>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</si>
  <si>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</si>
  <si>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</si>
  <si>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</si>
  <si>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</si>
  <si>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</si>
  <si>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</si>
  <si>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</si>
  <si>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</si>
  <si>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</si>
  <si>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</si>
  <si>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</si>
  <si>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</si>
  <si>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</si>
  <si>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</si>
  <si>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</si>
  <si>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</si>
  <si>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</si>
  <si>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</si>
  <si>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</si>
  <si>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</si>
  <si>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</si>
  <si>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</si>
  <si>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</si>
  <si>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</si>
  <si>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</si>
  <si>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</si>
  <si>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</si>
  <si>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</si>
  <si>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</si>
  <si>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</si>
  <si>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</si>
  <si>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</si>
  <si>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</si>
  <si>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</si>
  <si>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</si>
  <si>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</si>
  <si>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</si>
  <si>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</si>
  <si>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</si>
  <si>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</si>
  <si>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</si>
  <si>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</si>
  <si>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</si>
  <si>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</si>
  <si>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</si>
  <si>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</si>
  <si>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</si>
  <si>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</si>
  <si>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</si>
  <si>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</si>
  <si>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</si>
  <si>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</si>
  <si>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</si>
  <si>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</si>
  <si>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</si>
  <si>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</si>
  <si>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</si>
  <si>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</si>
  <si>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</si>
  <si>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</si>
  <si>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</si>
  <si>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</si>
  <si>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</si>
  <si>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</si>
  <si>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</si>
  <si>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</si>
  <si>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</si>
  <si>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</si>
  <si>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</si>
  <si>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</si>
  <si>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</si>
  <si>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</si>
  <si>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</si>
  <si>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</si>
  <si>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</si>
  <si>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</si>
  <si>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</si>
  <si>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</si>
  <si>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</si>
  <si>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</si>
  <si>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</si>
  <si>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</si>
  <si>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</si>
  <si>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</si>
  <si>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</si>
  <si>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</si>
  <si>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</si>
  <si>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</si>
  <si>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</si>
  <si>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</si>
  <si>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</si>
  <si>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</si>
  <si>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</si>
  <si>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</si>
  <si>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</si>
  <si>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</si>
  <si>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</si>
  <si>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</si>
  <si>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</si>
  <si>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</si>
  <si>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</si>
  <si>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</si>
  <si>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</si>
  <si>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</si>
  <si>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</si>
  <si>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</si>
  <si>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</si>
  <si>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</si>
  <si>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</si>
  <si>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</si>
  <si>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</si>
  <si>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</si>
  <si>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</si>
  <si>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</si>
  <si>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</si>
  <si>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</si>
  <si>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</si>
  <si>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</si>
  <si>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</si>
  <si>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</si>
  <si>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</si>
  <si>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</si>
  <si>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</si>
  <si>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</si>
  <si>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</si>
  <si>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</si>
  <si>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</si>
  <si>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</si>
  <si>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</si>
  <si>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</si>
  <si>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</si>
  <si>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</si>
  <si>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</si>
  <si>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</si>
  <si>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</si>
  <si>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</si>
  <si>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</si>
  <si>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</si>
  <si>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</si>
  <si>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</si>
  <si>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</si>
  <si>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</si>
  <si>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</si>
  <si>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</si>
  <si>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</si>
  <si>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</si>
  <si>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</si>
  <si>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</si>
  <si>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</si>
  <si>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</si>
  <si>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</si>
  <si>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</si>
  <si>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</si>
  <si>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</si>
  <si>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</si>
  <si>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</si>
  <si>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</si>
  <si>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</si>
  <si>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</si>
  <si>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</si>
  <si>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</si>
  <si>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</si>
  <si>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</si>
  <si>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</si>
  <si>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</si>
  <si>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</si>
  <si>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</si>
  <si>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</si>
  <si>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</si>
  <si>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</si>
  <si>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</si>
  <si>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</si>
  <si>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</si>
  <si>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</si>
  <si>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</si>
  <si>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</si>
  <si>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</si>
  <si>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</si>
  <si>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</si>
  <si>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</si>
  <si>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</si>
  <si>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</si>
  <si>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</si>
  <si>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</si>
  <si>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</si>
  <si>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</si>
  <si>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</si>
  <si>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</si>
  <si>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</si>
  <si>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</si>
  <si>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</si>
  <si>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</si>
  <si>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</si>
  <si>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</si>
  <si>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</si>
  <si>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</si>
  <si>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</si>
  <si>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</si>
  <si>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</si>
  <si>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</si>
  <si>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</si>
  <si>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</si>
  <si>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</si>
  <si>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</si>
  <si>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</si>
  <si>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</si>
  <si>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</si>
  <si>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</si>
  <si>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</si>
  <si>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</si>
  <si>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</si>
  <si>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</si>
  <si>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</si>
  <si>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</si>
  <si>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</si>
  <si>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</si>
  <si>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</si>
  <si>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</si>
  <si>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</si>
  <si>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</si>
  <si>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</si>
  <si>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</si>
  <si>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</si>
  <si>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</si>
  <si>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</si>
  <si>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</si>
  <si>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</si>
  <si>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</si>
  <si>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</si>
  <si>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</si>
  <si>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</si>
  <si>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</si>
  <si>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</si>
  <si>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</si>
  <si>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</si>
  <si>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</si>
  <si>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</si>
  <si>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</si>
  <si>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</si>
  <si>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</si>
  <si>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</si>
  <si>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</si>
  <si>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</si>
  <si>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</si>
  <si>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</si>
  <si>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</si>
  <si>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</si>
  <si>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</si>
  <si>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</si>
  <si>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</si>
  <si>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</si>
  <si>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</si>
  <si>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</si>
  <si>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</si>
  <si>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</si>
  <si>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</si>
  <si>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</si>
  <si>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</si>
  <si>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</si>
  <si>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</si>
  <si>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</si>
  <si>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</si>
  <si>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</si>
  <si>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</si>
  <si>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</si>
  <si>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</si>
  <si>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</si>
  <si>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</si>
  <si>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</si>
  <si>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</si>
  <si>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</si>
  <si>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</si>
  <si>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</si>
  <si>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</si>
  <si>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</si>
  <si>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</si>
  <si>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</si>
  <si>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</si>
  <si>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</si>
  <si>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</si>
  <si>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</si>
  <si>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</si>
  <si>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</si>
  <si>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</si>
  <si>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</si>
  <si>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</si>
  <si>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</si>
  <si>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</si>
  <si>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</si>
  <si>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</si>
  <si>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</si>
  <si>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</si>
  <si>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</si>
  <si>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</si>
  <si>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</si>
  <si>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</si>
  <si>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</si>
  <si>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</si>
  <si>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</si>
  <si>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</si>
  <si>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</si>
  <si>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</si>
  <si>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</si>
  <si>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</si>
  <si>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</si>
  <si>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</si>
  <si>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</si>
  <si>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</si>
  <si>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</si>
  <si>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</si>
  <si>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</si>
  <si>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</si>
  <si>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</si>
  <si>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</si>
  <si>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</si>
  <si>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</si>
  <si>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</si>
  <si>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</si>
  <si>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</si>
  <si>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</si>
  <si>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</si>
  <si>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</si>
  <si>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</si>
  <si>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</si>
  <si>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</si>
  <si>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</si>
  <si>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</si>
  <si>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</si>
  <si>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</si>
  <si>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</si>
  <si>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</si>
  <si>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</si>
  <si>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</si>
  <si>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</si>
  <si>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</si>
  <si>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</si>
  <si>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</si>
  <si>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</si>
  <si>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</si>
  <si>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</si>
  <si>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</si>
  <si>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</si>
  <si>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</si>
  <si>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</si>
  <si>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</si>
  <si>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</si>
  <si>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</si>
  <si>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</si>
  <si>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</si>
  <si>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</si>
  <si>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</si>
  <si>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</si>
  <si>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</si>
  <si>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</si>
  <si>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</si>
  <si>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</si>
  <si>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</si>
  <si>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</si>
  <si>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</si>
  <si>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</si>
  <si>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</si>
  <si>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</si>
  <si>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</si>
  <si>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</si>
  <si>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</si>
  <si>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</si>
  <si>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</si>
  <si>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</si>
  <si>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</si>
  <si>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</si>
  <si>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</si>
  <si>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</si>
  <si>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</si>
  <si>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</si>
  <si>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</si>
  <si>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</si>
  <si>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</si>
  <si>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</si>
  <si>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</si>
  <si>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</si>
  <si>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</si>
  <si>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</si>
  <si>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</si>
  <si>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</si>
  <si>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</si>
  <si>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</si>
  <si>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</si>
  <si>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</si>
  <si>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</si>
  <si>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</si>
  <si>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</si>
  <si>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</si>
  <si>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</si>
  <si>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</si>
  <si>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</si>
  <si>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</si>
  <si>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</si>
  <si>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</si>
  <si>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</si>
  <si>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</si>
  <si>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</si>
  <si>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</si>
  <si>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</si>
  <si>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</si>
  <si>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</si>
  <si>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</si>
  <si>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</si>
  <si>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</si>
  <si>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</si>
  <si>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</si>
  <si>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</si>
  <si>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</si>
  <si>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</si>
  <si>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</si>
  <si>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</si>
  <si>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</si>
  <si>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</si>
  <si>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</si>
  <si>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</si>
  <si>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</si>
  <si>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</si>
  <si>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</si>
  <si>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</si>
  <si>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</si>
  <si>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</si>
  <si>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</si>
  <si>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</si>
  <si>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</si>
  <si>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</si>
  <si>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</si>
  <si>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</si>
  <si>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</si>
  <si>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</si>
  <si>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</si>
  <si>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</si>
  <si>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</si>
  <si>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</si>
  <si>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</si>
  <si>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</si>
  <si>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</si>
  <si>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</si>
  <si>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</si>
  <si>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</si>
  <si>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</si>
  <si>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</si>
  <si>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</si>
  <si>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</si>
  <si>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</si>
  <si>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</si>
  <si>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</si>
  <si>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</si>
  <si>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</si>
  <si>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</si>
  <si>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</si>
  <si>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</si>
  <si>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</si>
  <si>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</si>
  <si>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</si>
  <si>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</si>
  <si>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</si>
  <si>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</si>
  <si>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</si>
  <si>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</si>
  <si>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</si>
  <si>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</si>
  <si>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</si>
  <si>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</si>
  <si>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</si>
  <si>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</si>
  <si>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</si>
  <si>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</si>
  <si>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</si>
  <si>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</si>
  <si>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</si>
  <si>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</si>
  <si>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</si>
  <si>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</si>
  <si>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</si>
  <si>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</si>
  <si>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</si>
  <si>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</si>
  <si>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</si>
  <si>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</si>
  <si>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</si>
  <si>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</si>
  <si>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</si>
  <si>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</si>
  <si>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</si>
  <si>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</si>
  <si>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</si>
  <si>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</si>
  <si>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</si>
  <si>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</si>
  <si>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</si>
  <si>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</si>
  <si>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</si>
  <si>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</si>
  <si>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</si>
  <si>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</si>
  <si>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</si>
  <si>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</si>
  <si>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</si>
  <si>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</si>
  <si>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</si>
  <si>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</si>
  <si>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</si>
  <si>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</si>
  <si>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</si>
  <si>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</si>
  <si>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</si>
  <si>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</si>
  <si>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</si>
  <si>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</si>
  <si>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</si>
  <si>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</si>
  <si>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</si>
  <si>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</si>
  <si>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</si>
  <si>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</si>
  <si>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</si>
  <si>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</si>
  <si>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</si>
  <si>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</si>
  <si>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</si>
  <si>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</si>
  <si>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</si>
  <si>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</si>
  <si>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</si>
  <si>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</si>
  <si>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</si>
  <si>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</si>
  <si>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</si>
  <si>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</si>
  <si>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</si>
  <si>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</si>
  <si>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</si>
  <si>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</si>
  <si>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</si>
  <si>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</si>
  <si>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</si>
  <si>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</si>
  <si>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</si>
  <si>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</si>
  <si>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</si>
  <si>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</si>
  <si>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</si>
  <si>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</si>
  <si>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</si>
  <si>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</si>
  <si>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</si>
  <si>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</si>
  <si>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</si>
  <si>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</si>
  <si>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</si>
  <si>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</si>
  <si>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</si>
  <si>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</si>
  <si>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</si>
  <si>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</si>
  <si>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</si>
  <si>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</si>
  <si>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</si>
  <si>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</si>
  <si>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</si>
  <si>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</si>
  <si>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</si>
  <si>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</si>
  <si>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</si>
  <si>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</si>
  <si>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</si>
  <si>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</si>
  <si>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</si>
  <si>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</si>
  <si>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</si>
  <si>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</si>
  <si>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</si>
  <si>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</si>
  <si>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</si>
  <si>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</si>
  <si>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</si>
  <si>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</si>
  <si>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</si>
  <si>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</si>
  <si>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</si>
  <si>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</si>
  <si>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</si>
  <si>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</si>
  <si>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</si>
  <si>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</si>
  <si>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</si>
  <si>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</si>
  <si>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</si>
  <si>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</si>
  <si>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</si>
  <si>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</si>
  <si>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</si>
  <si>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</si>
  <si>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</si>
  <si>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</si>
  <si>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</si>
  <si>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</si>
  <si>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</si>
  <si>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</si>
  <si>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</si>
  <si>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</si>
  <si>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</si>
  <si>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</si>
  <si>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</si>
  <si>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</si>
  <si>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</si>
  <si>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</si>
  <si>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</si>
  <si>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</si>
  <si>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</si>
  <si>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</si>
  <si>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</si>
  <si>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</si>
  <si>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</si>
  <si>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</si>
  <si>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</si>
  <si>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</si>
  <si>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</si>
  <si>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</si>
  <si>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</si>
  <si>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</si>
  <si>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</si>
  <si>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</si>
  <si>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</si>
  <si>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</si>
  <si>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</si>
  <si>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</si>
  <si>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</si>
  <si>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</si>
  <si>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</si>
  <si>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</si>
  <si>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</si>
  <si>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</si>
  <si>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</si>
  <si>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</si>
  <si>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</si>
  <si>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</si>
  <si>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</si>
  <si>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</si>
  <si>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</si>
  <si>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</si>
  <si>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</si>
  <si>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</si>
  <si>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</si>
  <si>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</si>
  <si>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</si>
  <si>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</si>
  <si>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</si>
  <si>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</si>
  <si>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</si>
  <si>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</si>
  <si>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</si>
  <si>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</si>
  <si>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</si>
  <si>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</si>
  <si>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</si>
  <si>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</si>
  <si>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</si>
  <si>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</si>
  <si>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</si>
  <si>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</si>
  <si>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</si>
  <si>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</si>
  <si>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</si>
  <si>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</si>
  <si>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</si>
  <si>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</si>
  <si>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</si>
  <si>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</si>
  <si>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</si>
  <si>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</si>
  <si>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</si>
  <si>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</si>
  <si>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</si>
  <si>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</si>
  <si>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</si>
  <si>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</si>
  <si>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</si>
  <si>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</si>
  <si>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</si>
  <si>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</si>
  <si>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</si>
  <si>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</si>
  <si>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</si>
  <si>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</si>
  <si>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</si>
  <si>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</si>
  <si>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</si>
  <si>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</si>
  <si>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</si>
  <si>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</si>
  <si>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</si>
  <si>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</si>
  <si>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</si>
  <si>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</si>
  <si>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</si>
  <si>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</si>
  <si>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</si>
  <si>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</si>
  <si>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</si>
  <si>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</si>
  <si>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</si>
  <si>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</si>
  <si>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</si>
  <si>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</si>
  <si>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</si>
  <si>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</si>
  <si>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</si>
  <si>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</si>
  <si>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</si>
  <si>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</si>
  <si>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</si>
  <si>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</si>
  <si>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</si>
  <si>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</si>
  <si>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</si>
  <si>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</si>
  <si>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</si>
  <si>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</si>
  <si>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</si>
  <si>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</si>
  <si>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</si>
  <si>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</si>
  <si>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</si>
  <si>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</si>
  <si>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</si>
  <si>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</si>
  <si>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</si>
  <si>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</si>
  <si>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</si>
  <si>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</si>
  <si>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</si>
  <si>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</si>
  <si>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</si>
  <si>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</si>
  <si>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</si>
  <si>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</si>
  <si>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</si>
  <si>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</si>
  <si>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</si>
  <si>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</si>
  <si>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</si>
  <si>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</si>
  <si>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</si>
  <si>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</si>
  <si>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</si>
  <si>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</si>
  <si>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</si>
  <si>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</si>
  <si>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</si>
  <si>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</si>
  <si>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</si>
  <si>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</si>
  <si>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</si>
  <si>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</si>
  <si>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</si>
  <si>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</si>
  <si>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</si>
  <si>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</si>
  <si>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</si>
  <si>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</si>
  <si>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</si>
  <si>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</si>
  <si>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</si>
  <si>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</si>
  <si>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</si>
  <si>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</si>
  <si>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</si>
  <si>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</si>
  <si>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</si>
  <si>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</si>
  <si>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</si>
  <si>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</si>
  <si>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</si>
  <si>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</si>
  <si>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</si>
  <si>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</si>
  <si>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</si>
  <si>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</si>
  <si>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</si>
  <si>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</si>
  <si>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</si>
  <si>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</si>
  <si>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</si>
  <si>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</si>
  <si>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</si>
  <si>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</si>
  <si>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</si>
  <si>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</si>
  <si>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</si>
  <si>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</si>
  <si>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</si>
  <si>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</si>
  <si>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</si>
  <si>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</si>
  <si>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</si>
  <si>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</si>
  <si>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</si>
  <si>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</si>
  <si>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</si>
  <si>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</si>
  <si>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</si>
  <si>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</si>
  <si>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</si>
  <si>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</si>
  <si>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</si>
  <si>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</si>
  <si>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</si>
  <si>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</si>
  <si>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</si>
  <si>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</si>
  <si>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</si>
  <si>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</si>
  <si>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</si>
  <si>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</si>
  <si>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</si>
  <si>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</si>
  <si>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</si>
  <si>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</si>
  <si>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</si>
  <si>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</si>
  <si>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</si>
  <si>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</si>
  <si>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</si>
  <si>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</si>
  <si>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</si>
  <si>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</si>
  <si>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</si>
  <si>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</si>
  <si>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</si>
  <si>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</si>
  <si>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</si>
  <si>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</si>
  <si>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</si>
  <si>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</si>
  <si>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</si>
  <si>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</si>
  <si>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</si>
  <si>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</si>
  <si>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</si>
  <si>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</si>
  <si>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</si>
  <si>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</si>
  <si>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</si>
  <si>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</si>
  <si>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</si>
  <si>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</si>
  <si>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</si>
  <si>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</si>
  <si>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</si>
  <si>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</si>
  <si>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</si>
  <si>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</si>
  <si>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</si>
  <si>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</si>
  <si>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</si>
  <si>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</si>
  <si>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</si>
  <si>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</si>
  <si>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</si>
  <si>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</si>
  <si>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</si>
  <si>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</si>
  <si>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</si>
  <si>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</si>
  <si>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</si>
  <si>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</si>
  <si>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</si>
  <si>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</si>
  <si>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</si>
  <si>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</si>
  <si>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</si>
  <si>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</si>
  <si>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</si>
  <si>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</si>
  <si>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</si>
  <si>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</si>
  <si>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</si>
  <si>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</si>
  <si>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</si>
  <si>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</si>
  <si>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</si>
  <si>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</si>
  <si>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</si>
  <si>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</si>
  <si>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</si>
  <si>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</si>
  <si>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</si>
  <si>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</si>
  <si>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</si>
  <si>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</si>
  <si>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</si>
  <si>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</si>
  <si>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</si>
  <si>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</si>
  <si>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</si>
  <si>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</si>
  <si>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</si>
  <si>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</si>
  <si>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</si>
  <si>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</si>
  <si>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</si>
  <si>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</si>
  <si>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</si>
  <si>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</si>
  <si>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</si>
  <si>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</si>
  <si>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</si>
  <si>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</si>
  <si>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</si>
  <si>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</si>
  <si>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</si>
  <si>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</si>
  <si>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</si>
  <si>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</si>
  <si>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</si>
  <si>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</si>
  <si>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</si>
  <si>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</si>
  <si>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</si>
  <si>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</si>
  <si>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</si>
  <si>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</si>
  <si>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</si>
  <si>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</si>
  <si>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</si>
  <si>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</si>
  <si>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</si>
  <si>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</si>
  <si>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</si>
  <si>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</si>
  <si>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</si>
  <si>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</si>
  <si>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</si>
  <si>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</si>
  <si>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</si>
  <si>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</si>
  <si>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</si>
  <si>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</si>
  <si>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</si>
  <si>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</si>
  <si>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</si>
  <si>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</si>
  <si>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</si>
  <si>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</si>
  <si>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</si>
  <si>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</si>
  <si>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</si>
  <si>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</si>
  <si>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</si>
  <si>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</si>
  <si>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</si>
  <si>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</si>
  <si>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</si>
  <si>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</si>
  <si>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</si>
  <si>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</si>
  <si>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</si>
  <si>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</si>
  <si>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</si>
  <si>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</si>
  <si>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</si>
  <si>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</si>
  <si>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</si>
  <si>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</si>
  <si>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</si>
  <si>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</si>
  <si>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</si>
  <si>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</si>
  <si>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</si>
  <si>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</si>
  <si>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</si>
  <si>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</si>
  <si>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</si>
  <si>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</si>
  <si>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</si>
  <si>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</si>
  <si>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</si>
  <si>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</si>
  <si>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</si>
  <si>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</si>
  <si>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</si>
  <si>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</si>
  <si>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</si>
  <si>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</si>
  <si>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</si>
  <si>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</si>
  <si>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</si>
  <si>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</si>
  <si>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</si>
  <si>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</si>
  <si>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</si>
  <si>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</si>
  <si>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</si>
  <si>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</si>
  <si>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</si>
  <si>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</si>
  <si>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</si>
  <si>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</si>
  <si>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</si>
  <si>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</si>
  <si>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</si>
  <si>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</si>
  <si>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</si>
  <si>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</si>
  <si>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</si>
  <si>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</si>
  <si>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</si>
  <si>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</si>
  <si>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</si>
  <si>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</si>
  <si>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</si>
  <si>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</si>
  <si>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</si>
  <si>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</si>
  <si>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</si>
  <si>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</si>
  <si>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</si>
  <si>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</si>
  <si>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</si>
  <si>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</si>
  <si>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</si>
  <si>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</si>
  <si>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</si>
  <si>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</si>
  <si>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</si>
  <si>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</si>
  <si>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</si>
  <si>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</si>
  <si>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</si>
  <si>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</si>
  <si>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</si>
  <si>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</si>
  <si>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</si>
  <si>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</si>
  <si>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</si>
  <si>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</si>
  <si>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</si>
  <si>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</si>
  <si>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</si>
  <si>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</si>
  <si>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</si>
  <si>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</si>
  <si>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</si>
  <si>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</si>
  <si>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</si>
  <si>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</si>
  <si>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</si>
  <si>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</si>
  <si>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</si>
  <si>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</si>
  <si>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</si>
  <si>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</si>
  <si>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</si>
  <si>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</si>
  <si>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</si>
  <si>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</si>
  <si>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</si>
  <si>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</si>
  <si>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</si>
  <si>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</si>
  <si>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</si>
  <si>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</si>
  <si>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</si>
  <si>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</si>
  <si>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</si>
  <si>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</si>
  <si>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</si>
  <si>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</si>
  <si>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</si>
  <si>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</si>
  <si>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</si>
  <si>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</si>
  <si>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</si>
  <si>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</si>
  <si>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</si>
  <si>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</si>
  <si>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</si>
  <si>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</si>
  <si>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</si>
  <si>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</si>
  <si>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</si>
  <si>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</si>
  <si>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</si>
  <si>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</si>
  <si>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</si>
  <si>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</si>
  <si>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</si>
  <si>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</si>
  <si>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</si>
  <si>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</si>
  <si>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</si>
  <si>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</si>
  <si>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</si>
  <si>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</si>
  <si>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</si>
  <si>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</si>
  <si>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</si>
  <si>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</si>
  <si>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</si>
  <si>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</si>
  <si>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</si>
  <si>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</si>
  <si>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</si>
  <si>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</si>
  <si>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</si>
  <si>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</si>
  <si>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</si>
  <si>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</si>
  <si>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</si>
  <si>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</si>
  <si>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</si>
  <si>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</si>
  <si>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</si>
  <si>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</si>
  <si>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</si>
  <si>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</si>
  <si>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</si>
  <si>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</si>
  <si>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</si>
  <si>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</si>
  <si>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</si>
  <si>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</si>
  <si>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</si>
  <si>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</si>
  <si>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</si>
  <si>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</si>
  <si>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</si>
  <si>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</si>
  <si>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</si>
  <si>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</si>
  <si>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</si>
  <si>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</si>
  <si>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</si>
  <si>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</si>
  <si>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</si>
  <si>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</si>
  <si>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</si>
  <si>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</si>
  <si>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</si>
  <si>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</si>
  <si>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</si>
  <si>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</si>
  <si>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</si>
  <si>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</si>
  <si>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</si>
  <si>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</si>
  <si>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</si>
  <si>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</si>
  <si>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</si>
  <si>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</si>
  <si>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</si>
  <si>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</si>
  <si>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</si>
  <si>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</si>
  <si>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</si>
  <si>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</si>
  <si>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</si>
  <si>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</si>
  <si>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</si>
  <si>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</si>
  <si>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</si>
  <si>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</si>
  <si>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</si>
  <si>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</si>
  <si>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</si>
  <si>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</si>
  <si>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</si>
  <si>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</si>
  <si>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</si>
  <si>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</si>
  <si>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</si>
  <si>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</si>
  <si>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</si>
  <si>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</si>
  <si>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</si>
  <si>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</si>
  <si>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</si>
  <si>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</si>
  <si>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</si>
  <si>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</si>
  <si>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</si>
  <si>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</si>
  <si>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</si>
  <si>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</si>
  <si>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</si>
  <si>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</si>
  <si>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</si>
  <si>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</si>
  <si>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</si>
  <si>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</si>
  <si>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</si>
  <si>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</si>
  <si>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</si>
  <si>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</si>
  <si>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</si>
  <si>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</si>
  <si>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</si>
  <si>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</si>
  <si>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</si>
  <si>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</si>
  <si>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</si>
  <si>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</si>
  <si>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</si>
  <si>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</si>
  <si>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</si>
  <si>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</si>
  <si>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</si>
  <si>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</si>
  <si>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</si>
  <si>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</si>
  <si>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</si>
  <si>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</si>
  <si>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</si>
  <si>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</si>
  <si>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</si>
  <si>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</si>
  <si>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</si>
  <si>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</si>
  <si>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</si>
  <si>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</si>
  <si>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</si>
  <si>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</si>
  <si>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</si>
  <si>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</si>
  <si>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</si>
  <si>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</si>
  <si>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</si>
  <si>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</si>
  <si>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</si>
  <si>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</si>
  <si>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</si>
  <si>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</si>
  <si>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</si>
  <si>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</si>
  <si>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</si>
  <si>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</si>
  <si>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</si>
  <si>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</si>
  <si>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</si>
  <si>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</si>
  <si>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</si>
  <si>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</si>
  <si>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</si>
  <si>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</si>
  <si>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</si>
  <si>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</si>
  <si>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</si>
  <si>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</si>
  <si>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</si>
  <si>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</si>
  <si>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</si>
  <si>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</si>
  <si>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</si>
  <si>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</si>
  <si>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</si>
  <si>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</si>
  <si>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</si>
  <si>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</si>
  <si>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</si>
  <si>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</si>
  <si>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</si>
  <si>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</si>
  <si>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</si>
  <si>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</si>
  <si>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</si>
  <si>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</si>
  <si>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</si>
  <si>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</si>
  <si>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</si>
  <si>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</si>
  <si>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</si>
  <si>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</si>
  <si>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</si>
  <si>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</si>
  <si>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</si>
  <si>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</si>
  <si>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</si>
  <si>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</si>
  <si>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</si>
  <si>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</si>
  <si>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</si>
  <si>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</si>
  <si>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</si>
  <si>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</si>
  <si>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</si>
  <si>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</si>
  <si>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</si>
  <si>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</si>
  <si>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</si>
  <si>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</si>
  <si>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</si>
  <si>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</si>
  <si>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</si>
  <si>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</si>
  <si>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</si>
  <si>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</si>
  <si>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</si>
  <si>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</si>
  <si>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</si>
  <si>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</si>
  <si>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</si>
  <si>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</si>
  <si>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</si>
  <si>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</si>
  <si>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</si>
  <si>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</si>
  <si>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</si>
  <si>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</si>
  <si>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</si>
  <si>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</si>
  <si>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</si>
  <si>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</si>
  <si>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</si>
  <si>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</si>
  <si>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</si>
  <si>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</si>
  <si>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</si>
  <si>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</si>
  <si>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</si>
  <si>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</si>
  <si>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</si>
  <si>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</si>
  <si>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</si>
  <si>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</si>
  <si>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</si>
  <si>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</si>
  <si>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</si>
  <si>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</si>
  <si>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</si>
  <si>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</si>
  <si>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</si>
  <si>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</si>
  <si>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</si>
  <si>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</si>
  <si>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</si>
  <si>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</si>
  <si>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</si>
  <si>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</si>
  <si>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</si>
  <si>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</si>
  <si>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</si>
  <si>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</si>
  <si>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</si>
  <si>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</si>
  <si>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</si>
  <si>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</si>
  <si>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</si>
  <si>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</si>
  <si>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</si>
  <si>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</si>
  <si>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</si>
  <si>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</si>
  <si>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</si>
  <si>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</si>
  <si>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</si>
  <si>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</si>
  <si>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</si>
  <si>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</si>
  <si>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</si>
  <si>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</si>
  <si>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</si>
  <si>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</si>
  <si>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</si>
  <si>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</si>
  <si>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</si>
  <si>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</si>
  <si>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</si>
  <si>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</si>
  <si>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</si>
  <si>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</si>
  <si>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</si>
  <si>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</si>
  <si>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</si>
  <si>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</si>
  <si>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</si>
  <si>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</si>
  <si>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</si>
  <si>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</si>
  <si>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</si>
  <si>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</si>
  <si>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</si>
  <si>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</si>
  <si>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</si>
  <si>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</si>
  <si>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</si>
  <si>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</si>
  <si>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</si>
  <si>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</si>
  <si>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</si>
  <si>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</si>
  <si>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</si>
  <si>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</si>
  <si>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</si>
  <si>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</si>
  <si>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</si>
  <si>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</si>
  <si>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</si>
  <si>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</si>
  <si>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</si>
  <si>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</si>
  <si>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</si>
  <si>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</si>
  <si>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</si>
  <si>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</si>
  <si>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</si>
  <si>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</si>
  <si>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</si>
  <si>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</si>
  <si>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</si>
  <si>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</si>
  <si>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</si>
  <si>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</si>
  <si>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</si>
  <si>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</si>
  <si>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</si>
  <si>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</si>
  <si>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</si>
  <si>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</si>
  <si>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</si>
  <si>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</si>
  <si>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</si>
  <si>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</si>
  <si>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</si>
  <si>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</si>
  <si>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</si>
  <si>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</si>
  <si>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</si>
  <si>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</si>
  <si>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</si>
  <si>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</si>
  <si>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</si>
  <si>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</si>
  <si>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</si>
  <si>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</si>
  <si>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</si>
  <si>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</si>
  <si>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</si>
  <si>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</si>
  <si>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</si>
  <si>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</si>
  <si>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</si>
  <si>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</si>
  <si>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</si>
  <si>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</si>
  <si>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</si>
  <si>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</si>
  <si>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</si>
  <si>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</si>
  <si>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</si>
  <si>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</si>
  <si>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</si>
  <si>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</si>
  <si>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</si>
  <si>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</si>
  <si>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</si>
  <si>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</si>
  <si>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</si>
  <si>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</si>
  <si>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</si>
  <si>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</si>
  <si>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</si>
  <si>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</si>
  <si>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</si>
  <si>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</si>
  <si>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</si>
  <si>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</si>
  <si>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</si>
  <si>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</si>
  <si>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</si>
  <si>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</si>
  <si>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</si>
  <si>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</si>
  <si>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</si>
  <si>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</si>
  <si>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</si>
  <si>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</si>
  <si>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</si>
  <si>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</si>
  <si>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</si>
  <si>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</si>
  <si>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</si>
  <si>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</si>
  <si>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</si>
  <si>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</si>
  <si>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</si>
  <si>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</si>
  <si>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</si>
  <si>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</si>
  <si>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</si>
  <si>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</si>
  <si>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</si>
  <si>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</si>
  <si>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</si>
  <si>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</si>
  <si>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</si>
  <si>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</si>
  <si>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</si>
  <si>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</si>
  <si>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</si>
  <si>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</si>
  <si>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</si>
  <si>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</si>
  <si>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</si>
  <si>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</si>
  <si>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</si>
  <si>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</si>
  <si>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</si>
  <si>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</si>
  <si>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</si>
  <si>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</si>
  <si>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</si>
  <si>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</si>
  <si>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</si>
  <si>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</si>
  <si>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</si>
  <si>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</si>
  <si>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</si>
  <si>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</si>
  <si>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</si>
  <si>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</si>
  <si>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</si>
  <si>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</si>
  <si>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</si>
  <si>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</si>
  <si>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</si>
  <si>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</si>
  <si>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</si>
  <si>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</si>
  <si>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</si>
  <si>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</si>
  <si>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</si>
  <si>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</si>
  <si>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</si>
  <si>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</si>
  <si>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</si>
  <si>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</si>
  <si>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</si>
  <si>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</si>
  <si>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</si>
  <si>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</si>
  <si>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</si>
  <si>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</si>
  <si>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</si>
  <si>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</si>
  <si>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</si>
  <si>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</si>
  <si>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</si>
  <si>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</si>
  <si>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</si>
  <si>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</si>
  <si>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</si>
  <si>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</si>
  <si>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</si>
  <si>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</si>
  <si>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</si>
  <si>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</si>
  <si>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</si>
  <si>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</si>
  <si>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</si>
  <si>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</si>
  <si>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</si>
  <si>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</si>
  <si>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</si>
  <si>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</si>
  <si>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</si>
  <si>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</si>
  <si>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</si>
  <si>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</si>
  <si>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</si>
  <si>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</si>
  <si>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</si>
  <si>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</si>
  <si>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</si>
  <si>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</si>
  <si>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</si>
  <si>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</si>
  <si>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</si>
  <si>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</si>
  <si>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</si>
  <si>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</si>
  <si>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</si>
  <si>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</si>
  <si>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</si>
  <si>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</si>
  <si>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</si>
  <si>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</si>
  <si>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</si>
  <si>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</si>
  <si>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</si>
  <si>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</si>
  <si>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</si>
  <si>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</si>
  <si>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</si>
  <si>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</si>
  <si>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</si>
  <si>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</si>
  <si>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</si>
  <si>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</si>
  <si>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</si>
  <si>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</si>
  <si>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</si>
  <si>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</si>
  <si>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</si>
  <si>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</si>
  <si>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</si>
  <si>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</si>
  <si>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</si>
  <si>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</si>
  <si>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</si>
  <si>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</si>
  <si>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</si>
  <si>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</si>
  <si>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</si>
  <si>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</si>
  <si>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</si>
  <si>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</si>
  <si>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</si>
  <si>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</si>
  <si>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</si>
  <si>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</si>
  <si>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</si>
  <si>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</si>
  <si>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</si>
  <si>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</si>
  <si>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</si>
  <si>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</si>
  <si>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</si>
  <si>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</si>
  <si>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</si>
  <si>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</si>
  <si>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</si>
  <si>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</si>
  <si>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</si>
  <si>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</si>
  <si>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</si>
  <si>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</si>
  <si>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</si>
  <si>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</si>
  <si>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</si>
  <si>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</si>
  <si>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</si>
  <si>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</si>
  <si>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</si>
  <si>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</si>
  <si>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</si>
  <si>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</si>
  <si>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</si>
  <si>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</si>
  <si>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</si>
  <si>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</si>
  <si>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</si>
  <si>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</si>
  <si>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</si>
  <si>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</si>
  <si>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</si>
  <si>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</si>
  <si>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</si>
  <si>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</si>
  <si>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</si>
  <si>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</si>
  <si>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</si>
  <si>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</si>
  <si>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</si>
  <si>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</si>
  <si>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</si>
  <si>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</si>
  <si>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</si>
  <si>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</si>
  <si>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</si>
  <si>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</si>
  <si>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</si>
  <si>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</si>
  <si>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</si>
  <si>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</si>
  <si>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</si>
  <si>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</si>
  <si>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</si>
  <si>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</si>
  <si>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</si>
  <si>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</si>
  <si>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</si>
  <si>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</si>
  <si>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</si>
  <si>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</si>
  <si>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</si>
  <si>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</si>
  <si>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</si>
  <si>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</si>
  <si>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</si>
  <si>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</si>
  <si>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</si>
  <si>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</si>
  <si>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</si>
  <si>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</si>
  <si>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</si>
  <si>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</si>
  <si>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</si>
  <si>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</si>
  <si>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</si>
  <si>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</si>
  <si>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</si>
  <si>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</si>
  <si>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</si>
  <si>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</si>
  <si>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</si>
  <si>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</si>
  <si>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</si>
  <si>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</si>
  <si>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</si>
  <si>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</si>
  <si>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</si>
  <si>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</si>
  <si>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</si>
  <si>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</si>
  <si>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</si>
  <si>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</si>
  <si>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</si>
  <si>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</si>
  <si>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</si>
  <si>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</si>
  <si>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</si>
  <si>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</si>
  <si>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</si>
  <si>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</si>
  <si>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</si>
  <si>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</si>
  <si>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</si>
  <si>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</si>
  <si>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</si>
  <si>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</si>
  <si>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</si>
  <si>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</si>
  <si>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</si>
  <si>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</si>
  <si>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</si>
  <si>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</si>
  <si>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</si>
  <si>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</si>
  <si>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</si>
  <si>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</si>
  <si>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</si>
  <si>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</si>
  <si>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</si>
  <si>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</si>
  <si>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</si>
  <si>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</si>
  <si>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</si>
  <si>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</si>
  <si>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</si>
  <si>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</si>
  <si>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</si>
  <si>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</si>
  <si>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</si>
  <si>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</si>
  <si>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</si>
  <si>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</si>
  <si>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</si>
  <si>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</si>
  <si>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</si>
  <si>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</si>
  <si>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</si>
  <si>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</si>
  <si>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</si>
  <si>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</si>
  <si>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</si>
  <si>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</si>
  <si>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</si>
  <si>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</si>
  <si>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</si>
  <si>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</si>
  <si>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</si>
  <si>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</si>
  <si>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</si>
  <si>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</si>
  <si>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</si>
  <si>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</si>
  <si>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</si>
  <si>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</si>
  <si>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</si>
  <si>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</si>
  <si>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</si>
  <si>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</si>
  <si>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</si>
  <si>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</si>
  <si>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</si>
  <si>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</si>
  <si>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</si>
  <si>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</si>
  <si>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</si>
  <si>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</si>
  <si>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</si>
  <si>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</si>
  <si>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</si>
  <si>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</si>
  <si>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</si>
  <si>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</si>
  <si>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</si>
  <si>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</si>
  <si>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</si>
  <si>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</si>
  <si>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</si>
  <si>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</si>
  <si>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</si>
  <si>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</si>
  <si>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</si>
  <si>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</si>
  <si>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</si>
  <si>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</si>
  <si>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</si>
  <si>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</si>
  <si>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</si>
  <si>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</si>
  <si>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</si>
  <si>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</si>
  <si>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</si>
  <si>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</si>
  <si>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</si>
  <si>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</si>
  <si>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</si>
  <si>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</si>
  <si>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</si>
  <si>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</si>
  <si>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</si>
  <si>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</si>
  <si>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</si>
  <si>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</si>
  <si>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</si>
  <si>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</si>
  <si>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</si>
  <si>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</si>
  <si>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</si>
  <si>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</si>
  <si>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</si>
  <si>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</si>
  <si>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</si>
  <si>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</si>
  <si>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</si>
  <si>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</si>
  <si>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</si>
  <si>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</si>
  <si>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</si>
  <si>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</si>
  <si>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</si>
  <si>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</si>
  <si>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</si>
  <si>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</si>
  <si>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</si>
  <si>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</si>
  <si>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</si>
  <si>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</si>
  <si>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</si>
  <si>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</si>
  <si>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</si>
  <si>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</si>
  <si>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</si>
  <si>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</si>
  <si>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</si>
  <si>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</si>
  <si>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</si>
  <si>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</si>
  <si>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</si>
  <si>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</si>
  <si>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</si>
  <si>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</si>
  <si>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</si>
  <si>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</si>
  <si>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</si>
  <si>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</si>
  <si>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</si>
  <si>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</si>
  <si>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</si>
  <si>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</si>
  <si>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</si>
  <si>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</si>
  <si>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</si>
  <si>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</si>
  <si>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</si>
  <si>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</si>
  <si>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</si>
  <si>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</si>
  <si>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</si>
  <si>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</si>
  <si>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</si>
  <si>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</si>
  <si>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</si>
  <si>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</si>
  <si>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</si>
  <si>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</si>
  <si>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</si>
  <si>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</si>
  <si>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</si>
  <si>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</si>
  <si>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</si>
  <si>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</si>
  <si>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</si>
  <si>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</si>
  <si>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</si>
  <si>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</si>
  <si>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</si>
  <si>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</si>
  <si>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</si>
  <si>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</si>
  <si>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</si>
  <si>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</si>
  <si>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</si>
  <si>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</si>
  <si>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</si>
  <si>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</si>
  <si>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</si>
  <si>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</si>
  <si>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</si>
  <si>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</si>
  <si>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</si>
  <si>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</si>
  <si>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</si>
  <si>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</si>
  <si>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</si>
  <si>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</si>
  <si>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</si>
  <si>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</si>
  <si>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</si>
  <si>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</si>
  <si>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</si>
  <si>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</si>
  <si>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</si>
  <si>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</si>
  <si>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</si>
  <si>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</si>
  <si>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</si>
  <si>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</si>
  <si>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</si>
  <si>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</si>
  <si>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</si>
  <si>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</si>
  <si>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</si>
  <si>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</si>
  <si>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</si>
  <si>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</si>
  <si>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</si>
  <si>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</si>
  <si>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</si>
  <si>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</si>
  <si>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</si>
  <si>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</si>
  <si>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</si>
  <si>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</si>
  <si>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</si>
  <si>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</si>
  <si>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</si>
  <si>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</si>
  <si>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</si>
  <si>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</si>
  <si>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</si>
  <si>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</si>
  <si>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</si>
  <si>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</si>
  <si>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</si>
  <si>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</si>
  <si>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</si>
  <si>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</si>
  <si>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</si>
  <si>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</si>
  <si>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</si>
  <si>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</si>
  <si>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</si>
  <si>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</si>
  <si>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</si>
  <si>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</si>
  <si>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</si>
  <si>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</si>
  <si>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</si>
  <si>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</si>
  <si>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</si>
  <si>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</si>
  <si>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</si>
  <si>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</si>
  <si>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</si>
  <si>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</si>
  <si>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</si>
  <si>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</si>
  <si>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</si>
  <si>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</si>
  <si>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</si>
  <si>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</si>
  <si>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</si>
  <si>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</si>
  <si>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</si>
  <si>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</si>
  <si>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</si>
  <si>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</si>
  <si>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</si>
  <si>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</si>
  <si>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</si>
  <si>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</si>
  <si>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</si>
  <si>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</si>
  <si>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</si>
  <si>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</si>
  <si>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</si>
  <si>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</si>
  <si>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</si>
  <si>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</si>
  <si>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</si>
  <si>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</si>
  <si>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</si>
  <si>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</si>
  <si>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</si>
  <si>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</si>
  <si>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</si>
  <si>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</si>
  <si>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</si>
  <si>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</si>
  <si>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</si>
  <si>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</si>
  <si>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</si>
  <si>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</si>
  <si>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</si>
  <si>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</si>
  <si>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</si>
  <si>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</si>
  <si>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</si>
  <si>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</si>
  <si>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</si>
  <si>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</si>
  <si>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</si>
  <si>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</si>
  <si>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</si>
  <si>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</si>
  <si>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</si>
  <si>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</si>
  <si>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</si>
  <si>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</si>
  <si>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</si>
  <si>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</si>
  <si>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</si>
  <si>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</si>
  <si>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</si>
  <si>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</si>
  <si>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</si>
  <si>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</si>
  <si>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</si>
  <si>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</si>
  <si>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</si>
  <si>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</si>
  <si>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</si>
  <si>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</si>
  <si>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</si>
  <si>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</si>
  <si>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</si>
  <si>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</si>
  <si>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</si>
  <si>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</si>
  <si>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</si>
  <si>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</si>
  <si>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</si>
  <si>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</si>
  <si>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</si>
  <si>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</si>
  <si>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</si>
  <si>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</si>
  <si>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</si>
  <si>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</si>
  <si>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</si>
  <si>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</si>
  <si>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</si>
  <si>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</si>
  <si>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</si>
  <si>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</si>
  <si>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</si>
  <si>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</si>
  <si>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</si>
  <si>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</si>
  <si>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</si>
  <si>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</si>
  <si>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</si>
  <si>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</si>
  <si>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</si>
  <si>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</si>
  <si>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</si>
  <si>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</si>
  <si>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</si>
  <si>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</si>
  <si>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</si>
  <si>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</si>
  <si>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</si>
  <si>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</si>
  <si>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</si>
  <si>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</si>
  <si>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</si>
  <si>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</si>
  <si>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</si>
  <si>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</si>
  <si>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</si>
  <si>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</si>
  <si>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</si>
  <si>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</si>
  <si>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</si>
  <si>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</si>
  <si>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</si>
  <si>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</si>
  <si>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</si>
  <si>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</si>
  <si>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</si>
  <si>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</si>
  <si>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</si>
  <si>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</si>
  <si>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</si>
  <si>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</si>
  <si>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</si>
  <si>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</si>
  <si>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</si>
  <si>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</si>
  <si>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</si>
  <si>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</si>
  <si>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</si>
  <si>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</si>
  <si>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</si>
  <si>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</si>
  <si>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</si>
  <si>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</si>
  <si>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</si>
  <si>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</si>
  <si>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</si>
  <si>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</si>
  <si>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</si>
  <si>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</si>
  <si>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</si>
  <si>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</si>
  <si>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</si>
  <si>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</si>
  <si>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</si>
  <si>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</si>
  <si>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</si>
  <si>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</si>
  <si>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</si>
  <si>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</si>
  <si>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</si>
  <si>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</si>
  <si>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</si>
  <si>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</si>
  <si>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</si>
  <si>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</si>
  <si>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</si>
  <si>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</si>
  <si>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</si>
  <si>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</si>
  <si>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</si>
  <si>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</si>
  <si>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</si>
  <si>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</si>
  <si>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</si>
  <si>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</si>
  <si>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</si>
  <si>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</si>
  <si>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</si>
  <si>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</si>
  <si>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</si>
  <si>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</si>
  <si>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</si>
  <si>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</si>
  <si>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</si>
  <si>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</si>
  <si>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</si>
  <si>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</si>
  <si>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</si>
  <si>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</si>
  <si>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</si>
  <si>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</si>
  <si>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</si>
  <si>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</si>
  <si>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</si>
  <si>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</si>
  <si>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</si>
  <si>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</si>
  <si>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</si>
  <si>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</si>
  <si>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</si>
  <si>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</si>
  <si>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</si>
  <si>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</si>
  <si>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</si>
  <si>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</si>
  <si>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</si>
  <si>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</si>
  <si>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</si>
  <si>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</si>
  <si>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</si>
  <si>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</si>
  <si>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</si>
  <si>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</si>
  <si>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</si>
  <si>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</si>
  <si>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</si>
  <si>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</si>
  <si>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</si>
  <si>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</si>
  <si>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</si>
  <si>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</si>
  <si>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</si>
  <si>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</si>
  <si>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</si>
  <si>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</si>
  <si>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</si>
  <si>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</si>
  <si>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</si>
  <si>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</si>
  <si>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</si>
  <si>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</si>
  <si>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</si>
  <si>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</si>
  <si>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</si>
  <si>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</si>
  <si>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</si>
  <si>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</si>
  <si>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</si>
  <si>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</si>
  <si>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</si>
  <si>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</si>
  <si>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</si>
  <si>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</si>
  <si>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</si>
  <si>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</si>
  <si>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</si>
  <si>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</si>
  <si>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</si>
  <si>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</si>
  <si>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</si>
  <si>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</si>
  <si>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</si>
  <si>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</si>
  <si>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</si>
  <si>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</si>
  <si>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</si>
  <si>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</si>
  <si>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</si>
  <si>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</si>
  <si>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</si>
  <si>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</si>
  <si>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</si>
  <si>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</si>
  <si>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</si>
  <si>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</si>
  <si>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</si>
  <si>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</si>
  <si>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</si>
  <si>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</si>
  <si>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</si>
  <si>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</si>
  <si>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</si>
  <si>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</si>
  <si>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</si>
  <si>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</si>
  <si>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</si>
  <si>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</si>
  <si>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</si>
  <si>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</si>
  <si>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</si>
  <si>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</si>
  <si>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</si>
  <si>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</si>
  <si>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</si>
  <si>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</si>
  <si>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</si>
  <si>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</si>
  <si>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</si>
  <si>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</si>
  <si>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</si>
  <si>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</si>
  <si>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</si>
  <si>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</si>
  <si>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</si>
  <si>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</si>
  <si>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</si>
  <si>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</si>
  <si>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</si>
  <si>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</si>
  <si>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</si>
  <si>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</si>
  <si>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</si>
  <si>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</si>
  <si>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</si>
  <si>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</si>
  <si>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</si>
  <si>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</si>
  <si>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</si>
  <si>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</si>
  <si>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</si>
  <si>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</si>
  <si>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</si>
  <si>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</si>
  <si>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</si>
  <si>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</si>
  <si>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</si>
  <si>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</si>
  <si>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</si>
  <si>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</si>
  <si>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</si>
  <si>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</si>
  <si>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</si>
  <si>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</si>
  <si>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</si>
  <si>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</si>
  <si>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</si>
  <si>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</si>
  <si>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</si>
  <si>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</si>
  <si>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</si>
  <si>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</si>
  <si>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</si>
  <si>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</si>
  <si>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</si>
  <si>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</si>
  <si>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</si>
  <si>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</si>
  <si>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</si>
  <si>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</si>
  <si>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</si>
  <si>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</si>
  <si>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</si>
  <si>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</si>
  <si>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</si>
  <si>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</si>
  <si>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</si>
  <si>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</si>
  <si>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</si>
  <si>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</si>
  <si>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</si>
  <si>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</si>
  <si>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</si>
  <si>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</si>
  <si>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</si>
  <si>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</si>
  <si>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</si>
  <si>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</si>
  <si>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</si>
  <si>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</si>
  <si>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</si>
  <si>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</si>
  <si>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</si>
  <si>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</si>
  <si>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</si>
  <si>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</si>
  <si>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</si>
  <si>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</si>
  <si>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</si>
  <si>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</si>
  <si>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</si>
  <si>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</si>
  <si>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</si>
  <si>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</si>
  <si>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</si>
  <si>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</si>
  <si>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</si>
  <si>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</si>
  <si>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</si>
  <si>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</si>
  <si>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</si>
  <si>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</si>
  <si>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</si>
  <si>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</si>
  <si>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</si>
  <si>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</si>
  <si>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</si>
  <si>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</si>
  <si>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</si>
  <si>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</si>
  <si>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</si>
  <si>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</si>
  <si>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</si>
  <si>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</si>
  <si>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</si>
  <si>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</si>
  <si>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</si>
  <si>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</si>
  <si>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</si>
  <si>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</si>
  <si>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</si>
  <si>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</si>
  <si>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</si>
  <si>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</si>
  <si>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</si>
  <si>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</si>
  <si>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</si>
  <si>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</si>
  <si>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</si>
  <si>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</si>
  <si>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</si>
  <si>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</si>
  <si>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</si>
  <si>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</si>
  <si>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</si>
  <si>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</si>
  <si>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</si>
  <si>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</si>
  <si>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</si>
  <si>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</si>
  <si>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</si>
  <si>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</si>
  <si>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</si>
  <si>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</si>
  <si>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</si>
  <si>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</si>
  <si>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</si>
  <si>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</si>
  <si>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</si>
  <si>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</si>
  <si>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</si>
  <si>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</si>
  <si>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</si>
  <si>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</si>
  <si>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</si>
  <si>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</si>
  <si>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</si>
  <si>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</si>
  <si>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</si>
  <si>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</si>
  <si>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</si>
  <si>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</si>
  <si>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</si>
  <si>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</si>
  <si>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</si>
  <si>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</si>
  <si>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</si>
  <si>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</si>
  <si>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</si>
  <si>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</si>
  <si>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</si>
  <si>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</si>
  <si>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</si>
  <si>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</si>
  <si>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</si>
  <si>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</si>
  <si>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</si>
  <si>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</si>
  <si>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</si>
  <si>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</si>
  <si>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</si>
  <si>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</si>
  <si>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</si>
  <si>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</si>
  <si>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</si>
  <si>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</si>
  <si>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</si>
  <si>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</si>
  <si>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</si>
  <si>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</si>
  <si>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</si>
  <si>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</si>
  <si>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</si>
  <si>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</si>
  <si>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</si>
  <si>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</si>
  <si>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</si>
  <si>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</si>
  <si>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</si>
  <si>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</si>
  <si>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</si>
  <si>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</si>
  <si>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</si>
  <si>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</si>
  <si>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</si>
  <si>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</si>
  <si>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</si>
  <si>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</si>
  <si>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</si>
  <si>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</si>
  <si>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</si>
  <si>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</si>
  <si>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</si>
  <si>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</si>
  <si>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</si>
  <si>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</si>
  <si>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</si>
  <si>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</si>
  <si>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</si>
  <si>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</si>
  <si>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</si>
  <si>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</si>
  <si>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</si>
  <si>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</si>
  <si>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</si>
  <si>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</si>
  <si>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</si>
  <si>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</si>
  <si>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</si>
  <si>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</si>
  <si>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</si>
  <si>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</si>
  <si>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</si>
  <si>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</si>
  <si>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</si>
  <si>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</si>
  <si>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</si>
  <si>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</si>
  <si>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</si>
  <si>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</si>
  <si>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</si>
  <si>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</si>
  <si>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</si>
  <si>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</si>
  <si>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</si>
  <si>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</si>
  <si>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</si>
  <si>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</si>
  <si>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</si>
  <si>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</si>
  <si>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</si>
  <si>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</si>
  <si>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</si>
  <si>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</si>
  <si>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</si>
  <si>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</si>
  <si>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</si>
  <si>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</si>
  <si>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</si>
  <si>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</si>
  <si>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</si>
  <si>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</si>
  <si>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</si>
  <si>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</si>
  <si>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</si>
  <si>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</si>
  <si>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</si>
  <si>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</si>
  <si>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</si>
  <si>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</si>
  <si>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</si>
  <si>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</si>
  <si>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</si>
  <si>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</si>
  <si>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</si>
  <si>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</si>
  <si>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</si>
  <si>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</si>
  <si>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</si>
  <si>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</si>
  <si>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</si>
  <si>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</si>
  <si>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</si>
  <si>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</si>
  <si>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</si>
  <si>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</si>
  <si>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</si>
  <si>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</si>
  <si>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</si>
  <si>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</si>
  <si>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</si>
  <si>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</si>
  <si>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</si>
  <si>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</si>
  <si>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</si>
  <si>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</si>
  <si>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</si>
  <si>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</si>
  <si>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</si>
  <si>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</si>
  <si>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</si>
  <si>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</si>
  <si>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</si>
  <si>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</si>
  <si>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</si>
  <si>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</si>
  <si>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</si>
  <si>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</si>
  <si>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</si>
  <si>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</si>
  <si>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</si>
  <si>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</si>
  <si>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</si>
  <si>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</si>
  <si>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</si>
  <si>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</si>
  <si>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</si>
  <si>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</si>
  <si>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</si>
  <si>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</si>
  <si>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</si>
  <si>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</si>
  <si>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</si>
  <si>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</si>
  <si>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</si>
  <si>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</si>
  <si>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</si>
  <si>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</si>
  <si>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</si>
  <si>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</si>
  <si>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</si>
  <si>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</si>
  <si>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</si>
  <si>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</si>
  <si>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</si>
  <si>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</si>
  <si>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</si>
  <si>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</si>
  <si>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</si>
  <si>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</si>
  <si>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</si>
  <si>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</si>
  <si>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</si>
  <si>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</si>
  <si>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</si>
  <si>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</si>
  <si>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</si>
  <si>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</si>
  <si>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</si>
  <si>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</si>
  <si>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</si>
  <si>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</si>
  <si>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</si>
  <si>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</si>
  <si>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</si>
  <si>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</si>
  <si>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</si>
  <si>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</si>
  <si>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</si>
  <si>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</si>
  <si>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</si>
  <si>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</si>
  <si>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</si>
  <si>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</si>
  <si>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</si>
  <si>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</si>
  <si>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</si>
  <si>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</si>
  <si>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</si>
  <si>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</si>
  <si>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</si>
  <si>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</si>
  <si>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</si>
  <si>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</si>
  <si>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</si>
  <si>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</si>
  <si>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</si>
  <si>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</si>
  <si>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</si>
  <si>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</si>
  <si>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</si>
  <si>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</si>
  <si>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</si>
  <si>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</si>
  <si>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</si>
  <si>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</si>
  <si>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</si>
  <si>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</si>
  <si>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</si>
  <si>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</si>
  <si>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</si>
  <si>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</si>
  <si>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</si>
  <si>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</si>
  <si>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</si>
  <si>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</si>
  <si>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</si>
  <si>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</si>
  <si>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</si>
  <si>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</si>
  <si>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</si>
  <si>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</si>
  <si>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</si>
  <si>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</si>
  <si>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</si>
  <si>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</si>
  <si>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</si>
  <si>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</si>
  <si>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</si>
  <si>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</si>
  <si>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</si>
  <si>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</si>
  <si>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</si>
  <si>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</si>
  <si>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</si>
  <si>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</si>
  <si>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</si>
  <si>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</si>
  <si>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</si>
  <si>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</si>
  <si>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</si>
  <si>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</si>
  <si>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</si>
  <si>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</si>
  <si>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</si>
  <si>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</si>
  <si>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</si>
  <si>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</si>
  <si>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</si>
  <si>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</si>
  <si>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</si>
  <si>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</si>
  <si>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</si>
  <si>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</si>
  <si>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</si>
  <si>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</si>
  <si>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</si>
  <si>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</si>
  <si>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</si>
  <si>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</si>
  <si>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</si>
  <si>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</si>
  <si>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</si>
  <si>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</si>
  <si>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</si>
  <si>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</si>
  <si>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</si>
  <si>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</si>
  <si>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</si>
  <si>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</si>
  <si>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</si>
  <si>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</si>
  <si>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</si>
  <si>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</si>
  <si>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</si>
  <si>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</si>
  <si>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</si>
  <si>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</si>
  <si>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</si>
  <si>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</si>
  <si>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</si>
  <si>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</si>
  <si>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</si>
  <si>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</si>
  <si>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</si>
  <si>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</si>
  <si>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</si>
  <si>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</si>
  <si>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</si>
  <si>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</si>
  <si>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</si>
  <si>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</si>
  <si>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</si>
  <si>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</si>
  <si>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</si>
  <si>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</si>
  <si>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</si>
  <si>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</si>
  <si>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</si>
  <si>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</si>
  <si>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</si>
  <si>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</si>
  <si>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</si>
  <si>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</si>
  <si>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</si>
  <si>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</si>
  <si>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</si>
  <si>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</si>
  <si>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</si>
  <si>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</si>
  <si>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</si>
  <si>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</si>
  <si>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</si>
  <si>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</si>
  <si>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</si>
  <si>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</si>
  <si>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</si>
  <si>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</si>
  <si>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</si>
  <si>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</si>
  <si>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</si>
  <si>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</si>
  <si>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</si>
  <si>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</si>
  <si>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</si>
  <si>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</si>
  <si>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</si>
  <si>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</si>
  <si>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</si>
  <si>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</si>
  <si>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</si>
  <si>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</si>
  <si>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</si>
  <si>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</si>
  <si>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</si>
  <si>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</si>
  <si>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</si>
  <si>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</si>
  <si>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</si>
  <si>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</si>
  <si>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</si>
  <si>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</si>
  <si>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</si>
  <si>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</si>
  <si>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</si>
  <si>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</si>
  <si>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</si>
  <si>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</si>
  <si>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</si>
  <si>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</si>
  <si>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</si>
  <si>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</si>
  <si>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</si>
  <si>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</si>
  <si>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</si>
  <si>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</si>
  <si>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</si>
  <si>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</si>
  <si>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</si>
  <si>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</si>
  <si>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</si>
  <si>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</si>
  <si>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</si>
  <si>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</si>
  <si>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</si>
  <si>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</si>
  <si>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</si>
  <si>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</si>
  <si>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</si>
  <si>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</si>
  <si>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</si>
  <si>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</si>
  <si>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</si>
  <si>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</si>
  <si>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</si>
  <si>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</si>
  <si>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</si>
  <si>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</si>
  <si>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</si>
  <si>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</si>
  <si>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</si>
  <si>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</si>
  <si>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</si>
  <si>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</si>
  <si>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</si>
  <si>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</si>
  <si>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</si>
  <si>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</si>
  <si>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</si>
  <si>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</si>
  <si>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</si>
  <si>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</si>
  <si>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</si>
  <si>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</si>
  <si>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</si>
  <si>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</si>
  <si>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</si>
  <si>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</si>
  <si>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</si>
  <si>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</si>
  <si>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</si>
  <si>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</si>
  <si>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</si>
  <si>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</si>
  <si>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</si>
  <si>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</si>
  <si>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</si>
  <si>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</si>
  <si>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</si>
  <si>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</si>
  <si>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</si>
  <si>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</si>
  <si>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</si>
  <si>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</si>
  <si>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</si>
  <si>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</si>
  <si>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</si>
  <si>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</si>
  <si>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</si>
  <si>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</si>
  <si>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</si>
  <si>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</si>
  <si>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</si>
  <si>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</si>
  <si>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</si>
  <si>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</si>
  <si>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</si>
  <si>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</si>
  <si>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</si>
  <si>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</si>
  <si>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</si>
  <si>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</si>
  <si>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</si>
  <si>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</si>
  <si>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</si>
  <si>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</si>
  <si>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</si>
  <si>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</si>
  <si>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</si>
  <si>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</si>
  <si>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</si>
  <si>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</si>
  <si>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</si>
  <si>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</si>
  <si>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</si>
  <si>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</si>
  <si>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</si>
  <si>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</si>
  <si>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</si>
  <si>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</si>
  <si>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</si>
  <si>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</si>
  <si>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</si>
  <si>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</si>
  <si>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</si>
  <si>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</si>
  <si>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</si>
  <si>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</si>
  <si>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</si>
  <si>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</si>
  <si>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</si>
  <si>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</si>
  <si>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</si>
  <si>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</si>
  <si>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</si>
  <si>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</si>
  <si>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</si>
  <si>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</si>
  <si>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</si>
  <si>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</si>
  <si>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</si>
  <si>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</si>
  <si>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</si>
  <si>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</si>
  <si>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</si>
  <si>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</si>
  <si>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</si>
  <si>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</si>
  <si>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</si>
  <si>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</si>
  <si>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</si>
  <si>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</si>
  <si>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</si>
  <si>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</si>
  <si>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</si>
  <si>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</si>
  <si>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</si>
  <si>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</si>
  <si>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</si>
  <si>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</si>
  <si>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</si>
  <si>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</si>
  <si>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</si>
  <si>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</si>
  <si>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</si>
  <si>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</si>
  <si>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</si>
  <si>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</si>
  <si>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</si>
  <si>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</si>
  <si>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</si>
  <si>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</si>
  <si>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</si>
  <si>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</si>
  <si>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</si>
  <si>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</si>
  <si>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</si>
  <si>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</si>
  <si>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</si>
  <si>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</si>
  <si>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</si>
  <si>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</si>
  <si>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</si>
  <si>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</si>
  <si>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</si>
  <si>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</si>
  <si>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</si>
  <si>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</si>
  <si>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</si>
  <si>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</si>
  <si>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</si>
  <si>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</si>
  <si>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</si>
  <si>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</si>
  <si>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</si>
  <si>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</si>
  <si>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</si>
  <si>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</si>
  <si>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</si>
  <si>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</si>
  <si>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</si>
  <si>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</si>
  <si>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</si>
  <si>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</si>
  <si>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</si>
  <si>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</si>
  <si>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</si>
  <si>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</si>
  <si>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</si>
  <si>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</si>
  <si>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</si>
  <si>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</si>
  <si>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</si>
  <si>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</si>
  <si>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</si>
  <si>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</si>
  <si>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</si>
  <si>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</si>
  <si>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</si>
  <si>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</si>
  <si>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</si>
  <si>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</si>
  <si>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</si>
  <si>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</si>
  <si>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</si>
  <si>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</si>
  <si>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</si>
  <si>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</si>
  <si>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</si>
  <si>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</si>
  <si>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</si>
  <si>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</si>
  <si>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</si>
  <si>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</si>
  <si>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</si>
  <si>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</si>
  <si>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</si>
  <si>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</si>
  <si>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</si>
  <si>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</si>
  <si>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</si>
  <si>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</si>
  <si>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</si>
  <si>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</si>
  <si>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</si>
  <si>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</si>
  <si>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</si>
  <si>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</si>
  <si>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</si>
  <si>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</si>
  <si>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</si>
  <si>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</si>
  <si>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</si>
  <si>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</si>
  <si>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</si>
  <si>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</si>
  <si>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</si>
  <si>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</si>
  <si>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</si>
  <si>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</si>
  <si>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</si>
  <si>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</si>
  <si>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</si>
  <si>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</si>
  <si>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</si>
  <si>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</si>
  <si>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</si>
  <si>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</si>
  <si>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</si>
  <si>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</si>
  <si>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</si>
  <si>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</si>
  <si>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</si>
  <si>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</si>
  <si>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</si>
  <si>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</si>
  <si>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</si>
  <si>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</si>
  <si>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</si>
  <si>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</si>
  <si>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</si>
  <si>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</si>
  <si>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</si>
  <si>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</si>
  <si>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</si>
  <si>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</si>
  <si>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</si>
  <si>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</si>
  <si>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</si>
  <si>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</si>
  <si>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</si>
  <si>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</si>
  <si>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</si>
  <si>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</si>
  <si>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</si>
  <si>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</si>
  <si>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</si>
  <si>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</si>
  <si>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</si>
  <si>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</si>
  <si>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</si>
  <si>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</si>
  <si>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</si>
  <si>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</si>
  <si>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</si>
  <si>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</si>
  <si>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</si>
  <si>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</si>
  <si>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</si>
  <si>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</si>
  <si>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</si>
  <si>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</si>
  <si>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</si>
  <si>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</si>
  <si>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</si>
  <si>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</si>
  <si>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</si>
  <si>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</si>
  <si>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</si>
  <si>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</si>
  <si>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</si>
  <si>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</si>
  <si>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</si>
  <si>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</si>
  <si>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</si>
  <si>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</si>
  <si>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</si>
  <si>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</si>
  <si>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</si>
  <si>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</si>
  <si>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</si>
  <si>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</si>
  <si>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</si>
  <si>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</si>
  <si>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</si>
  <si>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</si>
  <si>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</si>
  <si>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</si>
  <si>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</si>
  <si>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</si>
  <si>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</si>
  <si>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</si>
  <si>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</si>
  <si>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</si>
  <si>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</si>
  <si>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</si>
  <si>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</si>
  <si>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</si>
  <si>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</si>
  <si>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</si>
  <si>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</si>
  <si>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</si>
  <si>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</si>
  <si>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</si>
  <si>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</si>
  <si>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</si>
  <si>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</si>
  <si>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</si>
  <si>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</si>
  <si>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</si>
  <si>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</si>
  <si>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</si>
  <si>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</si>
  <si>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</si>
  <si>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</si>
  <si>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</si>
  <si>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</si>
  <si>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</si>
  <si>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</si>
  <si>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</si>
  <si>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</si>
  <si>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</si>
  <si>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</si>
  <si>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</si>
  <si>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</si>
  <si>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</si>
  <si>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</si>
  <si>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</si>
  <si>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</si>
  <si>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</si>
  <si>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</si>
  <si>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</si>
  <si>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</si>
  <si>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</si>
  <si>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</si>
  <si>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</si>
  <si>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</si>
  <si>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</si>
  <si>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</si>
  <si>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</si>
  <si>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</si>
  <si>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</si>
  <si>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</si>
  <si>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</si>
  <si>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</si>
  <si>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</si>
  <si>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</si>
  <si>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</si>
  <si>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</si>
  <si>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</si>
  <si>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</si>
  <si>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</si>
  <si>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</si>
  <si>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</si>
  <si>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</si>
  <si>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</si>
  <si>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</si>
  <si>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</si>
  <si>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</si>
  <si>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</si>
  <si>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</si>
  <si>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</si>
  <si>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</si>
  <si>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</si>
  <si>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</si>
  <si>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</si>
  <si>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</si>
  <si>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</si>
  <si>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</si>
  <si>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</si>
  <si>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</si>
  <si>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</si>
  <si>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</si>
  <si>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</si>
  <si>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</si>
  <si>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</si>
  <si>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</si>
  <si>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</si>
  <si>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</si>
  <si>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</si>
  <si>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</si>
  <si>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</si>
  <si>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</si>
  <si>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</si>
  <si>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</si>
  <si>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</si>
  <si>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</si>
  <si>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</si>
  <si>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</si>
  <si>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</si>
  <si>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</si>
  <si>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</si>
  <si>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</si>
  <si>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</si>
  <si>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</si>
  <si>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</si>
  <si>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</si>
  <si>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</si>
  <si>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</si>
  <si>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</si>
  <si>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</si>
  <si>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</si>
  <si>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</si>
  <si>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</si>
  <si>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</si>
  <si>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</si>
  <si>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</si>
  <si>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</si>
  <si>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</si>
  <si>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</si>
  <si>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</si>
  <si>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</si>
  <si>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</si>
  <si>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</si>
  <si>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</si>
  <si>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</si>
  <si>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</si>
  <si>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</si>
  <si>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</si>
  <si>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</si>
  <si>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</si>
  <si>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</si>
  <si>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</si>
  <si>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</si>
  <si>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</si>
  <si>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</si>
  <si>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</si>
  <si>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</si>
  <si>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</si>
  <si>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</si>
  <si>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</si>
  <si>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</si>
  <si>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</si>
  <si>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</si>
  <si>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</si>
  <si>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</si>
  <si>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</si>
  <si>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</si>
  <si>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</si>
  <si>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</si>
  <si>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</si>
  <si>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</si>
  <si>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</si>
  <si>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</si>
  <si>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</si>
  <si>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</si>
  <si>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</si>
  <si>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</si>
  <si>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</si>
  <si>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</si>
  <si>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</si>
  <si>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</si>
  <si>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</si>
  <si>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</si>
  <si>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</si>
  <si>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</si>
  <si>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</si>
  <si>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</si>
  <si>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</si>
  <si>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</si>
  <si>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</si>
  <si>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</si>
  <si>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</si>
  <si>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</si>
  <si>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</si>
  <si>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</si>
  <si>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</si>
  <si>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</si>
  <si>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</si>
  <si>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</si>
  <si>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</si>
  <si>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</si>
  <si>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</si>
  <si>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</si>
  <si>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</si>
  <si>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</si>
  <si>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</si>
  <si>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</si>
  <si>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</si>
  <si>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</si>
  <si>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</si>
  <si>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</si>
  <si>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</si>
  <si>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</si>
  <si>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</si>
  <si>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</si>
  <si>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</si>
  <si>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</si>
  <si>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</si>
  <si>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</si>
  <si>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</si>
  <si>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</si>
  <si>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</si>
  <si>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</si>
  <si>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</si>
  <si>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</si>
  <si>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</si>
  <si>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</si>
  <si>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</si>
  <si>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</si>
  <si>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</si>
  <si>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</si>
  <si>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</si>
  <si>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</si>
  <si>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</si>
  <si>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</si>
  <si>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</si>
  <si>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</si>
  <si>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</si>
  <si>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</si>
  <si>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</si>
  <si>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</si>
  <si>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</si>
  <si>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</si>
  <si>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</si>
  <si>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</si>
  <si>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</si>
  <si>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</si>
  <si>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</si>
  <si>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</si>
  <si>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</si>
  <si>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</si>
  <si>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</si>
  <si>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</si>
  <si>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</si>
  <si>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</si>
  <si>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</si>
  <si>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</si>
  <si>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</si>
  <si>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</si>
  <si>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</si>
  <si>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</si>
  <si>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</si>
  <si>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</si>
  <si>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</si>
  <si>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</si>
  <si>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</si>
  <si>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</si>
  <si>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</si>
  <si>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</si>
  <si>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</si>
  <si>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</si>
  <si>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</si>
  <si>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</si>
  <si>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</si>
  <si>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</si>
  <si>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</si>
  <si>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</si>
  <si>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</si>
  <si>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</si>
  <si>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</si>
  <si>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</si>
  <si>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</si>
  <si>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</si>
  <si>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</si>
  <si>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</si>
  <si>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</si>
  <si>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</si>
  <si>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</si>
  <si>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</si>
  <si>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</si>
  <si>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</si>
  <si>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</si>
  <si>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</si>
  <si>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</si>
  <si>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</si>
  <si>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</si>
  <si>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</si>
  <si>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</si>
  <si>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</si>
  <si>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</si>
  <si>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</si>
  <si>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</si>
  <si>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</si>
  <si>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</si>
  <si>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</si>
  <si>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</si>
  <si>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</si>
  <si>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</si>
  <si>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</si>
  <si>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</si>
  <si>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</si>
  <si>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</si>
  <si>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</si>
  <si>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</si>
  <si>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</si>
  <si>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</si>
  <si>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</si>
  <si>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</si>
  <si>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</si>
  <si>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</si>
  <si>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</si>
  <si>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</si>
  <si>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</si>
  <si>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</si>
  <si>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</si>
  <si>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</si>
  <si>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</si>
  <si>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</si>
  <si>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</si>
  <si>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</si>
  <si>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</si>
  <si>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</si>
  <si>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</si>
  <si>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</si>
  <si>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</si>
  <si>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</si>
  <si>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</si>
  <si>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</si>
  <si>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</si>
  <si>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</si>
  <si>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</si>
  <si>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</si>
  <si>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</si>
  <si>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</si>
  <si>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</si>
  <si>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</si>
  <si>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</si>
  <si>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</si>
  <si>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</si>
  <si>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</si>
  <si>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</si>
  <si>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</si>
  <si>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</si>
  <si>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</si>
  <si>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</si>
  <si>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</si>
  <si>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</si>
  <si>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</si>
  <si>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</si>
  <si>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</si>
  <si>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</si>
  <si>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</si>
  <si>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</si>
  <si>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</si>
  <si>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</si>
  <si>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</si>
  <si>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</si>
  <si>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</si>
  <si>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</si>
  <si>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</si>
  <si>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</si>
  <si>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</si>
  <si>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</si>
  <si>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</si>
  <si>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</si>
  <si>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</si>
  <si>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</si>
  <si>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</si>
  <si>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</si>
  <si>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</si>
  <si>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</si>
  <si>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</si>
  <si>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</si>
  <si>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</si>
  <si>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</si>
  <si>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</si>
  <si>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</si>
  <si>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</si>
  <si>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</si>
  <si>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</si>
  <si>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</si>
  <si>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</si>
  <si>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</si>
  <si>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</si>
  <si>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</si>
  <si>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</si>
  <si>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</si>
  <si>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</si>
  <si>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</si>
  <si>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</si>
  <si>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</si>
  <si>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</si>
  <si>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</si>
  <si>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</si>
  <si>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</si>
  <si>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</si>
  <si>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</si>
  <si>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</si>
  <si>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</si>
  <si>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</si>
  <si>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</si>
  <si>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</si>
  <si>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</si>
  <si>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</si>
  <si>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</si>
  <si>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</si>
  <si>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</si>
  <si>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</si>
  <si>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</si>
  <si>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</si>
  <si>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</si>
  <si>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</si>
  <si>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</si>
  <si>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</si>
  <si>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</si>
  <si>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</si>
  <si>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</si>
  <si>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</si>
  <si>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</si>
  <si>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</si>
  <si>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</si>
  <si>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</si>
  <si>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</si>
  <si>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</si>
  <si>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</si>
  <si>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</si>
  <si>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</si>
  <si>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</si>
  <si>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</si>
  <si>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</si>
  <si>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</si>
  <si>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</si>
  <si>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</si>
  <si>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</si>
  <si>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</si>
  <si>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</si>
  <si>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</si>
  <si>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</si>
  <si>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</si>
  <si>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</si>
  <si>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</si>
  <si>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</si>
  <si>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</si>
  <si>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</si>
  <si>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</si>
  <si>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</si>
  <si>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</si>
  <si>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</si>
  <si>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</si>
  <si>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</si>
  <si>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</si>
  <si>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</si>
  <si>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</si>
  <si>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</si>
  <si>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</si>
  <si>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</si>
  <si>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</si>
  <si>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</si>
  <si>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</si>
  <si>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</si>
  <si>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</si>
  <si>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</si>
  <si>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</si>
  <si>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</si>
  <si>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</si>
  <si>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</si>
  <si>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</si>
  <si>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</si>
  <si>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</si>
  <si>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</si>
  <si>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</si>
  <si>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</si>
  <si>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</si>
  <si>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</si>
  <si>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</si>
  <si>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</si>
  <si>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</si>
  <si>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</si>
  <si>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</si>
  <si>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</si>
  <si>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</si>
  <si>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</si>
  <si>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</si>
  <si>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</si>
  <si>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</si>
  <si>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</si>
  <si>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</si>
  <si>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</si>
  <si>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</si>
  <si>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</si>
  <si>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</si>
  <si>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</si>
  <si>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</si>
  <si>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</si>
  <si>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</si>
  <si>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</si>
  <si>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</si>
  <si>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</si>
  <si>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</si>
  <si>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</si>
  <si>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</si>
  <si>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</si>
  <si>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</si>
  <si>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</si>
  <si>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</si>
  <si>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</si>
  <si>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</si>
  <si>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</si>
  <si>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</si>
  <si>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</si>
  <si>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</si>
  <si>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</si>
  <si>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</si>
  <si>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</si>
  <si>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</si>
  <si>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</si>
  <si>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</si>
  <si>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</si>
  <si>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</si>
  <si>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</si>
  <si>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</si>
  <si>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</si>
  <si>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</si>
  <si>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</si>
  <si>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</si>
  <si>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</si>
  <si>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</si>
  <si>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</si>
  <si>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</si>
  <si>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</si>
  <si>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</si>
  <si>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</si>
  <si>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</si>
  <si>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</si>
  <si>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</si>
  <si>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</si>
  <si>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</si>
  <si>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</si>
  <si>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</si>
  <si>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</si>
  <si>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</si>
  <si>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</si>
  <si>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</si>
  <si>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</si>
  <si>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</si>
  <si>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</si>
  <si>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</si>
  <si>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</si>
  <si>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</si>
  <si>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</si>
  <si>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</si>
  <si>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</si>
  <si>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</si>
  <si>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</si>
  <si>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</si>
  <si>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</si>
  <si>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</si>
  <si>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</si>
  <si>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</si>
  <si>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</si>
  <si>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</si>
  <si>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</si>
  <si>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</si>
  <si>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</si>
  <si>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</si>
  <si>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</si>
  <si>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</si>
  <si>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</si>
  <si>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</si>
  <si>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</si>
  <si>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</si>
  <si>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</si>
  <si>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</si>
  <si>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</si>
  <si>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</si>
  <si>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</si>
  <si>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</si>
  <si>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</si>
  <si>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</si>
  <si>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</si>
  <si>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</si>
  <si>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</si>
  <si>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</si>
  <si>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</si>
  <si>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</si>
  <si>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</si>
  <si>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</si>
  <si>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</si>
  <si>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</si>
  <si>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</si>
  <si>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</si>
  <si>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</si>
  <si>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</si>
  <si>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</si>
  <si>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</si>
  <si>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</si>
  <si>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</si>
  <si>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</si>
  <si>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</si>
  <si>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</si>
  <si>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</si>
  <si>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</si>
  <si>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</si>
  <si>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</si>
  <si>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</si>
  <si>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</si>
  <si>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</si>
  <si>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</si>
  <si>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</si>
  <si>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</si>
  <si>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</si>
  <si>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</si>
  <si>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</si>
  <si>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</si>
  <si>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</si>
  <si>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</si>
  <si>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</si>
  <si>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</si>
  <si>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</si>
  <si>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</si>
  <si>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</si>
  <si>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</si>
  <si>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</si>
  <si>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</si>
  <si>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</si>
  <si>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</si>
  <si>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</si>
  <si>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</si>
  <si>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</si>
  <si>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</si>
  <si>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</si>
  <si>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</si>
  <si>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</si>
  <si>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</si>
  <si>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</si>
  <si>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</si>
  <si>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</si>
  <si>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</si>
  <si>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</si>
  <si>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</si>
  <si>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</si>
  <si>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</si>
  <si>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</si>
  <si>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</si>
  <si>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</si>
  <si>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</si>
  <si>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</si>
  <si>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</si>
  <si>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</si>
  <si>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</si>
  <si>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</si>
  <si>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</si>
  <si>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</si>
  <si>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</si>
  <si>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</si>
  <si>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</si>
  <si>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</si>
  <si>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</si>
  <si>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</si>
  <si>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</si>
  <si>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</si>
  <si>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</si>
  <si>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</si>
  <si>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</si>
  <si>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</si>
  <si>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</si>
  <si>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</si>
  <si>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</si>
  <si>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</si>
  <si>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</si>
  <si>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</si>
  <si>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</si>
  <si>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</si>
  <si>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</si>
  <si>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</si>
  <si>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</si>
  <si>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</si>
  <si>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</si>
  <si>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</si>
  <si>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</si>
  <si>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</si>
  <si>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</si>
  <si>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</si>
  <si>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</si>
  <si>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</si>
  <si>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</si>
  <si>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</si>
  <si>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</si>
  <si>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</si>
  <si>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</si>
  <si>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</si>
  <si>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</si>
  <si>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</si>
  <si>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</si>
  <si>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</si>
  <si>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</si>
  <si>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</si>
  <si>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</si>
  <si>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</si>
  <si>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</si>
  <si>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</si>
  <si>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</si>
  <si>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</si>
  <si>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</si>
  <si>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</si>
  <si>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</si>
  <si>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</si>
  <si>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</si>
  <si>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</si>
  <si>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</si>
  <si>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</si>
  <si>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</si>
  <si>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</si>
  <si>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</si>
  <si>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</si>
  <si>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</si>
  <si>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</si>
  <si>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</si>
  <si>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</si>
  <si>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</si>
  <si>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</si>
  <si>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</si>
  <si>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</si>
  <si>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</si>
  <si>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</si>
  <si>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</si>
  <si>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</si>
  <si>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</si>
  <si>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</si>
  <si>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</si>
  <si>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</si>
  <si>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</si>
  <si>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</si>
  <si>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</si>
  <si>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</si>
  <si>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</si>
  <si>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</si>
  <si>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</si>
  <si>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</si>
  <si>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</si>
  <si>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</si>
  <si>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</si>
  <si>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</si>
  <si>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</si>
  <si>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</si>
  <si>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</si>
  <si>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</si>
  <si>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</si>
  <si>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</si>
  <si>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</si>
  <si>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</si>
  <si>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</si>
  <si>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</si>
  <si>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</si>
  <si>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</si>
  <si>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</si>
  <si>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</si>
  <si>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</si>
  <si>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</si>
  <si>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</si>
  <si>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</si>
  <si>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</si>
  <si>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</si>
  <si>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</si>
  <si>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</si>
  <si>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</si>
  <si>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</si>
  <si>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</si>
  <si>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</si>
  <si>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</si>
  <si>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</si>
  <si>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</si>
  <si>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</si>
  <si>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</si>
  <si>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</si>
  <si>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</si>
  <si>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</si>
  <si>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</si>
  <si>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</si>
  <si>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</si>
  <si>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</si>
  <si>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</si>
  <si>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</si>
  <si>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</si>
  <si>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</si>
  <si>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</si>
  <si>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</si>
  <si>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</si>
  <si>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</si>
  <si>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</si>
  <si>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</si>
  <si>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</si>
  <si>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</si>
  <si>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</si>
  <si>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</si>
  <si>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</si>
  <si>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</si>
  <si>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</si>
  <si>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</si>
  <si>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</si>
  <si>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</si>
  <si>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</si>
  <si>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</si>
  <si>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</si>
  <si>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</si>
  <si>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</si>
  <si>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</si>
  <si>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</si>
  <si>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</si>
  <si>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</si>
  <si>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</si>
  <si>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</si>
  <si>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</si>
  <si>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</si>
  <si>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</si>
  <si>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</si>
  <si>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</si>
  <si>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</si>
  <si>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</si>
  <si>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</si>
  <si>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</si>
  <si>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</si>
  <si>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</si>
  <si>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</si>
  <si>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</si>
  <si>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</si>
  <si>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</si>
  <si>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</si>
  <si>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</si>
  <si>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</si>
  <si>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</si>
  <si>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</si>
  <si>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</si>
  <si>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</si>
  <si>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</si>
  <si>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</si>
  <si>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</si>
  <si>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</si>
  <si>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</si>
  <si>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</si>
  <si>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</si>
  <si>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</si>
  <si>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</si>
  <si>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</si>
  <si>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</si>
  <si>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</si>
  <si>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</si>
  <si>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</si>
  <si>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</si>
  <si>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</si>
  <si>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</si>
  <si>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</si>
  <si>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</si>
  <si>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</si>
  <si>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</si>
  <si>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</si>
  <si>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</si>
  <si>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</si>
  <si>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</si>
  <si>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</si>
  <si>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</si>
  <si>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</si>
  <si>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</si>
  <si>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</si>
  <si>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</si>
  <si>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</si>
  <si>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</si>
  <si>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</si>
  <si>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</si>
  <si>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</si>
  <si>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</si>
  <si>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</si>
  <si>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</si>
  <si>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</si>
  <si>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</si>
  <si>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</si>
  <si>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</si>
  <si>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</si>
  <si>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</si>
  <si>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</si>
  <si>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</si>
  <si>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</si>
  <si>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</si>
  <si>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</si>
  <si>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</si>
  <si>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</si>
  <si>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</si>
  <si>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</si>
  <si>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</si>
  <si>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</si>
  <si>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</si>
  <si>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</si>
  <si>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</si>
  <si>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</si>
  <si>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</si>
  <si>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</si>
  <si>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</si>
  <si>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</si>
  <si>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</si>
  <si>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</si>
  <si>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</si>
  <si>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</si>
  <si>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</si>
  <si>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</si>
  <si>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</si>
  <si>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</si>
  <si>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</si>
  <si>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</si>
  <si>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</si>
  <si>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</si>
  <si>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</si>
  <si>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</si>
  <si>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</si>
  <si>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</si>
  <si>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</si>
  <si>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</si>
  <si>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</si>
  <si>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</si>
  <si>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</si>
  <si>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</si>
  <si>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</si>
  <si>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</si>
  <si>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</si>
  <si>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</si>
  <si>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</si>
  <si>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</si>
  <si>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</si>
  <si>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</si>
  <si>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</si>
  <si>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</si>
  <si>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</si>
  <si>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</si>
  <si>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</si>
  <si>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</si>
  <si>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</si>
  <si>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</si>
  <si>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</si>
  <si>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</si>
  <si>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</si>
  <si>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</si>
  <si>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</si>
  <si>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</si>
  <si>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</si>
  <si>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</si>
  <si>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</si>
  <si>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</si>
  <si>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</si>
  <si>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</si>
  <si>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</si>
  <si>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</si>
  <si>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</si>
  <si>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</si>
  <si>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</si>
  <si>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</si>
  <si>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</si>
  <si>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</si>
  <si>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</si>
  <si>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</si>
  <si>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</si>
  <si>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</si>
  <si>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</si>
  <si>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</si>
  <si>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</si>
  <si>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</si>
  <si>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</si>
  <si>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</si>
  <si>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</si>
  <si>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</si>
  <si>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</si>
  <si>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</si>
  <si>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</si>
  <si>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</si>
  <si>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</si>
  <si>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</si>
  <si>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</si>
  <si>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</si>
  <si>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</si>
  <si>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</si>
  <si>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</si>
  <si>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</si>
  <si>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</si>
  <si>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</si>
  <si>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</si>
  <si>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</si>
  <si>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</si>
  <si>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</si>
  <si>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</si>
  <si>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</si>
  <si>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</si>
  <si>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</si>
  <si>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</si>
  <si>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</si>
  <si>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</si>
  <si>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</si>
  <si>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</si>
  <si>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</si>
  <si>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</si>
  <si>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</si>
  <si>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</si>
  <si>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</si>
  <si>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</si>
  <si>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</si>
  <si>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</si>
  <si>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</si>
  <si>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</si>
  <si>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</si>
  <si>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</si>
  <si>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</si>
  <si>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</si>
  <si>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</si>
  <si>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</si>
  <si>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</si>
  <si>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</si>
  <si>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</si>
  <si>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</si>
  <si>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</si>
  <si>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</si>
  <si>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</si>
  <si>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</si>
  <si>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</si>
  <si>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</si>
  <si>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</si>
  <si>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</si>
  <si>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</si>
  <si>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</si>
  <si>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</si>
  <si>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</si>
  <si>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</si>
  <si>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</si>
  <si>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</si>
  <si>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</si>
  <si>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</si>
  <si>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</si>
  <si>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</si>
  <si>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</si>
  <si>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</si>
  <si>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</si>
  <si>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</si>
  <si>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</si>
  <si>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</si>
  <si>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</si>
  <si>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</si>
  <si>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</si>
  <si>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</si>
  <si>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</si>
  <si>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</si>
  <si>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</si>
  <si>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</si>
  <si>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</si>
  <si>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</si>
  <si>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</si>
  <si>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</si>
  <si>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</si>
  <si>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</si>
  <si>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</si>
  <si>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</si>
  <si>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</si>
  <si>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</si>
  <si>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</si>
  <si>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</si>
  <si>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</si>
  <si>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</si>
  <si>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</si>
  <si>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</si>
  <si>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</si>
  <si>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</si>
  <si>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</si>
  <si>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</si>
  <si>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</si>
  <si>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</si>
  <si>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</si>
  <si>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</si>
  <si>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</si>
  <si>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</si>
  <si>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</si>
  <si>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</si>
  <si>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</si>
  <si>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</si>
  <si>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</si>
  <si>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</si>
  <si>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</si>
  <si>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</si>
  <si>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</si>
  <si>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</si>
  <si>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</si>
  <si>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</si>
  <si>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</si>
  <si>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</si>
  <si>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</si>
  <si>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</si>
  <si>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</si>
  <si>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</si>
  <si>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</si>
  <si>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</si>
  <si>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</si>
  <si>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</si>
  <si>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</si>
  <si>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</si>
  <si>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</si>
  <si>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</si>
  <si>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</si>
  <si>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</si>
  <si>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</si>
  <si>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</si>
  <si>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</si>
  <si>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</si>
  <si>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</si>
  <si>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</si>
  <si>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</si>
  <si>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</si>
  <si>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</si>
  <si>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</si>
  <si>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</si>
  <si>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</si>
  <si>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</si>
  <si>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</si>
  <si>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</si>
  <si>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</si>
  <si>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</si>
  <si>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</si>
  <si>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</si>
  <si>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</si>
  <si>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</si>
  <si>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</si>
  <si>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</si>
  <si>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</si>
  <si>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</si>
  <si>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</si>
  <si>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</si>
  <si>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</si>
  <si>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</si>
  <si>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</si>
  <si>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</si>
  <si>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</si>
  <si>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</si>
  <si>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</si>
  <si>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</si>
  <si>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</si>
  <si>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</si>
  <si>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</si>
  <si>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</si>
  <si>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</si>
  <si>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</si>
  <si>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</si>
  <si>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</si>
  <si>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</si>
  <si>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</si>
  <si>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</si>
  <si>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</si>
  <si>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</si>
  <si>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</si>
  <si>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</si>
  <si>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</si>
  <si>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</si>
  <si>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</si>
  <si>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</si>
  <si>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</si>
  <si>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</si>
  <si>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</si>
  <si>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</si>
  <si>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</si>
  <si>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</si>
  <si>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</si>
  <si>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</si>
  <si>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</si>
  <si>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</si>
  <si>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</si>
  <si>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</si>
  <si>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</si>
  <si>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</si>
  <si>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</si>
  <si>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</si>
  <si>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</si>
  <si>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</si>
  <si>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</si>
  <si>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</si>
  <si>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</si>
  <si>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</si>
  <si>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</si>
  <si>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</si>
  <si>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</si>
  <si>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</si>
  <si>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</si>
  <si>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</si>
  <si>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</si>
  <si>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</si>
  <si>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</si>
  <si>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</si>
  <si>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</si>
  <si>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</si>
  <si>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</si>
  <si>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</si>
  <si>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</si>
  <si>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</si>
  <si>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</si>
  <si>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</si>
  <si>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</si>
  <si>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</si>
  <si>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</si>
  <si>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</si>
  <si>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</si>
  <si>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</si>
  <si>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</si>
  <si>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</si>
  <si>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</si>
  <si>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</si>
  <si>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</si>
  <si>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</si>
  <si>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</si>
  <si>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</si>
  <si>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</si>
  <si>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</si>
  <si>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</si>
  <si>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</si>
  <si>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</si>
  <si>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</si>
  <si>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</si>
  <si>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</si>
  <si>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</si>
  <si>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</si>
  <si>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</si>
  <si>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</si>
  <si>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</si>
  <si>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</si>
  <si>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</si>
  <si>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</si>
  <si>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</si>
  <si>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</si>
  <si>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</si>
  <si>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</si>
  <si>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</si>
  <si>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</si>
  <si>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</si>
  <si>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</si>
  <si>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</si>
  <si>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</si>
  <si>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</si>
  <si>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</si>
  <si>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</si>
  <si>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</si>
  <si>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</si>
  <si>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</si>
  <si>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</si>
  <si>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</si>
  <si>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</si>
  <si>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</si>
  <si>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</si>
  <si>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</si>
  <si>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</si>
  <si>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</si>
  <si>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</si>
  <si>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</si>
  <si>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</si>
  <si>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</si>
  <si>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</si>
  <si>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</si>
  <si>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</si>
  <si>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</si>
  <si>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</si>
  <si>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</si>
  <si>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</si>
  <si>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</si>
  <si>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</si>
  <si>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</si>
  <si>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</si>
  <si>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</si>
  <si>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</si>
  <si>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</si>
  <si>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</si>
  <si>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</si>
  <si>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</si>
  <si>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</si>
  <si>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</si>
  <si>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</si>
  <si>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</si>
  <si>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</si>
  <si>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</si>
  <si>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</si>
  <si>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</si>
  <si>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</si>
  <si>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</si>
  <si>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</si>
  <si>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</si>
  <si>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</si>
  <si>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</si>
  <si>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</si>
  <si>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</si>
  <si>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</si>
  <si>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</si>
  <si>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</si>
  <si>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</si>
  <si>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</si>
  <si>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</si>
  <si>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</si>
  <si>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</si>
  <si>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</si>
  <si>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</si>
  <si>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</si>
  <si>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</si>
  <si>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</si>
  <si>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</si>
  <si>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</si>
  <si>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</si>
  <si>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</si>
  <si>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</si>
  <si>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</si>
  <si>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</si>
  <si>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</si>
  <si>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</si>
  <si>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</si>
  <si>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</si>
  <si>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</si>
  <si>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</si>
  <si>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</si>
  <si>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</si>
  <si>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</si>
  <si>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</si>
  <si>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</si>
  <si>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</si>
  <si>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</si>
  <si>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</si>
  <si>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</si>
  <si>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</si>
  <si>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</si>
  <si>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</si>
  <si>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</si>
  <si>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</si>
  <si>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</si>
  <si>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</si>
  <si>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</si>
  <si>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</si>
  <si>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</si>
  <si>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</si>
  <si>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</si>
  <si>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</si>
  <si>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</si>
  <si>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</si>
  <si>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</si>
  <si>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</si>
  <si>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</si>
  <si>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</si>
  <si>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</si>
  <si>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</si>
  <si>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</si>
  <si>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</si>
  <si>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</si>
  <si>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</si>
  <si>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</si>
  <si>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</si>
  <si>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</si>
  <si>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</si>
  <si>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</si>
  <si>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</si>
  <si>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</si>
  <si>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</si>
  <si>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</si>
  <si>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</si>
  <si>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</si>
  <si>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</si>
  <si>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</si>
  <si>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</si>
  <si>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</si>
  <si>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</si>
  <si>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</si>
  <si>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</si>
  <si>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</si>
  <si>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</si>
  <si>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</si>
  <si>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</si>
  <si>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</si>
  <si>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</si>
  <si>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</si>
  <si>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</si>
  <si>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</si>
  <si>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</si>
  <si>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</si>
  <si>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</si>
  <si>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</si>
  <si>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</si>
  <si>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</si>
  <si>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</si>
  <si>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</si>
  <si>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</si>
  <si>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</si>
  <si>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</si>
  <si>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</si>
  <si>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</si>
  <si>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</si>
  <si>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</si>
  <si>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</si>
  <si>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</si>
  <si>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</si>
  <si>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</si>
  <si>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</si>
  <si>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</si>
  <si>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</si>
  <si>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</si>
  <si>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</si>
  <si>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</si>
  <si>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</si>
  <si>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</si>
  <si>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</si>
  <si>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</si>
  <si>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</si>
  <si>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</si>
  <si>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</si>
  <si>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</si>
  <si>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</si>
  <si>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</si>
  <si>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</si>
  <si>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</si>
  <si>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</si>
  <si>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</si>
  <si>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</si>
  <si>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</si>
  <si>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</si>
  <si>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</si>
  <si>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</si>
  <si>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</si>
  <si>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</si>
  <si>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</si>
  <si>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</si>
  <si>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</si>
  <si>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</si>
  <si>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</si>
  <si>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</si>
  <si>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</si>
  <si>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</si>
  <si>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</si>
  <si>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</si>
  <si>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</si>
  <si>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</si>
  <si>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</si>
  <si>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</si>
  <si>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</si>
  <si>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</si>
  <si>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</si>
  <si>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</si>
  <si>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</si>
  <si>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</si>
  <si>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</si>
  <si>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</si>
  <si>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</si>
  <si>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</si>
  <si>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</si>
  <si>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</si>
  <si>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</si>
  <si>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</si>
  <si>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</si>
  <si>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</si>
  <si>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</si>
  <si>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</si>
  <si>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</si>
  <si>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</si>
  <si>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</si>
  <si>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</si>
  <si>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</si>
  <si>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</si>
  <si>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</si>
  <si>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</si>
  <si>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</si>
  <si>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</si>
  <si>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</si>
  <si>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</si>
  <si>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</si>
  <si>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</si>
  <si>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</si>
  <si>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</si>
  <si>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</si>
  <si>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</si>
  <si>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</si>
  <si>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</si>
  <si>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</si>
  <si>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</si>
  <si>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</si>
  <si>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</si>
  <si>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</si>
  <si>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</si>
  <si>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</si>
  <si>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</si>
  <si>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</si>
  <si>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</si>
  <si>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</si>
  <si>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</si>
  <si>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</si>
  <si>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</si>
  <si>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</si>
  <si>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</si>
  <si>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</si>
  <si>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</si>
  <si>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</si>
  <si>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</si>
  <si>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</si>
  <si>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</si>
  <si>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</si>
  <si>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</si>
  <si>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</si>
  <si>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</si>
  <si>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</si>
  <si>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</si>
  <si>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</si>
  <si>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</si>
  <si>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</si>
  <si>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</si>
  <si>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</si>
  <si>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</si>
  <si>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</si>
  <si>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</si>
  <si>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</si>
  <si>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</si>
  <si>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</si>
  <si>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</si>
  <si>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</si>
  <si>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</si>
  <si>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</si>
  <si>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</si>
  <si>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</si>
  <si>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</si>
  <si>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</si>
  <si>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</si>
  <si>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</si>
  <si>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</si>
  <si>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</si>
  <si>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</si>
  <si>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</si>
  <si>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</si>
  <si>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</si>
  <si>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</si>
  <si>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</si>
  <si>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</si>
  <si>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</si>
  <si>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</si>
  <si>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</si>
  <si>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</si>
  <si>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</si>
  <si>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 xml:space="preserve">Taxes, Insurance &amp; Replacement Reserve </t>
  </si>
  <si>
    <t>Freddie Fees</t>
  </si>
  <si>
    <t>4% Credit/TE Bond</t>
  </si>
  <si>
    <t>DDA/QCT</t>
  </si>
  <si>
    <t>40% of Units at 60% of AMI</t>
  </si>
  <si>
    <t>N/A - 4% Bond</t>
  </si>
  <si>
    <t>N/a</t>
  </si>
  <si>
    <t>3+ Story</t>
  </si>
  <si>
    <t>Cadence Bank</t>
  </si>
  <si>
    <t>Bellwether Enterprise/Freddie Mac</t>
  </si>
  <si>
    <t>Amortizing</t>
  </si>
  <si>
    <t>Monarch Private Capital</t>
  </si>
  <si>
    <t>2020PA-517</t>
  </si>
  <si>
    <t>Yes - see Comment</t>
  </si>
  <si>
    <t xml:space="preserve">Changes in Project - South Creek Ventures, LLC was included in the Org. Chart of our preapplication as a minority partner of the GP and Developer. South Creek assisted in finding and securing the development site and although they will not be part of the GP/Development team they will be paid a fee out of our developer fee for their assistance. All partners, including South Creek, are in agreement with this arrangement. </t>
  </si>
  <si>
    <t>Timshel Partners, LLC</t>
  </si>
  <si>
    <t>310 South Dillard Street, Suite 135</t>
  </si>
  <si>
    <t>Winter Garden</t>
  </si>
  <si>
    <t>bwaterfield@timsheldevelopment.com</t>
  </si>
  <si>
    <t>Brian Waterfield</t>
  </si>
  <si>
    <t>Manager of the Manager of the Other GP</t>
  </si>
  <si>
    <t>Parent GP, LLC</t>
  </si>
  <si>
    <t>4110 Southpoint Blvd., Suite 206</t>
  </si>
  <si>
    <t>bjparent@comcast.net</t>
  </si>
  <si>
    <t>Brian Parent</t>
  </si>
  <si>
    <t>Manager of the Manager of the Managing GP</t>
  </si>
  <si>
    <t>Lakeview Terrace</t>
  </si>
  <si>
    <t>2470 Grodon Hwy.</t>
  </si>
  <si>
    <t>Consolidated Government</t>
  </si>
  <si>
    <t>105.04</t>
  </si>
  <si>
    <t>Augusta-Richmond County</t>
  </si>
  <si>
    <t>Mayor Hardie Davis</t>
  </si>
  <si>
    <t>Mayor</t>
  </si>
  <si>
    <t>535 Telfair Street</t>
  </si>
  <si>
    <t>https://www.augustaga.gov/2005/Meet-Mayor-Hardie-Davis</t>
  </si>
  <si>
    <t>mayordavis@augustaga.gov</t>
  </si>
  <si>
    <t>Lakeview Terrace is a proposed 200-unit family apartment complex located in Augusta, GA. It will consist of 9 three story tenant buildings to include 18 one bedroom units, 106 two bedroom units and 76 three bedroom units. The development is designed to have many features, services and amenities suitable for families, including a pool, dog park, playground, tot-lot, covered picnic pavilion, exercise room, on-site laundry and a community building. The units are equipped with HVAC units, energy star refrigerators and dishwashers, stove, microwave oven and a powder-based stove top fire suppression canister installed above the range cook-top. The development will have rents that are structured to be affordable for households at or below 60% of the average median income. Based on our experience, we believe the demand is high for affordable housing in this market.</t>
  </si>
  <si>
    <t>1435 Walton Way</t>
  </si>
  <si>
    <t xml:space="preserve">Jacob L. Oglesby </t>
  </si>
  <si>
    <t>Executive Director</t>
  </si>
  <si>
    <t>joglesby@augustapha.org</t>
  </si>
  <si>
    <t>www.augustapha.org</t>
  </si>
  <si>
    <t>Woodland Grove Townhomes</t>
  </si>
  <si>
    <t>Chelsea Park Townhomes</t>
  </si>
  <si>
    <t>Brian Stadler</t>
  </si>
  <si>
    <t>Outlook Development, LLC</t>
  </si>
  <si>
    <t>Outlook Development LLC</t>
  </si>
  <si>
    <t>Parent Development LLC</t>
  </si>
  <si>
    <t>Direct</t>
  </si>
  <si>
    <t>Indirect</t>
  </si>
  <si>
    <t>Lakeview Terrace, LP</t>
  </si>
  <si>
    <t>For Profit</t>
  </si>
  <si>
    <t>JPM Decatur GP, LLC</t>
  </si>
  <si>
    <t>Manager of the Manager</t>
  </si>
  <si>
    <t>Lakeview Terrace GP, LLC</t>
  </si>
  <si>
    <t>www.timsheldevelopment.com</t>
  </si>
  <si>
    <t>Monarch Private Capital, LLC</t>
  </si>
  <si>
    <t>3414 Peachtree Road, Suite 825</t>
  </si>
  <si>
    <t>www.monarchprivate.com</t>
  </si>
  <si>
    <t>bbarringer@monarchprivate.com</t>
  </si>
  <si>
    <t>Brent Barringer</t>
  </si>
  <si>
    <t>Managing Director LIHTC</t>
  </si>
  <si>
    <t>Parent Development, LLC</t>
  </si>
  <si>
    <t>www.parentdevelop.com</t>
  </si>
  <si>
    <t>Manager</t>
  </si>
  <si>
    <t>4835 Towne Centre Rd STE 203</t>
  </si>
  <si>
    <t>Saginaw</t>
  </si>
  <si>
    <t>brian@wolgast.com</t>
  </si>
  <si>
    <t>Timshel Hill Tide Developers, LLC</t>
  </si>
  <si>
    <t>Wolgast Corporation</t>
  </si>
  <si>
    <t>4835 Towne Centre Road Suite 203</t>
  </si>
  <si>
    <t>www.wolgast.com</t>
  </si>
  <si>
    <t>President</t>
  </si>
  <si>
    <t>Gateway Management Company</t>
  </si>
  <si>
    <t>22 Inverness Center Parkway, Suite 222</t>
  </si>
  <si>
    <t>Birmingham</t>
  </si>
  <si>
    <t>www.thegatewaycompanies.com/property-management/</t>
  </si>
  <si>
    <t>rfleece@gatewaymgt.com</t>
  </si>
  <si>
    <t>Randy Fleece</t>
  </si>
  <si>
    <t>Coleman Talley</t>
  </si>
  <si>
    <t>109 South Ashley Street</t>
  </si>
  <si>
    <t>www.colemantalley.com</t>
  </si>
  <si>
    <t>greg.clark@colemantalley.com</t>
  </si>
  <si>
    <t>Gregory Q. Clark</t>
  </si>
  <si>
    <t>Partner</t>
  </si>
  <si>
    <t>Tidwell Group</t>
  </si>
  <si>
    <t>2001 Park Place North</t>
  </si>
  <si>
    <t>www.tidwellgroup.com</t>
  </si>
  <si>
    <t>barry.tidwell@tidwellgroup.com</t>
  </si>
  <si>
    <t>Barry Tidwell</t>
  </si>
  <si>
    <t>Managing Member</t>
  </si>
  <si>
    <t>Architettura Inc.</t>
  </si>
  <si>
    <t>808 18th Street</t>
  </si>
  <si>
    <t>Plano</t>
  </si>
  <si>
    <t>www.architettura-inc.com</t>
  </si>
  <si>
    <t>pollacia@architettura.com</t>
  </si>
  <si>
    <t>Frank Pollacia</t>
  </si>
  <si>
    <t>Augusta Management Group, LLC</t>
  </si>
  <si>
    <t>Keith Sue-Ling</t>
  </si>
  <si>
    <t>PO Box 16501</t>
  </si>
  <si>
    <t>keithsueling@aol.com</t>
  </si>
  <si>
    <t>the owner of Outlook Development LLC is also an employee of Wolgast Corporation</t>
  </si>
  <si>
    <t>the owner of Outlook Housing LLC, which is a member of JPM Decatur GP, LLC, is also an employee of Wolgast Corporation</t>
  </si>
  <si>
    <t>JPM Lakeview Terrace GP, LLC</t>
  </si>
  <si>
    <t>See comments and clarifications below</t>
  </si>
  <si>
    <t>Parent Development, LLC, the project's Certifying Developer, is owned 100% by Brian Parent. Brian Parent is also 100% owner of Parent GP, LLC which is a member of the Managing GP.  Outlook Development, LLC, a project Co-Developer, is owned 100% by Brian Stadler.  Brian Stadler is also 100% owner of Outlook Housing, LLC, which is a member of the Managing GP.  Brian Stadler is also an emploee of Wolgast Corporation, the Contractor.  Timshel Partners, LLC, a project Co-Developer, is owned equally by Todd M. Wind and Brian B. Waterfield, its Managers. Todd M. Wind and Brian B. Waterfield are also managers of the Other General Partner. Hill Tide Development, LLC, a project Co-Developer, is owned equally by Robert Long and Daniel Winters, Jr., its Managers. Robert Long and Daniel Winters, Jr. are also members of the Other General Partner.</t>
  </si>
  <si>
    <t>All commitment letters for financing included in tab 01.</t>
  </si>
  <si>
    <t>Construction Costs were provided by the project general contractor, Wolgast Corporation. The estimates provided were based on similar projects built by Wolgast Corporation.</t>
  </si>
  <si>
    <t>HUD Office of Public and Indian Housing</t>
  </si>
  <si>
    <t>Turnover</t>
  </si>
  <si>
    <t>Allowances prepared using the HUD Utility Schedule Model (HUSM). Report based on Form HUD-52667. Please note that the UA form is not totalling the 2 bedrooms correctly.  It should be a total of $141 not $142.</t>
  </si>
  <si>
    <t>HUD</t>
  </si>
  <si>
    <t>Real Estate Taxes: Per the appraisal included in this application.
Insurance: Per the appraisal included in this application.</t>
  </si>
  <si>
    <t>Parent Development, LLC/Outlook Development, LLC/Timshel Hill Tide Developers, LLC</t>
  </si>
  <si>
    <t xml:space="preserve">All financing commitments are provided in tab 01. </t>
  </si>
  <si>
    <t>This development meets the threshold for cost limits.</t>
  </si>
  <si>
    <t>This is a family development</t>
  </si>
  <si>
    <t>Agree</t>
  </si>
  <si>
    <t>Not applicable for this development</t>
  </si>
  <si>
    <t>We agree to the required services selected above.</t>
  </si>
  <si>
    <t>Gibson Consulting, LLC</t>
  </si>
  <si>
    <t>Gardens at Harvest Point</t>
  </si>
  <si>
    <t>Peach Orchard</t>
  </si>
  <si>
    <t>Cedarwood Apartments</t>
  </si>
  <si>
    <t>The Crest at Edinburgh</t>
  </si>
  <si>
    <t>Terrace at Edinburgh</t>
  </si>
  <si>
    <t>2009-010</t>
  </si>
  <si>
    <t>2008-006</t>
  </si>
  <si>
    <t>2005-045</t>
  </si>
  <si>
    <t>2016-509</t>
  </si>
  <si>
    <t>2015-508</t>
  </si>
  <si>
    <t>2017-501</t>
  </si>
  <si>
    <t>Richmond Villas</t>
  </si>
  <si>
    <t>The project meets all of the market feasibility requirements. Note: Not included in the DCA Projects is Augusta Springs Seniors II.</t>
  </si>
  <si>
    <t>Novogradac</t>
  </si>
  <si>
    <t>The property is zoned B-2 General Business which allows for all uses in the B-1, R-3C, R-3B and R-3A zoning districts (all ordiances included in the attachements).</t>
  </si>
  <si>
    <t>GEC</t>
  </si>
  <si>
    <t>Geotechnical &amp; Environmental Consultants, Inc. (GEC)</t>
  </si>
  <si>
    <t>All noise assessment locations (NALs) total DNL are at or under the 65 dB limit. Therefore, GEC does not believe noise issues will be a concern that could preclude the development of the subject site as a DCA funded project. Details of the noise assessment process are included in the Phase I attachment.</t>
  </si>
  <si>
    <t>N/Ap</t>
  </si>
  <si>
    <t>Purchase Contract</t>
  </si>
  <si>
    <t>Lakeview Terrace, LP has been assigned a purchase contract to purchase the land.</t>
  </si>
  <si>
    <t>The site has road frontage on Gordon Highway. See map in tab 09.</t>
  </si>
  <si>
    <t>The property is zoned for multi-family.  See zoning letter in tab 10 and site plan in tab 15.</t>
  </si>
  <si>
    <t>Georgia Power</t>
  </si>
  <si>
    <t>See tab 11 for service availability letter from Georgia Power</t>
  </si>
  <si>
    <t>Augusta Utilities</t>
  </si>
  <si>
    <t>See tab 12 for service availability letter from Augusta Utilities.</t>
  </si>
  <si>
    <t>Building</t>
  </si>
  <si>
    <t>Gazebo</t>
  </si>
  <si>
    <t>Yes - W&amp;D hookups installed in each unit</t>
  </si>
  <si>
    <t>On-site laundry</t>
  </si>
  <si>
    <t>We agree to all of the required amenities selected above.</t>
  </si>
  <si>
    <t>N/A - This development is new construction.</t>
  </si>
  <si>
    <t>Please see site plan in tab 15</t>
  </si>
  <si>
    <t>This development will meet all energy requirements of the QAP and architectural manual.</t>
  </si>
  <si>
    <t>Zeffert and Associates</t>
  </si>
  <si>
    <t>This development will meet all accessibility requirements</t>
  </si>
  <si>
    <t>All architecural design standards will be met.</t>
  </si>
  <si>
    <t>Brian Parent was qualified without conditions under pre-application 2020PA-517 Lakeview Terrace</t>
  </si>
  <si>
    <t>N/A - There is not a non-profit associated with this application</t>
  </si>
  <si>
    <t>N/A - This development is not in the Rural HOME Preservation set aside</t>
  </si>
  <si>
    <t>N/A - This development is not in the CHDO Set Aside</t>
  </si>
  <si>
    <t>N/A - This development is not eligible for Acquisition credits, nor is it an Assisted Living Facility, and there is not a nonprofit participant</t>
  </si>
  <si>
    <t>This is a new construction development, the propert is vacant.</t>
  </si>
  <si>
    <t>Applicant agrees to Affirmatively Futhering Fair Housing</t>
  </si>
  <si>
    <t>Applicant agrees to the Integrated Supportive Housing commitments above.</t>
  </si>
  <si>
    <t>Applicant agrees to optimal utilization of all resources.  We used the GAP method to make sure the project resources are efficient.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</si>
</sst>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7">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20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4">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6" fillId="0" borderId="192">
      <alignment horizontal="left" vertical="center"/>
    </xf>
    <xf numFmtId="0" fontId="6" fillId="0" borderId="194">
      <alignment horizontal="left" vertical="center"/>
    </xf>
    <xf numFmtId="0" fontId="6" fillId="0" borderId="198">
      <alignment horizontal="left" vertical="center"/>
    </xf>
    <xf numFmtId="10" fontId="5" fillId="3" borderId="195" applyNumberFormat="0" applyBorder="0" applyAlignment="0" applyProtection="0"/>
    <xf numFmtId="10" fontId="5" fillId="3" borderId="193" applyNumberFormat="0" applyBorder="0" applyAlignment="0" applyProtection="0"/>
    <xf numFmtId="0" fontId="6" fillId="0" borderId="190">
      <alignment horizontal="left" vertical="center"/>
    </xf>
    <xf numFmtId="10" fontId="5" fillId="3" borderId="195" applyNumberFormat="0" applyBorder="0" applyAlignment="0" applyProtection="0"/>
    <xf numFmtId="0" fontId="1" fillId="0" borderId="0"/>
    <xf numFmtId="10" fontId="5" fillId="3" borderId="193" applyNumberFormat="0" applyBorder="0" applyAlignment="0" applyProtection="0"/>
    <xf numFmtId="10" fontId="5" fillId="3" borderId="201" applyNumberFormat="0" applyBorder="0" applyAlignment="0" applyProtection="0"/>
    <xf numFmtId="0" fontId="6" fillId="0" borderId="192">
      <alignment horizontal="left" vertical="center"/>
    </xf>
    <xf numFmtId="10" fontId="5" fillId="3" borderId="191" applyNumberFormat="0" applyBorder="0" applyAlignment="0" applyProtection="0"/>
    <xf numFmtId="0" fontId="6" fillId="0" borderId="202">
      <alignment horizontal="left" vertical="center"/>
    </xf>
    <xf numFmtId="43" fontId="1" fillId="0" borderId="0" applyFont="0" applyFill="0" applyBorder="0" applyAlignment="0" applyProtection="0"/>
    <xf numFmtId="9" fontId="1" fillId="0" borderId="0" applyFont="0" applyFill="0" applyBorder="0" applyAlignment="0" applyProtection="0"/>
    <xf numFmtId="0" fontId="6" fillId="0" borderId="194">
      <alignment horizontal="left" vertical="center"/>
    </xf>
    <xf numFmtId="0" fontId="1" fillId="0" borderId="0"/>
    <xf numFmtId="43" fontId="1" fillId="0" borderId="0" applyFont="0" applyFill="0" applyBorder="0" applyAlignment="0" applyProtection="0"/>
    <xf numFmtId="9" fontId="1" fillId="0" borderId="0" applyFont="0" applyFill="0" applyBorder="0" applyAlignment="0" applyProtection="0"/>
    <xf numFmtId="0" fontId="6" fillId="0" borderId="190">
      <alignment horizontal="left" vertical="center"/>
    </xf>
    <xf numFmtId="10" fontId="5" fillId="3" borderId="191" applyNumberFormat="0" applyBorder="0" applyAlignment="0" applyProtection="0"/>
    <xf numFmtId="0" fontId="6" fillId="0" borderId="202">
      <alignment horizontal="left" vertical="center"/>
    </xf>
    <xf numFmtId="10" fontId="5" fillId="3" borderId="199" applyNumberFormat="0" applyBorder="0" applyAlignment="0" applyProtection="0"/>
    <xf numFmtId="10" fontId="5" fillId="3" borderId="203" applyNumberFormat="0" applyBorder="0" applyAlignment="0" applyProtection="0"/>
    <xf numFmtId="10" fontId="5" fillId="3" borderId="201" applyNumberFormat="0" applyBorder="0" applyAlignment="0" applyProtection="0"/>
    <xf numFmtId="0" fontId="6" fillId="0" borderId="200">
      <alignment horizontal="left" vertical="center"/>
    </xf>
    <xf numFmtId="0" fontId="6" fillId="0" borderId="200">
      <alignment horizontal="left" vertical="center"/>
    </xf>
    <xf numFmtId="10" fontId="5" fillId="3" borderId="203" applyNumberFormat="0" applyBorder="0" applyAlignment="0" applyProtection="0"/>
  </cellStyleXfs>
  <cellXfs count="4445">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164" fontId="13"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9" fillId="0" borderId="0" xfId="0" applyFont="1" applyFill="1" applyAlignment="1" applyProtection="1">
      <alignment horizontal="center" wrapText="1"/>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5" fillId="5" borderId="3" xfId="0" applyFont="1" applyFill="1" applyBorder="1" applyAlignment="1" applyProtection="1">
      <alignment horizontal="center" vertical="center"/>
      <protection locked="0"/>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5" fillId="5" borderId="12" xfId="0" applyFont="1" applyFill="1" applyBorder="1" applyAlignment="1" applyProtection="1">
      <alignment horizontal="center" vertical="center"/>
      <protection locked="0"/>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9" fillId="0" borderId="0" xfId="0" applyFont="1" applyFill="1" applyBorder="1" applyAlignment="1" applyProtection="1">
      <alignment horizontal="left" vertical="top" wrapText="1"/>
    </xf>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15" fillId="5" borderId="3" xfId="0" applyFont="1" applyFill="1" applyBorder="1" applyAlignment="1" applyProtection="1">
      <alignment horizontal="center" vertical="top"/>
      <protection locked="0"/>
    </xf>
    <xf numFmtId="0" fontId="5" fillId="0" borderId="0" xfId="0" applyFont="1" applyFill="1" applyAlignment="1" applyProtection="1">
      <alignment horizontal="right" vertical="top"/>
    </xf>
    <xf numFmtId="164" fontId="14" fillId="0" borderId="0" xfId="1"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protection locked="0"/>
    </xf>
    <xf numFmtId="173" fontId="14" fillId="5" borderId="16" xfId="1" applyNumberFormat="1" applyFont="1" applyFill="1" applyBorder="1" applyAlignment="1" applyProtection="1">
      <alignment horizontal="center" vertical="center"/>
      <protection locked="0"/>
    </xf>
    <xf numFmtId="3" fontId="14" fillId="5" borderId="16" xfId="1" applyNumberFormat="1" applyFont="1" applyFill="1" applyBorder="1" applyAlignment="1" applyProtection="1">
      <alignment horizontal="center" vertical="center"/>
      <protection locked="0"/>
    </xf>
    <xf numFmtId="0" fontId="14" fillId="5" borderId="16" xfId="0" applyFont="1" applyFill="1" applyBorder="1" applyAlignment="1" applyProtection="1">
      <alignment horizontal="center" vertical="center"/>
      <protection locked="0"/>
    </xf>
    <xf numFmtId="1" fontId="14" fillId="5" borderId="17" xfId="1" applyNumberFormat="1" applyFont="1" applyFill="1" applyBorder="1" applyAlignment="1" applyProtection="1">
      <alignment horizontal="center" vertical="center"/>
      <protection locked="0"/>
    </xf>
    <xf numFmtId="173" fontId="14" fillId="5" borderId="17" xfId="1" applyNumberFormat="1" applyFont="1" applyFill="1" applyBorder="1" applyAlignment="1" applyProtection="1">
      <alignment horizontal="center" vertical="center"/>
      <protection locked="0"/>
    </xf>
    <xf numFmtId="3" fontId="14" fillId="5" borderId="17" xfId="1" applyNumberFormat="1"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1" fontId="14" fillId="5" borderId="18" xfId="1" applyNumberFormat="1" applyFont="1" applyFill="1" applyBorder="1" applyAlignment="1" applyProtection="1">
      <alignment horizontal="center" vertical="center"/>
      <protection locked="0"/>
    </xf>
    <xf numFmtId="173" fontId="14" fillId="5" borderId="18" xfId="1" applyNumberFormat="1" applyFont="1" applyFill="1" applyBorder="1" applyAlignment="1" applyProtection="1">
      <alignment horizontal="center" vertical="center"/>
      <protection locked="0"/>
    </xf>
    <xf numFmtId="3" fontId="14" fillId="5" borderId="18" xfId="1" applyNumberFormat="1"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3" fillId="5" borderId="17" xfId="1" applyNumberFormat="1" applyFont="1" applyFill="1" applyBorder="1" applyProtection="1">
      <protection locked="0"/>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6" fillId="0" borderId="0" xfId="0" applyFont="1"/>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5" fillId="0" borderId="13" xfId="0" applyFont="1" applyFill="1" applyBorder="1" applyAlignment="1" applyProtection="1">
      <alignment horizontal="left" vertical="center" wrapText="1"/>
    </xf>
    <xf numFmtId="0" fontId="15" fillId="0" borderId="0" xfId="0" applyFont="1" applyFill="1" applyBorder="1" applyAlignment="1" applyProtection="1">
      <alignment horizontal="left" vertical="center"/>
    </xf>
    <xf numFmtId="0" fontId="0" fillId="0" borderId="0" xfId="0" applyFill="1" applyProtection="1"/>
    <xf numFmtId="177" fontId="13" fillId="0" borderId="0" xfId="0" applyNumberFormat="1" applyFont="1" applyAlignment="1" applyProtection="1">
      <alignment horizontal="center"/>
    </xf>
    <xf numFmtId="0" fontId="0" fillId="0" borderId="19" xfId="0" applyBorder="1" applyAlignment="1" applyProtection="1">
      <alignment horizontal="center"/>
    </xf>
    <xf numFmtId="177"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15" fillId="5" borderId="16" xfId="0"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center"/>
      <protection locked="0"/>
    </xf>
    <xf numFmtId="164" fontId="13" fillId="6" borderId="16" xfId="1" applyNumberFormat="1" applyFont="1" applyFill="1" applyBorder="1" applyProtection="1">
      <protection locked="0"/>
    </xf>
    <xf numFmtId="164" fontId="13" fillId="6" borderId="17" xfId="1" applyNumberFormat="1" applyFont="1" applyFill="1" applyBorder="1" applyProtection="1">
      <protection locked="0"/>
    </xf>
    <xf numFmtId="164" fontId="13" fillId="6" borderId="18" xfId="1" applyNumberFormat="1" applyFont="1" applyFill="1" applyBorder="1" applyProtection="1">
      <protection locked="0"/>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10" fontId="13" fillId="5" borderId="3" xfId="0" applyNumberFormat="1" applyFont="1" applyFill="1" applyBorder="1" applyAlignment="1" applyProtection="1">
      <alignment horizontal="left"/>
      <protection locked="0"/>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0" fontId="9" fillId="5" borderId="16" xfId="0" applyNumberFormat="1" applyFont="1" applyFill="1" applyBorder="1" applyAlignment="1" applyProtection="1">
      <alignment horizontal="center" vertical="center"/>
      <protection locked="0"/>
    </xf>
    <xf numFmtId="0" fontId="9" fillId="5" borderId="17" xfId="0" applyNumberFormat="1" applyFont="1" applyFill="1" applyBorder="1" applyAlignment="1" applyProtection="1">
      <alignment horizontal="center" vertical="center"/>
      <protection locked="0"/>
    </xf>
    <xf numFmtId="0" fontId="9" fillId="5" borderId="18" xfId="0" applyNumberFormat="1" applyFont="1" applyFill="1" applyBorder="1" applyAlignment="1" applyProtection="1">
      <alignment horizontal="center" vertical="center"/>
      <protection locked="0"/>
    </xf>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38" fontId="9" fillId="0" borderId="0" xfId="0" applyNumberFormat="1" applyFont="1" applyFill="1" applyAlignment="1" applyProtection="1">
      <alignment horizontal="center" vertical="center"/>
    </xf>
    <xf numFmtId="0" fontId="54" fillId="0" borderId="0" xfId="0" applyFont="1" applyFill="1" applyBorder="1" applyAlignment="1" applyProtection="1">
      <alignment horizontal="left" vertical="center"/>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9" fontId="51" fillId="0" borderId="3" xfId="0" applyNumberFormat="1"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46" fillId="0" borderId="0" xfId="0" applyFont="1" applyFill="1" applyAlignment="1" applyProtection="1">
      <alignment horizontal="left"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5" borderId="3" xfId="0" applyFont="1" applyFill="1" applyBorder="1" applyAlignment="1" applyProtection="1">
      <alignment horizontal="center" vertical="center"/>
      <protection locked="0"/>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164" fontId="46" fillId="5" borderId="3" xfId="1" applyNumberFormat="1" applyFont="1" applyFill="1" applyBorder="1" applyAlignment="1" applyProtection="1">
      <alignment vertical="center"/>
      <protection locked="0"/>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3" fontId="46" fillId="5" borderId="3" xfId="1" applyNumberFormat="1" applyFont="1" applyFill="1" applyBorder="1" applyAlignment="1" applyProtection="1">
      <alignment horizontal="center" vertical="center"/>
      <protection locked="0"/>
    </xf>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0" fontId="46" fillId="5" borderId="37" xfId="0" applyFont="1" applyFill="1" applyBorder="1" applyAlignment="1" applyProtection="1">
      <alignment horizontal="center"/>
      <protection locked="0"/>
    </xf>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5" borderId="3" xfId="0" applyFont="1" applyFill="1" applyBorder="1" applyAlignment="1" applyProtection="1">
      <alignment horizontal="center"/>
      <protection locked="0"/>
    </xf>
    <xf numFmtId="3" fontId="46" fillId="5" borderId="3" xfId="0" applyNumberFormat="1" applyFont="1" applyFill="1" applyBorder="1" applyAlignment="1" applyProtection="1">
      <alignment horizontal="center"/>
      <protection locked="0"/>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0" fontId="46" fillId="0" borderId="8"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10" fontId="54" fillId="0" borderId="3" xfId="1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46" fillId="0" borderId="0" xfId="0" applyFont="1" applyFill="1" applyBorder="1" applyAlignment="1" applyProtection="1">
      <alignment horizontal="left" vertical="center"/>
      <protection locked="0"/>
    </xf>
    <xf numFmtId="0" fontId="54" fillId="0" borderId="0" xfId="0" quotePrefix="1" applyFont="1" applyFill="1" applyAlignment="1" applyProtection="1">
      <alignment horizontal="center" vertical="center"/>
    </xf>
    <xf numFmtId="0" fontId="46" fillId="0" borderId="0" xfId="0" applyFont="1" applyFill="1" applyAlignment="1" applyProtection="1">
      <alignment vertical="center"/>
      <protection locked="0"/>
    </xf>
    <xf numFmtId="0" fontId="46" fillId="0" borderId="0" xfId="0" applyFont="1" applyFill="1" applyBorder="1" applyAlignment="1" applyProtection="1">
      <alignment horizontal="center" vertical="center"/>
      <protection locked="0"/>
    </xf>
    <xf numFmtId="167" fontId="46" fillId="0" borderId="0" xfId="0" applyNumberFormat="1" applyFont="1" applyFill="1" applyBorder="1" applyAlignment="1" applyProtection="1">
      <alignment horizontal="center" vertical="center"/>
      <protection locked="0"/>
    </xf>
    <xf numFmtId="0" fontId="54" fillId="0" borderId="0" xfId="0" applyFont="1" applyFill="1" applyAlignment="1" applyProtection="1">
      <alignment horizontal="left" vertical="center"/>
      <protection locked="0"/>
    </xf>
    <xf numFmtId="0" fontId="54" fillId="0" borderId="0" xfId="0" applyFont="1" applyFill="1" applyAlignment="1" applyProtection="1">
      <alignment horizontal="right"/>
    </xf>
    <xf numFmtId="0" fontId="54" fillId="0" borderId="0" xfId="0" quotePrefix="1" applyFont="1" applyFill="1" applyAlignment="1" applyProtection="1"/>
    <xf numFmtId="0" fontId="46" fillId="0" borderId="0" xfId="0" applyFont="1" applyFill="1" applyBorder="1" applyAlignment="1" applyProtection="1">
      <alignment vertical="center"/>
      <protection locked="0"/>
    </xf>
    <xf numFmtId="167" fontId="46" fillId="0" borderId="13" xfId="0" applyNumberFormat="1" applyFont="1" applyFill="1" applyBorder="1" applyAlignment="1" applyProtection="1">
      <alignment vertical="center"/>
      <protection locked="0"/>
    </xf>
    <xf numFmtId="0" fontId="46" fillId="0" borderId="13" xfId="0" applyFont="1" applyFill="1" applyBorder="1" applyAlignment="1" applyProtection="1">
      <alignment horizontal="center" vertical="center"/>
      <protection locked="0"/>
    </xf>
    <xf numFmtId="167" fontId="46" fillId="0" borderId="0" xfId="0" applyNumberFormat="1" applyFont="1" applyFill="1" applyBorder="1" applyAlignment="1" applyProtection="1">
      <alignment vertical="center"/>
      <protection locked="0"/>
    </xf>
    <xf numFmtId="167" fontId="46" fillId="0" borderId="2" xfId="0" applyNumberFormat="1" applyFont="1" applyFill="1" applyBorder="1" applyAlignment="1" applyProtection="1">
      <alignment vertical="center"/>
      <protection locked="0"/>
    </xf>
    <xf numFmtId="0" fontId="46" fillId="0" borderId="0" xfId="0" applyFont="1" applyFill="1" applyProtection="1">
      <protection locked="0"/>
    </xf>
    <xf numFmtId="0" fontId="54" fillId="0" borderId="0" xfId="0" quotePrefix="1" applyFont="1" applyFill="1" applyAlignment="1" applyProtection="1">
      <alignment horizontal="right"/>
    </xf>
    <xf numFmtId="1" fontId="46" fillId="0" borderId="0" xfId="0" applyNumberFormat="1" applyFont="1" applyFill="1" applyBorder="1" applyAlignment="1" applyProtection="1">
      <alignment horizontal="center" vertical="center"/>
      <protection locked="0"/>
    </xf>
    <xf numFmtId="0" fontId="54" fillId="0" borderId="0" xfId="0" applyFont="1" applyFill="1" applyBorder="1" applyAlignment="1" applyProtection="1">
      <alignment horizontal="left" vertical="center"/>
      <protection locked="0"/>
    </xf>
    <xf numFmtId="0" fontId="46" fillId="0" borderId="0" xfId="0" applyFont="1" applyFill="1" applyAlignment="1" applyProtection="1">
      <alignment horizontal="left" vertical="center"/>
      <protection locked="0"/>
    </xf>
    <xf numFmtId="0" fontId="54" fillId="0" borderId="0" xfId="0" quotePrefix="1" applyFont="1" applyFill="1" applyBorder="1" applyAlignment="1" applyProtection="1">
      <alignment horizontal="center" vertical="center"/>
    </xf>
    <xf numFmtId="0" fontId="46" fillId="0" borderId="14" xfId="0" applyFont="1" applyFill="1" applyBorder="1" applyAlignment="1" applyProtection="1">
      <alignment vertical="center"/>
    </xf>
    <xf numFmtId="0" fontId="61" fillId="0" borderId="0" xfId="0" applyFont="1" applyAlignment="1">
      <alignment vertical="center"/>
    </xf>
    <xf numFmtId="0" fontId="59" fillId="0" borderId="0" xfId="0" applyFont="1"/>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7" xfId="0" applyFont="1" applyFill="1" applyBorder="1" applyAlignment="1" applyProtection="1">
      <alignment horizontal="left" vertical="center"/>
    </xf>
    <xf numFmtId="0" fontId="46" fillId="0" borderId="0" xfId="0" applyFont="1" applyAlignment="1"/>
    <xf numFmtId="0" fontId="56" fillId="0" borderId="0" xfId="0" applyFont="1" applyFill="1" applyAlignment="1" applyProtection="1">
      <alignment vertical="center"/>
    </xf>
    <xf numFmtId="0" fontId="15" fillId="5" borderId="17" xfId="0" applyFont="1" applyFill="1" applyBorder="1" applyAlignment="1" applyProtection="1">
      <alignment horizontal="center" vertical="center"/>
      <protection locked="0"/>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42" fillId="0" borderId="0" xfId="0" applyFont="1" applyFill="1" applyAlignment="1" applyProtection="1">
      <alignment vertical="center"/>
      <protection locked="0"/>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176" fontId="46" fillId="5" borderId="3" xfId="0" applyNumberFormat="1" applyFont="1" applyFill="1" applyBorder="1" applyAlignment="1" applyProtection="1">
      <alignment horizontal="center" vertical="center"/>
      <protection locked="0"/>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77" fillId="0" borderId="0" xfId="0" applyFont="1" applyFill="1" applyAlignment="1" applyProtection="1">
      <alignment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164" fontId="42" fillId="5" borderId="46" xfId="1" applyNumberFormat="1" applyFont="1" applyFill="1" applyBorder="1" applyAlignment="1" applyProtection="1">
      <alignment horizontal="center" vertical="center"/>
      <protection locked="0"/>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60" fillId="0" borderId="0" xfId="0" applyFont="1" applyFill="1" applyAlignment="1" applyProtection="1">
      <alignment horizontal="center" vertical="center"/>
      <protection locked="0"/>
    </xf>
    <xf numFmtId="0" fontId="56" fillId="0" borderId="0" xfId="0" applyFont="1" applyFill="1" applyAlignment="1" applyProtection="1">
      <alignment vertical="center"/>
      <protection locked="0"/>
    </xf>
    <xf numFmtId="0" fontId="42" fillId="0" borderId="0" xfId="0" applyFont="1" applyFill="1" applyBorder="1" applyAlignment="1" applyProtection="1">
      <alignment vertical="center"/>
      <protection locked="0"/>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164" fontId="13" fillId="11" borderId="16" xfId="1" applyNumberFormat="1" applyFont="1" applyFill="1" applyBorder="1" applyProtection="1">
      <protection locked="0"/>
    </xf>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5" fillId="0" borderId="0" xfId="0" applyFont="1" applyFill="1" applyAlignment="1" applyProtection="1">
      <alignment horizontal="left"/>
    </xf>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8" fillId="0" borderId="0" xfId="0" applyFont="1" applyAlignment="1" applyProtection="1">
      <alignment vertical="top"/>
    </xf>
    <xf numFmtId="0" fontId="91" fillId="0" borderId="0" xfId="0" applyFont="1" applyAlignment="1" applyProtection="1">
      <alignment horizontal="left"/>
    </xf>
    <xf numFmtId="0" fontId="5" fillId="0" borderId="0" xfId="0" applyFont="1" applyBorder="1" applyProtection="1"/>
    <xf numFmtId="0" fontId="15" fillId="0" borderId="0" xfId="0" applyFont="1" applyProtection="1"/>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97" fillId="0" borderId="0" xfId="0" applyFont="1" applyFill="1" applyAlignment="1" applyProtection="1">
      <alignment horizontal="center"/>
    </xf>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38" fontId="11" fillId="0" borderId="0" xfId="0" applyNumberFormat="1" applyFont="1" applyFill="1" applyAlignment="1" applyProtection="1">
      <alignment horizontal="center" vertical="center"/>
    </xf>
    <xf numFmtId="0" fontId="14" fillId="0" borderId="38" xfId="0" applyFont="1" applyFill="1" applyBorder="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43" fillId="0" borderId="0" xfId="0" applyFont="1" applyFill="1" applyBorder="1" applyAlignment="1" applyProtection="1">
      <alignment horizontal="left" vertical="center"/>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15" fillId="5" borderId="86" xfId="0" applyFont="1" applyFill="1" applyBorder="1" applyAlignment="1" applyProtection="1">
      <alignment horizontal="center" vertical="center"/>
      <protection locked="0"/>
    </xf>
    <xf numFmtId="0" fontId="5" fillId="0" borderId="0" xfId="0" quotePrefix="1" applyFont="1" applyFill="1" applyAlignment="1" applyProtection="1">
      <alignment horizontal="center" vertical="top"/>
    </xf>
    <xf numFmtId="0" fontId="4" fillId="0" borderId="0" xfId="0" applyFont="1" applyFill="1" applyAlignment="1" applyProtection="1"/>
    <xf numFmtId="0" fontId="54" fillId="0" borderId="0" xfId="0" applyFont="1" applyFill="1" applyAlignment="1" applyProtection="1">
      <alignment horizontal="center" vertical="center"/>
    </xf>
    <xf numFmtId="0" fontId="46" fillId="0" borderId="85" xfId="0" applyFont="1" applyFill="1" applyBorder="1" applyAlignment="1" applyProtection="1">
      <alignment vertical="center"/>
    </xf>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15" fillId="5" borderId="28" xfId="0" applyFont="1" applyFill="1" applyBorder="1" applyAlignment="1" applyProtection="1">
      <alignment horizontal="center" vertical="center"/>
      <protection locked="0"/>
    </xf>
    <xf numFmtId="0" fontId="15" fillId="5" borderId="33" xfId="0" applyFont="1" applyFill="1" applyBorder="1" applyAlignment="1" applyProtection="1">
      <alignment horizontal="center" vertical="center"/>
      <protection locked="0"/>
    </xf>
    <xf numFmtId="0" fontId="69" fillId="0" borderId="0" xfId="6" applyFont="1" applyFill="1" applyAlignment="1" applyProtection="1">
      <alignment vertical="center"/>
      <protection locked="0"/>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6" fillId="5" borderId="12" xfId="0" applyFont="1" applyFill="1" applyBorder="1" applyAlignment="1" applyProtection="1">
      <alignment horizontal="left" vertical="center"/>
      <protection locked="0"/>
    </xf>
    <xf numFmtId="0" fontId="46" fillId="0" borderId="0" xfId="0" applyFont="1" applyFill="1" applyAlignment="1" applyProtection="1">
      <alignment horizontal="center" vertical="center"/>
      <protection locked="0"/>
    </xf>
    <xf numFmtId="0" fontId="52" fillId="0" borderId="13" xfId="0" applyFont="1" applyFill="1" applyBorder="1" applyAlignment="1" applyProtection="1">
      <alignment vertical="center"/>
    </xf>
    <xf numFmtId="0" fontId="63" fillId="0" borderId="80" xfId="0" applyFont="1" applyFill="1" applyBorder="1" applyAlignment="1" applyProtection="1">
      <alignment vertical="top"/>
    </xf>
    <xf numFmtId="0" fontId="63" fillId="0" borderId="81"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6" fillId="0" borderId="0" xfId="0" applyFont="1"/>
    <xf numFmtId="0" fontId="104" fillId="0" borderId="0" xfId="0" applyFont="1"/>
    <xf numFmtId="0" fontId="96" fillId="0" borderId="0" xfId="0" applyNumberFormat="1" applyFont="1"/>
    <xf numFmtId="0" fontId="5" fillId="0" borderId="0" xfId="0" applyFont="1" applyFill="1" applyAlignment="1" applyProtection="1">
      <alignment horizontal="center"/>
    </xf>
    <xf numFmtId="0" fontId="43" fillId="0" borderId="0" xfId="0" applyFont="1" applyFill="1" applyAlignment="1" applyProtection="1">
      <alignment horizontal="right"/>
    </xf>
    <xf numFmtId="38" fontId="9" fillId="5" borderId="16" xfId="0" applyNumberFormat="1" applyFont="1" applyFill="1" applyBorder="1" applyAlignment="1" applyProtection="1">
      <alignment horizontal="center" vertical="center"/>
      <protection locked="0"/>
    </xf>
    <xf numFmtId="38" fontId="9" fillId="5" borderId="17" xfId="0" applyNumberFormat="1" applyFont="1" applyFill="1" applyBorder="1" applyAlignment="1" applyProtection="1">
      <alignment horizontal="center" vertical="center"/>
      <protection locked="0"/>
    </xf>
    <xf numFmtId="38" fontId="9" fillId="5" borderId="18" xfId="0" applyNumberFormat="1" applyFont="1" applyFill="1" applyBorder="1" applyAlignment="1" applyProtection="1">
      <alignment horizontal="center" vertical="center"/>
      <protection locked="0"/>
    </xf>
    <xf numFmtId="3" fontId="9" fillId="5" borderId="18" xfId="0" applyNumberFormat="1" applyFont="1" applyFill="1" applyBorder="1" applyAlignment="1" applyProtection="1">
      <alignment horizontal="center" vertical="center"/>
      <protection locked="0"/>
    </xf>
    <xf numFmtId="0" fontId="43" fillId="0" borderId="0" xfId="0" applyFont="1" applyAlignment="1" applyProtection="1">
      <alignment horizontal="left"/>
    </xf>
    <xf numFmtId="0" fontId="54" fillId="16" borderId="86" xfId="0" applyFont="1" applyFill="1" applyBorder="1" applyAlignment="1" applyProtection="1">
      <alignment vertical="center"/>
    </xf>
    <xf numFmtId="0" fontId="85" fillId="0" borderId="0" xfId="0" applyNumberFormat="1" applyFont="1"/>
    <xf numFmtId="0" fontId="85" fillId="0" borderId="0" xfId="0" applyFont="1"/>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38" fontId="9" fillId="13" borderId="16" xfId="0" applyNumberFormat="1" applyFont="1" applyFill="1" applyBorder="1" applyAlignment="1" applyProtection="1">
      <alignment horizontal="center" vertical="center"/>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0" fontId="9" fillId="13" borderId="3"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1" fillId="0" borderId="86" xfId="0" applyNumberFormat="1" applyFont="1" applyFill="1" applyBorder="1" applyAlignment="1" applyProtection="1">
      <alignment horizontal="center" vertical="center"/>
    </xf>
    <xf numFmtId="0" fontId="101" fillId="0" borderId="0" xfId="0" applyFont="1" applyFill="1" applyAlignment="1" applyProtection="1">
      <alignment vertical="top"/>
    </xf>
    <xf numFmtId="174"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15" fillId="5" borderId="17" xfId="0" applyFont="1" applyFill="1" applyBorder="1" applyAlignment="1" applyProtection="1">
      <alignment horizontal="center" vertical="top"/>
      <protection locked="0"/>
    </xf>
    <xf numFmtId="166" fontId="15" fillId="5" borderId="17" xfId="0" applyNumberFormat="1" applyFont="1" applyFill="1" applyBorder="1" applyAlignment="1" applyProtection="1">
      <alignment horizontal="center" vertical="center"/>
      <protection locked="0"/>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77" fillId="0" borderId="0" xfId="0" applyFont="1" applyAlignment="1" applyProtection="1">
      <alignment horizontal="center" vertical="center"/>
    </xf>
    <xf numFmtId="0" fontId="0" fillId="0" borderId="0" xfId="0" applyAlignment="1" applyProtection="1">
      <alignment horizontal="center" vertical="center"/>
    </xf>
    <xf numFmtId="0" fontId="48" fillId="0" borderId="0" xfId="0" applyFont="1" applyAlignment="1" applyProtection="1">
      <alignment wrapText="1"/>
    </xf>
    <xf numFmtId="0" fontId="15" fillId="0" borderId="0" xfId="0" applyFont="1" applyAlignment="1" applyProtection="1">
      <alignment vertical="center"/>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85" fillId="0" borderId="0" xfId="0" applyFont="1" applyFill="1" applyBorder="1" applyAlignment="1" applyProtection="1"/>
    <xf numFmtId="0" fontId="14" fillId="0" borderId="0" xfId="0" applyFont="1" applyFill="1" applyAlignment="1" applyProtection="1">
      <alignment horizontal="center" vertical="center"/>
    </xf>
    <xf numFmtId="0" fontId="5" fillId="10" borderId="29" xfId="0" applyFont="1" applyFill="1" applyBorder="1" applyAlignment="1" applyProtection="1">
      <alignment horizontal="center" vertical="center" wrapText="1"/>
      <protection locked="0"/>
    </xf>
    <xf numFmtId="0" fontId="5" fillId="10" borderId="31" xfId="0" applyFont="1" applyFill="1" applyBorder="1" applyAlignment="1" applyProtection="1">
      <alignment horizontal="center" vertical="center" wrapText="1"/>
      <protection locked="0"/>
    </xf>
    <xf numFmtId="0" fontId="5" fillId="10" borderId="34" xfId="0" applyFont="1" applyFill="1" applyBorder="1" applyAlignment="1" applyProtection="1">
      <alignment horizontal="center" vertical="center" wrapText="1"/>
      <protection locked="0"/>
    </xf>
    <xf numFmtId="38" fontId="9" fillId="5" borderId="86" xfId="0" applyNumberFormat="1" applyFont="1" applyFill="1" applyBorder="1" applyAlignment="1" applyProtection="1">
      <alignment horizontal="center" vertical="center"/>
      <protection locked="0"/>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5" borderId="16" xfId="1" applyNumberFormat="1" applyFont="1" applyFill="1" applyBorder="1" applyAlignment="1" applyProtection="1">
      <alignment horizontal="right" vertical="center"/>
      <protection locked="0"/>
    </xf>
    <xf numFmtId="38" fontId="13" fillId="5" borderId="18" xfId="1" applyNumberFormat="1" applyFont="1" applyFill="1" applyBorder="1" applyAlignment="1" applyProtection="1">
      <alignment horizontal="right" vertical="center"/>
      <protection locked="0"/>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4" fillId="0" borderId="0" xfId="0" quotePrefix="1" applyFont="1" applyFill="1" applyAlignment="1" applyProtection="1">
      <alignment vertical="top"/>
    </xf>
    <xf numFmtId="0" fontId="46" fillId="5" borderId="16" xfId="0" applyFont="1" applyFill="1" applyBorder="1" applyAlignment="1" applyProtection="1">
      <alignment horizontal="center" vertical="top"/>
      <protection locked="0"/>
    </xf>
    <xf numFmtId="0" fontId="46" fillId="5" borderId="17" xfId="0" applyFont="1" applyFill="1" applyBorder="1" applyAlignment="1" applyProtection="1">
      <alignment horizontal="center" vertical="top"/>
      <protection locked="0"/>
    </xf>
    <xf numFmtId="0" fontId="46" fillId="5" borderId="18" xfId="0" applyFont="1" applyFill="1" applyBorder="1" applyAlignment="1" applyProtection="1">
      <alignment horizontal="center" vertical="top"/>
      <protection locked="0"/>
    </xf>
    <xf numFmtId="0" fontId="46" fillId="0" borderId="0" xfId="0" applyFont="1" applyFill="1" applyBorder="1" applyAlignment="1" applyProtection="1">
      <alignment vertical="top" wrapText="1"/>
      <protection locked="0"/>
    </xf>
    <xf numFmtId="0" fontId="54" fillId="0" borderId="102" xfId="0" applyFont="1" applyFill="1" applyBorder="1" applyAlignment="1" applyProtection="1">
      <alignment vertical="top" wrapText="1"/>
    </xf>
    <xf numFmtId="0" fontId="46" fillId="5" borderId="16" xfId="0" applyNumberFormat="1" applyFont="1" applyFill="1" applyBorder="1" applyAlignment="1" applyProtection="1">
      <alignment horizontal="center" vertical="top"/>
      <protection locked="0"/>
    </xf>
    <xf numFmtId="0" fontId="46" fillId="5" borderId="51" xfId="0" applyFont="1" applyFill="1" applyBorder="1" applyAlignment="1" applyProtection="1">
      <alignment horizontal="center" vertical="top"/>
      <protection locked="0"/>
    </xf>
    <xf numFmtId="0" fontId="46" fillId="5" borderId="17" xfId="0" applyNumberFormat="1" applyFont="1" applyFill="1" applyBorder="1" applyAlignment="1" applyProtection="1">
      <alignment horizontal="center" vertical="top"/>
      <protection locked="0"/>
    </xf>
    <xf numFmtId="0" fontId="46" fillId="5" borderId="50" xfId="0" applyFont="1" applyFill="1" applyBorder="1" applyAlignment="1" applyProtection="1">
      <alignment horizontal="center" vertical="top"/>
      <protection locked="0"/>
    </xf>
    <xf numFmtId="0" fontId="46" fillId="5" borderId="18" xfId="0" applyNumberFormat="1" applyFont="1" applyFill="1" applyBorder="1" applyAlignment="1" applyProtection="1">
      <alignment horizontal="center" vertical="top"/>
      <protection locked="0"/>
    </xf>
    <xf numFmtId="0" fontId="46" fillId="5" borderId="48" xfId="0" applyFont="1" applyFill="1" applyBorder="1" applyAlignment="1" applyProtection="1">
      <alignment horizontal="center" vertical="top"/>
      <protection locked="0"/>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6"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 fillId="0" borderId="38" xfId="13" applyNumberFormat="1" applyFont="1" applyBorder="1" applyAlignment="1" applyProtection="1">
      <alignment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40" fillId="0" borderId="0" xfId="13" applyFont="1" applyAlignment="1" applyProtection="1">
      <alignment horizontal="centerContinuous"/>
    </xf>
    <xf numFmtId="0" fontId="10" fillId="0" borderId="0" xfId="13" applyFont="1" applyProtection="1"/>
    <xf numFmtId="0" fontId="26" fillId="0" borderId="0" xfId="13" applyFont="1" applyProtection="1"/>
    <xf numFmtId="175"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8"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8" fillId="0" borderId="77" xfId="13" applyFont="1" applyBorder="1" applyAlignment="1" applyProtection="1">
      <alignment horizontal="center" vertical="center"/>
    </xf>
    <xf numFmtId="0" fontId="158" fillId="0" borderId="21" xfId="13" applyFont="1" applyBorder="1" applyAlignment="1" applyProtection="1">
      <alignment horizontal="center" vertical="center"/>
    </xf>
    <xf numFmtId="0" fontId="158"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8" fillId="0" borderId="0" xfId="13" applyFont="1" applyAlignment="1" applyProtection="1">
      <alignment vertical="center"/>
    </xf>
    <xf numFmtId="0" fontId="10"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21" fillId="0" borderId="0" xfId="13" applyFont="1" applyProtection="1"/>
    <xf numFmtId="0" fontId="152" fillId="0" borderId="0" xfId="13" applyFont="1" applyProtection="1"/>
    <xf numFmtId="0" fontId="53" fillId="0" borderId="0" xfId="13" applyFont="1" applyAlignment="1" applyProtection="1">
      <alignment horizontal="center" vertical="top"/>
    </xf>
    <xf numFmtId="0" fontId="11" fillId="0" borderId="13" xfId="13" applyFont="1" applyBorder="1" applyAlignment="1" applyProtection="1">
      <alignment horizontal="left" wrapText="1"/>
    </xf>
    <xf numFmtId="0" fontId="14" fillId="0" borderId="0" xfId="13" applyFont="1" applyAlignment="1" applyProtection="1">
      <alignment horizontal="center" wrapText="1"/>
    </xf>
    <xf numFmtId="0" fontId="11" fillId="0" borderId="58" xfId="13" applyFont="1" applyBorder="1" applyAlignment="1" applyProtection="1">
      <alignment horizontal="center" wrapText="1"/>
    </xf>
    <xf numFmtId="0" fontId="4" fillId="0" borderId="0" xfId="13" applyFont="1" applyAlignment="1" applyProtection="1">
      <alignment horizontal="center" vertical="center"/>
    </xf>
    <xf numFmtId="3" fontId="4"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4"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4" fillId="0" borderId="13" xfId="13" applyFont="1" applyBorder="1" applyAlignment="1" applyProtection="1">
      <alignment vertical="center"/>
    </xf>
    <xf numFmtId="3" fontId="4"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4" fillId="0" borderId="13" xfId="13" applyNumberFormat="1" applyFont="1" applyBorder="1" applyAlignment="1" applyProtection="1">
      <alignment horizontal="center" vertical="center"/>
    </xf>
    <xf numFmtId="0" fontId="24" fillId="0" borderId="0" xfId="13" applyFont="1" applyAlignment="1" applyProtection="1">
      <alignment vertical="center"/>
    </xf>
    <xf numFmtId="0" fontId="4" fillId="0" borderId="0" xfId="13" applyFont="1" applyAlignment="1" applyProtection="1">
      <alignment horizontal="center"/>
    </xf>
    <xf numFmtId="0" fontId="9" fillId="0" borderId="0" xfId="13" applyFont="1" applyAlignment="1" applyProtection="1">
      <alignment vertical="center"/>
    </xf>
    <xf numFmtId="3" fontId="4" fillId="0" borderId="15" xfId="13" applyNumberFormat="1" applyFont="1" applyFill="1" applyBorder="1" applyAlignment="1" applyProtection="1">
      <alignment horizontal="center" vertical="center"/>
    </xf>
    <xf numFmtId="3" fontId="4" fillId="0" borderId="38" xfId="13" applyNumberFormat="1" applyFont="1" applyBorder="1" applyAlignment="1" applyProtection="1">
      <alignment horizontal="center" vertical="center"/>
    </xf>
    <xf numFmtId="0" fontId="17" fillId="0" borderId="0" xfId="13" applyFont="1" applyAlignment="1" applyProtection="1">
      <alignment horizontal="left"/>
    </xf>
    <xf numFmtId="0" fontId="23" fillId="0" borderId="0" xfId="13" applyFont="1" applyProtection="1"/>
    <xf numFmtId="166" fontId="4" fillId="0" borderId="86" xfId="13" applyNumberFormat="1" applyFont="1" applyBorder="1" applyAlignment="1" applyProtection="1">
      <alignment vertical="center"/>
    </xf>
    <xf numFmtId="0" fontId="4"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9" fillId="0" borderId="86" xfId="13" applyNumberFormat="1" applyFont="1" applyBorder="1" applyAlignment="1" applyProtection="1">
      <alignment vertical="center"/>
    </xf>
    <xf numFmtId="3" fontId="4" fillId="0" borderId="0" xfId="13" applyNumberFormat="1" applyFont="1" applyProtection="1"/>
    <xf numFmtId="0" fontId="17" fillId="0" borderId="0" xfId="13" applyFont="1" applyAlignment="1" applyProtection="1">
      <alignment vertical="center" wrapText="1"/>
    </xf>
    <xf numFmtId="3" fontId="4"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6" fillId="0" borderId="0" xfId="13" applyFont="1" applyAlignment="1" applyProtection="1">
      <alignment vertical="center"/>
    </xf>
    <xf numFmtId="3" fontId="6" fillId="20" borderId="15" xfId="13" applyNumberFormat="1" applyFont="1" applyFill="1" applyBorder="1" applyAlignment="1" applyProtection="1">
      <alignment vertical="center"/>
    </xf>
    <xf numFmtId="3" fontId="159" fillId="0" borderId="86" xfId="13" applyNumberFormat="1" applyFont="1" applyFill="1" applyBorder="1" applyAlignment="1" applyProtection="1">
      <alignment vertical="center"/>
    </xf>
    <xf numFmtId="0" fontId="17" fillId="0" borderId="0" xfId="13" applyFont="1" applyAlignment="1" applyProtection="1">
      <alignment horizontal="left" vertical="center" wrapText="1"/>
    </xf>
    <xf numFmtId="3" fontId="4" fillId="0" borderId="0" xfId="13" applyNumberFormat="1" applyFont="1" applyAlignment="1" applyProtection="1">
      <alignment vertical="center"/>
    </xf>
    <xf numFmtId="0" fontId="14" fillId="0" borderId="52" xfId="13" applyFont="1" applyBorder="1" applyAlignment="1" applyProtection="1">
      <alignment horizontal="center" vertical="center"/>
    </xf>
    <xf numFmtId="0" fontId="17" fillId="0" borderId="0" xfId="13" applyFont="1" applyAlignment="1" applyProtection="1"/>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10" borderId="13" xfId="13" applyFont="1" applyFill="1" applyBorder="1" applyAlignment="1" applyProtection="1">
      <alignment horizontal="center" vertical="top" wrapText="1"/>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1" fontId="9" fillId="0" borderId="0" xfId="13" applyNumberFormat="1" applyFont="1" applyProtection="1"/>
    <xf numFmtId="0" fontId="9" fillId="10" borderId="0" xfId="13" applyFont="1" applyFill="1" applyAlignment="1" applyProtection="1">
      <alignment horizontal="left"/>
    </xf>
    <xf numFmtId="181" fontId="4" fillId="0" borderId="0" xfId="13" applyNumberFormat="1" applyFont="1" applyAlignment="1" applyProtection="1">
      <alignment horizontal="left"/>
    </xf>
    <xf numFmtId="181"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1" fontId="9" fillId="0" borderId="0" xfId="13" quotePrefix="1" applyNumberFormat="1" applyFont="1" applyFill="1" applyProtection="1"/>
    <xf numFmtId="0" fontId="4" fillId="0" borderId="0" xfId="13" applyFont="1" applyBorder="1" applyAlignment="1" applyProtection="1">
      <alignment horizontal="left"/>
    </xf>
    <xf numFmtId="181" fontId="9" fillId="0" borderId="0" xfId="13" applyNumberFormat="1" applyFont="1" applyFill="1" applyProtection="1"/>
    <xf numFmtId="181"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1" fontId="9" fillId="0" borderId="0" xfId="13" applyNumberFormat="1" applyFont="1" applyAlignment="1" applyProtection="1">
      <alignment horizontal="left"/>
    </xf>
    <xf numFmtId="0" fontId="4" fillId="0" borderId="0" xfId="13" applyFont="1" applyBorder="1" applyProtection="1"/>
    <xf numFmtId="0" fontId="145"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1"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2" fillId="5" borderId="16" xfId="1" applyNumberFormat="1" applyFont="1" applyFill="1" applyBorder="1" applyAlignment="1" applyProtection="1">
      <alignment horizontal="center" vertical="center"/>
      <protection locked="0"/>
    </xf>
    <xf numFmtId="3" fontId="42" fillId="5" borderId="17" xfId="1" applyNumberFormat="1" applyFont="1" applyFill="1" applyBorder="1" applyAlignment="1" applyProtection="1">
      <alignment horizontal="center" vertical="center"/>
      <protection locked="0"/>
    </xf>
    <xf numFmtId="3" fontId="42" fillId="5" borderId="18" xfId="1" applyNumberFormat="1" applyFont="1" applyFill="1" applyBorder="1" applyAlignment="1" applyProtection="1">
      <alignment horizontal="center" vertical="center"/>
      <protection locked="0"/>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5" borderId="23" xfId="0" applyFont="1" applyFill="1" applyBorder="1" applyAlignment="1" applyProtection="1">
      <alignment horizontal="center" vertical="top"/>
      <protection locked="0"/>
    </xf>
    <xf numFmtId="0" fontId="46" fillId="5" borderId="25" xfId="0" applyFont="1" applyFill="1" applyBorder="1" applyAlignment="1" applyProtection="1">
      <alignment horizontal="center" vertical="top"/>
      <protection locked="0"/>
    </xf>
    <xf numFmtId="0" fontId="46" fillId="5" borderId="24" xfId="0" applyFont="1" applyFill="1" applyBorder="1" applyAlignment="1" applyProtection="1">
      <alignment horizontal="center" vertical="top"/>
      <protection locked="0"/>
    </xf>
    <xf numFmtId="174" fontId="46" fillId="5" borderId="16" xfId="10" applyNumberFormat="1" applyFont="1" applyFill="1" applyBorder="1" applyAlignment="1" applyProtection="1">
      <alignment horizontal="center" vertical="top"/>
      <protection locked="0"/>
    </xf>
    <xf numFmtId="174" fontId="46" fillId="5" borderId="17" xfId="10" applyNumberFormat="1" applyFont="1" applyFill="1" applyBorder="1" applyAlignment="1" applyProtection="1">
      <alignment horizontal="center" vertical="top"/>
      <protection locked="0"/>
    </xf>
    <xf numFmtId="174" fontId="46" fillId="5" borderId="18" xfId="10" applyNumberFormat="1" applyFont="1" applyFill="1" applyBorder="1" applyAlignment="1" applyProtection="1">
      <alignment horizontal="center" vertical="top"/>
      <protection locked="0"/>
    </xf>
    <xf numFmtId="0" fontId="46" fillId="5" borderId="86" xfId="0" applyFont="1" applyFill="1" applyBorder="1" applyAlignment="1" applyProtection="1">
      <alignment horizontal="center" vertical="center"/>
      <protection locked="0"/>
    </xf>
    <xf numFmtId="166" fontId="46" fillId="5" borderId="86" xfId="0" applyNumberFormat="1" applyFont="1" applyFill="1" applyBorder="1" applyAlignment="1" applyProtection="1">
      <alignment horizontal="center" vertical="center"/>
      <protection locked="0"/>
    </xf>
    <xf numFmtId="166" fontId="46" fillId="5" borderId="16" xfId="0" applyNumberFormat="1" applyFont="1" applyFill="1" applyBorder="1" applyAlignment="1" applyProtection="1">
      <alignment horizontal="center" vertical="center"/>
      <protection locked="0"/>
    </xf>
    <xf numFmtId="166" fontId="46" fillId="5" borderId="17" xfId="0" applyNumberFormat="1" applyFont="1" applyFill="1" applyBorder="1" applyAlignment="1" applyProtection="1">
      <alignment horizontal="center" vertical="center"/>
      <protection locked="0"/>
    </xf>
    <xf numFmtId="166" fontId="46" fillId="5" borderId="18" xfId="0" applyNumberFormat="1" applyFont="1" applyFill="1" applyBorder="1" applyAlignment="1" applyProtection="1">
      <alignment horizontal="center" vertical="center"/>
      <protection locked="0"/>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5" fillId="13" borderId="17" xfId="0" applyNumberFormat="1" applyFont="1" applyFill="1" applyBorder="1" applyAlignment="1" applyProtection="1">
      <alignment horizontal="center" vertical="center"/>
    </xf>
    <xf numFmtId="3" fontId="9" fillId="5" borderId="16" xfId="0" applyNumberFormat="1" applyFont="1" applyFill="1" applyBorder="1" applyAlignment="1" applyProtection="1">
      <alignment horizontal="center" vertical="center"/>
      <protection locked="0"/>
    </xf>
    <xf numFmtId="38" fontId="9" fillId="13" borderId="3"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top"/>
    </xf>
    <xf numFmtId="38" fontId="9" fillId="5" borderId="17" xfId="0" applyNumberFormat="1" applyFont="1" applyFill="1" applyBorder="1" applyAlignment="1" applyProtection="1">
      <alignment horizontal="center" vertical="top"/>
      <protection locked="0"/>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3" fontId="13" fillId="0" borderId="0" xfId="0" applyNumberFormat="1" applyFont="1" applyFill="1" applyBorder="1" applyAlignment="1" applyProtection="1">
      <alignment vertical="center"/>
      <protection locked="0"/>
    </xf>
    <xf numFmtId="3" fontId="13" fillId="0" borderId="0" xfId="1" applyNumberFormat="1" applyFont="1" applyFill="1" applyBorder="1" applyAlignment="1" applyProtection="1">
      <alignment horizontal="right" vertical="center"/>
      <protection locked="0"/>
    </xf>
    <xf numFmtId="0" fontId="46" fillId="0" borderId="8" xfId="0" applyFont="1" applyFill="1" applyBorder="1" applyAlignment="1" applyProtection="1">
      <alignment horizontal="center" vertical="center"/>
      <protection locked="0"/>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15" fillId="5" borderId="100" xfId="0" applyFont="1" applyFill="1" applyBorder="1" applyAlignment="1" applyProtection="1">
      <alignment horizontal="center" vertical="top"/>
      <protection locked="0"/>
    </xf>
    <xf numFmtId="0" fontId="15" fillId="13" borderId="100" xfId="0" applyFont="1" applyFill="1" applyBorder="1" applyAlignment="1" applyProtection="1">
      <alignment horizontal="center" vertical="top"/>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92" fillId="0" borderId="0" xfId="0" applyFont="1" applyAlignment="1" applyProtection="1">
      <alignment vertical="center"/>
    </xf>
    <xf numFmtId="3" fontId="9" fillId="0" borderId="3" xfId="0" applyNumberFormat="1" applyFont="1" applyFill="1" applyBorder="1" applyAlignment="1" applyProtection="1">
      <alignment horizontal="center" vertical="center"/>
    </xf>
    <xf numFmtId="0" fontId="14" fillId="0" borderId="0" xfId="0" applyFont="1" applyAlignment="1" applyProtection="1">
      <alignmen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38" fontId="9" fillId="0" borderId="86" xfId="0" applyNumberFormat="1" applyFont="1" applyBorder="1" applyAlignment="1" applyProtection="1">
      <alignment horizontal="center"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3" fontId="5" fillId="0" borderId="0" xfId="0" applyNumberFormat="1" applyFont="1" applyBorder="1" applyAlignment="1" applyProtection="1">
      <alignment horizontal="center" vertical="center" wrapText="1"/>
    </xf>
    <xf numFmtId="3" fontId="5" fillId="10" borderId="16" xfId="0" applyNumberFormat="1" applyFont="1" applyFill="1" applyBorder="1" applyAlignment="1" applyProtection="1">
      <alignment horizontal="center" vertical="center" wrapText="1"/>
      <protection locked="0"/>
    </xf>
    <xf numFmtId="3" fontId="5" fillId="10" borderId="18" xfId="0" applyNumberFormat="1" applyFont="1" applyFill="1" applyBorder="1" applyAlignment="1" applyProtection="1">
      <alignment horizontal="center" vertical="center" wrapText="1"/>
      <protection locked="0"/>
    </xf>
    <xf numFmtId="3" fontId="5" fillId="0" borderId="0" xfId="0" applyNumberFormat="1" applyFont="1" applyBorder="1" applyAlignment="1" applyProtection="1">
      <alignment horizontal="left" vertical="center"/>
    </xf>
    <xf numFmtId="0" fontId="92" fillId="0" borderId="0" xfId="0" applyFont="1" applyFill="1" applyAlignment="1" applyProtection="1">
      <alignment horizontal="right"/>
    </xf>
    <xf numFmtId="0" fontId="43" fillId="0" borderId="0" xfId="0" applyFont="1" applyFill="1" applyAlignment="1" applyProtection="1"/>
    <xf numFmtId="0" fontId="15" fillId="13" borderId="100" xfId="0" applyFont="1" applyFill="1" applyBorder="1" applyAlignment="1" applyProtection="1">
      <alignment horizontal="center" vertical="center"/>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protection locked="0"/>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8" xfId="0" applyFont="1" applyFill="1" applyBorder="1" applyAlignment="1" applyProtection="1">
      <alignment horizontal="center" vertical="center"/>
      <protection locked="0"/>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9"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3" fontId="14" fillId="5" borderId="16" xfId="0" applyNumberFormat="1" applyFont="1" applyFill="1" applyBorder="1" applyAlignment="1" applyProtection="1">
      <alignment vertical="center"/>
      <protection locked="0"/>
    </xf>
    <xf numFmtId="3" fontId="14" fillId="5" borderId="16" xfId="10" applyNumberFormat="1" applyFont="1" applyFill="1" applyBorder="1" applyAlignment="1" applyProtection="1">
      <alignment vertical="center"/>
      <protection locked="0"/>
    </xf>
    <xf numFmtId="3" fontId="14" fillId="5" borderId="18" xfId="0" applyNumberFormat="1" applyFont="1" applyFill="1" applyBorder="1" applyAlignment="1" applyProtection="1">
      <alignment vertical="center"/>
      <protection locked="0"/>
    </xf>
    <xf numFmtId="3" fontId="14" fillId="5" borderId="18" xfId="10" applyNumberFormat="1" applyFont="1" applyFill="1" applyBorder="1" applyAlignment="1" applyProtection="1">
      <alignment vertical="center"/>
      <protection locked="0"/>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66" fillId="0" borderId="0" xfId="0" applyFont="1" applyFill="1" applyAlignment="1" applyProtection="1">
      <alignment vertical="center"/>
    </xf>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92" fillId="0" borderId="0" xfId="0" applyFont="1" applyAlignment="1" applyProtection="1">
      <alignment horizontal="left"/>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1" fillId="5" borderId="16" xfId="0" applyFont="1"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15"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0" fontId="43" fillId="0" borderId="0" xfId="13" applyFont="1" applyFill="1" applyBorder="1" applyAlignment="1" applyProtection="1">
      <alignment vertical="center"/>
      <protection locked="0"/>
    </xf>
    <xf numFmtId="164" fontId="43" fillId="0" borderId="8" xfId="1" applyNumberFormat="1" applyFont="1" applyFill="1" applyBorder="1" applyAlignment="1" applyProtection="1">
      <alignment horizontal="right" vertical="center"/>
      <protection locked="0"/>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3" fontId="14" fillId="13" borderId="52" xfId="0" applyNumberFormat="1" applyFont="1" applyFill="1" applyBorder="1" applyAlignment="1" applyProtection="1">
      <alignment horizontal="center" vertical="center"/>
      <protection locked="0"/>
    </xf>
    <xf numFmtId="10" fontId="14" fillId="13" borderId="23" xfId="0" applyNumberFormat="1" applyFont="1" applyFill="1" applyBorder="1" applyAlignment="1" applyProtection="1">
      <alignment horizontal="center" vertical="center"/>
      <protection locked="0"/>
    </xf>
    <xf numFmtId="3" fontId="14" fillId="13" borderId="38" xfId="0" applyNumberFormat="1" applyFont="1" applyFill="1" applyBorder="1" applyAlignment="1" applyProtection="1">
      <alignment horizontal="center" vertical="center"/>
      <protection locked="0"/>
    </xf>
    <xf numFmtId="10" fontId="14" fillId="13" borderId="25" xfId="0" applyNumberFormat="1" applyFont="1" applyFill="1" applyBorder="1" applyAlignment="1" applyProtection="1">
      <alignment horizontal="center" vertical="center"/>
      <protection locked="0"/>
    </xf>
    <xf numFmtId="3" fontId="14" fillId="13" borderId="49" xfId="0" applyNumberFormat="1" applyFont="1" applyFill="1" applyBorder="1" applyAlignment="1" applyProtection="1">
      <alignment horizontal="center" vertical="center"/>
      <protection locked="0"/>
    </xf>
    <xf numFmtId="10" fontId="14" fillId="13" borderId="24" xfId="0" applyNumberFormat="1" applyFont="1" applyFill="1" applyBorder="1" applyAlignment="1" applyProtection="1">
      <alignment horizontal="center" vertical="center"/>
      <protection locked="0"/>
    </xf>
    <xf numFmtId="0" fontId="86" fillId="20" borderId="0" xfId="0" applyFont="1" applyFill="1" applyAlignment="1" applyProtection="1">
      <alignment horizontal="left" vertical="center"/>
    </xf>
    <xf numFmtId="0" fontId="54" fillId="0" borderId="0" xfId="0" quotePrefix="1" applyFont="1" applyAlignment="1">
      <alignment horizont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00"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3" fontId="14" fillId="11" borderId="17" xfId="1" applyNumberFormat="1" applyFont="1" applyFill="1" applyBorder="1" applyAlignment="1" applyProtection="1">
      <alignment horizontal="center" vertical="center"/>
      <protection locked="0"/>
    </xf>
    <xf numFmtId="3" fontId="14" fillId="11" borderId="18" xfId="1" applyNumberFormat="1" applyFont="1" applyFill="1" applyBorder="1" applyAlignment="1" applyProtection="1">
      <alignment horizontal="center" vertical="center"/>
      <protection locked="0"/>
    </xf>
    <xf numFmtId="0" fontId="5" fillId="0" borderId="0" xfId="0" applyFont="1" applyAlignment="1" applyProtection="1">
      <alignment vertical="center" wrapText="1"/>
    </xf>
    <xf numFmtId="0" fontId="177" fillId="0" borderId="0" xfId="0" applyFont="1" applyFill="1" applyAlignment="1" applyProtection="1">
      <alignment vertical="center"/>
    </xf>
    <xf numFmtId="3" fontId="144"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71" fillId="0" borderId="0" xfId="0" applyNumberFormat="1" applyFont="1" applyFill="1" applyAlignment="1" applyProtection="1">
      <alignment horizontal="center"/>
    </xf>
    <xf numFmtId="166" fontId="171" fillId="0" borderId="0" xfId="0" applyNumberFormat="1" applyFont="1" applyFill="1" applyBorder="1" applyAlignment="1" applyProtection="1">
      <alignment horizontal="center"/>
    </xf>
    <xf numFmtId="37" fontId="171"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1" fillId="0" borderId="107" xfId="0" applyNumberFormat="1" applyFont="1" applyFill="1" applyBorder="1" applyAlignment="1" applyProtection="1">
      <alignment horizontal="center"/>
    </xf>
    <xf numFmtId="37" fontId="171"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3"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3" fontId="5" fillId="5" borderId="3" xfId="1" applyNumberFormat="1" applyFont="1" applyFill="1" applyBorder="1" applyAlignment="1" applyProtection="1">
      <alignment horizontal="center" vertical="center"/>
      <protection locked="0"/>
    </xf>
    <xf numFmtId="0" fontId="15" fillId="5" borderId="22" xfId="0" applyFont="1" applyFill="1" applyBorder="1" applyAlignment="1" applyProtection="1">
      <alignment horizontal="center" vertical="center"/>
      <protection locked="0"/>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17" fillId="0" borderId="0" xfId="0" applyFont="1" applyFill="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17" fillId="0" borderId="0" xfId="0" applyFont="1" applyAlignment="1" applyProtection="1">
      <alignment horizontal="right" vertical="top"/>
    </xf>
    <xf numFmtId="0" fontId="17" fillId="0" borderId="0" xfId="0" applyFont="1" applyAlignment="1" applyProtection="1">
      <alignment horizontal="right" vertical="center"/>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4" fontId="5" fillId="10" borderId="51" xfId="0" applyNumberFormat="1" applyFont="1" applyFill="1" applyBorder="1" applyAlignment="1" applyProtection="1">
      <alignment horizontal="center" vertical="center" wrapText="1"/>
      <protection locked="0"/>
    </xf>
    <xf numFmtId="4" fontId="5" fillId="10" borderId="52" xfId="0" applyNumberFormat="1" applyFont="1" applyFill="1" applyBorder="1" applyAlignment="1" applyProtection="1">
      <alignment horizontal="center" vertical="center" wrapText="1"/>
      <protection locked="0"/>
    </xf>
    <xf numFmtId="4" fontId="5" fillId="10" borderId="50" xfId="0" applyNumberFormat="1" applyFont="1" applyFill="1" applyBorder="1" applyAlignment="1" applyProtection="1">
      <alignment horizontal="center" vertical="center" wrapText="1"/>
      <protection locked="0"/>
    </xf>
    <xf numFmtId="4" fontId="5" fillId="10" borderId="38" xfId="0" applyNumberFormat="1" applyFont="1" applyFill="1" applyBorder="1" applyAlignment="1" applyProtection="1">
      <alignment horizontal="center" vertical="center" wrapText="1"/>
      <protection locked="0"/>
    </xf>
    <xf numFmtId="4" fontId="5" fillId="10" borderId="48" xfId="0" applyNumberFormat="1" applyFont="1" applyFill="1" applyBorder="1" applyAlignment="1" applyProtection="1">
      <alignment horizontal="center" vertical="center" wrapText="1"/>
      <protection locked="0"/>
    </xf>
    <xf numFmtId="4" fontId="5" fillId="10" borderId="49" xfId="0" applyNumberFormat="1" applyFont="1" applyFill="1" applyBorder="1" applyAlignment="1" applyProtection="1">
      <alignment horizontal="center" vertical="center" wrapText="1"/>
      <protection locked="0"/>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181" fillId="0" borderId="0" xfId="0" applyFont="1" applyAlignment="1" applyProtection="1">
      <alignment horizontal="center"/>
    </xf>
    <xf numFmtId="0" fontId="94" fillId="0" borderId="0" xfId="0" applyFont="1" applyFill="1" applyAlignment="1" applyProtection="1">
      <alignment horizontal="left" vertical="center"/>
    </xf>
    <xf numFmtId="0" fontId="182" fillId="0" borderId="0" xfId="0" applyFont="1" applyProtection="1"/>
    <xf numFmtId="0" fontId="182" fillId="0" borderId="0" xfId="0" applyFont="1" applyFill="1" applyProtection="1"/>
    <xf numFmtId="0" fontId="181" fillId="0" borderId="0" xfId="0" applyFont="1" applyFill="1" applyProtection="1"/>
    <xf numFmtId="0" fontId="94" fillId="0" borderId="0" xfId="0" applyNumberFormat="1" applyFont="1" applyFill="1" applyProtection="1"/>
    <xf numFmtId="0" fontId="94" fillId="0" borderId="0" xfId="0" applyFont="1" applyFill="1" applyBorder="1" applyProtection="1"/>
    <xf numFmtId="0" fontId="178" fillId="0" borderId="0" xfId="13" applyFont="1"/>
    <xf numFmtId="0" fontId="183" fillId="0" borderId="0" xfId="13" applyFont="1" applyAlignment="1"/>
    <xf numFmtId="0" fontId="76" fillId="0" borderId="0" xfId="13" applyFont="1" applyAlignment="1"/>
    <xf numFmtId="0" fontId="184" fillId="0" borderId="0" xfId="13" applyFont="1" applyAlignment="1"/>
    <xf numFmtId="0" fontId="75" fillId="0" borderId="0" xfId="13" applyFont="1"/>
    <xf numFmtId="0" fontId="89" fillId="0" borderId="0" xfId="13" applyFont="1"/>
    <xf numFmtId="0" fontId="75" fillId="0" borderId="0" xfId="13" applyFont="1" applyAlignment="1">
      <alignment vertical="top"/>
    </xf>
    <xf numFmtId="0" fontId="75" fillId="0" borderId="0" xfId="13" applyFont="1" applyAlignment="1"/>
    <xf numFmtId="0" fontId="43" fillId="0" borderId="0" xfId="13" applyFont="1" applyBorder="1" applyAlignment="1">
      <alignment horizontal="center" vertical="top"/>
    </xf>
    <xf numFmtId="0" fontId="46" fillId="0" borderId="0" xfId="0" applyFont="1" applyFill="1" applyBorder="1" applyAlignment="1" applyProtection="1">
      <alignment horizontal="left" vertical="center"/>
    </xf>
    <xf numFmtId="0" fontId="54"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5" borderId="18" xfId="0" applyFont="1" applyFill="1" applyBorder="1" applyAlignment="1" applyProtection="1">
      <alignment horizontal="center" vertical="center"/>
      <protection locked="0"/>
    </xf>
    <xf numFmtId="0" fontId="46" fillId="0" borderId="0" xfId="0" applyFont="1" applyFill="1" applyBorder="1" applyAlignment="1" applyProtection="1">
      <alignment horizontal="center" wrapText="1"/>
    </xf>
    <xf numFmtId="0" fontId="46" fillId="0" borderId="82"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16"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13" xfId="0"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4" fontId="63" fillId="0" borderId="85" xfId="1" applyNumberFormat="1" applyFont="1" applyFill="1" applyBorder="1" applyAlignment="1" applyProtection="1">
      <alignment horizontal="right" vertical="center"/>
    </xf>
    <xf numFmtId="4" fontId="63" fillId="0" borderId="13" xfId="1" applyNumberFormat="1" applyFont="1" applyFill="1" applyBorder="1" applyAlignment="1" applyProtection="1">
      <alignment horizontal="right" vertical="center"/>
    </xf>
    <xf numFmtId="171" fontId="52" fillId="0" borderId="85" xfId="0" applyNumberFormat="1" applyFont="1" applyFill="1" applyBorder="1" applyAlignment="1" applyProtection="1">
      <alignment horizontal="left" vertical="center"/>
    </xf>
    <xf numFmtId="0" fontId="46" fillId="0" borderId="2"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9" fillId="0" borderId="0" xfId="0" applyFont="1" applyAlignment="1" applyProtection="1">
      <alignment horizontal="center"/>
    </xf>
    <xf numFmtId="0" fontId="11" fillId="0" borderId="0" xfId="0" applyFont="1" applyFill="1" applyAlignment="1" applyProtection="1">
      <alignment horizontal="center" wrapText="1"/>
    </xf>
    <xf numFmtId="0" fontId="11"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43" fillId="0" borderId="0" xfId="0" applyFont="1" applyAlignment="1">
      <alignment horizontal="left" vertical="center" wrapText="1"/>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0" fontId="75" fillId="0" borderId="0" xfId="13" applyFont="1" applyAlignment="1">
      <alignment horizontal="left"/>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15" fillId="5" borderId="22" xfId="0" applyFont="1" applyFill="1" applyBorder="1" applyAlignment="1" applyProtection="1">
      <alignment horizontal="center" vertical="top"/>
      <protection locked="0"/>
    </xf>
    <xf numFmtId="0" fontId="5" fillId="0" borderId="0" xfId="0" applyFont="1" applyFill="1" applyAlignment="1" applyProtection="1"/>
    <xf numFmtId="0" fontId="46" fillId="0" borderId="0" xfId="0" applyFont="1" applyFill="1" applyBorder="1" applyAlignment="1" applyProtection="1">
      <alignment vertical="center"/>
    </xf>
    <xf numFmtId="0" fontId="92" fillId="0" borderId="0" xfId="0" applyFont="1" applyFill="1" applyProtection="1"/>
    <xf numFmtId="0" fontId="25" fillId="0" borderId="0" xfId="0" applyFont="1" applyFill="1" applyAlignment="1" applyProtection="1">
      <alignment horizontal="right" vertical="center"/>
    </xf>
    <xf numFmtId="167" fontId="5" fillId="10" borderId="18" xfId="0" applyNumberFormat="1" applyFont="1" applyFill="1" applyBorder="1" applyAlignment="1" applyProtection="1">
      <alignment horizontal="center" vertical="center"/>
      <protection locked="0"/>
    </xf>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49" fontId="5" fillId="10" borderId="29" xfId="0" applyNumberFormat="1" applyFont="1" applyFill="1" applyBorder="1" applyAlignment="1" applyProtection="1">
      <alignment horizontal="center" vertical="center" wrapText="1"/>
      <protection locked="0"/>
    </xf>
    <xf numFmtId="49" fontId="5" fillId="10" borderId="31" xfId="0" applyNumberFormat="1" applyFont="1" applyFill="1" applyBorder="1" applyAlignment="1" applyProtection="1">
      <alignment horizontal="center" vertical="center" wrapText="1"/>
      <protection locked="0"/>
    </xf>
    <xf numFmtId="49" fontId="5" fillId="10" borderId="34" xfId="0" applyNumberFormat="1" applyFont="1" applyFill="1" applyBorder="1" applyAlignment="1" applyProtection="1">
      <alignment horizontal="center" vertical="center" wrapText="1"/>
      <protection locked="0"/>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166" fontId="46" fillId="0" borderId="0" xfId="0" applyNumberFormat="1" applyFont="1" applyFill="1" applyBorder="1" applyAlignment="1" applyProtection="1">
      <alignment horizontal="center" vertical="center"/>
      <protection locked="0"/>
    </xf>
    <xf numFmtId="38" fontId="46" fillId="0" borderId="0" xfId="2" applyNumberFormat="1" applyFont="1" applyFill="1" applyBorder="1" applyAlignment="1" applyProtection="1">
      <alignment horizontal="center" vertical="center"/>
      <protection locked="0"/>
    </xf>
    <xf numFmtId="0" fontId="42" fillId="0" borderId="13" xfId="0" applyFont="1" applyFill="1" applyBorder="1" applyAlignment="1" applyProtection="1">
      <alignment horizontal="center" vertical="center"/>
      <protection locked="0"/>
    </xf>
    <xf numFmtId="38" fontId="86" fillId="0" borderId="13" xfId="0" applyNumberFormat="1" applyFont="1" applyFill="1" applyBorder="1" applyAlignment="1" applyProtection="1">
      <alignment horizontal="center" vertical="center"/>
      <protection locked="0"/>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86" fillId="0" borderId="0" xfId="0" applyFont="1" applyFill="1" applyBorder="1" applyAlignment="1" applyProtection="1">
      <alignment vertical="center" wrapText="1"/>
    </xf>
    <xf numFmtId="3" fontId="46" fillId="5" borderId="16" xfId="1" applyNumberFormat="1" applyFont="1" applyFill="1" applyBorder="1" applyAlignment="1" applyProtection="1">
      <alignment horizontal="center" vertical="center"/>
      <protection locked="0"/>
    </xf>
    <xf numFmtId="3" fontId="46" fillId="5" borderId="18" xfId="1" applyNumberFormat="1" applyFont="1" applyFill="1" applyBorder="1" applyAlignment="1" applyProtection="1">
      <alignment horizontal="center" vertical="center"/>
      <protection locked="0"/>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88" fillId="21" borderId="0" xfId="0" applyNumberFormat="1" applyFont="1" applyFill="1" applyBorder="1" applyAlignment="1">
      <alignment horizontal="center" vertical="top"/>
    </xf>
    <xf numFmtId="0" fontId="4" fillId="13" borderId="40" xfId="0" applyFont="1" applyFill="1" applyBorder="1" applyAlignment="1" applyProtection="1">
      <alignment vertical="top" wrapText="1"/>
      <protection locked="0"/>
    </xf>
    <xf numFmtId="0" fontId="4" fillId="13" borderId="41" xfId="0" applyFont="1" applyFill="1" applyBorder="1" applyAlignment="1" applyProtection="1">
      <alignment vertical="top" wrapText="1"/>
      <protection locked="0"/>
    </xf>
    <xf numFmtId="4" fontId="46" fillId="13" borderId="38" xfId="0" applyNumberFormat="1" applyFont="1" applyFill="1" applyBorder="1" applyAlignment="1" applyProtection="1">
      <alignment horizontal="right" vertical="center"/>
      <protection locked="0"/>
    </xf>
    <xf numFmtId="4" fontId="54" fillId="13" borderId="38" xfId="0" applyNumberFormat="1" applyFont="1" applyFill="1" applyBorder="1" applyAlignment="1" applyProtection="1">
      <alignment horizontal="right" vertical="center"/>
      <protection locked="0"/>
    </xf>
    <xf numFmtId="4" fontId="46" fillId="13" borderId="52" xfId="0" applyNumberFormat="1" applyFont="1" applyFill="1" applyBorder="1" applyAlignment="1" applyProtection="1">
      <alignment horizontal="right" vertical="center"/>
      <protection locked="0"/>
    </xf>
    <xf numFmtId="4" fontId="46" fillId="0" borderId="0" xfId="0" applyNumberFormat="1" applyFont="1" applyFill="1" applyAlignment="1" applyProtection="1">
      <alignment horizontal="right" vertical="center"/>
    </xf>
    <xf numFmtId="4" fontId="46" fillId="13" borderId="77" xfId="0" applyNumberFormat="1" applyFont="1" applyFill="1" applyBorder="1" applyAlignment="1" applyProtection="1">
      <alignment horizontal="right" vertical="center"/>
      <protection locked="0"/>
    </xf>
    <xf numFmtId="4" fontId="46" fillId="13" borderId="96" xfId="0" applyNumberFormat="1" applyFont="1" applyFill="1" applyBorder="1" applyAlignment="1" applyProtection="1">
      <alignment horizontal="right" vertical="center"/>
      <protection locked="0"/>
    </xf>
    <xf numFmtId="4" fontId="46" fillId="13" borderId="86" xfId="0" applyNumberFormat="1" applyFont="1" applyFill="1" applyBorder="1" applyAlignment="1" applyProtection="1">
      <alignment horizontal="right" vertical="center"/>
      <protection locked="0"/>
    </xf>
    <xf numFmtId="4" fontId="46" fillId="13" borderId="90" xfId="0" applyNumberFormat="1" applyFont="1" applyFill="1" applyBorder="1" applyAlignment="1" applyProtection="1">
      <alignment horizontal="right" vertical="center"/>
      <protection locked="0"/>
    </xf>
    <xf numFmtId="0" fontId="46" fillId="5" borderId="16" xfId="0" applyFont="1" applyFill="1" applyBorder="1" applyAlignment="1" applyProtection="1">
      <alignment horizontal="center" vertical="center"/>
      <protection locked="0"/>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quotePrefix="1" applyNumberFormat="1" applyFont="1"/>
    <xf numFmtId="0" fontId="114" fillId="0" borderId="0" xfId="0" applyNumberFormat="1" applyFont="1"/>
    <xf numFmtId="0" fontId="114" fillId="0" borderId="0" xfId="0" applyFont="1"/>
    <xf numFmtId="0" fontId="80" fillId="0" borderId="0" xfId="0" applyFont="1"/>
    <xf numFmtId="0" fontId="80" fillId="0" borderId="0" xfId="0" applyFont="1" applyAlignment="1" applyProtection="1">
      <alignment horizontal="left"/>
    </xf>
    <xf numFmtId="1" fontId="46" fillId="5" borderId="17" xfId="0" applyNumberFormat="1" applyFont="1" applyFill="1" applyBorder="1" applyAlignment="1" applyProtection="1">
      <alignment horizontal="center" vertical="center"/>
      <protection locked="0"/>
    </xf>
    <xf numFmtId="0" fontId="46" fillId="5" borderId="16" xfId="0" applyFont="1" applyFill="1" applyBorder="1" applyAlignment="1" applyProtection="1">
      <alignment horizontal="center"/>
      <protection locked="0"/>
    </xf>
    <xf numFmtId="3" fontId="46" fillId="5" borderId="17" xfId="1" applyNumberFormat="1" applyFont="1" applyFill="1" applyBorder="1" applyAlignment="1" applyProtection="1">
      <alignment horizontal="center" vertical="center"/>
      <protection locked="0"/>
    </xf>
    <xf numFmtId="0" fontId="46" fillId="5" borderId="17" xfId="0" applyFont="1" applyFill="1" applyBorder="1" applyAlignment="1" applyProtection="1">
      <alignment horizontal="center"/>
      <protection locked="0"/>
    </xf>
    <xf numFmtId="0" fontId="46" fillId="5" borderId="18" xfId="0" applyFont="1" applyFill="1" applyBorder="1" applyAlignment="1" applyProtection="1">
      <alignment horizontal="center"/>
      <protection locked="0"/>
    </xf>
    <xf numFmtId="0" fontId="63" fillId="5" borderId="16" xfId="0" applyFont="1" applyFill="1" applyBorder="1" applyAlignment="1" applyProtection="1">
      <alignment horizontal="center" vertical="center"/>
      <protection locked="0"/>
    </xf>
    <xf numFmtId="0" fontId="63" fillId="5" borderId="18" xfId="0" applyFont="1" applyFill="1" applyBorder="1" applyAlignment="1" applyProtection="1">
      <alignment horizontal="center" vertical="center"/>
      <protection locked="0"/>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5" fillId="0" borderId="0" xfId="0" quotePrefix="1" applyFont="1" applyFill="1" applyBorder="1" applyAlignment="1" applyProtection="1">
      <alignment horizontal="right" vertical="center"/>
    </xf>
    <xf numFmtId="0" fontId="18"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9" fillId="0" borderId="112" xfId="0" applyNumberFormat="1" applyFont="1" applyFill="1" applyBorder="1" applyAlignment="1" applyProtection="1">
      <alignment horizontal="center" vertical="center"/>
    </xf>
    <xf numFmtId="38" fontId="9" fillId="0" borderId="15" xfId="0"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protection locked="0"/>
    </xf>
    <xf numFmtId="0" fontId="46" fillId="0" borderId="0" xfId="0" applyFont="1" applyFill="1" applyBorder="1" applyAlignment="1" applyProtection="1">
      <alignment horizontal="left" vertical="center"/>
    </xf>
    <xf numFmtId="0" fontId="54" fillId="0" borderId="85" xfId="0" quotePrefix="1" applyFont="1" applyFill="1" applyBorder="1" applyAlignment="1" applyProtection="1">
      <alignment vertical="top"/>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5"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15" fillId="0" borderId="80" xfId="0" applyNumberFormat="1" applyFont="1" applyFill="1" applyBorder="1" applyAlignment="1" applyProtection="1">
      <alignment vertical="center"/>
    </xf>
    <xf numFmtId="10" fontId="5" fillId="0" borderId="81" xfId="0" applyNumberFormat="1" applyFont="1" applyFill="1" applyBorder="1" applyAlignment="1" applyProtection="1">
      <alignment horizontal="right" vertical="center"/>
    </xf>
    <xf numFmtId="10" fontId="15" fillId="5" borderId="18" xfId="0" applyNumberFormat="1" applyFont="1" applyFill="1" applyBorder="1" applyAlignment="1" applyProtection="1">
      <alignment horizontal="center" vertical="center"/>
      <protection locked="0"/>
    </xf>
    <xf numFmtId="0" fontId="92" fillId="0" borderId="0" xfId="0" applyFont="1" applyFill="1" applyBorder="1" applyAlignment="1" applyProtection="1">
      <alignment vertical="center"/>
    </xf>
    <xf numFmtId="10" fontId="5" fillId="0" borderId="116" xfId="0" applyNumberFormat="1" applyFont="1" applyFill="1" applyBorder="1" applyAlignment="1" applyProtection="1">
      <alignment horizontal="center" vertical="center" wrapText="1"/>
    </xf>
    <xf numFmtId="10" fontId="5" fillId="0" borderId="118" xfId="0" applyNumberFormat="1" applyFont="1" applyFill="1" applyBorder="1" applyAlignment="1" applyProtection="1">
      <alignment horizontal="center" vertical="center" wrapText="1"/>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46" fillId="5" borderId="17" xfId="0" applyFont="1" applyFill="1" applyBorder="1" applyAlignment="1" applyProtection="1">
      <alignment horizontal="center" vertical="center"/>
      <protection locked="0"/>
    </xf>
    <xf numFmtId="164" fontId="46" fillId="5" borderId="17" xfId="1" applyNumberFormat="1" applyFont="1" applyFill="1" applyBorder="1" applyAlignment="1" applyProtection="1">
      <alignment horizontal="center" vertical="center"/>
      <protection locked="0"/>
    </xf>
    <xf numFmtId="0" fontId="25" fillId="0" borderId="0" xfId="0" applyFont="1" applyFill="1" applyAlignment="1" applyProtection="1">
      <alignment vertical="top"/>
    </xf>
    <xf numFmtId="0" fontId="92" fillId="0" borderId="0" xfId="0" applyFont="1" applyAlignment="1" applyProtection="1">
      <alignment horizontal="center" vertical="top"/>
    </xf>
    <xf numFmtId="0" fontId="189"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5" fillId="0" borderId="0" xfId="0" applyFont="1" applyBorder="1" applyAlignment="1" applyProtection="1">
      <alignment vertical="top" wrapText="1"/>
    </xf>
    <xf numFmtId="0" fontId="92" fillId="0" borderId="0" xfId="0" applyFont="1" applyFill="1" applyAlignment="1" applyProtection="1">
      <alignment horizontal="left"/>
    </xf>
    <xf numFmtId="0" fontId="92" fillId="0" borderId="7" xfId="0" applyFont="1" applyFill="1" applyBorder="1" applyAlignment="1" applyProtection="1"/>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38" fontId="185" fillId="0" borderId="78" xfId="0" applyNumberFormat="1" applyFont="1" applyBorder="1" applyAlignment="1" applyProtection="1">
      <alignment horizontal="center" vertical="center" wrapText="1"/>
    </xf>
    <xf numFmtId="38" fontId="191" fillId="0" borderId="79" xfId="0" applyNumberFormat="1" applyFont="1" applyBorder="1" applyAlignment="1" applyProtection="1">
      <alignment horizontal="left" vertical="center" wrapText="1"/>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4" fillId="0" borderId="0" xfId="0" applyFont="1" applyAlignment="1" applyProtection="1">
      <alignment horizontal="right" vertical="center"/>
    </xf>
    <xf numFmtId="0" fontId="15" fillId="0" borderId="0" xfId="0" applyFont="1" applyAlignment="1" applyProtection="1">
      <alignment horizontal="left" vertical="top"/>
    </xf>
    <xf numFmtId="0" fontId="41" fillId="0" borderId="0" xfId="0" applyFont="1" applyFill="1" applyAlignment="1" applyProtection="1">
      <alignment horizontal="center" vertical="center" wrapText="1"/>
    </xf>
    <xf numFmtId="0" fontId="46" fillId="0" borderId="0" xfId="0" applyFont="1" applyFill="1" applyBorder="1" applyAlignment="1" applyProtection="1">
      <alignment horizontal="center" vertical="center"/>
    </xf>
    <xf numFmtId="0" fontId="9" fillId="0" borderId="0" xfId="0" applyFont="1" applyFill="1" applyAlignment="1" applyProtection="1">
      <alignment horizontal="left"/>
    </xf>
    <xf numFmtId="0" fontId="11"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left" vertical="center" wrapText="1"/>
    </xf>
    <xf numFmtId="0" fontId="1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wrapText="1"/>
    </xf>
    <xf numFmtId="0" fontId="9" fillId="0" borderId="0" xfId="0"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justify" vertical="center" wrapText="1"/>
    </xf>
    <xf numFmtId="0" fontId="15" fillId="13" borderId="16" xfId="0" applyFont="1" applyFill="1" applyBorder="1" applyAlignment="1" applyProtection="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38" fontId="26" fillId="0" borderId="120" xfId="0" applyNumberFormat="1" applyFont="1" applyFill="1" applyBorder="1" applyAlignment="1" applyProtection="1">
      <alignment horizontal="center" vertical="center"/>
    </xf>
    <xf numFmtId="0" fontId="9" fillId="0" borderId="15" xfId="0" applyFont="1" applyFill="1" applyBorder="1" applyAlignment="1" applyProtection="1">
      <alignment horizontal="center" vertical="center"/>
    </xf>
    <xf numFmtId="0" fontId="15" fillId="13" borderId="22" xfId="0" applyFont="1" applyFill="1" applyBorder="1" applyAlignment="1" applyProtection="1">
      <alignment horizontal="center" vertical="top"/>
    </xf>
    <xf numFmtId="38" fontId="9" fillId="5" borderId="15" xfId="0" applyNumberFormat="1" applyFont="1" applyFill="1" applyBorder="1" applyAlignment="1" applyProtection="1">
      <alignment horizontal="center" vertical="center"/>
      <protection locked="0"/>
    </xf>
    <xf numFmtId="38" fontId="9" fillId="17" borderId="15"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3" fontId="9" fillId="0" borderId="15" xfId="0" applyNumberFormat="1" applyFont="1" applyFill="1" applyBorder="1" applyAlignment="1" applyProtection="1">
      <alignment horizontal="center" vertical="center"/>
    </xf>
    <xf numFmtId="38" fontId="9" fillId="0" borderId="120"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 fontId="5" fillId="13" borderId="16" xfId="0" applyNumberFormat="1" applyFont="1" applyFill="1" applyBorder="1" applyAlignment="1" applyProtection="1">
      <alignment horizontal="center" vertical="center" wrapText="1"/>
    </xf>
    <xf numFmtId="3" fontId="5"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9" fillId="10" borderId="22" xfId="0" applyNumberFormat="1" applyFont="1" applyFill="1" applyBorder="1" applyAlignment="1" applyProtection="1">
      <alignment horizontal="center" vertical="center"/>
      <protection locked="0"/>
    </xf>
    <xf numFmtId="38" fontId="9" fillId="0" borderId="86" xfId="0" applyNumberFormat="1" applyFont="1" applyFill="1" applyBorder="1" applyAlignment="1" applyProtection="1">
      <alignment horizontal="center" vertical="center"/>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center" wrapText="1"/>
    </xf>
    <xf numFmtId="0" fontId="15" fillId="13" borderId="16" xfId="0" applyFont="1" applyFill="1" applyBorder="1" applyAlignment="1" applyProtection="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0" fontId="15" fillId="5" borderId="86" xfId="0" applyFont="1" applyFill="1" applyBorder="1" applyAlignment="1" applyProtection="1">
      <alignment horizontal="center" vertical="top"/>
      <protection locked="0"/>
    </xf>
    <xf numFmtId="0" fontId="15" fillId="13" borderId="86"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5" fillId="0" borderId="0" xfId="0" applyFont="1" applyFill="1" applyAlignment="1" applyProtection="1">
      <alignment horizontal="left" vertical="center" wrapText="1"/>
    </xf>
    <xf numFmtId="164" fontId="13" fillId="6" borderId="100" xfId="1" applyNumberFormat="1" applyFont="1" applyFill="1" applyBorder="1" applyProtection="1">
      <protection locked="0"/>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0" xfId="0" applyFont="1" applyFill="1" applyAlignment="1" applyProtection="1">
      <alignment horizontal="center" vertical="center" wrapText="1"/>
    </xf>
    <xf numFmtId="0" fontId="9" fillId="0" borderId="10" xfId="0" applyFont="1" applyFill="1" applyBorder="1" applyAlignment="1" applyProtection="1">
      <alignment horizontal="center" vertical="center"/>
    </xf>
    <xf numFmtId="0" fontId="9" fillId="0" borderId="13" xfId="0" applyFont="1" applyFill="1" applyBorder="1" applyAlignment="1" applyProtection="1">
      <alignment horizontal="center" vertical="center" wrapText="1"/>
    </xf>
    <xf numFmtId="0" fontId="91" fillId="0" borderId="0" xfId="0" applyFont="1" applyFill="1" applyAlignment="1" applyProtection="1">
      <alignment vertical="center"/>
    </xf>
    <xf numFmtId="10" fontId="92" fillId="0" borderId="16" xfId="0" applyNumberFormat="1" applyFont="1" applyFill="1" applyBorder="1" applyAlignment="1" applyProtection="1">
      <alignment horizontal="center" vertical="center"/>
    </xf>
    <xf numFmtId="0" fontId="92" fillId="0" borderId="17" xfId="0" applyFont="1" applyFill="1" applyBorder="1" applyAlignment="1" applyProtection="1">
      <alignment horizontal="center"/>
    </xf>
    <xf numFmtId="166" fontId="92" fillId="0" borderId="18" xfId="0" applyNumberFormat="1" applyFont="1" applyFill="1" applyBorder="1" applyAlignment="1" applyProtection="1">
      <alignment horizontal="center" vertical="center"/>
    </xf>
    <xf numFmtId="0" fontId="14" fillId="0" borderId="0" xfId="0" quotePrefix="1" applyFont="1" applyFill="1" applyAlignment="1" applyProtection="1">
      <alignment horizontal="right"/>
    </xf>
    <xf numFmtId="0" fontId="192" fillId="0" borderId="0" xfId="0" applyFont="1" applyAlignment="1" applyProtection="1">
      <alignment horizontal="right" vertical="center"/>
    </xf>
    <xf numFmtId="0" fontId="196" fillId="0" borderId="0" xfId="0" applyFont="1" applyFill="1" applyAlignment="1" applyProtection="1">
      <alignment horizontal="left" vertical="center"/>
    </xf>
    <xf numFmtId="168" fontId="42" fillId="13" borderId="86" xfId="0" applyNumberFormat="1" applyFont="1" applyFill="1" applyBorder="1" applyAlignment="1" applyProtection="1">
      <alignment vertical="center"/>
    </xf>
    <xf numFmtId="0" fontId="15" fillId="5" borderId="18"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3" fontId="13" fillId="11" borderId="15" xfId="1" applyNumberFormat="1" applyFont="1" applyFill="1" applyBorder="1" applyAlignment="1" applyProtection="1">
      <alignment horizontal="right" vertical="center"/>
      <protection locked="0"/>
    </xf>
    <xf numFmtId="0" fontId="22" fillId="0" borderId="0" xfId="0" applyFont="1" applyFill="1" applyAlignment="1" applyProtection="1">
      <alignment horizontal="left"/>
    </xf>
    <xf numFmtId="0" fontId="22" fillId="0" borderId="81" xfId="0" applyFont="1" applyFill="1" applyBorder="1" applyProtection="1"/>
    <xf numFmtId="38" fontId="185" fillId="0" borderId="0" xfId="0" applyNumberFormat="1" applyFont="1" applyFill="1" applyAlignment="1" applyProtection="1">
      <alignment horizontal="center" vertical="center"/>
    </xf>
    <xf numFmtId="38" fontId="191" fillId="0" borderId="0" xfId="0" applyNumberFormat="1" applyFont="1" applyFill="1" applyAlignment="1" applyProtection="1">
      <alignment horizontal="center" vertical="center"/>
    </xf>
    <xf numFmtId="0" fontId="50" fillId="0" borderId="0" xfId="0" applyFont="1" applyAlignment="1" applyProtection="1">
      <alignment vertical="center"/>
    </xf>
    <xf numFmtId="0" fontId="8" fillId="0" borderId="0" xfId="0" applyFont="1" applyBorder="1" applyAlignment="1" applyProtection="1">
      <alignment horizontal="center"/>
    </xf>
    <xf numFmtId="0" fontId="8" fillId="0" borderId="0" xfId="0" applyFont="1" applyAlignment="1" applyProtection="1">
      <alignment horizontal="center"/>
    </xf>
    <xf numFmtId="0" fontId="43" fillId="0" borderId="80" xfId="0" applyFont="1" applyFill="1" applyBorder="1" applyAlignment="1" applyProtection="1">
      <alignment horizontal="left" vertical="top" wrapText="1"/>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2"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19" fillId="0" borderId="85" xfId="0" applyFont="1" applyFill="1" applyBorder="1" applyProtection="1"/>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87" fillId="0" borderId="0" xfId="0" applyFont="1" applyFill="1" applyAlignment="1" applyProtection="1">
      <alignment vertical="center"/>
    </xf>
    <xf numFmtId="0" fontId="8" fillId="0" borderId="0" xfId="0" applyFont="1" applyBorder="1" applyAlignment="1" applyProtection="1"/>
    <xf numFmtId="0" fontId="8" fillId="0" borderId="0" xfId="0" applyFont="1" applyAlignment="1" applyProtection="1"/>
    <xf numFmtId="0" fontId="15" fillId="5" borderId="116" xfId="0" applyFont="1" applyFill="1" applyBorder="1" applyAlignment="1" applyProtection="1">
      <alignment horizontal="center" vertical="center"/>
      <protection locked="0"/>
    </xf>
    <xf numFmtId="0" fontId="15" fillId="13" borderId="118" xfId="0" applyFont="1" applyFill="1" applyBorder="1" applyAlignment="1" applyProtection="1">
      <alignment horizontal="center" vertical="center"/>
    </xf>
    <xf numFmtId="0" fontId="15" fillId="5" borderId="51" xfId="0" applyFont="1" applyFill="1" applyBorder="1" applyAlignment="1" applyProtection="1">
      <alignment horizontal="center" vertical="center"/>
      <protection locked="0"/>
    </xf>
    <xf numFmtId="0" fontId="15" fillId="5" borderId="48" xfId="0" applyFont="1" applyFill="1" applyBorder="1" applyAlignment="1" applyProtection="1">
      <alignment horizontal="center" vertical="center"/>
      <protection locked="0"/>
    </xf>
    <xf numFmtId="10" fontId="15" fillId="5" borderId="18" xfId="0" applyNumberFormat="1" applyFont="1" applyFill="1" applyBorder="1" applyAlignment="1" applyProtection="1">
      <alignment horizontal="left" vertical="center"/>
      <protection locked="0"/>
    </xf>
    <xf numFmtId="0" fontId="15" fillId="5" borderId="12" xfId="0" applyFont="1" applyFill="1" applyBorder="1" applyAlignment="1" applyProtection="1">
      <alignment horizontal="center" vertical="top"/>
      <protection locked="0"/>
    </xf>
    <xf numFmtId="0" fontId="15" fillId="13" borderId="12" xfId="0" applyFont="1" applyFill="1" applyBorder="1" applyAlignment="1" applyProtection="1">
      <alignment horizontal="center" vertical="top"/>
    </xf>
    <xf numFmtId="1" fontId="11" fillId="5" borderId="86" xfId="0" applyNumberFormat="1" applyFont="1" applyFill="1" applyBorder="1" applyAlignment="1" applyProtection="1">
      <alignment horizontal="center" vertical="center"/>
      <protection locked="0"/>
    </xf>
    <xf numFmtId="1" fontId="11" fillId="13" borderId="86" xfId="0" applyNumberFormat="1" applyFont="1" applyFill="1" applyBorder="1" applyAlignment="1" applyProtection="1">
      <alignment horizontal="center" vertical="center"/>
    </xf>
    <xf numFmtId="0" fontId="9" fillId="0" borderId="0" xfId="0" applyFont="1" applyAlignment="1" applyProtection="1">
      <alignment horizontal="center"/>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0" fontId="5" fillId="0" borderId="0" xfId="0" applyFont="1" applyBorder="1" applyAlignment="1" applyProtection="1">
      <alignment horizontal="left" vertical="center"/>
    </xf>
    <xf numFmtId="0" fontId="5" fillId="0" borderId="0" xfId="0" applyFont="1" applyAlignment="1" applyProtection="1">
      <alignment horizontal="center" vertical="center"/>
    </xf>
    <xf numFmtId="0" fontId="5" fillId="0" borderId="0" xfId="0" applyFont="1" applyFill="1" applyBorder="1" applyAlignment="1" applyProtection="1">
      <alignment horizontal="justify" vertical="center" wrapText="1"/>
    </xf>
    <xf numFmtId="3" fontId="14" fillId="0" borderId="18" xfId="0" applyNumberFormat="1" applyFont="1" applyBorder="1" applyAlignment="1" applyProtection="1">
      <alignment horizontal="center" vertical="center" wrapText="1"/>
    </xf>
    <xf numFmtId="3" fontId="14" fillId="0" borderId="16" xfId="0" applyNumberFormat="1" applyFont="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5" fillId="0" borderId="0" xfId="0" applyFont="1" applyFill="1" applyAlignment="1" applyProtection="1">
      <alignment horizontal="left" vertical="center" wrapText="1"/>
    </xf>
    <xf numFmtId="0" fontId="5" fillId="0" borderId="0" xfId="0" applyFont="1" applyFill="1" applyAlignment="1" applyProtection="1">
      <alignment horizontal="left" wrapText="1"/>
    </xf>
    <xf numFmtId="0" fontId="155" fillId="0" borderId="0" xfId="0" applyFont="1" applyAlignment="1" applyProtection="1">
      <alignment horizontal="center" vertical="center"/>
    </xf>
    <xf numFmtId="0" fontId="99" fillId="0" borderId="0" xfId="0" applyFont="1" applyFill="1" applyProtection="1"/>
    <xf numFmtId="0" fontId="171"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4" fontId="86" fillId="0" borderId="0" xfId="0" applyNumberFormat="1" applyFont="1" applyFill="1" applyAlignment="1" applyProtection="1">
      <alignment horizontal="lef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37" fontId="46" fillId="5" borderId="86" xfId="1" applyNumberFormat="1" applyFont="1" applyFill="1" applyBorder="1" applyAlignment="1" applyProtection="1">
      <alignment horizontal="center" vertical="center"/>
      <protection locked="0"/>
    </xf>
    <xf numFmtId="0" fontId="43" fillId="0" borderId="0" xfId="0" applyFont="1" applyFill="1" applyAlignment="1" applyProtection="1">
      <alignment horizontal="left" vertical="top"/>
    </xf>
    <xf numFmtId="0" fontId="46" fillId="0" borderId="0" xfId="0" applyFont="1" applyFill="1" applyBorder="1" applyAlignment="1" applyProtection="1">
      <alignment vertical="center"/>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1" fontId="4" fillId="0" borderId="0" xfId="12" applyNumberFormat="1" applyFont="1"/>
    <xf numFmtId="38" fontId="4" fillId="0" borderId="0" xfId="12" applyNumberFormat="1" applyFont="1"/>
    <xf numFmtId="181" fontId="4" fillId="0" borderId="0" xfId="28" applyNumberFormat="1" applyFont="1"/>
    <xf numFmtId="181"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1" fontId="4" fillId="0" borderId="0" xfId="28" applyNumberFormat="1" applyFont="1" applyAlignment="1">
      <alignment horizontal="center"/>
    </xf>
    <xf numFmtId="0" fontId="152" fillId="0" borderId="0" xfId="13" applyFont="1" applyAlignment="1" applyProtection="1">
      <alignment horizontal="centerContinuous"/>
    </xf>
    <xf numFmtId="0" fontId="42" fillId="0" borderId="0" xfId="0" applyFont="1" applyFill="1" applyBorder="1" applyAlignment="1" applyProtection="1">
      <alignment horizontal="center" vertical="center"/>
      <protection locked="0"/>
    </xf>
    <xf numFmtId="38" fontId="86" fillId="0" borderId="0" xfId="0" applyNumberFormat="1" applyFont="1" applyFill="1" applyBorder="1" applyAlignment="1" applyProtection="1">
      <alignment horizontal="center" vertical="center"/>
      <protection locked="0"/>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38" fontId="4"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9" fillId="0" borderId="0" xfId="0" applyFont="1" applyFill="1" applyAlignment="1" applyProtection="1">
      <alignment horizontal="center"/>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9" fillId="0" borderId="0" xfId="13" applyFont="1" applyAlignment="1" applyProtection="1">
      <alignment vertical="center"/>
    </xf>
    <xf numFmtId="0" fontId="14" fillId="0" borderId="0" xfId="13" applyFont="1" applyAlignment="1" applyProtection="1">
      <alignment vertical="center"/>
    </xf>
    <xf numFmtId="0" fontId="14" fillId="0" borderId="0" xfId="13" applyFont="1" applyProtection="1"/>
    <xf numFmtId="0" fontId="11" fillId="0" borderId="0" xfId="13" applyFont="1" applyAlignment="1" applyProtection="1">
      <alignment vertical="center"/>
    </xf>
    <xf numFmtId="0" fontId="4"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9" fillId="13" borderId="0" xfId="13" applyFont="1" applyFill="1" applyAlignment="1" applyProtection="1">
      <alignment vertical="center"/>
    </xf>
    <xf numFmtId="0" fontId="4" fillId="13" borderId="0" xfId="13" applyFont="1" applyFill="1" applyAlignment="1" applyProtection="1">
      <alignment vertical="center"/>
    </xf>
    <xf numFmtId="0" fontId="171"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1"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1"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6" fillId="5" borderId="17" xfId="0" applyFont="1" applyFill="1" applyBorder="1" applyAlignment="1" applyProtection="1">
      <alignment horizontal="left" vertical="center"/>
      <protection locked="0"/>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64" fontId="46" fillId="5" borderId="3" xfId="1" applyNumberFormat="1" applyFont="1" applyFill="1" applyBorder="1" applyAlignment="1" applyProtection="1">
      <alignment horizontal="center" vertical="center"/>
      <protection locked="0"/>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7" fillId="0" borderId="0" xfId="13" applyFont="1" applyProtection="1"/>
    <xf numFmtId="3" fontId="167" fillId="0" borderId="0" xfId="13" applyNumberFormat="1" applyFont="1" applyAlignment="1" applyProtection="1">
      <alignment horizontal="left"/>
    </xf>
    <xf numFmtId="0" fontId="202" fillId="0" borderId="0" xfId="0" applyFont="1"/>
    <xf numFmtId="0" fontId="201" fillId="0" borderId="0" xfId="0" applyFont="1"/>
    <xf numFmtId="38" fontId="201" fillId="0" borderId="0" xfId="0" applyNumberFormat="1" applyFont="1"/>
    <xf numFmtId="164" fontId="201" fillId="0" borderId="0" xfId="1" applyNumberFormat="1" applyFont="1"/>
    <xf numFmtId="43" fontId="201" fillId="0" borderId="0" xfId="0" applyNumberFormat="1" applyFont="1"/>
    <xf numFmtId="0" fontId="4" fillId="10" borderId="0" xfId="12" applyFont="1" applyFill="1"/>
    <xf numFmtId="10" fontId="203" fillId="10" borderId="0" xfId="0" applyNumberFormat="1" applyFont="1" applyFill="1"/>
    <xf numFmtId="0" fontId="201" fillId="10" borderId="0" xfId="0" applyFont="1" applyFill="1"/>
    <xf numFmtId="0" fontId="4" fillId="0" borderId="13" xfId="12" applyFont="1" applyBorder="1"/>
    <xf numFmtId="3" fontId="15" fillId="5" borderId="17" xfId="0" applyNumberFormat="1" applyFont="1" applyFill="1" applyBorder="1" applyAlignment="1" applyProtection="1">
      <alignment horizontal="center" vertical="center"/>
      <protection locked="0"/>
    </xf>
    <xf numFmtId="3" fontId="15" fillId="13" borderId="17" xfId="0" applyNumberFormat="1" applyFont="1" applyFill="1" applyBorder="1" applyAlignment="1" applyProtection="1">
      <alignment horizontal="center" vertical="center"/>
    </xf>
    <xf numFmtId="0" fontId="181"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204" fillId="0" borderId="0" xfId="0" applyFont="1" applyFill="1" applyBorder="1" applyProtection="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24" fillId="0" borderId="86" xfId="13" applyFont="1" applyBorder="1" applyAlignment="1" applyProtection="1">
      <alignment horizontal="center" vertical="center" wrapText="1"/>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4" fillId="10" borderId="0" xfId="13" applyFont="1" applyFill="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6"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0" fontId="4" fillId="10" borderId="0" xfId="13" applyFont="1" applyFill="1" applyAlignment="1" applyProtection="1">
      <alignment horizontal="right"/>
    </xf>
    <xf numFmtId="181"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1" fontId="4" fillId="0" borderId="0" xfId="13" applyNumberFormat="1" applyFont="1" applyProtection="1"/>
    <xf numFmtId="181" fontId="4" fillId="0" borderId="0" xfId="13" applyNumberFormat="1" applyFont="1" applyBorder="1" applyProtection="1"/>
    <xf numFmtId="181"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41"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left" vertical="top" wrapText="1"/>
    </xf>
    <xf numFmtId="38" fontId="9" fillId="13" borderId="86" xfId="0" applyNumberFormat="1" applyFont="1" applyFill="1" applyBorder="1" applyAlignment="1" applyProtection="1">
      <alignment horizontal="center" vertical="center"/>
      <protection locked="0"/>
    </xf>
    <xf numFmtId="0" fontId="15" fillId="13" borderId="127" xfId="0" applyFont="1" applyFill="1" applyBorder="1" applyAlignment="1" applyProtection="1">
      <alignment horizontal="center" vertical="center"/>
    </xf>
    <xf numFmtId="0" fontId="9" fillId="0" borderId="0" xfId="0" applyFont="1" applyFill="1" applyAlignment="1" applyProtection="1">
      <alignment horizontal="center"/>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center" wrapText="1"/>
    </xf>
    <xf numFmtId="3" fontId="14" fillId="5" borderId="16" xfId="10" applyNumberFormat="1" applyFont="1" applyFill="1" applyBorder="1" applyAlignment="1" applyProtection="1">
      <alignment horizontal="center" vertical="center"/>
      <protection locked="0"/>
    </xf>
    <xf numFmtId="3" fontId="14" fillId="5" borderId="17" xfId="10" applyNumberFormat="1" applyFont="1" applyFill="1" applyBorder="1" applyAlignment="1" applyProtection="1">
      <alignment horizontal="center" vertical="center"/>
      <protection locked="0"/>
    </xf>
    <xf numFmtId="3" fontId="14" fillId="5" borderId="128" xfId="10" applyNumberFormat="1" applyFont="1" applyFill="1" applyBorder="1" applyAlignment="1" applyProtection="1">
      <alignment horizontal="center" vertical="center"/>
      <protection locked="0"/>
    </xf>
    <xf numFmtId="1" fontId="14" fillId="5" borderId="22" xfId="1" applyNumberFormat="1" applyFont="1" applyFill="1" applyBorder="1" applyAlignment="1" applyProtection="1">
      <alignment horizontal="center" vertical="center"/>
      <protection locked="0"/>
    </xf>
    <xf numFmtId="173" fontId="14" fillId="5" borderId="22" xfId="1" applyNumberFormat="1" applyFont="1" applyFill="1" applyBorder="1" applyAlignment="1" applyProtection="1">
      <alignment horizontal="center" vertical="center"/>
      <protection locked="0"/>
    </xf>
    <xf numFmtId="3" fontId="14" fillId="5" borderId="22" xfId="1" applyNumberFormat="1" applyFont="1" applyFill="1" applyBorder="1" applyAlignment="1" applyProtection="1">
      <alignment horizontal="center" vertical="center"/>
      <protection locked="0"/>
    </xf>
    <xf numFmtId="1" fontId="14" fillId="5" borderId="128" xfId="1" applyNumberFormat="1" applyFont="1" applyFill="1" applyBorder="1" applyAlignment="1" applyProtection="1">
      <alignment horizontal="center" vertical="center"/>
      <protection locked="0"/>
    </xf>
    <xf numFmtId="173" fontId="14" fillId="5" borderId="128" xfId="1" applyNumberFormat="1" applyFont="1" applyFill="1" applyBorder="1" applyAlignment="1" applyProtection="1">
      <alignment horizontal="center" vertical="center"/>
      <protection locked="0"/>
    </xf>
    <xf numFmtId="3" fontId="14" fillId="5" borderId="128" xfId="1" applyNumberFormat="1" applyFont="1" applyFill="1" applyBorder="1" applyAlignment="1" applyProtection="1">
      <alignment horizontal="center" vertical="center"/>
      <protection locked="0"/>
    </xf>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13" fillId="0" borderId="82" xfId="1" applyNumberFormat="1" applyFont="1" applyFill="1" applyBorder="1" applyAlignment="1" applyProtection="1">
      <alignment vertical="center"/>
    </xf>
    <xf numFmtId="38" fontId="4" fillId="0" borderId="8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205" fillId="0" borderId="0" xfId="0" applyFont="1" applyFill="1" applyProtection="1"/>
    <xf numFmtId="38" fontId="23" fillId="0" borderId="82" xfId="1" applyNumberFormat="1" applyFont="1" applyFill="1" applyBorder="1" applyAlignment="1" applyProtection="1">
      <alignment horizontal="right" vertical="center"/>
    </xf>
    <xf numFmtId="3" fontId="14" fillId="11" borderId="22" xfId="1" applyNumberFormat="1" applyFont="1" applyFill="1" applyBorder="1" applyAlignment="1" applyProtection="1">
      <alignment horizontal="center" vertical="center"/>
      <protection locked="0"/>
    </xf>
    <xf numFmtId="3" fontId="42" fillId="5" borderId="22" xfId="1" applyNumberFormat="1" applyFont="1" applyFill="1" applyBorder="1" applyAlignment="1" applyProtection="1">
      <alignment horizontal="center" vertical="center"/>
      <protection locked="0"/>
    </xf>
    <xf numFmtId="38" fontId="14" fillId="0"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3" fontId="42" fillId="5" borderId="128" xfId="1" applyNumberFormat="1" applyFont="1" applyFill="1" applyBorder="1" applyAlignment="1" applyProtection="1">
      <alignment horizontal="center" vertical="center"/>
      <protection locked="0"/>
    </xf>
    <xf numFmtId="38" fontId="14" fillId="0" borderId="128" xfId="1" applyNumberFormat="1" applyFont="1" applyFill="1" applyBorder="1" applyAlignment="1" applyProtection="1">
      <alignment horizontal="center" vertical="center"/>
    </xf>
    <xf numFmtId="0" fontId="42" fillId="5" borderId="12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0" fontId="207" fillId="0" borderId="28" xfId="0" applyFont="1" applyFill="1" applyBorder="1" applyAlignment="1">
      <alignment horizontal="center" vertical="center"/>
    </xf>
    <xf numFmtId="164" fontId="207" fillId="0" borderId="29" xfId="1" applyNumberFormat="1" applyFont="1" applyFill="1" applyBorder="1" applyAlignment="1" applyProtection="1">
      <alignment horizontal="center" vertical="center"/>
    </xf>
    <xf numFmtId="0" fontId="207" fillId="0" borderId="33" xfId="0" applyFont="1" applyFill="1" applyBorder="1" applyAlignment="1">
      <alignment horizontal="center" vertical="center"/>
    </xf>
    <xf numFmtId="164" fontId="207" fillId="0" borderId="34" xfId="1" applyNumberFormat="1"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14" fillId="5" borderId="22" xfId="10" applyNumberFormat="1" applyFont="1" applyFill="1" applyBorder="1" applyAlignment="1" applyProtection="1">
      <alignment horizontal="center" vertical="center"/>
      <protection locked="0"/>
    </xf>
    <xf numFmtId="0" fontId="14" fillId="5" borderId="17" xfId="10" applyNumberFormat="1" applyFont="1" applyFill="1" applyBorder="1" applyAlignment="1" applyProtection="1">
      <alignment horizontal="center" vertical="center"/>
      <protection locked="0"/>
    </xf>
    <xf numFmtId="0" fontId="14" fillId="5" borderId="18" xfId="10" applyNumberFormat="1" applyFont="1" applyFill="1" applyBorder="1" applyAlignment="1" applyProtection="1">
      <alignment horizontal="center" vertical="center"/>
      <protection locked="0"/>
    </xf>
    <xf numFmtId="3" fontId="46" fillId="0" borderId="84" xfId="1" applyNumberFormat="1" applyFont="1" applyFill="1" applyBorder="1" applyAlignment="1" applyProtection="1">
      <alignment horizontal="center" vertical="center"/>
    </xf>
    <xf numFmtId="3" fontId="46" fillId="0" borderId="12" xfId="1" applyNumberFormat="1" applyFont="1" applyFill="1" applyBorder="1" applyAlignment="1" applyProtection="1">
      <alignment horizontal="center" vertical="center"/>
    </xf>
    <xf numFmtId="3" fontId="46" fillId="0" borderId="17" xfId="1" applyNumberFormat="1" applyFont="1" applyFill="1" applyBorder="1" applyAlignment="1" applyProtection="1">
      <alignment horizontal="center" vertical="center"/>
    </xf>
    <xf numFmtId="3" fontId="46" fillId="0" borderId="11"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9"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1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13" fillId="0" borderId="123"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30" xfId="1" applyNumberFormat="1" applyFont="1" applyFill="1" applyBorder="1" applyAlignment="1" applyProtection="1">
      <alignment horizontal="right" vertical="center"/>
    </xf>
    <xf numFmtId="38" fontId="13" fillId="0" borderId="119"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9" xfId="0" applyNumberFormat="1" applyFont="1" applyFill="1" applyBorder="1" applyProtection="1"/>
    <xf numFmtId="38" fontId="4" fillId="0" borderId="108" xfId="0" applyNumberFormat="1" applyFont="1" applyFill="1" applyBorder="1" applyProtection="1"/>
    <xf numFmtId="38" fontId="4" fillId="0" borderId="110" xfId="0" applyNumberFormat="1" applyFont="1" applyFill="1" applyBorder="1" applyProtection="1"/>
    <xf numFmtId="38" fontId="4" fillId="0" borderId="129" xfId="1" applyNumberFormat="1" applyFont="1" applyFill="1" applyBorder="1" applyAlignment="1" applyProtection="1">
      <alignment horizontal="right" vertical="center"/>
    </xf>
    <xf numFmtId="38" fontId="4" fillId="0" borderId="123"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30" xfId="0" applyNumberFormat="1" applyFont="1" applyFill="1" applyBorder="1" applyProtection="1"/>
    <xf numFmtId="38" fontId="4" fillId="0" borderId="119" xfId="0" applyNumberFormat="1" applyFont="1" applyFill="1" applyBorder="1" applyProtection="1"/>
    <xf numFmtId="38" fontId="4" fillId="0" borderId="103" xfId="0" applyNumberFormat="1" applyFont="1" applyFill="1" applyBorder="1" applyProtection="1"/>
    <xf numFmtId="38" fontId="13" fillId="0" borderId="116"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18"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9" fillId="0" borderId="117" xfId="1" applyNumberFormat="1" applyFont="1" applyFill="1" applyBorder="1" applyAlignment="1" applyProtection="1">
      <alignment horizontal="right" vertical="center"/>
    </xf>
    <xf numFmtId="38" fontId="9" fillId="0" borderId="118"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11"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31"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110"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11"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31" xfId="1" applyNumberFormat="1" applyFont="1" applyFill="1" applyBorder="1" applyAlignment="1" applyProtection="1">
      <alignment horizontal="right" vertical="center"/>
    </xf>
    <xf numFmtId="38" fontId="4" fillId="0" borderId="130" xfId="1" applyNumberFormat="1" applyFont="1" applyFill="1" applyBorder="1" applyAlignment="1" applyProtection="1">
      <alignment horizontal="right" vertical="center"/>
    </xf>
    <xf numFmtId="38" fontId="4" fillId="0" borderId="119" xfId="1" applyNumberFormat="1" applyFont="1" applyFill="1" applyBorder="1" applyAlignment="1" applyProtection="1">
      <alignment horizontal="right" vertical="center"/>
    </xf>
    <xf numFmtId="38" fontId="4" fillId="0" borderId="103"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vertical="center"/>
    </xf>
    <xf numFmtId="38" fontId="4" fillId="0" borderId="123"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38" fontId="13" fillId="0" borderId="117" xfId="1" applyNumberFormat="1" applyFont="1" applyFill="1" applyBorder="1" applyAlignment="1" applyProtection="1">
      <alignment vertical="center"/>
    </xf>
    <xf numFmtId="38" fontId="13" fillId="0" borderId="118" xfId="1" applyNumberFormat="1" applyFont="1" applyFill="1" applyBorder="1" applyAlignment="1" applyProtection="1">
      <alignment vertical="center"/>
    </xf>
    <xf numFmtId="0" fontId="46" fillId="0" borderId="7" xfId="0"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46" fillId="0" borderId="0" xfId="0" applyFont="1" applyFill="1" applyBorder="1" applyAlignment="1" applyProtection="1">
      <alignment horizontal="left"/>
    </xf>
    <xf numFmtId="0" fontId="86" fillId="0" borderId="0" xfId="0" applyFont="1" applyAlignment="1" applyProtection="1">
      <alignment horizontal="left" vertical="center"/>
    </xf>
    <xf numFmtId="0" fontId="5" fillId="0" borderId="0" xfId="0" applyFont="1" applyFill="1" applyBorder="1" applyAlignment="1" applyProtection="1">
      <alignment horizontal="left" vertical="center" wrapText="1"/>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5" fillId="0" borderId="0" xfId="0" applyFont="1" applyFill="1" applyAlignment="1" applyProtection="1">
      <alignment horizontal="center" vertical="center"/>
    </xf>
    <xf numFmtId="0" fontId="48" fillId="20" borderId="0" xfId="0" applyFont="1" applyFill="1" applyProtection="1"/>
    <xf numFmtId="0" fontId="22" fillId="0" borderId="8" xfId="0" applyFont="1" applyFill="1" applyBorder="1" applyProtection="1"/>
    <xf numFmtId="0" fontId="15" fillId="0" borderId="85" xfId="0" applyFont="1" applyFill="1" applyBorder="1" applyAlignment="1" applyProtection="1">
      <alignment vertical="center"/>
    </xf>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10" fontId="5" fillId="10" borderId="84" xfId="0" applyNumberFormat="1" applyFont="1" applyFill="1" applyBorder="1" applyAlignment="1" applyProtection="1">
      <alignment horizontal="center" vertical="center"/>
      <protection locked="0"/>
    </xf>
    <xf numFmtId="4" fontId="5" fillId="10" borderId="18" xfId="0" applyNumberFormat="1" applyFont="1" applyFill="1" applyBorder="1" applyAlignment="1" applyProtection="1">
      <alignment horizontal="center" vertical="center"/>
      <protection locked="0"/>
    </xf>
    <xf numFmtId="0" fontId="46" fillId="0" borderId="0" xfId="0" applyFont="1" applyFill="1" applyAlignment="1" applyProtection="1">
      <alignment horizontal="left" vertical="center"/>
    </xf>
    <xf numFmtId="0" fontId="46" fillId="0" borderId="8" xfId="0" applyFont="1" applyFill="1" applyBorder="1" applyAlignment="1" applyProtection="1">
      <alignment vertical="center"/>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 fillId="0" borderId="0" xfId="0" applyFont="1" applyFill="1" applyAlignment="1" applyProtection="1">
      <alignment horizontal="center"/>
    </xf>
    <xf numFmtId="0" fontId="5"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xf>
    <xf numFmtId="9" fontId="46" fillId="0" borderId="8" xfId="1" applyNumberFormat="1" applyFont="1" applyFill="1" applyBorder="1" applyAlignment="1" applyProtection="1">
      <alignment horizontal="center" vertical="center"/>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6" fillId="5" borderId="86" xfId="0" applyFont="1" applyFill="1" applyBorder="1" applyAlignment="1" applyProtection="1">
      <alignment horizontal="center"/>
      <protection locked="0"/>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91" fillId="0" borderId="0" xfId="0" applyFont="1" applyFill="1" applyBorder="1" applyAlignment="1" applyProtection="1">
      <alignment horizontal="left" vertical="center"/>
    </xf>
    <xf numFmtId="0" fontId="43" fillId="0" borderId="86" xfId="0"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top"/>
    </xf>
    <xf numFmtId="3" fontId="9" fillId="5" borderId="17" xfId="0" applyNumberFormat="1" applyFont="1" applyFill="1" applyBorder="1" applyAlignment="1" applyProtection="1">
      <alignment horizontal="center" vertical="center"/>
      <protection locked="0"/>
    </xf>
    <xf numFmtId="3" fontId="9" fillId="0" borderId="17" xfId="0" applyNumberFormat="1" applyFont="1" applyFill="1" applyBorder="1" applyAlignment="1" applyProtection="1">
      <alignment horizontal="center" vertical="center"/>
    </xf>
    <xf numFmtId="3" fontId="9" fillId="13" borderId="18" xfId="0" applyNumberFormat="1" applyFont="1" applyFill="1" applyBorder="1" applyAlignment="1" applyProtection="1">
      <alignment horizontal="center" vertical="center"/>
      <protection locked="0"/>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5" borderId="86" xfId="0" applyNumberFormat="1" applyFont="1" applyFill="1" applyBorder="1" applyAlignment="1" applyProtection="1">
      <alignment horizontal="center" vertical="center"/>
      <protection locked="0"/>
    </xf>
    <xf numFmtId="3" fontId="9" fillId="0" borderId="86" xfId="0" applyNumberFormat="1" applyFont="1" applyFill="1" applyBorder="1" applyAlignment="1" applyProtection="1">
      <alignment horizontal="center" vertical="center"/>
    </xf>
    <xf numFmtId="3" fontId="9" fillId="5" borderId="112" xfId="0" applyNumberFormat="1" applyFont="1" applyFill="1" applyBorder="1" applyAlignment="1" applyProtection="1">
      <alignment horizontal="center" vertical="center"/>
      <protection locked="0"/>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0" fontId="11" fillId="0" borderId="0" xfId="0" quotePrefix="1" applyFont="1" applyFill="1" applyAlignment="1" applyProtection="1">
      <alignment horizontal="center" vertical="top"/>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46" fillId="0" borderId="0" xfId="0" applyFont="1" applyFill="1" applyBorder="1" applyAlignment="1" applyProtection="1">
      <alignment horizontal="left" vertical="center"/>
    </xf>
    <xf numFmtId="0" fontId="19" fillId="0" borderId="0" xfId="0" applyFont="1" applyFill="1" applyAlignment="1" applyProtection="1">
      <alignment horizontal="center"/>
    </xf>
    <xf numFmtId="0" fontId="212" fillId="0" borderId="0" xfId="0" applyFont="1" applyFill="1" applyAlignment="1" applyProtection="1">
      <alignment horizontal="left" vertical="center"/>
    </xf>
    <xf numFmtId="0" fontId="213" fillId="0" borderId="0" xfId="0" applyFont="1" applyFill="1" applyAlignment="1" applyProtection="1">
      <alignment vertical="center"/>
    </xf>
    <xf numFmtId="0" fontId="43" fillId="0" borderId="0" xfId="0" applyFont="1" applyFill="1" applyAlignment="1" applyProtection="1">
      <alignment wrapText="1"/>
    </xf>
    <xf numFmtId="0" fontId="5" fillId="5" borderId="16" xfId="0" applyFont="1" applyFill="1" applyBorder="1" applyAlignment="1" applyProtection="1">
      <alignment horizontal="left" vertical="center"/>
      <protection locked="0"/>
    </xf>
    <xf numFmtId="0" fontId="5" fillId="5" borderId="18" xfId="0" applyFont="1" applyFill="1" applyBorder="1" applyAlignment="1" applyProtection="1">
      <alignment horizontal="left" vertical="center"/>
      <protection locked="0"/>
    </xf>
    <xf numFmtId="0" fontId="19" fillId="0" borderId="0" xfId="0" applyFont="1" applyFill="1" applyAlignment="1" applyProtection="1">
      <alignment horizontal="left"/>
    </xf>
    <xf numFmtId="0" fontId="5" fillId="0" borderId="0" xfId="0" applyFont="1" applyAlignment="1" applyProtection="1">
      <alignment horizontal="right"/>
    </xf>
    <xf numFmtId="0" fontId="19" fillId="0" borderId="20" xfId="0" applyFont="1" applyFill="1" applyBorder="1" applyAlignment="1" applyProtection="1">
      <alignment vertical="center"/>
    </xf>
    <xf numFmtId="176" fontId="5" fillId="0" borderId="0" xfId="0" applyNumberFormat="1" applyFont="1" applyFill="1" applyBorder="1" applyAlignment="1" applyProtection="1">
      <alignment vertical="center"/>
    </xf>
    <xf numFmtId="0" fontId="5" fillId="0" borderId="7" xfId="0" applyFont="1" applyFill="1" applyBorder="1" applyAlignment="1" applyProtection="1">
      <alignment horizontal="right" vertical="center"/>
    </xf>
    <xf numFmtId="0" fontId="5" fillId="0" borderId="8" xfId="0" applyFont="1" applyFill="1" applyBorder="1" applyAlignment="1" applyProtection="1">
      <alignment horizontal="right" vertical="center"/>
    </xf>
    <xf numFmtId="183" fontId="15" fillId="5" borderId="84" xfId="0" applyNumberFormat="1" applyFont="1" applyFill="1" applyBorder="1" applyAlignment="1" applyProtection="1">
      <alignment horizontal="center" vertical="center"/>
      <protection locked="0"/>
    </xf>
    <xf numFmtId="0" fontId="141" fillId="0" borderId="0" xfId="0" applyFont="1" applyProtection="1"/>
    <xf numFmtId="0" fontId="214" fillId="0" borderId="0" xfId="0" applyFont="1" applyFill="1" applyBorder="1" applyAlignment="1" applyProtection="1">
      <alignment horizontal="right" vertical="center"/>
    </xf>
    <xf numFmtId="0" fontId="14" fillId="0" borderId="0" xfId="0" applyFont="1" applyAlignment="1" applyProtection="1">
      <alignment vertical="center" wrapText="1"/>
    </xf>
    <xf numFmtId="10" fontId="43" fillId="10" borderId="17" xfId="0" applyNumberFormat="1" applyFont="1" applyFill="1" applyBorder="1" applyAlignment="1" applyProtection="1">
      <alignment horizontal="center" vertical="center"/>
      <protection locked="0"/>
    </xf>
    <xf numFmtId="10" fontId="5" fillId="13" borderId="17" xfId="0" applyNumberFormat="1" applyFont="1" applyFill="1" applyBorder="1" applyAlignment="1" applyProtection="1">
      <alignment horizontal="center" vertical="center"/>
    </xf>
    <xf numFmtId="0" fontId="5" fillId="10" borderId="17" xfId="0" applyFont="1" applyFill="1" applyBorder="1" applyAlignment="1" applyProtection="1">
      <alignment horizontal="center" vertical="center"/>
      <protection locked="0"/>
    </xf>
    <xf numFmtId="0" fontId="5" fillId="13" borderId="17" xfId="0" applyFont="1" applyFill="1" applyBorder="1" applyAlignment="1" applyProtection="1">
      <alignment horizontal="center" vertical="center"/>
    </xf>
    <xf numFmtId="10" fontId="15" fillId="0" borderId="86" xfId="0" applyNumberFormat="1" applyFont="1" applyBorder="1" applyAlignment="1" applyProtection="1">
      <alignment horizontal="center" vertical="center"/>
    </xf>
    <xf numFmtId="38" fontId="9" fillId="0" borderId="132" xfId="0" applyNumberFormat="1"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46" fillId="0" borderId="0" xfId="0" applyFont="1" applyFill="1" applyBorder="1" applyAlignment="1" applyProtection="1">
      <alignment horizontal="left" vertical="center"/>
    </xf>
    <xf numFmtId="0" fontId="46" fillId="5" borderId="16" xfId="0" applyFont="1" applyFill="1" applyBorder="1" applyAlignment="1" applyProtection="1">
      <alignment horizontal="center" vertical="center"/>
      <protection locked="0"/>
    </xf>
    <xf numFmtId="0" fontId="46" fillId="5" borderId="18" xfId="0" applyFont="1" applyFill="1" applyBorder="1" applyAlignment="1" applyProtection="1">
      <alignment horizontal="center" vertical="center"/>
      <protection locked="0"/>
    </xf>
    <xf numFmtId="0" fontId="9" fillId="0" borderId="0" xfId="0" applyFont="1" applyFill="1" applyAlignment="1" applyProtection="1">
      <alignment horizontal="left" vertical="center"/>
    </xf>
    <xf numFmtId="0" fontId="9" fillId="0" borderId="0" xfId="0" applyFont="1" applyFill="1" applyAlignment="1" applyProtection="1">
      <alignment horizontal="center" vertical="center"/>
    </xf>
    <xf numFmtId="0" fontId="5" fillId="0" borderId="0" xfId="0" applyFont="1" applyFill="1" applyAlignment="1" applyProtection="1">
      <alignment horizontal="left" vertical="top" wrapText="1"/>
    </xf>
    <xf numFmtId="0" fontId="5" fillId="0" borderId="0" xfId="0" applyFont="1" applyBorder="1" applyAlignment="1" applyProtection="1">
      <alignment horizontal="left" vertical="center"/>
    </xf>
    <xf numFmtId="0" fontId="5" fillId="0" borderId="0" xfId="0" applyFont="1" applyAlignment="1" applyProtection="1">
      <alignment horizontal="center" vertical="center"/>
    </xf>
    <xf numFmtId="0" fontId="15" fillId="0" borderId="0" xfId="0" applyFont="1" applyAlignment="1" applyProtection="1">
      <alignment horizontal="left" vertical="top" wrapText="1"/>
    </xf>
    <xf numFmtId="49" fontId="91" fillId="0" borderId="0" xfId="0" applyNumberFormat="1" applyFont="1" applyAlignment="1" applyProtection="1">
      <alignment horizontal="left" vertical="center"/>
    </xf>
    <xf numFmtId="0" fontId="11" fillId="0" borderId="0" xfId="0" quotePrefix="1" applyFont="1" applyFill="1" applyAlignment="1" applyProtection="1">
      <alignment horizontal="left" vertical="center"/>
    </xf>
    <xf numFmtId="3" fontId="14" fillId="10" borderId="16" xfId="0" applyNumberFormat="1" applyFont="1" applyFill="1" applyBorder="1" applyAlignment="1" applyProtection="1">
      <alignment horizontal="center" vertical="center"/>
      <protection locked="0"/>
    </xf>
    <xf numFmtId="174" fontId="14" fillId="10" borderId="17" xfId="0" applyNumberFormat="1" applyFont="1" applyFill="1" applyBorder="1" applyAlignment="1" applyProtection="1">
      <alignment horizontal="center" vertical="center"/>
      <protection locked="0"/>
    </xf>
    <xf numFmtId="3" fontId="14" fillId="10" borderId="18" xfId="0" applyNumberFormat="1" applyFont="1" applyFill="1" applyBorder="1" applyAlignment="1" applyProtection="1">
      <alignment horizontal="center" vertical="center"/>
      <protection locked="0"/>
    </xf>
    <xf numFmtId="0" fontId="80" fillId="0" borderId="0" xfId="0" applyFont="1" applyFill="1" applyAlignment="1" applyProtection="1">
      <alignment horizontal="left" vertical="center"/>
    </xf>
    <xf numFmtId="38" fontId="15" fillId="0" borderId="121"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15" fillId="0" borderId="94" xfId="0" applyFont="1" applyFill="1" applyBorder="1" applyAlignment="1" applyProtection="1">
      <alignment horizontal="center" vertical="top" wrapText="1"/>
    </xf>
    <xf numFmtId="0" fontId="217" fillId="0" borderId="0" xfId="0" applyFont="1" applyFill="1" applyBorder="1" applyAlignment="1" applyProtection="1">
      <alignment horizontal="center" vertical="center"/>
    </xf>
    <xf numFmtId="0" fontId="217" fillId="0" borderId="0" xfId="0" applyFont="1" applyFill="1" applyBorder="1" applyAlignment="1" applyProtection="1">
      <alignment horizontal="left" vertical="top"/>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4" fillId="0" borderId="0" xfId="0" applyFont="1" applyAlignment="1" applyProtection="1">
      <alignment horizontal="left"/>
    </xf>
    <xf numFmtId="0" fontId="94" fillId="0" borderId="0" xfId="0" applyNumberFormat="1" applyFont="1" applyAlignment="1" applyProtection="1">
      <alignment horizontal="left" vertical="center"/>
    </xf>
    <xf numFmtId="0" fontId="94" fillId="0" borderId="0" xfId="0" applyFont="1" applyFill="1" applyAlignment="1" applyProtection="1"/>
    <xf numFmtId="0" fontId="91" fillId="0" borderId="0" xfId="0" applyFont="1" applyBorder="1" applyAlignment="1" applyProtection="1">
      <alignment vertical="center"/>
    </xf>
    <xf numFmtId="0" fontId="91" fillId="0" borderId="0" xfId="0" applyFont="1" applyBorder="1" applyAlignment="1" applyProtection="1">
      <alignment horizontal="left" vertical="center"/>
    </xf>
    <xf numFmtId="49" fontId="91" fillId="0" borderId="0" xfId="0" applyNumberFormat="1" applyFont="1" applyBorder="1" applyAlignment="1" applyProtection="1">
      <alignment horizontal="left" vertical="center"/>
    </xf>
    <xf numFmtId="0" fontId="15" fillId="5" borderId="50" xfId="0" applyFont="1" applyFill="1" applyBorder="1" applyAlignment="1" applyProtection="1">
      <alignment horizontal="center" vertical="center"/>
      <protection locked="0"/>
    </xf>
    <xf numFmtId="0" fontId="15" fillId="13" borderId="25" xfId="0" applyFont="1" applyFill="1" applyBorder="1" applyAlignment="1" applyProtection="1">
      <alignment horizontal="center" vertical="center"/>
    </xf>
    <xf numFmtId="0" fontId="15" fillId="0" borderId="0" xfId="0" applyFont="1" applyAlignment="1" applyProtection="1">
      <alignment vertical="center" wrapText="1"/>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0" fontId="5" fillId="0" borderId="0"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4" fillId="5" borderId="86" xfId="0" applyFont="1" applyFill="1" applyBorder="1" applyAlignment="1" applyProtection="1">
      <alignment horizontal="center" vertical="center"/>
      <protection locked="0"/>
    </xf>
    <xf numFmtId="0" fontId="86" fillId="5" borderId="3" xfId="0" applyFont="1" applyFill="1" applyBorder="1" applyAlignment="1" applyProtection="1">
      <alignment horizontal="center" vertical="center"/>
      <protection locked="0"/>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 fillId="13" borderId="3" xfId="0" applyFont="1" applyFill="1" applyBorder="1" applyAlignment="1" applyProtection="1">
      <alignment horizontal="center" vertical="center"/>
    </xf>
    <xf numFmtId="0" fontId="5" fillId="0" borderId="0" xfId="0" applyFont="1" applyBorder="1" applyAlignment="1" applyProtection="1">
      <alignment vertical="center" wrapText="1"/>
    </xf>
    <xf numFmtId="0" fontId="46" fillId="0" borderId="0" xfId="0" applyFont="1" applyFill="1" applyBorder="1" applyAlignment="1" applyProtection="1">
      <alignment vertical="center"/>
    </xf>
    <xf numFmtId="0" fontId="5" fillId="0" borderId="0" xfId="0" applyFont="1" applyFill="1" applyAlignment="1" applyProtection="1">
      <alignment horizontal="center"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46" fillId="0" borderId="0" xfId="0" applyFont="1" applyFill="1" applyAlignment="1" applyProtection="1">
      <alignment horizontal="left" vertical="center"/>
    </xf>
    <xf numFmtId="0" fontId="54"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0" fontId="15" fillId="5" borderId="17" xfId="0" applyFont="1" applyFill="1" applyBorder="1" applyAlignment="1" applyProtection="1">
      <alignment horizontal="center" vertical="top"/>
      <protection locked="0"/>
    </xf>
    <xf numFmtId="164" fontId="13" fillId="0" borderId="14" xfId="1" applyNumberFormat="1" applyFont="1" applyFill="1" applyBorder="1" applyProtection="1"/>
    <xf numFmtId="0" fontId="46" fillId="5" borderId="15" xfId="0" applyFont="1" applyFill="1" applyBorder="1" applyAlignment="1" applyProtection="1">
      <alignment horizontal="center" vertical="top"/>
      <protection locked="0"/>
    </xf>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46" fillId="0" borderId="0" xfId="0" applyFont="1" applyFill="1" applyAlignment="1" applyProtection="1">
      <alignment horizontal="left" vertical="center"/>
    </xf>
    <xf numFmtId="0" fontId="46" fillId="0" borderId="0" xfId="0" applyFont="1" applyFill="1" applyBorder="1" applyAlignment="1" applyProtection="1">
      <alignment horizontal="left" vertical="center"/>
    </xf>
    <xf numFmtId="0" fontId="46" fillId="5" borderId="18"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6" fillId="5" borderId="15" xfId="0" applyFont="1" applyFill="1" applyBorder="1" applyAlignment="1" applyProtection="1">
      <alignment horizontal="center" vertical="center"/>
      <protection locked="0"/>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0" fontId="94" fillId="0" borderId="0" xfId="0" applyFont="1"/>
    <xf numFmtId="38" fontId="4" fillId="0" borderId="0" xfId="1" applyNumberFormat="1" applyFont="1" applyFill="1" applyBorder="1" applyAlignment="1" applyProtection="1">
      <alignment horizontal="left" vertical="center"/>
    </xf>
    <xf numFmtId="3" fontId="13" fillId="5" borderId="86" xfId="0" applyNumberFormat="1" applyFont="1" applyFill="1" applyBorder="1" applyAlignment="1" applyProtection="1">
      <alignment horizontal="center" vertical="center"/>
      <protection locked="0"/>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3" fontId="13" fillId="5" borderId="136" xfId="10" applyNumberFormat="1" applyFont="1" applyFill="1" applyBorder="1" applyAlignment="1" applyProtection="1">
      <alignment horizontal="right" vertical="center"/>
      <protection locked="0"/>
    </xf>
    <xf numFmtId="166" fontId="13" fillId="5" borderId="18" xfId="10" applyNumberFormat="1" applyFont="1" applyFill="1" applyBorder="1" applyAlignment="1" applyProtection="1">
      <alignment horizontal="right" vertical="center"/>
      <protection locked="0"/>
    </xf>
    <xf numFmtId="0" fontId="9" fillId="0" borderId="0" xfId="0" applyFont="1" applyFill="1" applyAlignment="1" applyProtection="1">
      <alignment horizontal="center" vertical="center"/>
    </xf>
    <xf numFmtId="0" fontId="5" fillId="0" borderId="0" xfId="0" applyFont="1" applyFill="1" applyAlignment="1" applyProtection="1">
      <alignment horizontal="center" vertical="center"/>
    </xf>
    <xf numFmtId="0" fontId="46" fillId="5" borderId="136" xfId="0" applyFont="1" applyFill="1" applyBorder="1" applyAlignment="1" applyProtection="1">
      <alignment horizontal="center" vertical="center"/>
      <protection locked="0"/>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0" fontId="46" fillId="5" borderId="48" xfId="0" applyFont="1" applyFill="1" applyBorder="1" applyAlignment="1" applyProtection="1">
      <alignment horizontal="center" vertical="center"/>
      <protection locked="0"/>
    </xf>
    <xf numFmtId="0" fontId="46" fillId="5" borderId="116" xfId="0" applyFont="1" applyFill="1" applyBorder="1" applyAlignment="1" applyProtection="1">
      <alignment horizontal="center" vertical="center"/>
      <protection locked="0"/>
    </xf>
    <xf numFmtId="0" fontId="91" fillId="0" borderId="0" xfId="0" applyFont="1" applyFill="1" applyAlignment="1" applyProtection="1">
      <alignment horizontal="left"/>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19" fillId="0" borderId="0" xfId="0" applyFont="1" applyFill="1" applyAlignment="1" applyProtection="1"/>
    <xf numFmtId="0" fontId="91" fillId="0" borderId="0" xfId="0" applyFont="1" applyFill="1" applyBorder="1" applyAlignment="1" applyProtection="1">
      <alignment vertical="center"/>
    </xf>
    <xf numFmtId="0" fontId="91" fillId="0" borderId="0" xfId="0"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protection locked="0"/>
    </xf>
    <xf numFmtId="0" fontId="30" fillId="0" borderId="0" xfId="0" applyNumberFormat="1" applyFont="1" applyBorder="1" applyAlignment="1" applyProtection="1">
      <alignment horizontal="center" vertical="center" wrapText="1"/>
    </xf>
    <xf numFmtId="0" fontId="46" fillId="0" borderId="0" xfId="0" applyFont="1" applyFill="1" applyBorder="1" applyAlignment="1" applyProtection="1">
      <alignment horizontal="left" vertical="center"/>
    </xf>
    <xf numFmtId="0" fontId="11" fillId="13" borderId="3" xfId="0" applyFont="1" applyFill="1" applyBorder="1" applyAlignment="1" applyProtection="1">
      <alignment horizontal="center" vertical="center" wrapText="1"/>
    </xf>
    <xf numFmtId="37" fontId="221" fillId="0" borderId="0" xfId="0" applyNumberFormat="1" applyFont="1" applyFill="1" applyAlignment="1" applyProtection="1">
      <alignment horizontal="center" vertical="center"/>
    </xf>
    <xf numFmtId="3" fontId="219"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114" fillId="0" borderId="0" xfId="0" applyFont="1" applyFill="1" applyBorder="1" applyAlignment="1" applyProtection="1">
      <alignment vertical="center" wrapText="1"/>
    </xf>
    <xf numFmtId="3" fontId="106" fillId="17" borderId="138" xfId="0" applyNumberFormat="1" applyFont="1" applyFill="1" applyBorder="1" applyAlignment="1" applyProtection="1">
      <alignment horizontal="center" vertical="center"/>
    </xf>
    <xf numFmtId="10" fontId="106" fillId="17" borderId="138" xfId="0" applyNumberFormat="1" applyFont="1" applyFill="1" applyBorder="1" applyAlignment="1" applyProtection="1">
      <alignment horizontal="center" vertical="center"/>
    </xf>
    <xf numFmtId="0" fontId="5" fillId="0" borderId="56" xfId="0" applyFont="1" applyBorder="1" applyAlignment="1" applyProtection="1">
      <alignment horizontal="left" vertical="center"/>
    </xf>
    <xf numFmtId="0" fontId="8" fillId="0" borderId="137" xfId="0" applyFont="1" applyBorder="1" applyAlignment="1" applyProtection="1">
      <alignment vertical="center"/>
    </xf>
    <xf numFmtId="0" fontId="19"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9" fillId="0" borderId="0" xfId="0" applyFont="1" applyFill="1" applyBorder="1" applyAlignment="1" applyProtection="1">
      <alignment vertical="top" wrapText="1"/>
    </xf>
    <xf numFmtId="0" fontId="46"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Alignment="1" applyProtection="1"/>
    <xf numFmtId="0" fontId="46" fillId="5" borderId="136" xfId="0" applyFont="1" applyFill="1" applyBorder="1" applyAlignment="1" applyProtection="1">
      <alignment horizontal="center"/>
      <protection locked="0"/>
    </xf>
    <xf numFmtId="0" fontId="54" fillId="0" borderId="0" xfId="0" applyFont="1" applyFill="1" applyBorder="1" applyAlignment="1" applyProtection="1">
      <alignment horizontal="left" vertical="top"/>
    </xf>
    <xf numFmtId="0" fontId="46" fillId="5" borderId="18" xfId="0" applyFont="1" applyFill="1" applyBorder="1" applyAlignment="1" applyProtection="1">
      <alignment horizontal="center" vertical="center"/>
      <protection locked="0"/>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178" fontId="14" fillId="5" borderId="86" xfId="0" applyNumberFormat="1" applyFont="1" applyFill="1" applyBorder="1" applyAlignment="1" applyProtection="1">
      <alignment horizontal="center" vertical="center"/>
      <protection locked="0"/>
    </xf>
    <xf numFmtId="49" fontId="43"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6"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3" fontId="46" fillId="5" borderId="136" xfId="0" applyNumberFormat="1" applyFont="1" applyFill="1" applyBorder="1" applyAlignment="1" applyProtection="1">
      <alignment horizontal="center" vertical="center"/>
      <protection locked="0"/>
    </xf>
    <xf numFmtId="3" fontId="46" fillId="5" borderId="18" xfId="0" applyNumberFormat="1" applyFont="1" applyFill="1" applyBorder="1" applyAlignment="1" applyProtection="1">
      <alignment horizontal="center" vertical="center"/>
      <protection locked="0"/>
    </xf>
    <xf numFmtId="0" fontId="46" fillId="5" borderId="18" xfId="0" applyFont="1" applyFill="1" applyBorder="1" applyAlignment="1" applyProtection="1">
      <alignment horizontal="left" vertical="center"/>
      <protection locked="0"/>
    </xf>
    <xf numFmtId="0" fontId="5"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6" fillId="0" borderId="84" xfId="0" applyFont="1" applyFill="1" applyBorder="1" applyAlignment="1" applyProtection="1">
      <alignment horizontal="center" vertical="center"/>
      <protection locked="0"/>
    </xf>
    <xf numFmtId="0" fontId="222" fillId="20" borderId="0" xfId="0" applyFont="1" applyFill="1" applyAlignment="1" applyProtection="1">
      <alignment horizontal="center" vertical="center" wrapText="1"/>
    </xf>
    <xf numFmtId="0" fontId="13"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10" borderId="15" xfId="0" applyNumberFormat="1" applyFont="1" applyFill="1" applyBorder="1" applyAlignment="1" applyProtection="1">
      <alignment horizontal="center" vertical="center"/>
      <protection locked="0"/>
    </xf>
    <xf numFmtId="164" fontId="13" fillId="6" borderId="86" xfId="1" applyNumberFormat="1" applyFont="1" applyFill="1" applyBorder="1" applyProtection="1">
      <protection locked="0"/>
    </xf>
    <xf numFmtId="0" fontId="15" fillId="5" borderId="136" xfId="0" applyFont="1" applyFill="1" applyBorder="1" applyAlignment="1" applyProtection="1">
      <alignment horizontal="center" vertical="center"/>
      <protection locked="0"/>
    </xf>
    <xf numFmtId="0" fontId="15" fillId="13" borderId="136" xfId="0" applyFont="1" applyFill="1" applyBorder="1" applyAlignment="1" applyProtection="1">
      <alignment horizontal="center" vertical="center"/>
    </xf>
    <xf numFmtId="0" fontId="171" fillId="0" borderId="0" xfId="0" applyFont="1" applyFill="1" applyAlignment="1" applyProtection="1">
      <alignment horizontal="left" vertical="center"/>
      <protection locked="0"/>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protection locked="0"/>
    </xf>
    <xf numFmtId="0" fontId="42" fillId="0" borderId="0" xfId="0" applyFont="1" applyFill="1" applyAlignment="1" applyProtection="1">
      <alignment vertical="top" wrapText="1"/>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0" xfId="0" applyFont="1" applyFill="1" applyAlignment="1" applyProtection="1">
      <alignment horizontal="left" vertical="center"/>
    </xf>
    <xf numFmtId="0" fontId="46" fillId="0" borderId="0" xfId="0" applyFont="1" applyFill="1" applyAlignment="1" applyProtection="1">
      <alignment horizontal="center" vertical="center"/>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3" fontId="46" fillId="5" borderId="136" xfId="1" applyNumberFormat="1" applyFont="1" applyFill="1" applyBorder="1" applyAlignment="1" applyProtection="1">
      <alignment horizontal="center" vertical="center"/>
      <protection locked="0"/>
    </xf>
    <xf numFmtId="0" fontId="46" fillId="0" borderId="0" xfId="0" applyFont="1" applyBorder="1" applyProtection="1"/>
    <xf numFmtId="0" fontId="0" fillId="0" borderId="0" xfId="0" applyBorder="1"/>
    <xf numFmtId="9" fontId="0" fillId="0" borderId="0" xfId="0" applyNumberFormat="1" applyBorder="1"/>
    <xf numFmtId="0" fontId="224"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24" fillId="0" borderId="81" xfId="0" applyFont="1" applyBorder="1" applyAlignment="1">
      <alignment horizontal="center"/>
    </xf>
    <xf numFmtId="0" fontId="5" fillId="0" borderId="0" xfId="0" applyFont="1" applyFill="1" applyAlignment="1" applyProtection="1">
      <alignment horizontal="center"/>
    </xf>
    <xf numFmtId="0" fontId="5" fillId="0" borderId="0" xfId="0" applyFont="1" applyBorder="1"/>
    <xf numFmtId="0" fontId="225" fillId="0" borderId="0" xfId="0" applyFont="1" applyBorder="1"/>
    <xf numFmtId="9" fontId="225"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25"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38" fontId="43" fillId="0" borderId="86" xfId="0" applyNumberFormat="1" applyFont="1" applyBorder="1" applyAlignment="1">
      <alignment horizontal="center" vertical="center"/>
    </xf>
    <xf numFmtId="38" fontId="43" fillId="0" borderId="136" xfId="0" applyNumberFormat="1" applyFont="1" applyBorder="1" applyAlignment="1">
      <alignment horizontal="center" vertical="center"/>
    </xf>
    <xf numFmtId="38" fontId="43" fillId="0" borderId="17" xfId="0" applyNumberFormat="1" applyFont="1" applyBorder="1" applyAlignment="1">
      <alignment horizontal="center" vertical="center"/>
    </xf>
    <xf numFmtId="38" fontId="43" fillId="0" borderId="18" xfId="0" applyNumberFormat="1" applyFont="1" applyBorder="1" applyAlignment="1">
      <alignment horizontal="center" vertical="center"/>
    </xf>
    <xf numFmtId="0" fontId="43" fillId="0" borderId="136" xfId="0" applyFont="1" applyBorder="1" applyAlignment="1">
      <alignment horizontal="center"/>
    </xf>
    <xf numFmtId="0" fontId="43" fillId="0" borderId="17" xfId="0" applyFont="1" applyBorder="1" applyAlignment="1">
      <alignment horizontal="center"/>
    </xf>
    <xf numFmtId="0" fontId="43" fillId="0" borderId="18" xfId="0" applyFont="1" applyBorder="1" applyAlignment="1">
      <alignment horizontal="center"/>
    </xf>
    <xf numFmtId="9" fontId="225" fillId="0" borderId="0" xfId="0" applyNumberFormat="1" applyFont="1" applyBorder="1" applyAlignment="1">
      <alignment horizontal="center"/>
    </xf>
    <xf numFmtId="0" fontId="5" fillId="0" borderId="0" xfId="0" applyFont="1" applyBorder="1" applyAlignment="1" applyProtection="1">
      <alignment horizontal="center"/>
    </xf>
    <xf numFmtId="9" fontId="43" fillId="0" borderId="0" xfId="0" applyNumberFormat="1" applyFont="1" applyBorder="1" applyAlignment="1">
      <alignment horizontal="center"/>
    </xf>
    <xf numFmtId="0" fontId="43" fillId="0" borderId="22" xfId="0" applyFont="1" applyBorder="1" applyAlignment="1">
      <alignment horizontal="center"/>
    </xf>
    <xf numFmtId="0" fontId="0" fillId="27" borderId="18" xfId="0" applyFill="1" applyBorder="1" applyAlignment="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46" fillId="0" borderId="0" xfId="0" applyFont="1" applyFill="1" applyBorder="1" applyAlignment="1" applyProtection="1">
      <alignment vertical="center"/>
    </xf>
    <xf numFmtId="0" fontId="9" fillId="0" borderId="0" xfId="0" applyFont="1" applyFill="1" applyAlignment="1" applyProtection="1">
      <alignment horizontal="left" vertical="center"/>
    </xf>
    <xf numFmtId="0" fontId="5" fillId="0" borderId="0" xfId="0" applyFont="1" applyFill="1" applyBorder="1" applyAlignment="1" applyProtection="1">
      <alignment horizontal="left" vertical="top" wrapText="1"/>
    </xf>
    <xf numFmtId="0" fontId="46" fillId="0" borderId="0" xfId="0" applyFont="1" applyAlignment="1">
      <alignment vertical="center"/>
    </xf>
    <xf numFmtId="6" fontId="46" fillId="0" borderId="0" xfId="0" applyNumberFormat="1" applyFont="1" applyAlignment="1">
      <alignment horizontal="center" vertical="center"/>
    </xf>
    <xf numFmtId="0" fontId="50" fillId="0" borderId="0" xfId="0" applyFont="1" applyAlignment="1">
      <alignment horizontal="left" vertical="center"/>
    </xf>
    <xf numFmtId="0" fontId="89" fillId="0" borderId="0" xfId="0" applyFont="1" applyAlignment="1">
      <alignment vertical="center"/>
    </xf>
    <xf numFmtId="0" fontId="86" fillId="0" borderId="0" xfId="0" applyFont="1" applyAlignment="1">
      <alignment horizontal="center" vertical="center"/>
    </xf>
    <xf numFmtId="4" fontId="46" fillId="0" borderId="0" xfId="0" applyNumberFormat="1" applyFont="1" applyAlignment="1">
      <alignment horizontal="right" vertical="center"/>
    </xf>
    <xf numFmtId="0" fontId="46" fillId="0" borderId="0" xfId="0" applyFont="1" applyAlignment="1">
      <alignment horizontal="left" vertical="center"/>
    </xf>
    <xf numFmtId="0" fontId="42" fillId="0" borderId="0" xfId="0" applyFont="1" applyAlignment="1">
      <alignment horizontal="left" vertical="center"/>
    </xf>
    <xf numFmtId="3" fontId="46" fillId="0" borderId="0" xfId="1" applyNumberFormat="1" applyFont="1" applyAlignment="1">
      <alignment horizontal="center" vertical="center"/>
    </xf>
    <xf numFmtId="0" fontId="54" fillId="0" borderId="0" xfId="0" applyFont="1" applyAlignment="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3" fontId="46" fillId="0" borderId="0" xfId="1" applyNumberFormat="1" applyFont="1" applyBorder="1" applyAlignment="1">
      <alignment vertical="center"/>
    </xf>
    <xf numFmtId="0" fontId="5" fillId="0" borderId="0" xfId="0" quotePrefix="1" applyFont="1" applyFill="1" applyProtection="1"/>
    <xf numFmtId="0" fontId="15" fillId="5" borderId="86" xfId="0" applyFont="1" applyFill="1" applyBorder="1" applyAlignment="1" applyProtection="1">
      <alignment vertical="top"/>
      <protection locked="0"/>
    </xf>
    <xf numFmtId="0" fontId="15" fillId="13" borderId="86" xfId="0" applyFont="1" applyFill="1" applyBorder="1" applyAlignment="1" applyProtection="1">
      <alignment vertical="top"/>
    </xf>
    <xf numFmtId="0" fontId="154" fillId="0" borderId="0" xfId="0" applyFont="1" applyFill="1" applyBorder="1" applyAlignment="1" applyProtection="1">
      <alignment horizontal="right" vertical="center"/>
    </xf>
    <xf numFmtId="0" fontId="154" fillId="0" borderId="0" xfId="0" applyFont="1" applyFill="1" applyBorder="1" applyAlignment="1" applyProtection="1">
      <alignment horizontal="center" vertical="center" wrapText="1"/>
    </xf>
    <xf numFmtId="0" fontId="9" fillId="0" borderId="0" xfId="0" applyFont="1" applyFill="1" applyAlignment="1" applyProtection="1">
      <alignment horizontal="center"/>
    </xf>
    <xf numFmtId="0" fontId="9" fillId="0" borderId="0" xfId="0" applyFont="1" applyFill="1" applyAlignment="1" applyProtection="1">
      <alignment horizontal="center"/>
    </xf>
    <xf numFmtId="0" fontId="5" fillId="7" borderId="0" xfId="0" applyFont="1" applyFill="1" applyAlignment="1" applyProtection="1">
      <alignment vertical="center"/>
    </xf>
    <xf numFmtId="0" fontId="5" fillId="0" borderId="70" xfId="0" applyFont="1" applyFill="1" applyBorder="1" applyAlignment="1" applyProtection="1">
      <alignment horizontal="left" vertical="center"/>
    </xf>
    <xf numFmtId="0" fontId="5" fillId="0" borderId="83" xfId="0" applyFont="1" applyFill="1" applyBorder="1" applyAlignment="1" applyProtection="1">
      <alignment horizontal="left" vertical="center"/>
    </xf>
    <xf numFmtId="0" fontId="43" fillId="0" borderId="56" xfId="0" applyFont="1" applyFill="1" applyBorder="1" applyAlignment="1" applyProtection="1">
      <alignment horizontal="left" vertical="center"/>
    </xf>
    <xf numFmtId="3" fontId="106" fillId="0" borderId="70" xfId="0" applyNumberFormat="1" applyFont="1" applyFill="1" applyBorder="1" applyAlignment="1" applyProtection="1">
      <alignment horizontal="center" vertical="center"/>
    </xf>
    <xf numFmtId="3" fontId="106" fillId="0" borderId="83"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5" fillId="7" borderId="0" xfId="0" applyFont="1" applyFill="1" applyAlignment="1" applyProtection="1">
      <alignment horizontal="right" vertical="center"/>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5" fillId="0" borderId="0" xfId="0" applyFont="1" applyAlignment="1" applyProtection="1">
      <alignment horizontal="center" vertical="center"/>
    </xf>
    <xf numFmtId="0" fontId="43" fillId="0" borderId="0" xfId="0" applyFont="1" applyFill="1" applyBorder="1" applyAlignment="1" applyProtection="1">
      <alignment vertical="center" wrapText="1"/>
    </xf>
    <xf numFmtId="0" fontId="52" fillId="0" borderId="0" xfId="0" applyFont="1" applyFill="1" applyBorder="1" applyAlignment="1" applyProtection="1">
      <alignment vertical="center"/>
    </xf>
    <xf numFmtId="0" fontId="15" fillId="0" borderId="16" xfId="0" applyFont="1" applyFill="1" applyBorder="1" applyAlignment="1" applyProtection="1">
      <alignment horizontal="center" vertical="center"/>
    </xf>
    <xf numFmtId="0" fontId="15" fillId="0" borderId="17" xfId="0" applyFont="1" applyFill="1" applyBorder="1" applyAlignment="1" applyProtection="1">
      <alignment horizontal="center" vertical="center"/>
    </xf>
    <xf numFmtId="0" fontId="15" fillId="0" borderId="18" xfId="0" applyFont="1" applyFill="1" applyBorder="1" applyAlignment="1" applyProtection="1">
      <alignment horizontal="center" vertical="center"/>
    </xf>
    <xf numFmtId="4" fontId="5" fillId="10" borderId="139" xfId="0" applyNumberFormat="1" applyFont="1" applyFill="1" applyBorder="1" applyAlignment="1" applyProtection="1">
      <alignment horizontal="center" vertical="center" wrapText="1"/>
      <protection locked="0"/>
    </xf>
    <xf numFmtId="4" fontId="5" fillId="10" borderId="74" xfId="0" applyNumberFormat="1" applyFont="1" applyFill="1" applyBorder="1" applyAlignment="1" applyProtection="1">
      <alignment horizontal="center" vertical="center" wrapText="1"/>
      <protection locked="0"/>
    </xf>
    <xf numFmtId="4" fontId="5" fillId="10" borderId="76" xfId="0" applyNumberFormat="1" applyFont="1" applyFill="1" applyBorder="1" applyAlignment="1" applyProtection="1">
      <alignment horizontal="center" vertical="center" wrapText="1"/>
      <protection locked="0"/>
    </xf>
    <xf numFmtId="4" fontId="5" fillId="0" borderId="23" xfId="0" applyNumberFormat="1" applyFont="1" applyFill="1" applyBorder="1" applyAlignment="1" applyProtection="1">
      <alignment horizontal="center" vertical="center" wrapText="1"/>
    </xf>
    <xf numFmtId="4" fontId="5" fillId="0" borderId="25" xfId="0" applyNumberFormat="1" applyFont="1" applyFill="1" applyBorder="1" applyAlignment="1" applyProtection="1">
      <alignment horizontal="center" vertical="center" wrapText="1"/>
    </xf>
    <xf numFmtId="4" fontId="5" fillId="0" borderId="24" xfId="0" applyNumberFormat="1" applyFont="1" applyFill="1" applyBorder="1" applyAlignment="1" applyProtection="1">
      <alignment horizontal="center" vertical="center" wrapText="1"/>
    </xf>
    <xf numFmtId="0" fontId="5" fillId="0" borderId="0" xfId="0" applyFont="1" applyFill="1" applyAlignment="1" applyProtection="1">
      <alignment horizontal="left" vertical="center" wrapText="1"/>
    </xf>
    <xf numFmtId="0" fontId="15" fillId="5" borderId="142" xfId="0" applyFont="1" applyFill="1" applyBorder="1" applyAlignment="1" applyProtection="1">
      <alignment horizontal="center" vertical="center"/>
      <protection locked="0"/>
    </xf>
    <xf numFmtId="38" fontId="11" fillId="5" borderId="12" xfId="0" applyNumberFormat="1" applyFont="1" applyFill="1" applyBorder="1" applyAlignment="1" applyProtection="1">
      <alignment horizontal="center" vertical="center"/>
      <protection locked="0"/>
    </xf>
    <xf numFmtId="38" fontId="11" fillId="13" borderId="12" xfId="0" applyNumberFormat="1" applyFont="1" applyFill="1" applyBorder="1" applyAlignment="1" applyProtection="1">
      <alignment horizontal="center" vertical="center"/>
      <protection locked="0"/>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1" fillId="0" borderId="0" xfId="0" applyFont="1" applyAlignment="1" applyProtection="1">
      <alignment horizontal="center"/>
    </xf>
    <xf numFmtId="0" fontId="15" fillId="0" borderId="0" xfId="0" applyFont="1" applyFill="1" applyBorder="1" applyProtection="1"/>
    <xf numFmtId="0" fontId="17" fillId="0" borderId="0" xfId="0" applyFont="1" applyAlignment="1" applyProtection="1">
      <alignment horizontal="right"/>
    </xf>
    <xf numFmtId="38" fontId="9" fillId="5" borderId="22" xfId="0" applyNumberFormat="1" applyFont="1" applyFill="1" applyBorder="1" applyAlignment="1" applyProtection="1">
      <alignment horizontal="center" vertical="center"/>
      <protection locked="0"/>
    </xf>
    <xf numFmtId="1" fontId="91" fillId="0" borderId="0" xfId="0" applyNumberFormat="1" applyFont="1" applyAlignment="1" applyProtection="1">
      <alignment vertical="center"/>
    </xf>
    <xf numFmtId="0" fontId="29" fillId="0" borderId="0" xfId="0" applyFont="1" applyAlignment="1" applyProtection="1">
      <alignment vertical="center"/>
    </xf>
    <xf numFmtId="0" fontId="9" fillId="0" borderId="0" xfId="0" applyFont="1" applyAlignment="1" applyProtection="1">
      <alignment horizontal="center"/>
    </xf>
    <xf numFmtId="0" fontId="15" fillId="13" borderId="17" xfId="0" applyFont="1" applyFill="1" applyBorder="1" applyAlignment="1" applyProtection="1">
      <alignment horizontal="center" vertical="top"/>
    </xf>
    <xf numFmtId="0" fontId="15" fillId="5" borderId="17" xfId="0" applyFont="1" applyFill="1" applyBorder="1" applyAlignment="1" applyProtection="1">
      <alignment horizontal="center" vertical="top"/>
      <protection locked="0"/>
    </xf>
    <xf numFmtId="0" fontId="91" fillId="0" borderId="0" xfId="0" applyFont="1" applyAlignment="1" applyProtection="1">
      <alignment vertical="center"/>
    </xf>
    <xf numFmtId="0" fontId="229" fillId="0" borderId="0" xfId="0" applyFont="1" applyFill="1" applyAlignment="1" applyProtection="1">
      <alignment horizontal="left" vertical="center"/>
    </xf>
    <xf numFmtId="0" fontId="0" fillId="0" borderId="0" xfId="0" applyAlignment="1" applyProtection="1">
      <alignment horizontal="center" vertical="top"/>
    </xf>
    <xf numFmtId="38" fontId="9" fillId="0" borderId="86" xfId="0" applyNumberFormat="1" applyFont="1" applyBorder="1" applyAlignment="1" applyProtection="1">
      <alignment horizontal="center" vertical="top" wrapText="1"/>
    </xf>
    <xf numFmtId="0" fontId="52" fillId="0" borderId="0" xfId="0" applyFont="1" applyProtection="1"/>
    <xf numFmtId="0" fontId="99" fillId="0" borderId="0" xfId="0" applyFont="1" applyAlignment="1" applyProtection="1">
      <alignment vertical="center" wrapText="1"/>
    </xf>
    <xf numFmtId="38" fontId="9" fillId="5" borderId="136" xfId="0" applyNumberFormat="1" applyFont="1" applyFill="1" applyBorder="1" applyAlignment="1" applyProtection="1">
      <alignment horizontal="center" vertical="center"/>
      <protection locked="0"/>
    </xf>
    <xf numFmtId="38" fontId="9" fillId="13" borderId="136" xfId="0" applyNumberFormat="1" applyFont="1" applyFill="1" applyBorder="1" applyAlignment="1" applyProtection="1">
      <alignment horizontal="center" vertical="center"/>
    </xf>
    <xf numFmtId="38" fontId="11" fillId="0" borderId="136" xfId="0" applyNumberFormat="1" applyFont="1" applyFill="1" applyBorder="1" applyAlignment="1" applyProtection="1">
      <alignment horizontal="center" vertical="top"/>
    </xf>
    <xf numFmtId="0" fontId="4" fillId="0" borderId="0" xfId="0" applyFont="1" applyAlignment="1" applyProtection="1">
      <alignment vertical="top"/>
    </xf>
    <xf numFmtId="0" fontId="15" fillId="13" borderId="18"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92" fillId="0" borderId="0" xfId="0" applyFont="1" applyFill="1" applyBorder="1" applyAlignment="1" applyProtection="1">
      <alignment horizontal="center" vertical="center" wrapText="1"/>
    </xf>
    <xf numFmtId="0" fontId="232"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32" fillId="0" borderId="81" xfId="33" applyFont="1" applyBorder="1" applyAlignment="1">
      <alignment vertical="center"/>
    </xf>
    <xf numFmtId="164" fontId="232" fillId="0" borderId="0" xfId="34" applyNumberFormat="1" applyFont="1"/>
    <xf numFmtId="0" fontId="75" fillId="0" borderId="7" xfId="33" applyFont="1" applyBorder="1" applyAlignment="1">
      <alignment horizontal="left" vertical="center"/>
    </xf>
    <xf numFmtId="0" fontId="232" fillId="0" borderId="0" xfId="33" applyFont="1" applyAlignment="1">
      <alignment vertical="center"/>
    </xf>
    <xf numFmtId="0" fontId="232" fillId="0" borderId="8" xfId="33" applyFont="1" applyBorder="1" applyAlignment="1">
      <alignment vertical="center"/>
    </xf>
    <xf numFmtId="0" fontId="232" fillId="0" borderId="9" xfId="33" applyFont="1" applyBorder="1" applyAlignment="1">
      <alignment horizontal="left" vertical="center"/>
    </xf>
    <xf numFmtId="0" fontId="232" fillId="0" borderId="13" xfId="33" applyFont="1" applyBorder="1" applyAlignment="1">
      <alignment vertical="center"/>
    </xf>
    <xf numFmtId="0" fontId="232" fillId="0" borderId="14" xfId="33" applyFont="1" applyBorder="1" applyAlignment="1">
      <alignment vertical="center"/>
    </xf>
    <xf numFmtId="0" fontId="232" fillId="0" borderId="85" xfId="33" applyFont="1" applyBorder="1"/>
    <xf numFmtId="0" fontId="232" fillId="0" borderId="81" xfId="33" applyFont="1" applyBorder="1"/>
    <xf numFmtId="0" fontId="232" fillId="0" borderId="13" xfId="33" applyFont="1" applyBorder="1"/>
    <xf numFmtId="0" fontId="232" fillId="0" borderId="153" xfId="33" applyFont="1" applyBorder="1"/>
    <xf numFmtId="0" fontId="232" fillId="0" borderId="0" xfId="33" applyFont="1" applyAlignment="1">
      <alignment horizontal="center"/>
    </xf>
    <xf numFmtId="0" fontId="232" fillId="0" borderId="0" xfId="33" applyFont="1" applyAlignment="1">
      <alignment horizontal="left"/>
    </xf>
    <xf numFmtId="166" fontId="232" fillId="0" borderId="0" xfId="35" applyNumberFormat="1" applyFont="1"/>
    <xf numFmtId="0" fontId="235" fillId="0" borderId="0" xfId="33" applyFont="1" applyAlignment="1">
      <alignment horizontal="left"/>
    </xf>
    <xf numFmtId="164" fontId="232" fillId="0" borderId="0" xfId="33" applyNumberFormat="1" applyFont="1"/>
    <xf numFmtId="164" fontId="232" fillId="28" borderId="146" xfId="34" applyNumberFormat="1" applyFont="1" applyFill="1" applyBorder="1"/>
    <xf numFmtId="0" fontId="232" fillId="0" borderId="80" xfId="33" applyFont="1" applyBorder="1"/>
    <xf numFmtId="0" fontId="232" fillId="0" borderId="152" xfId="33" applyFont="1" applyBorder="1" applyAlignment="1">
      <alignment horizontal="center"/>
    </xf>
    <xf numFmtId="0" fontId="89" fillId="0" borderId="86" xfId="33" applyFont="1" applyFill="1" applyBorder="1" applyAlignment="1">
      <alignment horizontal="center" wrapText="1"/>
    </xf>
    <xf numFmtId="0" fontId="232" fillId="0" borderId="0" xfId="33" applyFont="1" applyBorder="1"/>
    <xf numFmtId="0" fontId="232" fillId="0" borderId="47" xfId="33" applyFont="1" applyBorder="1"/>
    <xf numFmtId="0" fontId="232" fillId="0" borderId="0" xfId="33" applyFont="1" applyBorder="1" applyAlignment="1">
      <alignment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164" fontId="232" fillId="0" borderId="82" xfId="34" applyNumberFormat="1" applyFont="1" applyBorder="1" applyAlignment="1">
      <alignment horizontal="center" vertical="center"/>
    </xf>
    <xf numFmtId="0" fontId="234" fillId="0" borderId="82" xfId="33" applyFont="1" applyBorder="1" applyAlignment="1">
      <alignment vertical="center"/>
    </xf>
    <xf numFmtId="164" fontId="234" fillId="13" borderId="146" xfId="34" applyNumberFormat="1" applyFont="1" applyFill="1" applyBorder="1" applyAlignment="1" applyProtection="1">
      <alignment horizontal="center" vertical="center"/>
      <protection locked="0"/>
    </xf>
    <xf numFmtId="0" fontId="232" fillId="0" borderId="82" xfId="33" applyFont="1" applyBorder="1" applyAlignment="1">
      <alignment horizontal="center" vertical="center"/>
    </xf>
    <xf numFmtId="0" fontId="232" fillId="0" borderId="85" xfId="33" applyFont="1" applyBorder="1" applyAlignment="1">
      <alignment vertical="center"/>
    </xf>
    <xf numFmtId="164" fontId="232" fillId="13" borderId="147" xfId="34" applyNumberFormat="1" applyFont="1" applyFill="1" applyBorder="1" applyAlignment="1" applyProtection="1">
      <alignment horizontal="center" vertical="center"/>
      <protection locked="0"/>
    </xf>
    <xf numFmtId="164" fontId="232" fillId="13" borderId="148" xfId="34" applyNumberFormat="1" applyFont="1" applyFill="1" applyBorder="1" applyAlignment="1" applyProtection="1">
      <alignment horizontal="center" vertical="center"/>
      <protection locked="0"/>
    </xf>
    <xf numFmtId="0" fontId="232" fillId="13" borderId="149" xfId="33" applyFont="1" applyFill="1" applyBorder="1" applyAlignment="1" applyProtection="1">
      <alignment horizontal="center" vertical="center"/>
      <protection locked="0"/>
    </xf>
    <xf numFmtId="164" fontId="232" fillId="28" borderId="147" xfId="34" applyNumberFormat="1" applyFont="1" applyFill="1" applyBorder="1" applyAlignment="1">
      <alignment horizontal="center" vertical="center"/>
    </xf>
    <xf numFmtId="43" fontId="232" fillId="28" borderId="149" xfId="34" applyFont="1" applyFill="1" applyBorder="1" applyAlignment="1">
      <alignment horizontal="center" vertical="center"/>
    </xf>
    <xf numFmtId="0" fontId="232" fillId="0" borderId="153" xfId="33" applyFont="1" applyBorder="1" applyAlignment="1">
      <alignment vertical="center"/>
    </xf>
    <xf numFmtId="166" fontId="232" fillId="28" borderId="154" xfId="35" applyNumberFormat="1" applyFont="1" applyFill="1" applyBorder="1" applyAlignment="1">
      <alignment horizontal="center" vertical="center"/>
    </xf>
    <xf numFmtId="164" fontId="232" fillId="28" borderId="155" xfId="34" applyNumberFormat="1" applyFont="1" applyFill="1" applyBorder="1" applyAlignment="1">
      <alignment horizontal="center" vertical="center"/>
    </xf>
    <xf numFmtId="184" fontId="232" fillId="28" borderId="136" xfId="33" applyNumberFormat="1" applyFont="1" applyFill="1" applyBorder="1" applyAlignment="1">
      <alignment horizontal="center" vertical="center"/>
    </xf>
    <xf numFmtId="184" fontId="232" fillId="28" borderId="17" xfId="33" applyNumberFormat="1" applyFont="1" applyFill="1" applyBorder="1" applyAlignment="1">
      <alignment horizontal="center" vertical="center"/>
    </xf>
    <xf numFmtId="184" fontId="232" fillId="28" borderId="18" xfId="33" applyNumberFormat="1" applyFont="1" applyFill="1" applyBorder="1" applyAlignment="1">
      <alignment horizontal="center" vertical="center"/>
    </xf>
    <xf numFmtId="0" fontId="232" fillId="0" borderId="85" xfId="33" applyFont="1" applyBorder="1" applyAlignment="1">
      <alignment horizontal="right" vertical="center"/>
    </xf>
    <xf numFmtId="0" fontId="232" fillId="0" borderId="0" xfId="33" applyFont="1" applyBorder="1" applyAlignment="1">
      <alignment horizontal="right" vertical="center"/>
    </xf>
    <xf numFmtId="164" fontId="232" fillId="28" borderId="146" xfId="34" applyNumberFormat="1" applyFont="1" applyFill="1" applyBorder="1" applyAlignment="1">
      <alignment horizontal="center" vertical="center"/>
    </xf>
    <xf numFmtId="0" fontId="232" fillId="11" borderId="86" xfId="33" applyFont="1" applyFill="1" applyBorder="1" applyAlignment="1">
      <alignment horizontal="center" vertical="center"/>
    </xf>
    <xf numFmtId="0" fontId="232" fillId="11" borderId="84" xfId="33" applyFont="1" applyFill="1" applyBorder="1" applyAlignment="1">
      <alignment horizontal="center" vertical="center"/>
    </xf>
    <xf numFmtId="0" fontId="232" fillId="11" borderId="11" xfId="33" applyFont="1" applyFill="1" applyBorder="1" applyAlignment="1">
      <alignment horizontal="center" vertical="center"/>
    </xf>
    <xf numFmtId="0" fontId="232" fillId="11" borderId="12" xfId="33" applyFont="1" applyFill="1" applyBorder="1" applyAlignment="1">
      <alignment horizontal="center" vertical="center"/>
    </xf>
    <xf numFmtId="0" fontId="89" fillId="0" borderId="156" xfId="33" applyFont="1" applyFill="1" applyBorder="1" applyAlignment="1">
      <alignment horizontal="center" wrapText="1"/>
    </xf>
    <xf numFmtId="0" fontId="75" fillId="0" borderId="12" xfId="33" applyFont="1" applyFill="1" applyBorder="1" applyAlignment="1">
      <alignment horizontal="center" wrapText="1"/>
    </xf>
    <xf numFmtId="164" fontId="89" fillId="0" borderId="12" xfId="34" applyNumberFormat="1" applyFont="1" applyFill="1" applyBorder="1" applyAlignment="1">
      <alignment horizontal="center" wrapText="1"/>
    </xf>
    <xf numFmtId="0" fontId="89" fillId="0" borderId="12" xfId="33" applyFont="1" applyFill="1" applyBorder="1" applyAlignment="1">
      <alignment horizontal="center" wrapText="1"/>
    </xf>
    <xf numFmtId="0" fontId="232" fillId="0" borderId="0" xfId="33" applyFont="1" applyBorder="1" applyAlignment="1"/>
    <xf numFmtId="184" fontId="232" fillId="29" borderId="35" xfId="33" applyNumberFormat="1" applyFont="1" applyFill="1" applyBorder="1" applyAlignment="1">
      <alignment horizontal="center"/>
    </xf>
    <xf numFmtId="0" fontId="234" fillId="0" borderId="155" xfId="33" applyFont="1" applyFill="1" applyBorder="1" applyAlignment="1">
      <alignment horizontal="right"/>
    </xf>
    <xf numFmtId="0" fontId="231" fillId="0" borderId="0" xfId="33" applyFont="1" applyAlignment="1"/>
    <xf numFmtId="164" fontId="234" fillId="29" borderId="154" xfId="34" applyNumberFormat="1" applyFont="1" applyFill="1" applyBorder="1" applyAlignment="1">
      <alignment horizontal="center" vertical="center"/>
    </xf>
    <xf numFmtId="164" fontId="234" fillId="29" borderId="154" xfId="34" applyNumberFormat="1" applyFont="1" applyFill="1" applyBorder="1" applyAlignment="1">
      <alignment horizontal="center"/>
    </xf>
    <xf numFmtId="184" fontId="232" fillId="0" borderId="153" xfId="33" applyNumberFormat="1" applyFont="1" applyFill="1" applyBorder="1" applyAlignment="1">
      <alignment horizontal="center"/>
    </xf>
    <xf numFmtId="0" fontId="232" fillId="0" borderId="150" xfId="33" applyFont="1" applyBorder="1" applyAlignment="1">
      <alignment horizontal="center"/>
    </xf>
    <xf numFmtId="0" fontId="232" fillId="0" borderId="44" xfId="33" applyFont="1" applyBorder="1" applyAlignment="1">
      <alignment horizontal="center"/>
    </xf>
    <xf numFmtId="0" fontId="232" fillId="0" borderId="151" xfId="33" applyFont="1" applyBorder="1" applyAlignment="1">
      <alignment horizontal="center"/>
    </xf>
    <xf numFmtId="0" fontId="232" fillId="0" borderId="85" xfId="33" applyFont="1" applyBorder="1" applyAlignment="1"/>
    <xf numFmtId="0" fontId="232" fillId="0" borderId="81" xfId="33" applyFont="1" applyBorder="1" applyAlignment="1"/>
    <xf numFmtId="0" fontId="232" fillId="0" borderId="8" xfId="33" applyFont="1" applyBorder="1" applyAlignment="1"/>
    <xf numFmtId="0" fontId="232" fillId="0" borderId="13" xfId="33" applyFont="1" applyBorder="1" applyAlignment="1"/>
    <xf numFmtId="0" fontId="232" fillId="0" borderId="14" xfId="33" applyFont="1" applyBorder="1" applyAlignment="1"/>
    <xf numFmtId="164" fontId="237" fillId="29" borderId="15" xfId="34" applyNumberFormat="1" applyFont="1" applyFill="1" applyBorder="1" applyAlignment="1">
      <alignment horizontal="center" vertical="center"/>
    </xf>
    <xf numFmtId="0" fontId="232" fillId="0" borderId="163" xfId="33" applyFont="1" applyBorder="1"/>
    <xf numFmtId="164" fontId="232" fillId="28" borderId="155" xfId="34" applyNumberFormat="1" applyFont="1" applyFill="1" applyBorder="1"/>
    <xf numFmtId="0" fontId="232" fillId="0" borderId="144" xfId="33" applyFont="1" applyBorder="1"/>
    <xf numFmtId="186" fontId="238" fillId="28" borderId="136" xfId="33" applyNumberFormat="1" applyFont="1" applyFill="1" applyBorder="1" applyAlignment="1">
      <alignment horizontal="center" vertical="center"/>
    </xf>
    <xf numFmtId="184" fontId="238" fillId="28" borderId="136" xfId="33" applyNumberFormat="1" applyFont="1" applyFill="1" applyBorder="1" applyAlignment="1">
      <alignment horizontal="center" vertical="center"/>
    </xf>
    <xf numFmtId="0" fontId="238" fillId="0" borderId="0" xfId="33" applyFont="1"/>
    <xf numFmtId="164" fontId="238" fillId="28" borderId="136" xfId="34" applyNumberFormat="1" applyFont="1" applyFill="1" applyBorder="1" applyAlignment="1">
      <alignment horizontal="center" vertical="center"/>
    </xf>
    <xf numFmtId="186" fontId="238" fillId="28" borderId="17" xfId="33" applyNumberFormat="1" applyFont="1" applyFill="1" applyBorder="1" applyAlignment="1">
      <alignment horizontal="center" vertical="center"/>
    </xf>
    <xf numFmtId="184" fontId="238" fillId="28" borderId="17" xfId="33" applyNumberFormat="1" applyFont="1" applyFill="1" applyBorder="1" applyAlignment="1">
      <alignment horizontal="center" vertical="center"/>
    </xf>
    <xf numFmtId="164" fontId="238" fillId="28" borderId="17" xfId="34" applyNumberFormat="1" applyFont="1" applyFill="1" applyBorder="1" applyAlignment="1">
      <alignment horizontal="center" vertical="center"/>
    </xf>
    <xf numFmtId="186" fontId="238" fillId="28" borderId="18" xfId="33" applyNumberFormat="1" applyFont="1" applyFill="1" applyBorder="1" applyAlignment="1">
      <alignment horizontal="center" vertical="center"/>
    </xf>
    <xf numFmtId="184" fontId="238" fillId="28" borderId="18" xfId="33" applyNumberFormat="1" applyFont="1" applyFill="1" applyBorder="1" applyAlignment="1">
      <alignment horizontal="center" vertical="center"/>
    </xf>
    <xf numFmtId="164" fontId="238" fillId="28" borderId="18" xfId="34" applyNumberFormat="1" applyFont="1" applyFill="1" applyBorder="1" applyAlignment="1">
      <alignment horizontal="center" vertical="center"/>
    </xf>
    <xf numFmtId="0" fontId="238" fillId="0" borderId="0" xfId="33" applyFont="1" applyAlignment="1">
      <alignment horizontal="left"/>
    </xf>
    <xf numFmtId="0" fontId="22" fillId="0" borderId="0" xfId="0" applyFont="1" applyFill="1" applyAlignment="1" applyProtection="1">
      <alignment horizontal="right"/>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15" fillId="5" borderId="18"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5" borderId="12" xfId="0" applyFont="1" applyFill="1" applyBorder="1" applyAlignment="1" applyProtection="1">
      <alignment horizontal="center" vertical="center"/>
      <protection locked="0"/>
    </xf>
    <xf numFmtId="0" fontId="17" fillId="0" borderId="0" xfId="0" applyFont="1" applyProtection="1"/>
    <xf numFmtId="0" fontId="5" fillId="0" borderId="84" xfId="0" applyFont="1" applyBorder="1" applyAlignment="1" applyProtection="1">
      <alignment vertical="center"/>
    </xf>
    <xf numFmtId="0" fontId="12" fillId="0" borderId="0" xfId="0" applyFont="1" applyAlignment="1" applyProtection="1">
      <alignment horizontal="right" vertical="center"/>
    </xf>
    <xf numFmtId="0" fontId="91" fillId="0" borderId="0" xfId="0" applyFont="1" applyAlignment="1" applyProtection="1">
      <alignment horizontal="center" vertical="center"/>
    </xf>
    <xf numFmtId="49" fontId="91" fillId="0" borderId="0" xfId="0" applyNumberFormat="1" applyFont="1" applyAlignment="1" applyProtection="1">
      <alignment horizontal="center" vertical="center"/>
    </xf>
    <xf numFmtId="2" fontId="91" fillId="0" borderId="0" xfId="0" applyNumberFormat="1" applyFont="1" applyAlignment="1" applyProtection="1">
      <alignment horizontal="center" vertical="center"/>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85" fillId="0" borderId="0" xfId="0" applyFont="1" applyFill="1" applyAlignment="1" applyProtection="1">
      <alignment horizontal="left" vertical="center"/>
    </xf>
    <xf numFmtId="176" fontId="15" fillId="5" borderId="22" xfId="0" applyNumberFormat="1" applyFont="1" applyFill="1" applyBorder="1" applyAlignment="1" applyProtection="1">
      <alignment horizontal="center" vertical="center"/>
      <protection locked="0"/>
    </xf>
    <xf numFmtId="176" fontId="15" fillId="13" borderId="17" xfId="0" applyNumberFormat="1" applyFont="1" applyFill="1" applyBorder="1" applyAlignment="1" applyProtection="1">
      <alignment horizontal="center" vertical="center"/>
    </xf>
    <xf numFmtId="0" fontId="5" fillId="0" borderId="0" xfId="0" applyFont="1" applyFill="1" applyBorder="1" applyAlignment="1" applyProtection="1">
      <alignment horizontal="right" vertical="top" wrapText="1"/>
    </xf>
    <xf numFmtId="0" fontId="5" fillId="0" borderId="0" xfId="0" applyFont="1" applyFill="1" applyAlignment="1" applyProtection="1">
      <alignment horizontal="center" wrapText="1"/>
    </xf>
    <xf numFmtId="0" fontId="5" fillId="0" borderId="0" xfId="0" applyFont="1" applyFill="1" applyAlignment="1" applyProtection="1">
      <alignment horizontal="center" vertical="center"/>
    </xf>
    <xf numFmtId="0" fontId="92" fillId="0" borderId="0" xfId="0" applyFont="1" applyBorder="1" applyAlignment="1" applyProtection="1">
      <alignment horizontal="right" vertical="top"/>
    </xf>
    <xf numFmtId="0" fontId="0" fillId="0" borderId="0" xfId="0" applyAlignment="1" applyProtection="1">
      <alignment horizontal="left" vertical="top"/>
    </xf>
    <xf numFmtId="0" fontId="186" fillId="0" borderId="0" xfId="0" applyFont="1" applyFill="1" applyBorder="1" applyAlignment="1" applyProtection="1">
      <alignment vertical="top" wrapText="1"/>
    </xf>
    <xf numFmtId="0" fontId="5" fillId="0" borderId="0" xfId="0" applyFont="1" applyFill="1" applyBorder="1" applyAlignment="1" applyProtection="1">
      <alignment wrapText="1"/>
    </xf>
    <xf numFmtId="0" fontId="99" fillId="0" borderId="0" xfId="0" applyFont="1" applyFill="1" applyBorder="1" applyAlignment="1" applyProtection="1">
      <alignment vertical="center" wrapText="1"/>
    </xf>
    <xf numFmtId="0" fontId="97" fillId="0" borderId="0"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204" fillId="0" borderId="0" xfId="0" applyFont="1" applyFill="1" applyProtection="1"/>
    <xf numFmtId="0" fontId="4" fillId="10" borderId="3" xfId="0" applyFont="1" applyFill="1" applyBorder="1" applyAlignment="1" applyProtection="1">
      <alignment horizontal="center" vertical="center"/>
      <protection locked="0"/>
    </xf>
    <xf numFmtId="0" fontId="5" fillId="0" borderId="0" xfId="0" applyFont="1" applyBorder="1" applyAlignment="1" applyProtection="1">
      <alignment vertical="top"/>
    </xf>
    <xf numFmtId="0" fontId="15" fillId="5" borderId="111" xfId="0" applyFont="1" applyFill="1" applyBorder="1" applyAlignment="1" applyProtection="1">
      <alignment horizontal="center" vertical="center"/>
      <protection locked="0"/>
    </xf>
    <xf numFmtId="0" fontId="15" fillId="13" borderId="131" xfId="0" applyFont="1" applyFill="1" applyBorder="1" applyAlignment="1" applyProtection="1">
      <alignment horizontal="center" vertical="center"/>
    </xf>
    <xf numFmtId="176" fontId="85" fillId="10" borderId="116" xfId="0" applyNumberFormat="1" applyFont="1" applyFill="1" applyBorder="1" applyAlignment="1" applyProtection="1">
      <alignment horizontal="center" vertical="center"/>
      <protection locked="0"/>
    </xf>
    <xf numFmtId="176" fontId="85" fillId="13" borderId="118" xfId="0" applyNumberFormat="1" applyFont="1" applyFill="1" applyBorder="1" applyAlignment="1" applyProtection="1">
      <alignment horizontal="center" vertical="center"/>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99" fillId="0" borderId="0" xfId="0" applyFont="1" applyAlignment="1">
      <alignment wrapText="1"/>
    </xf>
    <xf numFmtId="0" fontId="9" fillId="0" borderId="0" xfId="0" applyFont="1" applyBorder="1" applyAlignment="1">
      <alignment wrapText="1"/>
    </xf>
    <xf numFmtId="0" fontId="99" fillId="0" borderId="0" xfId="0" applyFont="1" applyBorder="1" applyAlignment="1">
      <alignment wrapText="1"/>
    </xf>
    <xf numFmtId="0" fontId="4" fillId="0" borderId="0" xfId="0" applyFont="1" applyFill="1" applyAlignment="1">
      <alignment vertical="center" wrapText="1"/>
    </xf>
    <xf numFmtId="0" fontId="4" fillId="0" borderId="0" xfId="0" applyFont="1" applyFill="1" applyBorder="1" applyAlignment="1">
      <alignment vertical="center" wrapText="1"/>
    </xf>
    <xf numFmtId="0" fontId="5" fillId="0" borderId="0" xfId="0" applyFont="1" applyFill="1" applyAlignment="1">
      <alignment vertical="center"/>
    </xf>
    <xf numFmtId="0" fontId="158" fillId="0" borderId="0" xfId="0" applyFont="1" applyFill="1" applyAlignment="1" applyProtection="1">
      <alignment vertical="center"/>
    </xf>
    <xf numFmtId="0" fontId="244" fillId="0" borderId="0" xfId="0" applyFont="1" applyFill="1" applyAlignment="1">
      <alignment vertical="center"/>
    </xf>
    <xf numFmtId="0" fontId="5" fillId="0" borderId="0" xfId="0" applyFont="1" applyFill="1" applyBorder="1" applyAlignment="1">
      <alignment vertical="center"/>
    </xf>
    <xf numFmtId="0" fontId="15" fillId="13" borderId="17" xfId="0" applyFont="1" applyFill="1" applyBorder="1" applyAlignment="1" applyProtection="1">
      <alignment horizontal="center" vertical="top"/>
    </xf>
    <xf numFmtId="0" fontId="15" fillId="5" borderId="17" xfId="0" applyFont="1" applyFill="1" applyBorder="1" applyAlignment="1" applyProtection="1">
      <alignment horizontal="center" vertical="top"/>
      <protection locked="0"/>
    </xf>
    <xf numFmtId="0" fontId="5"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9" fillId="0" borderId="86" xfId="0" applyFont="1" applyFill="1" applyBorder="1" applyAlignment="1" applyProtection="1">
      <alignment horizontal="center" vertical="center"/>
    </xf>
    <xf numFmtId="0" fontId="19" fillId="0" borderId="86" xfId="0" quotePrefix="1" applyFont="1" applyFill="1" applyBorder="1" applyAlignment="1" applyProtection="1">
      <alignment horizontal="center" vertical="center"/>
    </xf>
    <xf numFmtId="0" fontId="112" fillId="0" borderId="0" xfId="0" applyFont="1" applyBorder="1" applyAlignment="1" applyProtection="1">
      <alignment horizontal="center" vertical="center" wrapText="1"/>
    </xf>
    <xf numFmtId="49" fontId="5" fillId="10" borderId="84" xfId="0" applyNumberFormat="1" applyFont="1" applyFill="1" applyBorder="1" applyAlignment="1" applyProtection="1">
      <alignment horizontal="center" vertical="center" wrapText="1"/>
      <protection locked="0"/>
    </xf>
    <xf numFmtId="49" fontId="5" fillId="10" borderId="17" xfId="0" applyNumberFormat="1" applyFont="1" applyFill="1" applyBorder="1" applyAlignment="1" applyProtection="1">
      <alignment horizontal="center" vertical="center" wrapText="1"/>
      <protection locked="0"/>
    </xf>
    <xf numFmtId="49" fontId="5" fillId="10" borderId="18" xfId="0" applyNumberFormat="1" applyFont="1" applyFill="1" applyBorder="1" applyAlignment="1" applyProtection="1">
      <alignment horizontal="center" vertical="center" wrapText="1"/>
      <protection locked="0"/>
    </xf>
    <xf numFmtId="0" fontId="22" fillId="0" borderId="0" xfId="0" applyFont="1" applyFill="1" applyProtection="1">
      <protection locked="0"/>
    </xf>
    <xf numFmtId="0" fontId="22"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9" fillId="0" borderId="0" xfId="0" applyFont="1" applyFill="1" applyProtection="1">
      <protection locked="0"/>
    </xf>
    <xf numFmtId="0" fontId="19" fillId="0" borderId="0" xfId="0" applyFont="1" applyFill="1" applyBorder="1" applyProtection="1">
      <protection locked="0"/>
    </xf>
    <xf numFmtId="0" fontId="41" fillId="0" borderId="0" xfId="0" applyFont="1" applyFill="1" applyAlignment="1" applyProtection="1">
      <alignment vertical="center"/>
      <protection locked="0"/>
    </xf>
    <xf numFmtId="0" fontId="36" fillId="0" borderId="0" xfId="0" applyFont="1" applyFill="1" applyAlignment="1" applyProtection="1">
      <alignment vertical="center"/>
      <protection locked="0"/>
    </xf>
    <xf numFmtId="0" fontId="36" fillId="0" borderId="0" xfId="0" applyFont="1" applyFill="1" applyBorder="1" applyAlignment="1" applyProtection="1">
      <alignment vertical="center"/>
      <protection locked="0"/>
    </xf>
    <xf numFmtId="0" fontId="4" fillId="0" borderId="0" xfId="0" applyFont="1" applyFill="1" applyProtection="1">
      <protection locked="0"/>
    </xf>
    <xf numFmtId="0" fontId="4" fillId="0" borderId="0" xfId="0" applyFont="1" applyFill="1" applyBorder="1" applyProtection="1">
      <protection locked="0"/>
    </xf>
    <xf numFmtId="0" fontId="4" fillId="0" borderId="0" xfId="0" applyFont="1" applyFill="1" applyAlignment="1" applyProtection="1">
      <alignment vertical="top"/>
      <protection locked="0"/>
    </xf>
    <xf numFmtId="0" fontId="4" fillId="0" borderId="0" xfId="0" applyFont="1" applyFill="1" applyBorder="1" applyAlignment="1" applyProtection="1">
      <alignment vertical="top"/>
      <protection locked="0"/>
    </xf>
    <xf numFmtId="0" fontId="19" fillId="0" borderId="0" xfId="0" applyFont="1" applyFill="1" applyAlignment="1" applyProtection="1">
      <alignment vertical="center"/>
      <protection locked="0"/>
    </xf>
    <xf numFmtId="0" fontId="4" fillId="0" borderId="0" xfId="0" applyFont="1" applyFill="1" applyAlignment="1" applyProtection="1">
      <alignment vertical="center"/>
      <protection locked="0"/>
    </xf>
    <xf numFmtId="0" fontId="4" fillId="0" borderId="0" xfId="0" applyFont="1" applyFill="1" applyBorder="1" applyAlignment="1" applyProtection="1">
      <alignment vertical="center"/>
      <protection locked="0"/>
    </xf>
    <xf numFmtId="0" fontId="5" fillId="0" borderId="0" xfId="0" applyFont="1" applyFill="1" applyAlignment="1" applyProtection="1">
      <alignment vertical="center"/>
      <protection locked="0"/>
    </xf>
    <xf numFmtId="0" fontId="86" fillId="0" borderId="0" xfId="0" applyFont="1" applyFill="1" applyAlignment="1" applyProtection="1">
      <alignment horizontal="left" vertical="center"/>
      <protection locked="0"/>
    </xf>
    <xf numFmtId="0" fontId="5" fillId="0" borderId="0" xfId="0" applyFont="1" applyFill="1" applyBorder="1" applyAlignment="1" applyProtection="1">
      <alignment vertical="top"/>
      <protection locked="0"/>
    </xf>
    <xf numFmtId="0" fontId="5" fillId="0" borderId="0" xfId="0" applyFont="1" applyFill="1" applyBorder="1" applyAlignment="1" applyProtection="1">
      <alignment horizontal="left"/>
      <protection locked="0"/>
    </xf>
    <xf numFmtId="0" fontId="11" fillId="0" borderId="0" xfId="0" applyFont="1" applyFill="1" applyAlignment="1" applyProtection="1">
      <alignment horizontal="center" vertical="center"/>
      <protection locked="0"/>
    </xf>
    <xf numFmtId="0" fontId="11" fillId="0" borderId="0" xfId="0" applyFont="1" applyFill="1" applyBorder="1" applyAlignment="1" applyProtection="1">
      <alignment horizontal="center" vertical="center"/>
      <protection locked="0"/>
    </xf>
    <xf numFmtId="0" fontId="22" fillId="0" borderId="0" xfId="0" applyFont="1" applyFill="1" applyAlignment="1" applyProtection="1">
      <alignment vertical="top"/>
      <protection locked="0"/>
    </xf>
    <xf numFmtId="0" fontId="22" fillId="0" borderId="0" xfId="0" applyFont="1" applyFill="1" applyBorder="1" applyAlignment="1" applyProtection="1">
      <alignment vertical="top"/>
      <protection locked="0"/>
    </xf>
    <xf numFmtId="0" fontId="27" fillId="0" borderId="0" xfId="0" applyFont="1" applyFill="1" applyAlignment="1" applyProtection="1">
      <alignment vertical="center"/>
      <protection locked="0"/>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30" fillId="8" borderId="36" xfId="0" applyFont="1" applyFill="1" applyBorder="1" applyAlignment="1" applyProtection="1">
      <alignment vertical="center"/>
    </xf>
    <xf numFmtId="0" fontId="30" fillId="8" borderId="2" xfId="0" applyFont="1" applyFill="1" applyBorder="1" applyAlignment="1" applyProtection="1">
      <alignment vertical="center"/>
    </xf>
    <xf numFmtId="0" fontId="30" fillId="8" borderId="37" xfId="0" applyFont="1" applyFill="1" applyBorder="1" applyAlignment="1" applyProtection="1">
      <alignment vertical="center"/>
    </xf>
    <xf numFmtId="0" fontId="30" fillId="8" borderId="82" xfId="0" applyFont="1" applyFill="1" applyBorder="1" applyAlignment="1" applyProtection="1">
      <alignment vertical="center"/>
    </xf>
    <xf numFmtId="3" fontId="14" fillId="5" borderId="136" xfId="1" applyNumberFormat="1" applyFont="1" applyFill="1" applyBorder="1" applyAlignment="1" applyProtection="1">
      <alignment horizontal="center" vertical="center"/>
      <protection locked="0"/>
    </xf>
    <xf numFmtId="0" fontId="4" fillId="0" borderId="0" xfId="0" applyFont="1"/>
    <xf numFmtId="3" fontId="14" fillId="10" borderId="16" xfId="1" applyNumberFormat="1" applyFont="1" applyFill="1" applyBorder="1" applyAlignment="1" applyProtection="1">
      <alignment horizontal="center" vertical="center"/>
      <protection locked="0"/>
    </xf>
    <xf numFmtId="3" fontId="14" fillId="10" borderId="17" xfId="1" applyNumberFormat="1" applyFont="1" applyFill="1" applyBorder="1" applyAlignment="1" applyProtection="1">
      <alignment horizontal="center" vertical="center"/>
      <protection locked="0"/>
    </xf>
    <xf numFmtId="3" fontId="14" fillId="10" borderId="128" xfId="1" applyNumberFormat="1" applyFont="1" applyFill="1" applyBorder="1" applyAlignment="1" applyProtection="1">
      <alignment horizontal="center" vertical="center"/>
      <protection locked="0"/>
    </xf>
    <xf numFmtId="0" fontId="99" fillId="0" borderId="0" xfId="0" applyFont="1" applyFill="1" applyBorder="1" applyAlignment="1" applyProtection="1">
      <alignment horizontal="center" vertical="center"/>
    </xf>
    <xf numFmtId="0" fontId="15" fillId="13" borderId="12" xfId="0"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15" fillId="5" borderId="12" xfId="0" applyFont="1" applyFill="1" applyBorder="1" applyAlignment="1" applyProtection="1">
      <alignment horizontal="center" vertical="center"/>
      <protection locked="0"/>
    </xf>
    <xf numFmtId="10" fontId="245" fillId="0" borderId="175" xfId="0" applyNumberFormat="1" applyFont="1" applyFill="1" applyBorder="1" applyAlignment="1">
      <alignment horizontal="center" vertical="center"/>
    </xf>
    <xf numFmtId="10" fontId="245" fillId="0" borderId="176" xfId="0" applyNumberFormat="1" applyFont="1" applyFill="1" applyBorder="1" applyAlignment="1">
      <alignment horizontal="center" vertical="center"/>
    </xf>
    <xf numFmtId="10" fontId="245" fillId="0" borderId="177" xfId="0" applyNumberFormat="1" applyFont="1" applyFill="1" applyBorder="1" applyAlignment="1">
      <alignment horizontal="center" vertical="center"/>
    </xf>
    <xf numFmtId="2" fontId="245" fillId="0" borderId="178" xfId="0" applyNumberFormat="1" applyFont="1" applyFill="1" applyBorder="1" applyAlignment="1">
      <alignment horizontal="center" vertical="center"/>
    </xf>
    <xf numFmtId="2" fontId="245" fillId="0" borderId="179" xfId="0" applyNumberFormat="1" applyFont="1" applyFill="1" applyBorder="1" applyAlignment="1">
      <alignment horizontal="center" vertical="center"/>
    </xf>
    <xf numFmtId="2" fontId="246" fillId="0" borderId="180" xfId="0" applyNumberFormat="1" applyFont="1" applyFill="1" applyBorder="1" applyAlignment="1">
      <alignment horizontal="center" vertical="center"/>
    </xf>
    <xf numFmtId="2" fontId="246" fillId="0" borderId="174" xfId="0" applyNumberFormat="1" applyFont="1" applyFill="1" applyBorder="1" applyAlignment="1">
      <alignment horizontal="center" vertical="center"/>
    </xf>
    <xf numFmtId="2" fontId="246" fillId="0" borderId="181" xfId="0" applyNumberFormat="1" applyFont="1" applyFill="1" applyBorder="1" applyAlignment="1">
      <alignment horizontal="center" vertical="center"/>
    </xf>
    <xf numFmtId="10" fontId="245" fillId="0" borderId="182" xfId="0" applyNumberFormat="1" applyFont="1" applyFill="1" applyBorder="1" applyAlignment="1">
      <alignment horizontal="center" vertical="center"/>
    </xf>
    <xf numFmtId="10" fontId="245" fillId="0" borderId="173" xfId="0" applyNumberFormat="1" applyFont="1" applyFill="1" applyBorder="1" applyAlignment="1">
      <alignment horizontal="center" vertical="center"/>
    </xf>
    <xf numFmtId="10" fontId="245" fillId="0" borderId="183" xfId="0" applyNumberFormat="1" applyFont="1" applyFill="1" applyBorder="1" applyAlignment="1">
      <alignment horizontal="center" vertical="center"/>
    </xf>
    <xf numFmtId="10" fontId="246" fillId="0" borderId="184" xfId="0" applyNumberFormat="1" applyFont="1" applyBorder="1" applyAlignment="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14" fillId="0" borderId="0" xfId="0" applyFont="1" applyFill="1" applyAlignment="1">
      <alignment vertical="center"/>
    </xf>
    <xf numFmtId="0" fontId="243" fillId="0" borderId="0" xfId="0" applyFont="1" applyFill="1" applyAlignment="1">
      <alignment vertical="center"/>
    </xf>
    <xf numFmtId="0" fontId="14" fillId="0" borderId="0" xfId="0" applyFont="1" applyFill="1" applyBorder="1" applyAlignment="1">
      <alignment vertical="center"/>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247" fillId="0" borderId="0" xfId="0" applyFont="1" applyFill="1" applyAlignment="1" applyProtection="1">
      <alignment horizontal="center"/>
    </xf>
    <xf numFmtId="0" fontId="97" fillId="0" borderId="0" xfId="0" applyFont="1" applyProtection="1"/>
    <xf numFmtId="0" fontId="93" fillId="0" borderId="0" xfId="0" applyFont="1" applyProtection="1"/>
    <xf numFmtId="0" fontId="97" fillId="0" borderId="0" xfId="0" applyFont="1" applyFill="1" applyAlignment="1" applyProtection="1">
      <alignment horizontal="left"/>
    </xf>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8"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24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0" fontId="93" fillId="0" borderId="0" xfId="0" applyFont="1" applyAlignment="1" applyProtection="1">
      <alignment horizontal="center"/>
    </xf>
    <xf numFmtId="0" fontId="84" fillId="0" borderId="0" xfId="0" applyFont="1" applyAlignment="1" applyProtection="1">
      <alignment horizontal="center"/>
    </xf>
    <xf numFmtId="0" fontId="94" fillId="0" borderId="0" xfId="0" applyFont="1" applyAlignment="1" applyProtection="1">
      <alignment vertical="top"/>
    </xf>
    <xf numFmtId="0" fontId="106" fillId="0" borderId="0" xfId="0" applyFont="1" applyFill="1" applyProtection="1"/>
    <xf numFmtId="0" fontId="11" fillId="0" borderId="0" xfId="0" applyFont="1" applyFill="1" applyBorder="1" applyAlignment="1" applyProtection="1">
      <alignment horizontal="right" vertical="top"/>
    </xf>
    <xf numFmtId="0" fontId="15" fillId="5" borderId="11" xfId="0" applyFont="1" applyFill="1" applyBorder="1" applyAlignment="1" applyProtection="1">
      <alignment horizontal="center" vertical="center"/>
      <protection locked="0"/>
    </xf>
    <xf numFmtId="0" fontId="15" fillId="13" borderId="11" xfId="0" applyFont="1" applyFill="1" applyBorder="1" applyAlignment="1" applyProtection="1">
      <alignment horizontal="center" vertical="center"/>
    </xf>
    <xf numFmtId="0" fontId="91" fillId="0" borderId="0" xfId="0" applyFont="1" applyFill="1" applyAlignment="1" applyProtection="1">
      <alignment horizontal="center" vertical="center"/>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52"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25" fillId="0" borderId="50" xfId="0" applyNumberFormat="1" applyFont="1" applyBorder="1" applyAlignment="1">
      <alignment horizontal="left"/>
    </xf>
    <xf numFmtId="49" fontId="225" fillId="0" borderId="38" xfId="0" applyNumberFormat="1" applyFont="1" applyBorder="1" applyAlignment="1">
      <alignment horizontal="center"/>
    </xf>
    <xf numFmtId="49" fontId="225" fillId="0" borderId="25" xfId="0" applyNumberFormat="1" applyFont="1" applyBorder="1" applyAlignment="1">
      <alignment horizontal="center"/>
    </xf>
    <xf numFmtId="49" fontId="43" fillId="0" borderId="0" xfId="0" applyNumberFormat="1" applyFont="1"/>
    <xf numFmtId="49" fontId="225" fillId="0" borderId="50" xfId="0" applyNumberFormat="1" applyFont="1" applyBorder="1"/>
    <xf numFmtId="49" fontId="225" fillId="0" borderId="48" xfId="0" applyNumberFormat="1" applyFont="1" applyBorder="1"/>
    <xf numFmtId="49" fontId="225" fillId="0" borderId="49" xfId="0" applyNumberFormat="1" applyFont="1" applyBorder="1" applyAlignment="1">
      <alignment horizontal="center"/>
    </xf>
    <xf numFmtId="49" fontId="225" fillId="0" borderId="24" xfId="0" applyNumberFormat="1" applyFont="1" applyBorder="1" applyAlignment="1">
      <alignment horizontal="center"/>
    </xf>
    <xf numFmtId="1" fontId="14" fillId="10" borderId="86" xfId="0" applyNumberFormat="1" applyFont="1" applyFill="1" applyBorder="1" applyAlignment="1" applyProtection="1">
      <alignment horizontal="center" vertical="center"/>
      <protection locked="0"/>
    </xf>
    <xf numFmtId="1" fontId="5" fillId="10" borderId="86" xfId="0" applyNumberFormat="1" applyFont="1" applyFill="1" applyBorder="1" applyAlignment="1" applyProtection="1">
      <alignment horizontal="center" vertical="center"/>
      <protection locked="0"/>
    </xf>
    <xf numFmtId="9" fontId="14" fillId="10" borderId="86" xfId="0" applyNumberFormat="1" applyFont="1" applyFill="1" applyBorder="1" applyAlignment="1" applyProtection="1">
      <alignment horizontal="center" vertical="center"/>
      <protection locked="0"/>
    </xf>
    <xf numFmtId="0" fontId="4" fillId="0" borderId="0" xfId="13" applyFont="1" applyAlignment="1" applyProtection="1">
      <alignment horizontal="center"/>
    </xf>
    <xf numFmtId="0" fontId="9" fillId="0" borderId="0" xfId="13" applyFont="1" applyAlignment="1" applyProtection="1">
      <alignment horizontal="center"/>
    </xf>
    <xf numFmtId="0" fontId="232" fillId="0" borderId="7" xfId="33" applyFont="1" applyBorder="1" applyAlignment="1">
      <alignment horizontal="center"/>
    </xf>
    <xf numFmtId="0" fontId="234" fillId="0" borderId="153" xfId="33" applyFont="1" applyBorder="1" applyAlignment="1">
      <alignment horizontal="right"/>
    </xf>
    <xf numFmtId="0" fontId="102" fillId="0" borderId="0" xfId="0" applyFont="1" applyFill="1" applyBorder="1" applyAlignment="1" applyProtection="1">
      <alignment vertical="center" wrapText="1"/>
    </xf>
    <xf numFmtId="0" fontId="102" fillId="20" borderId="7" xfId="0" applyFont="1" applyFill="1" applyBorder="1" applyAlignment="1" applyProtection="1">
      <alignment vertical="center" wrapText="1"/>
    </xf>
    <xf numFmtId="0" fontId="102" fillId="20" borderId="0" xfId="0" applyFont="1" applyFill="1" applyBorder="1" applyAlignment="1" applyProtection="1">
      <alignment vertical="center" wrapText="1"/>
    </xf>
    <xf numFmtId="0" fontId="102" fillId="20" borderId="8" xfId="0" applyFont="1" applyFill="1" applyBorder="1" applyAlignment="1" applyProtection="1">
      <alignment vertical="center" wrapText="1"/>
    </xf>
    <xf numFmtId="0" fontId="102" fillId="0" borderId="7" xfId="0" applyFont="1" applyFill="1" applyBorder="1" applyAlignment="1" applyProtection="1">
      <alignment vertical="center" wrapText="1"/>
    </xf>
    <xf numFmtId="0" fontId="102" fillId="0" borderId="8" xfId="0" applyFont="1" applyFill="1" applyBorder="1" applyAlignment="1" applyProtection="1">
      <alignment vertical="center" wrapText="1"/>
    </xf>
    <xf numFmtId="0" fontId="17" fillId="0" borderId="0" xfId="0" applyFont="1" applyFill="1" applyProtection="1"/>
    <xf numFmtId="0" fontId="5" fillId="10" borderId="86" xfId="0" applyFont="1" applyFill="1" applyBorder="1" applyAlignment="1" applyProtection="1">
      <alignment horizontal="center" vertical="center"/>
      <protection locked="0"/>
    </xf>
    <xf numFmtId="0" fontId="217" fillId="0" borderId="0" xfId="0" applyFont="1" applyFill="1" applyBorder="1" applyAlignment="1" applyProtection="1">
      <alignment horizontal="left" vertical="center"/>
    </xf>
    <xf numFmtId="0" fontId="93" fillId="0" borderId="0" xfId="0" applyFont="1" applyFill="1" applyBorder="1" applyAlignment="1" applyProtection="1">
      <alignment vertical="center"/>
    </xf>
    <xf numFmtId="49" fontId="43" fillId="0" borderId="142"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99"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7" fontId="117" fillId="0" borderId="20" xfId="13" applyNumberFormat="1" applyFont="1" applyBorder="1" applyAlignment="1">
      <alignment horizontal="center"/>
    </xf>
    <xf numFmtId="0" fontId="117" fillId="0" borderId="20" xfId="13" applyFont="1" applyFill="1" applyBorder="1" applyAlignment="1">
      <alignment horizontal="center"/>
    </xf>
    <xf numFmtId="0" fontId="234" fillId="0" borderId="153" xfId="33" applyFont="1" applyBorder="1" applyAlignment="1"/>
    <xf numFmtId="0" fontId="234" fillId="0" borderId="152" xfId="33" applyFont="1" applyBorder="1" applyAlignment="1">
      <alignment horizontal="center"/>
    </xf>
    <xf numFmtId="0" fontId="232" fillId="0" borderId="8" xfId="33" applyFont="1" applyBorder="1"/>
    <xf numFmtId="0" fontId="232" fillId="0" borderId="9" xfId="33" applyFont="1" applyBorder="1" applyAlignment="1">
      <alignment horizontal="center"/>
    </xf>
    <xf numFmtId="0" fontId="232" fillId="0" borderId="14" xfId="33" applyFont="1" applyBorder="1"/>
    <xf numFmtId="0" fontId="234" fillId="0" borderId="0" xfId="33" applyFont="1" applyAlignment="1">
      <alignment horizontal="center" wrapText="1"/>
    </xf>
    <xf numFmtId="0" fontId="232" fillId="28" borderId="136" xfId="33" applyFont="1" applyFill="1" applyBorder="1" applyAlignment="1">
      <alignment horizontal="center"/>
    </xf>
    <xf numFmtId="0" fontId="232" fillId="28" borderId="17" xfId="33" applyFont="1" applyFill="1" applyBorder="1" applyAlignment="1">
      <alignment horizontal="center"/>
    </xf>
    <xf numFmtId="0" fontId="232" fillId="28" borderId="18" xfId="33" applyFont="1" applyFill="1" applyBorder="1" applyAlignment="1">
      <alignment horizontal="center"/>
    </xf>
    <xf numFmtId="0" fontId="234" fillId="0" borderId="153"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52" fillId="0" borderId="83" xfId="13" applyFont="1" applyBorder="1" applyAlignment="1" applyProtection="1">
      <alignment horizontal="center"/>
    </xf>
    <xf numFmtId="0" fontId="4" fillId="0" borderId="13" xfId="13" applyFont="1" applyBorder="1" applyProtection="1"/>
    <xf numFmtId="0" fontId="4" fillId="0" borderId="85" xfId="13" applyFont="1" applyBorder="1" applyProtection="1"/>
    <xf numFmtId="3" fontId="99" fillId="10" borderId="13" xfId="13" applyNumberFormat="1" applyFont="1" applyFill="1" applyBorder="1" applyAlignment="1" applyProtection="1">
      <alignment horizontal="center" vertical="center"/>
    </xf>
    <xf numFmtId="0" fontId="9" fillId="0" borderId="0" xfId="13" applyFont="1" applyAlignment="1" applyProtection="1">
      <alignment horizontal="center" vertical="center"/>
    </xf>
    <xf numFmtId="3" fontId="91" fillId="10" borderId="59" xfId="13" applyNumberFormat="1" applyFont="1" applyFill="1" applyBorder="1" applyAlignment="1" applyProtection="1">
      <alignment horizontal="center" vertical="center"/>
    </xf>
    <xf numFmtId="3" fontId="91" fillId="10" borderId="91" xfId="13" applyNumberFormat="1" applyFont="1" applyFill="1" applyBorder="1" applyAlignment="1" applyProtection="1">
      <alignment horizontal="center" vertical="center"/>
    </xf>
    <xf numFmtId="0" fontId="4" fillId="0" borderId="0" xfId="13" applyFont="1" applyAlignment="1" applyProtection="1">
      <alignment horizontal="right" vertical="center"/>
    </xf>
    <xf numFmtId="0" fontId="4" fillId="0" borderId="0" xfId="13" applyFont="1" applyAlignment="1" applyProtection="1">
      <alignment horizontal="center" vertical="center" wrapText="1"/>
    </xf>
    <xf numFmtId="0" fontId="6" fillId="0" borderId="0" xfId="13" applyFont="1" applyAlignment="1" applyProtection="1">
      <alignment horizontal="center" wrapText="1"/>
    </xf>
    <xf numFmtId="0" fontId="111" fillId="0" borderId="0" xfId="13" applyFont="1" applyAlignment="1" applyProtection="1">
      <alignment horizontal="center" wrapText="1"/>
    </xf>
    <xf numFmtId="0" fontId="6" fillId="0" borderId="13" xfId="13" applyFont="1" applyBorder="1" applyAlignment="1" applyProtection="1">
      <alignment horizontal="center" wrapText="1"/>
    </xf>
    <xf numFmtId="0" fontId="6" fillId="0" borderId="0" xfId="13" applyFont="1" applyAlignment="1" applyProtection="1">
      <alignment horizontal="center" vertical="center" wrapText="1"/>
    </xf>
    <xf numFmtId="0" fontId="6" fillId="0" borderId="85" xfId="13" applyFont="1" applyBorder="1" applyAlignment="1" applyProtection="1">
      <alignment horizontal="center" wrapText="1"/>
    </xf>
    <xf numFmtId="0" fontId="111" fillId="0" borderId="0" xfId="13" applyFont="1" applyAlignment="1" applyProtection="1">
      <alignment horizontal="center" vertical="center" wrapText="1"/>
    </xf>
    <xf numFmtId="184" fontId="238" fillId="13" borderId="157" xfId="33" applyNumberFormat="1" applyFont="1" applyFill="1" applyBorder="1" applyAlignment="1" applyProtection="1">
      <alignment horizontal="center" vertical="center"/>
      <protection locked="0"/>
    </xf>
    <xf numFmtId="184" fontId="238" fillId="13" borderId="136" xfId="33" applyNumberFormat="1" applyFont="1" applyFill="1" applyBorder="1" applyAlignment="1" applyProtection="1">
      <alignment horizontal="center" vertical="center"/>
      <protection locked="0"/>
    </xf>
    <xf numFmtId="185" fontId="238" fillId="13" borderId="136" xfId="33" applyNumberFormat="1" applyFont="1" applyFill="1" applyBorder="1" applyAlignment="1" applyProtection="1">
      <alignment horizontal="center" vertical="center"/>
      <protection locked="0"/>
    </xf>
    <xf numFmtId="9" fontId="238" fillId="13" borderId="136" xfId="35" applyFont="1" applyFill="1" applyBorder="1" applyAlignment="1" applyProtection="1">
      <alignment horizontal="center" vertical="center"/>
      <protection locked="0"/>
    </xf>
    <xf numFmtId="164" fontId="238" fillId="13" borderId="136" xfId="34" applyNumberFormat="1" applyFont="1" applyFill="1" applyBorder="1" applyAlignment="1" applyProtection="1">
      <alignment horizontal="center" vertical="center"/>
      <protection locked="0"/>
    </xf>
    <xf numFmtId="184" fontId="238" fillId="13" borderId="158" xfId="33" applyNumberFormat="1" applyFont="1" applyFill="1" applyBorder="1" applyAlignment="1" applyProtection="1">
      <alignment horizontal="center" vertical="center"/>
      <protection locked="0"/>
    </xf>
    <xf numFmtId="184" fontId="238" fillId="13" borderId="17" xfId="33" applyNumberFormat="1" applyFont="1" applyFill="1" applyBorder="1" applyAlignment="1" applyProtection="1">
      <alignment horizontal="center" vertical="center"/>
      <protection locked="0"/>
    </xf>
    <xf numFmtId="185" fontId="238" fillId="13" borderId="17" xfId="33" applyNumberFormat="1" applyFont="1" applyFill="1" applyBorder="1" applyAlignment="1" applyProtection="1">
      <alignment horizontal="center" vertical="center"/>
      <protection locked="0"/>
    </xf>
    <xf numFmtId="9" fontId="238" fillId="13" borderId="17" xfId="35" applyFont="1" applyFill="1" applyBorder="1" applyAlignment="1" applyProtection="1">
      <alignment horizontal="center" vertical="center"/>
      <protection locked="0"/>
    </xf>
    <xf numFmtId="164" fontId="238" fillId="13" borderId="17" xfId="34" applyNumberFormat="1" applyFont="1" applyFill="1" applyBorder="1" applyAlignment="1" applyProtection="1">
      <alignment horizontal="center" vertical="center"/>
      <protection locked="0"/>
    </xf>
    <xf numFmtId="184" fontId="238" fillId="13" borderId="159" xfId="33" applyNumberFormat="1" applyFont="1" applyFill="1" applyBorder="1" applyAlignment="1" applyProtection="1">
      <alignment horizontal="center" vertical="center"/>
      <protection locked="0"/>
    </xf>
    <xf numFmtId="184" fontId="238" fillId="13" borderId="18" xfId="33" applyNumberFormat="1" applyFont="1" applyFill="1" applyBorder="1" applyAlignment="1" applyProtection="1">
      <alignment horizontal="center" vertical="center"/>
      <protection locked="0"/>
    </xf>
    <xf numFmtId="185" fontId="238" fillId="13" borderId="18" xfId="33" applyNumberFormat="1" applyFont="1" applyFill="1" applyBorder="1" applyAlignment="1" applyProtection="1">
      <alignment horizontal="center" vertical="center"/>
      <protection locked="0"/>
    </xf>
    <xf numFmtId="9" fontId="238" fillId="13" borderId="18" xfId="35" applyFont="1" applyFill="1" applyBorder="1" applyAlignment="1" applyProtection="1">
      <alignment horizontal="center" vertical="center"/>
      <protection locked="0"/>
    </xf>
    <xf numFmtId="164" fontId="238" fillId="13" borderId="18" xfId="34" applyNumberFormat="1" applyFont="1" applyFill="1" applyBorder="1" applyAlignment="1" applyProtection="1">
      <alignment horizontal="center" vertical="center"/>
      <protection locked="0"/>
    </xf>
    <xf numFmtId="0" fontId="9" fillId="0" borderId="13" xfId="13" applyFont="1" applyBorder="1" applyAlignment="1" applyProtection="1">
      <alignment horizontal="center"/>
    </xf>
    <xf numFmtId="0" fontId="9" fillId="0" borderId="13" xfId="13" applyFont="1" applyBorder="1" applyAlignment="1" applyProtection="1">
      <alignment horizontal="center" vertical="center"/>
    </xf>
    <xf numFmtId="0" fontId="9" fillId="0" borderId="85" xfId="13" applyFont="1" applyBorder="1" applyAlignment="1" applyProtection="1">
      <alignment horizontal="center" vertical="center"/>
    </xf>
    <xf numFmtId="0" fontId="93" fillId="0" borderId="0" xfId="0" applyFont="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vertical="center"/>
    </xf>
    <xf numFmtId="0" fontId="97" fillId="0" borderId="0" xfId="0" applyFont="1" applyFill="1" applyAlignment="1" applyProtection="1">
      <alignment horizontal="center" vertic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84"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52" fillId="0" borderId="0" xfId="0" applyFont="1" applyFill="1" applyBorder="1" applyAlignment="1" applyProtection="1">
      <alignment horizontal="right"/>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244" fillId="0" borderId="0" xfId="0" applyFont="1" applyFill="1" applyAlignment="1" applyProtection="1">
      <alignment horizontal="center" vertical="center"/>
    </xf>
    <xf numFmtId="3" fontId="99" fillId="10" borderId="15" xfId="0" applyNumberFormat="1" applyFont="1" applyFill="1" applyBorder="1" applyAlignment="1" applyProtection="1">
      <alignment horizontal="center" vertical="center"/>
      <protection locked="0"/>
    </xf>
    <xf numFmtId="3" fontId="15" fillId="0" borderId="0" xfId="0" applyNumberFormat="1" applyFont="1" applyFill="1" applyBorder="1" applyAlignment="1" applyProtection="1">
      <alignment vertical="top"/>
    </xf>
    <xf numFmtId="3" fontId="80" fillId="0" borderId="0" xfId="0" applyNumberFormat="1" applyFont="1" applyFill="1" applyBorder="1" applyAlignment="1" applyProtection="1">
      <alignment vertical="top"/>
    </xf>
    <xf numFmtId="0" fontId="97" fillId="0" borderId="0" xfId="0" applyFont="1" applyFill="1" applyBorder="1" applyAlignment="1" applyProtection="1">
      <alignment horizontal="center"/>
    </xf>
    <xf numFmtId="0" fontId="131" fillId="0" borderId="0" xfId="0" applyFont="1" applyFill="1" applyBorder="1" applyAlignment="1" applyProtection="1">
      <alignment horizontal="center" vertical="center"/>
    </xf>
    <xf numFmtId="176" fontId="43" fillId="10" borderId="12" xfId="0" applyNumberFormat="1" applyFont="1" applyFill="1" applyBorder="1" applyAlignment="1" applyProtection="1">
      <alignment horizontal="center" vertical="center"/>
      <protection locked="0"/>
    </xf>
    <xf numFmtId="176" fontId="14" fillId="10" borderId="12" xfId="0" applyNumberFormat="1" applyFont="1" applyFill="1" applyBorder="1" applyAlignment="1" applyProtection="1">
      <alignment horizontal="center" vertical="center"/>
      <protection locked="0"/>
    </xf>
    <xf numFmtId="0" fontId="253" fillId="0" borderId="0" xfId="0" applyFont="1" applyFill="1" applyBorder="1" applyAlignment="1" applyProtection="1">
      <alignment horizontal="center"/>
    </xf>
    <xf numFmtId="0" fontId="93" fillId="0" borderId="0" xfId="0" applyFont="1" applyFill="1" applyBorder="1" applyAlignment="1" applyProtection="1"/>
    <xf numFmtId="0" fontId="254" fillId="0" borderId="0" xfId="0" applyFont="1" applyFill="1" applyBorder="1" applyAlignment="1" applyProtection="1">
      <alignment horizontal="center"/>
    </xf>
    <xf numFmtId="0" fontId="103" fillId="0" borderId="0" xfId="0" applyFont="1" applyFill="1" applyBorder="1" applyAlignment="1" applyProtection="1">
      <alignment vertical="top"/>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255" fillId="0" borderId="0" xfId="0" applyFont="1" applyFill="1" applyBorder="1" applyAlignment="1" applyProtection="1">
      <alignment vertical="center"/>
    </xf>
    <xf numFmtId="0" fontId="103" fillId="0" borderId="0" xfId="0" quotePrefix="1" applyFont="1" applyFill="1" applyBorder="1" applyAlignment="1" applyProtection="1">
      <alignment horizontal="center"/>
    </xf>
    <xf numFmtId="164" fontId="103" fillId="0" borderId="0" xfId="1"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16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horizontal="center" vertical="center"/>
    </xf>
    <xf numFmtId="182" fontId="103" fillId="0" borderId="0" xfId="0" applyNumberFormat="1" applyFont="1" applyFill="1" applyBorder="1" applyAlignment="1" applyProtection="1">
      <alignment vertical="center"/>
    </xf>
    <xf numFmtId="178" fontId="103" fillId="0" borderId="0" xfId="0" applyNumberFormat="1" applyFont="1" applyFill="1" applyBorder="1" applyAlignment="1" applyProtection="1">
      <alignment vertical="center"/>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xf>
    <xf numFmtId="0" fontId="103" fillId="0" borderId="0" xfId="0" quotePrefix="1" applyFont="1" applyFill="1" applyBorder="1" applyAlignment="1" applyProtection="1">
      <alignment horizontal="center" vertical="center"/>
    </xf>
    <xf numFmtId="0" fontId="255" fillId="0" borderId="0" xfId="0" applyFont="1" applyFill="1" applyBorder="1" applyAlignment="1" applyProtection="1">
      <alignment vertical="top"/>
    </xf>
    <xf numFmtId="1" fontId="103" fillId="0" borderId="0" xfId="1" applyNumberFormat="1" applyFont="1" applyFill="1" applyBorder="1" applyAlignment="1" applyProtection="1">
      <alignment vertical="center"/>
    </xf>
    <xf numFmtId="0" fontId="94" fillId="0" borderId="0" xfId="6" applyFont="1" applyFill="1" applyBorder="1" applyAlignment="1" applyProtection="1">
      <alignment vertical="center"/>
    </xf>
    <xf numFmtId="0" fontId="96"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xf>
    <xf numFmtId="38" fontId="103" fillId="0" borderId="0" xfId="0" applyNumberFormat="1" applyFont="1" applyFill="1" applyBorder="1" applyAlignment="1" applyProtection="1">
      <alignment horizontal="left" vertical="center"/>
    </xf>
    <xf numFmtId="1"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xf numFmtId="0" fontId="96"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76" fontId="103"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3"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5"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1"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0" fontId="103" fillId="0" borderId="0" xfId="0" quotePrefix="1" applyFont="1" applyFill="1" applyBorder="1" applyAlignment="1" applyProtection="1">
      <alignment horizontal="left" vertical="center"/>
    </xf>
    <xf numFmtId="10" fontId="103" fillId="0" borderId="0" xfId="10" applyNumberFormat="1" applyFont="1" applyFill="1" applyBorder="1" applyAlignment="1" applyProtection="1">
      <alignment horizontal="center" vertical="center"/>
    </xf>
    <xf numFmtId="0" fontId="255" fillId="0" borderId="0" xfId="0" applyFont="1" applyFill="1" applyBorder="1" applyAlignment="1" applyProtection="1"/>
    <xf numFmtId="6" fontId="103" fillId="0" borderId="0" xfId="0" applyNumberFormat="1" applyFont="1" applyFill="1" applyBorder="1" applyAlignment="1" applyProtection="1">
      <alignment vertical="center"/>
    </xf>
    <xf numFmtId="0" fontId="255" fillId="0" borderId="0" xfId="6" applyFont="1" applyFill="1" applyBorder="1" applyAlignment="1" applyProtection="1">
      <alignment vertical="center"/>
    </xf>
    <xf numFmtId="0" fontId="103" fillId="0" borderId="0" xfId="0" quotePrefix="1" applyFont="1" applyFill="1" applyBorder="1" applyAlignment="1" applyProtection="1"/>
    <xf numFmtId="0" fontId="103" fillId="0" borderId="0" xfId="0" quotePrefix="1" applyFont="1" applyFill="1" applyBorder="1" applyAlignment="1" applyProtection="1">
      <alignment horizontal="right"/>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xf>
    <xf numFmtId="0" fontId="96" fillId="0" borderId="0" xfId="0" applyFont="1" applyFill="1" applyBorder="1" applyAlignment="1" applyProtection="1">
      <alignment vertical="top"/>
    </xf>
    <xf numFmtId="0" fontId="103" fillId="0" borderId="0" xfId="0" applyNumberFormat="1" applyFont="1" applyFill="1" applyBorder="1" applyAlignment="1" applyProtection="1">
      <alignment horizontal="center" vertical="top"/>
    </xf>
    <xf numFmtId="174" fontId="103" fillId="0" borderId="0" xfId="10" applyNumberFormat="1" applyFont="1" applyFill="1" applyBorder="1" applyAlignment="1" applyProtection="1">
      <alignment horizontal="center" vertical="top"/>
    </xf>
    <xf numFmtId="174" fontId="103" fillId="0" borderId="0" xfId="10" applyNumberFormat="1" applyFont="1" applyFill="1" applyBorder="1" applyAlignment="1" applyProtection="1">
      <alignment vertical="center"/>
    </xf>
    <xf numFmtId="49" fontId="254"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xf>
    <xf numFmtId="166" fontId="103" fillId="0" borderId="0" xfId="10" applyNumberFormat="1" applyFont="1" applyFill="1" applyBorder="1" applyAlignment="1" applyProtection="1">
      <alignment vertical="center"/>
    </xf>
    <xf numFmtId="3" fontId="103" fillId="0" borderId="0" xfId="1"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38" fontId="103" fillId="0" borderId="0" xfId="2" applyNumberFormat="1" applyFont="1" applyFill="1" applyBorder="1" applyAlignment="1" applyProtection="1">
      <alignment horizontal="center" vertical="center"/>
    </xf>
    <xf numFmtId="37" fontId="255"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255" fillId="0" borderId="0" xfId="0" applyNumberFormat="1" applyFont="1" applyFill="1" applyBorder="1" applyAlignment="1" applyProtection="1">
      <alignment vertical="center"/>
    </xf>
    <xf numFmtId="4" fontId="255" fillId="0" borderId="0" xfId="0" applyNumberFormat="1" applyFont="1" applyFill="1" applyBorder="1" applyAlignment="1" applyProtection="1">
      <alignment vertical="center"/>
    </xf>
    <xf numFmtId="9" fontId="255"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vertical="top"/>
    </xf>
    <xf numFmtId="49" fontId="256"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xf>
    <xf numFmtId="0" fontId="253" fillId="0" borderId="0" xfId="0"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55" fillId="0" borderId="0" xfId="0" applyNumberFormat="1" applyFont="1" applyFill="1" applyBorder="1" applyAlignment="1" applyProtection="1">
      <alignment horizontal="center" vertical="center"/>
    </xf>
    <xf numFmtId="166" fontId="255" fillId="0" borderId="0" xfId="0" applyNumberFormat="1" applyFont="1" applyFill="1" applyBorder="1" applyAlignment="1" applyProtection="1">
      <alignment horizontal="center"/>
    </xf>
    <xf numFmtId="37" fontId="255" fillId="0" borderId="0" xfId="1" applyNumberFormat="1" applyFont="1" applyFill="1" applyBorder="1" applyAlignment="1" applyProtection="1">
      <alignment horizontal="center"/>
    </xf>
    <xf numFmtId="37" fontId="255" fillId="0" borderId="0" xfId="0" applyNumberFormat="1" applyFont="1" applyFill="1" applyBorder="1" applyAlignment="1" applyProtection="1">
      <alignment horizontal="center" vertical="center"/>
    </xf>
    <xf numFmtId="4" fontId="103"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171" fontId="96" fillId="0" borderId="0" xfId="0" applyNumberFormat="1" applyFont="1" applyFill="1" applyBorder="1" applyAlignment="1" applyProtection="1">
      <alignment vertical="center"/>
    </xf>
    <xf numFmtId="4" fontId="103"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xf numFmtId="164" fontId="96" fillId="0" borderId="0" xfId="1" applyNumberFormat="1" applyFont="1" applyFill="1" applyBorder="1" applyAlignment="1" applyProtection="1">
      <alignment horizontal="left" vertical="center"/>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9" fontId="96" fillId="0" borderId="0" xfId="0" applyNumberFormat="1" applyFont="1" applyFill="1" applyBorder="1" applyAlignment="1" applyProtection="1">
      <alignment horizontal="center"/>
    </xf>
    <xf numFmtId="0" fontId="96" fillId="0" borderId="0" xfId="0" applyFont="1" applyFill="1" applyBorder="1" applyAlignment="1" applyProtection="1">
      <alignment horizont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37" fontId="103" fillId="0" borderId="0" xfId="1" applyNumberFormat="1" applyFont="1" applyFill="1" applyBorder="1" applyAlignment="1" applyProtection="1">
      <alignment horizontal="center" vertical="center"/>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7" fillId="0" borderId="0" xfId="0" applyNumberFormat="1" applyFont="1" applyFill="1" applyBorder="1" applyAlignment="1" applyProtection="1">
      <alignment vertical="center"/>
    </xf>
    <xf numFmtId="3" fontId="255" fillId="0" borderId="0" xfId="0" applyNumberFormat="1" applyFont="1" applyFill="1" applyBorder="1" applyAlignment="1" applyProtection="1">
      <alignment horizontal="left" vertical="center"/>
    </xf>
    <xf numFmtId="37" fontId="103" fillId="0" borderId="0" xfId="1" applyNumberFormat="1" applyFont="1" applyFill="1" applyBorder="1" applyAlignment="1" applyProtection="1">
      <alignment vertical="center"/>
    </xf>
    <xf numFmtId="0" fontId="94" fillId="0" borderId="0" xfId="0" applyFont="1" applyFill="1" applyBorder="1" applyAlignment="1" applyProtection="1"/>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6" fontId="10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left" vertical="center"/>
    </xf>
    <xf numFmtId="38" fontId="103" fillId="0" borderId="0" xfId="0" applyNumberFormat="1" applyFont="1" applyFill="1" applyBorder="1" applyAlignment="1" applyProtection="1">
      <alignment horizontal="right" vertical="center"/>
    </xf>
    <xf numFmtId="164" fontId="103" fillId="0" borderId="0" xfId="1" applyNumberFormat="1" applyFont="1" applyFill="1" applyBorder="1" applyAlignment="1" applyProtection="1">
      <alignment horizontal="left" vertical="center"/>
    </xf>
    <xf numFmtId="0" fontId="254" fillId="0" borderId="0" xfId="0" applyFont="1" applyFill="1" applyBorder="1" applyAlignment="1" applyProtection="1">
      <alignment horizontal="left" vertical="top"/>
    </xf>
    <xf numFmtId="10" fontId="103" fillId="0" borderId="0" xfId="0" applyNumberFormat="1" applyFont="1" applyFill="1" applyBorder="1" applyAlignment="1" applyProtection="1">
      <alignment vertical="center"/>
    </xf>
    <xf numFmtId="0" fontId="103" fillId="0" borderId="0" xfId="0" quotePrefix="1" applyFont="1" applyFill="1" applyBorder="1" applyAlignment="1" applyProtection="1">
      <alignment horizontal="right" vertical="center"/>
    </xf>
    <xf numFmtId="0" fontId="257" fillId="0" borderId="0" xfId="0" applyFont="1" applyFill="1" applyBorder="1" applyAlignment="1" applyProtection="1">
      <alignment horizontal="left" vertical="center"/>
    </xf>
    <xf numFmtId="38" fontId="255" fillId="0" borderId="0" xfId="0" applyNumberFormat="1" applyFont="1" applyFill="1" applyBorder="1" applyAlignment="1" applyProtection="1">
      <alignment vertical="center"/>
    </xf>
    <xf numFmtId="164" fontId="255" fillId="0" borderId="0" xfId="1" applyNumberFormat="1" applyFont="1" applyFill="1" applyBorder="1" applyAlignment="1" applyProtection="1">
      <alignment horizontal="center" vertical="center"/>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xf numFmtId="0" fontId="256" fillId="0" borderId="0" xfId="13" applyFont="1" applyFill="1" applyBorder="1" applyAlignment="1" applyProtection="1">
      <alignment vertical="top"/>
    </xf>
    <xf numFmtId="0" fontId="93" fillId="0" borderId="0" xfId="13" applyFont="1" applyFill="1" applyBorder="1" applyAlignment="1" applyProtection="1">
      <alignment vertical="top"/>
    </xf>
    <xf numFmtId="0" fontId="258" fillId="0" borderId="0" xfId="13" applyFont="1" applyFill="1" applyBorder="1" applyAlignment="1" applyProtection="1">
      <alignment horizontal="center" vertical="center"/>
    </xf>
    <xf numFmtId="0" fontId="93" fillId="0" borderId="0" xfId="13" applyFont="1" applyFill="1" applyBorder="1" applyAlignment="1" applyProtection="1">
      <alignment vertical="center"/>
    </xf>
    <xf numFmtId="0" fontId="96" fillId="0" borderId="0" xfId="13" applyFont="1" applyFill="1" applyBorder="1" applyAlignment="1" applyProtection="1">
      <alignment horizontal="center" vertical="center"/>
    </xf>
    <xf numFmtId="0" fontId="96" fillId="0" borderId="0" xfId="13" applyFont="1" applyFill="1" applyBorder="1" applyAlignment="1" applyProtection="1"/>
    <xf numFmtId="0" fontId="96" fillId="0" borderId="0" xfId="13" applyFont="1" applyFill="1" applyBorder="1" applyAlignment="1" applyProtection="1">
      <alignment vertical="center"/>
    </xf>
    <xf numFmtId="0" fontId="255"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xf>
    <xf numFmtId="0" fontId="96"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97" fillId="0" borderId="0" xfId="0" applyFont="1" applyFill="1" applyBorder="1" applyAlignment="1" applyProtection="1"/>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vertical="center"/>
    </xf>
    <xf numFmtId="0" fontId="97" fillId="0" borderId="0" xfId="0" applyFont="1" applyFill="1" applyBorder="1" applyAlignment="1" applyProtection="1">
      <alignment textRotation="90"/>
    </xf>
    <xf numFmtId="49" fontId="93" fillId="0" borderId="0" xfId="0" quotePrefix="1" applyNumberFormat="1" applyFont="1" applyFill="1" applyBorder="1" applyAlignment="1" applyProtection="1">
      <alignment vertical="center"/>
    </xf>
    <xf numFmtId="0"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left"/>
    </xf>
    <xf numFmtId="3" fontId="93" fillId="0" borderId="0" xfId="0" applyNumberFormat="1" applyFont="1" applyFill="1" applyBorder="1" applyAlignment="1" applyProtection="1">
      <alignment vertical="top"/>
    </xf>
    <xf numFmtId="3" fontId="93" fillId="0" borderId="0" xfId="0" applyNumberFormat="1" applyFont="1" applyFill="1" applyBorder="1" applyAlignment="1" applyProtection="1">
      <alignment horizontal="center" vertical="center"/>
    </xf>
    <xf numFmtId="0" fontId="259" fillId="0" borderId="0" xfId="0" applyFont="1" applyFill="1" applyBorder="1" applyAlignment="1" applyProtection="1">
      <alignment vertical="center"/>
    </xf>
    <xf numFmtId="0" fontId="260" fillId="0" borderId="0" xfId="0" applyFont="1" applyFill="1" applyBorder="1" applyAlignment="1" applyProtection="1">
      <alignment horizontal="center" vertical="center"/>
    </xf>
    <xf numFmtId="0" fontId="257"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xf>
    <xf numFmtId="1" fontId="97" fillId="0" borderId="0" xfId="1" applyNumberFormat="1" applyFont="1" applyFill="1" applyBorder="1" applyAlignment="1" applyProtection="1">
      <alignment horizontal="center" vertical="center"/>
    </xf>
    <xf numFmtId="173" fontId="97" fillId="0" borderId="0" xfId="1" applyNumberFormat="1" applyFont="1" applyFill="1" applyBorder="1" applyAlignment="1" applyProtection="1">
      <alignment horizontal="center" vertical="center"/>
    </xf>
    <xf numFmtId="3" fontId="97" fillId="0" borderId="0" xfId="1" applyNumberFormat="1" applyFont="1" applyFill="1" applyBorder="1" applyAlignment="1" applyProtection="1">
      <alignment horizontal="center" vertical="center"/>
    </xf>
    <xf numFmtId="3" fontId="255" fillId="0" borderId="0" xfId="1" applyNumberFormat="1" applyFont="1" applyFill="1" applyBorder="1" applyAlignment="1" applyProtection="1">
      <alignment horizontal="center" vertical="center"/>
    </xf>
    <xf numFmtId="38" fontId="97" fillId="0" borderId="0" xfId="1"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0" fontId="93"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xf>
    <xf numFmtId="0" fontId="256"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left" vertical="center"/>
    </xf>
    <xf numFmtId="0" fontId="261" fillId="0" borderId="0" xfId="0"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2"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0" fontId="97" fillId="0" borderId="0" xfId="0" applyFont="1" applyFill="1" applyBorder="1" applyAlignment="1" applyProtection="1">
      <alignment horizontal="left"/>
    </xf>
    <xf numFmtId="0" fontId="97" fillId="0" borderId="0" xfId="0" applyFont="1" applyFill="1" applyBorder="1" applyAlignment="1" applyProtection="1">
      <alignment horizontal="left" vertical="center"/>
    </xf>
    <xf numFmtId="0" fontId="93" fillId="0" borderId="0" xfId="0" applyFont="1" applyFill="1" applyBorder="1" applyAlignment="1" applyProtection="1">
      <alignment horizontal="left" vertical="top"/>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xf numFmtId="10" fontId="97" fillId="0" borderId="0" xfId="0" applyNumberFormat="1" applyFont="1" applyFill="1" applyBorder="1" applyAlignment="1" applyProtection="1"/>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6"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3" fontId="93"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3" fontId="93" fillId="0" borderId="0" xfId="1" applyNumberFormat="1" applyFont="1" applyFill="1" applyBorder="1" applyAlignment="1" applyProtection="1">
      <alignment horizontal="right" vertical="center"/>
    </xf>
    <xf numFmtId="3" fontId="97" fillId="0" borderId="0" xfId="1" applyNumberFormat="1" applyFont="1" applyFill="1" applyBorder="1" applyAlignment="1" applyProtection="1">
      <alignment horizontal="right" vertical="center"/>
    </xf>
    <xf numFmtId="1" fontId="93" fillId="0" borderId="0" xfId="0" applyNumberFormat="1" applyFont="1" applyFill="1" applyBorder="1" applyAlignment="1" applyProtection="1"/>
    <xf numFmtId="3" fontId="94"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0" fontId="93" fillId="0" borderId="0" xfId="0" applyNumberFormat="1" applyFont="1" applyFill="1" applyBorder="1" applyAlignment="1" applyProtection="1">
      <alignment horizontal="right" vertical="center"/>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xf>
    <xf numFmtId="166" fontId="93" fillId="0" borderId="0" xfId="10" applyNumberFormat="1" applyFont="1" applyFill="1" applyBorder="1" applyAlignment="1" applyProtection="1">
      <alignment horizontal="right" vertical="center"/>
    </xf>
    <xf numFmtId="164" fontId="93" fillId="0" borderId="0" xfId="1" applyNumberFormat="1" applyFont="1" applyFill="1" applyBorder="1" applyAlignment="1" applyProtection="1"/>
    <xf numFmtId="0" fontId="263" fillId="0" borderId="0" xfId="0" applyFont="1" applyFill="1" applyBorder="1" applyAlignment="1" applyProtection="1">
      <alignment vertical="center"/>
    </xf>
    <xf numFmtId="0" fontId="131" fillId="0" borderId="0" xfId="0" applyFont="1" applyFill="1" applyBorder="1" applyAlignment="1" applyProtection="1"/>
    <xf numFmtId="0" fontId="257" fillId="0" borderId="0" xfId="0" applyFont="1" applyFill="1" applyBorder="1" applyAlignment="1" applyProtection="1">
      <alignment vertical="center"/>
    </xf>
    <xf numFmtId="0" fontId="258" fillId="0" borderId="0" xfId="0" applyFont="1" applyFill="1" applyBorder="1" applyAlignment="1" applyProtection="1">
      <alignment vertical="center"/>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94" fillId="0" borderId="0" xfId="0" applyFont="1" applyFill="1" applyBorder="1" applyAlignment="1" applyProtection="1">
      <alignment horizontal="left" vertical="top"/>
    </xf>
    <xf numFmtId="0" fontId="257" fillId="0" borderId="0" xfId="0" applyFont="1" applyFill="1" applyBorder="1" applyAlignment="1" applyProtection="1">
      <alignment vertical="top"/>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0" fontId="257" fillId="0" borderId="0" xfId="0" applyFont="1" applyFill="1" applyBorder="1" applyAlignment="1" applyProtection="1">
      <alignment horizontal="right" vertical="top"/>
    </xf>
    <xf numFmtId="3" fontId="94" fillId="0" borderId="0" xfId="0" applyNumberFormat="1" applyFont="1" applyFill="1" applyBorder="1" applyAlignment="1" applyProtection="1">
      <alignment horizontal="center" vertical="top"/>
    </xf>
    <xf numFmtId="0" fontId="94" fillId="0" borderId="0" xfId="0" applyFont="1" applyFill="1" applyBorder="1" applyAlignment="1" applyProtection="1">
      <alignment horizontal="justify" vertical="top"/>
    </xf>
    <xf numFmtId="0" fontId="94" fillId="0" borderId="0" xfId="0" applyFont="1" applyFill="1" applyBorder="1" applyAlignment="1" applyProtection="1">
      <alignment horizontal="center" vertical="top"/>
    </xf>
    <xf numFmtId="3" fontId="96" fillId="0" borderId="0" xfId="0" applyNumberFormat="1" applyFont="1" applyFill="1" applyBorder="1" applyAlignment="1" applyProtection="1">
      <alignment horizontal="center"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6" fillId="0" borderId="0" xfId="0" applyFont="1" applyFill="1" applyBorder="1" applyAlignment="1" applyProtection="1">
      <alignment vertical="center"/>
    </xf>
    <xf numFmtId="3" fontId="258"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55"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left" vertical="center"/>
    </xf>
    <xf numFmtId="10" fontId="94" fillId="0" borderId="0" xfId="0" applyNumberFormat="1" applyFont="1" applyFill="1" applyBorder="1" applyAlignment="1" applyProtection="1">
      <alignment horizontal="right" vertical="center"/>
    </xf>
    <xf numFmtId="10" fontId="94" fillId="0" borderId="0" xfId="0" applyNumberFormat="1" applyFont="1" applyFill="1" applyBorder="1" applyAlignment="1" applyProtection="1">
      <alignment horizontal="center" vertical="center"/>
    </xf>
    <xf numFmtId="176" fontId="94" fillId="0" borderId="0" xfId="0" applyNumberFormat="1" applyFont="1" applyFill="1" applyBorder="1" applyAlignment="1" applyProtection="1">
      <alignment horizontal="center" vertical="center"/>
    </xf>
    <xf numFmtId="166" fontId="94"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xf numFmtId="0" fontId="94" fillId="0" borderId="0" xfId="0" applyFont="1" applyFill="1" applyBorder="1" applyAlignment="1" applyProtection="1">
      <alignment horizontal="right"/>
    </xf>
    <xf numFmtId="0" fontId="94" fillId="0" borderId="0" xfId="0" applyFont="1" applyFill="1" applyBorder="1" applyAlignment="1" applyProtection="1">
      <alignment horizontal="left"/>
    </xf>
    <xf numFmtId="38" fontId="94" fillId="0" borderId="0" xfId="0" applyNumberFormat="1" applyFont="1" applyFill="1" applyBorder="1" applyAlignment="1" applyProtection="1">
      <alignment horizontal="left" vertical="center"/>
    </xf>
    <xf numFmtId="0" fontId="204" fillId="0" borderId="0" xfId="0" applyFont="1" applyFill="1" applyBorder="1" applyAlignment="1" applyProtection="1"/>
    <xf numFmtId="175"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4" fontId="94"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top"/>
    </xf>
    <xf numFmtId="0" fontId="204" fillId="0" borderId="0" xfId="0" applyFont="1" applyFill="1" applyBorder="1" applyAlignment="1" applyProtection="1">
      <alignment vertical="center"/>
    </xf>
    <xf numFmtId="0" fontId="94" fillId="0" borderId="0" xfId="0" applyFont="1" applyFill="1" applyBorder="1" applyAlignment="1" applyProtection="1">
      <alignment horizontal="justify" vertical="center"/>
    </xf>
    <xf numFmtId="3" fontId="94" fillId="0" borderId="0" xfId="1" applyNumberFormat="1" applyFont="1" applyFill="1" applyBorder="1" applyAlignment="1" applyProtection="1">
      <alignment horizontal="center" vertical="center"/>
    </xf>
    <xf numFmtId="1" fontId="94" fillId="0" borderId="0" xfId="0" applyNumberFormat="1" applyFont="1" applyFill="1" applyBorder="1" applyAlignment="1" applyProtection="1">
      <alignment horizontal="center" vertical="center"/>
    </xf>
    <xf numFmtId="9" fontId="94" fillId="0" borderId="0" xfId="0" applyNumberFormat="1" applyFont="1" applyFill="1" applyBorder="1" applyAlignment="1" applyProtection="1">
      <alignment horizontal="center" vertical="center"/>
    </xf>
    <xf numFmtId="176"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vertical="center"/>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vertical="top"/>
    </xf>
    <xf numFmtId="0" fontId="204" fillId="0" borderId="0" xfId="0" applyFont="1" applyFill="1" applyBorder="1" applyAlignment="1" applyProtection="1">
      <alignment vertical="top"/>
    </xf>
    <xf numFmtId="38" fontId="97" fillId="0" borderId="0" xfId="0" applyNumberFormat="1" applyFont="1" applyFill="1" applyBorder="1" applyAlignment="1" applyProtection="1">
      <alignment vertical="center"/>
    </xf>
    <xf numFmtId="38" fontId="97" fillId="0" borderId="0" xfId="0" applyNumberFormat="1" applyFont="1" applyFill="1" applyBorder="1" applyAlignment="1" applyProtection="1">
      <alignment horizontal="center" vertical="center"/>
    </xf>
    <xf numFmtId="9" fontId="97" fillId="0" borderId="0" xfId="0" applyNumberFormat="1" applyFont="1" applyFill="1" applyBorder="1" applyAlignment="1" applyProtection="1">
      <alignment horizontal="center" vertical="center"/>
    </xf>
    <xf numFmtId="0" fontId="94" fillId="0" borderId="0" xfId="0" quotePrefix="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top"/>
    </xf>
    <xf numFmtId="0" fontId="93" fillId="0" borderId="0" xfId="0" quotePrefix="1" applyFont="1" applyFill="1" applyBorder="1" applyAlignment="1" applyProtection="1">
      <alignment vertical="center"/>
    </xf>
    <xf numFmtId="0" fontId="264"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top"/>
    </xf>
    <xf numFmtId="9" fontId="94" fillId="0" borderId="0" xfId="10" applyFont="1" applyFill="1" applyBorder="1" applyAlignment="1" applyProtection="1">
      <alignment horizontal="center" vertical="top"/>
    </xf>
    <xf numFmtId="0" fontId="93"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97" fillId="0" borderId="0" xfId="0" quotePrefix="1" applyFont="1" applyFill="1" applyBorder="1" applyAlignment="1" applyProtection="1">
      <alignment horizontal="righ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6" fillId="0" borderId="0" xfId="0" applyFont="1" applyFill="1" applyBorder="1" applyAlignment="1" applyProtection="1">
      <alignment horizontal="center"/>
    </xf>
    <xf numFmtId="0" fontId="265" fillId="0" borderId="0" xfId="0" applyFont="1" applyFill="1" applyBorder="1" applyAlignment="1" applyProtection="1"/>
    <xf numFmtId="0" fontId="265"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0" fontId="259" fillId="0" borderId="0" xfId="0" applyFont="1" applyFill="1" applyBorder="1" applyAlignment="1" applyProtection="1"/>
    <xf numFmtId="168" fontId="96" fillId="0" borderId="0" xfId="0" applyNumberFormat="1" applyFont="1" applyFill="1" applyBorder="1" applyAlignment="1" applyProtection="1">
      <alignment vertical="center"/>
    </xf>
    <xf numFmtId="168" fontId="255" fillId="0" borderId="0" xfId="0" applyNumberFormat="1" applyFont="1" applyFill="1" applyBorder="1" applyAlignment="1" applyProtection="1">
      <alignment vertical="center"/>
    </xf>
    <xf numFmtId="0" fontId="94" fillId="0" borderId="0" xfId="0" quotePrefix="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167" fontId="96" fillId="0" borderId="0" xfId="0" applyNumberFormat="1" applyFont="1" applyFill="1" applyBorder="1" applyAlignment="1" applyProtection="1">
      <alignment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0" fontId="258" fillId="0" borderId="0" xfId="0" applyFont="1" applyFill="1" applyBorder="1" applyAlignment="1" applyProtection="1">
      <alignment vertical="top"/>
    </xf>
    <xf numFmtId="4" fontId="94" fillId="0" borderId="0" xfId="0" applyNumberFormat="1" applyFont="1" applyFill="1" applyBorder="1" applyAlignment="1" applyProtection="1">
      <alignment vertical="top"/>
    </xf>
    <xf numFmtId="0" fontId="204"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0" fontId="204" fillId="0" borderId="0" xfId="0" applyFont="1" applyFill="1" applyBorder="1" applyAlignment="1" applyProtection="1">
      <alignment horizontal="center"/>
    </xf>
    <xf numFmtId="49" fontId="94" fillId="0" borderId="0" xfId="0" applyNumberFormat="1" applyFont="1" applyFill="1" applyBorder="1" applyAlignment="1" applyProtection="1">
      <alignment horizontal="center" vertical="center"/>
    </xf>
    <xf numFmtId="3" fontId="94" fillId="0" borderId="0" xfId="0" applyNumberFormat="1" applyFont="1" applyFill="1" applyBorder="1" applyAlignment="1" applyProtection="1">
      <alignment horizontal="left" vertical="center"/>
    </xf>
    <xf numFmtId="0" fontId="97" fillId="0" borderId="0" xfId="0" quotePrefix="1" applyFont="1" applyFill="1" applyBorder="1" applyAlignment="1" applyProtection="1">
      <alignment horizontal="right"/>
    </xf>
    <xf numFmtId="0" fontId="204" fillId="0" borderId="0" xfId="0" applyFont="1" applyFill="1" applyBorder="1" applyAlignment="1" applyProtection="1">
      <alignment horizontal="left"/>
    </xf>
    <xf numFmtId="0" fontId="96"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horizontal="center" vertical="center"/>
    </xf>
    <xf numFmtId="0" fontId="94" fillId="0" borderId="0" xfId="0" quotePrefix="1" applyFont="1" applyFill="1" applyBorder="1" applyAlignment="1" applyProtection="1">
      <alignment horizontal="left" vertical="top"/>
    </xf>
    <xf numFmtId="38" fontId="97" fillId="0" borderId="0" xfId="0" applyNumberFormat="1" applyFont="1" applyFill="1" applyBorder="1" applyAlignment="1" applyProtection="1">
      <alignment horizontal="center" vertical="top"/>
    </xf>
    <xf numFmtId="49" fontId="94" fillId="0" borderId="0" xfId="0" applyNumberFormat="1" applyFont="1" applyFill="1" applyBorder="1" applyAlignment="1" applyProtection="1">
      <alignment horizontal="left" vertical="center"/>
    </xf>
    <xf numFmtId="183" fontId="94" fillId="0" borderId="0" xfId="0" applyNumberFormat="1" applyFont="1" applyFill="1" applyBorder="1" applyAlignment="1" applyProtection="1">
      <alignment horizontal="center" vertical="center"/>
    </xf>
    <xf numFmtId="176" fontId="97" fillId="0" borderId="0" xfId="0" applyNumberFormat="1" applyFont="1" applyFill="1" applyBorder="1" applyAlignment="1" applyProtection="1">
      <alignment vertical="center"/>
    </xf>
    <xf numFmtId="0" fontId="97" fillId="0" borderId="0" xfId="0" applyFont="1" applyFill="1" applyBorder="1" applyAlignment="1" applyProtection="1">
      <alignment vertical="center" textRotation="90"/>
    </xf>
    <xf numFmtId="174" fontId="94" fillId="0" borderId="0" xfId="0" applyNumberFormat="1" applyFont="1" applyFill="1" applyBorder="1" applyAlignment="1" applyProtection="1">
      <alignment vertical="center"/>
    </xf>
    <xf numFmtId="167" fontId="94" fillId="0" borderId="0" xfId="0" applyNumberFormat="1" applyFont="1" applyFill="1" applyBorder="1" applyAlignment="1" applyProtection="1">
      <alignment horizontal="center" vertical="center"/>
    </xf>
    <xf numFmtId="0" fontId="94" fillId="0" borderId="0" xfId="0" quotePrefix="1" applyFont="1" applyFill="1" applyBorder="1" applyAlignment="1" applyProtection="1">
      <alignment horizontal="left" vertical="center"/>
    </xf>
    <xf numFmtId="0" fontId="258" fillId="0" borderId="0" xfId="0" applyFont="1" applyFill="1" applyBorder="1" applyAlignment="1" applyProtection="1">
      <alignment horizontal="center" vertical="center"/>
    </xf>
    <xf numFmtId="0" fontId="97" fillId="0" borderId="0" xfId="0" quotePrefix="1" applyFont="1" applyFill="1" applyBorder="1" applyAlignment="1" applyProtection="1">
      <alignment vertical="top"/>
    </xf>
    <xf numFmtId="1" fontId="94"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horizontal="center" vertical="center"/>
    </xf>
    <xf numFmtId="0" fontId="257" fillId="0" borderId="0" xfId="0" applyFont="1" applyFill="1" applyBorder="1" applyAlignment="1" applyProtection="1"/>
    <xf numFmtId="49" fontId="96" fillId="0" borderId="0" xfId="0" applyNumberFormat="1" applyFont="1" applyFill="1" applyBorder="1" applyAlignment="1" applyProtection="1">
      <alignment horizontal="center" vertical="center"/>
    </xf>
    <xf numFmtId="178"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left" vertical="center"/>
    </xf>
    <xf numFmtId="0" fontId="262" fillId="0" borderId="0" xfId="0" applyFont="1" applyFill="1" applyBorder="1" applyAlignment="1" applyProtection="1">
      <alignment horizontal="right" vertical="center"/>
    </xf>
    <xf numFmtId="2" fontId="94" fillId="0" borderId="0" xfId="0" applyNumberFormat="1" applyFont="1" applyFill="1" applyBorder="1" applyAlignment="1" applyProtection="1">
      <alignment horizontal="center" vertical="center"/>
    </xf>
    <xf numFmtId="0" fontId="266" fillId="0" borderId="0" xfId="0" applyFont="1" applyFill="1" applyBorder="1" applyAlignment="1" applyProtection="1">
      <alignment vertical="center"/>
    </xf>
    <xf numFmtId="0" fontId="262" fillId="0" borderId="0" xfId="0" applyFont="1" applyFill="1" applyBorder="1" applyAlignment="1" applyProtection="1">
      <alignment horizontal="right"/>
    </xf>
    <xf numFmtId="0" fontId="97" fillId="0" borderId="0" xfId="0" quotePrefix="1" applyFont="1" applyFill="1" applyBorder="1" applyAlignment="1" applyProtection="1">
      <alignment horizontal="center" vertical="center"/>
    </xf>
    <xf numFmtId="0" fontId="264" fillId="0" borderId="0" xfId="0" applyFont="1" applyFill="1" applyBorder="1" applyAlignment="1" applyProtection="1"/>
    <xf numFmtId="0" fontId="97" fillId="0" borderId="0" xfId="0" quotePrefix="1" applyFont="1" applyFill="1" applyBorder="1" applyAlignment="1" applyProtection="1">
      <alignment horizontal="left" vertical="center"/>
    </xf>
    <xf numFmtId="174" fontId="97" fillId="0" borderId="0" xfId="0" applyNumberFormat="1" applyFont="1" applyFill="1" applyBorder="1" applyAlignment="1" applyProtection="1">
      <alignment horizontal="center" vertical="center"/>
    </xf>
    <xf numFmtId="174" fontId="93" fillId="0" borderId="0" xfId="0" applyNumberFormat="1" applyFont="1" applyFill="1" applyBorder="1" applyAlignment="1" applyProtection="1">
      <alignment vertical="center"/>
    </xf>
    <xf numFmtId="10" fontId="97"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vertical="top"/>
    </xf>
    <xf numFmtId="0" fontId="262" fillId="0" borderId="0" xfId="0" applyFont="1" applyFill="1" applyBorder="1" applyAlignment="1" applyProtection="1"/>
    <xf numFmtId="38" fontId="256" fillId="0" borderId="0" xfId="0" applyNumberFormat="1" applyFont="1" applyFill="1" applyBorder="1" applyAlignment="1" applyProtection="1">
      <alignment horizontal="center" vertical="center"/>
    </xf>
    <xf numFmtId="0" fontId="46" fillId="5" borderId="28" xfId="0" applyFont="1" applyFill="1" applyBorder="1" applyAlignment="1" applyProtection="1">
      <alignment horizontal="left" vertical="center"/>
      <protection locked="0"/>
    </xf>
    <xf numFmtId="0" fontId="46" fillId="5" borderId="57" xfId="0" applyFont="1" applyFill="1" applyBorder="1" applyAlignment="1" applyProtection="1">
      <alignment horizontal="left" vertical="center"/>
      <protection locked="0"/>
    </xf>
    <xf numFmtId="0" fontId="46" fillId="5" borderId="29" xfId="0" applyFont="1" applyFill="1" applyBorder="1" applyAlignment="1" applyProtection="1">
      <alignment horizontal="left" vertical="center"/>
      <protection locked="0"/>
    </xf>
    <xf numFmtId="0" fontId="42" fillId="5" borderId="51" xfId="0" applyFont="1" applyFill="1" applyBorder="1" applyAlignment="1" applyProtection="1">
      <alignment horizontal="left" vertical="center"/>
      <protection locked="0"/>
    </xf>
    <xf numFmtId="0" fontId="42" fillId="5" borderId="96" xfId="0" applyFont="1" applyFill="1" applyBorder="1" applyAlignment="1" applyProtection="1">
      <alignment horizontal="left" vertical="center"/>
      <protection locked="0"/>
    </xf>
    <xf numFmtId="0" fontId="42" fillId="5" borderId="29" xfId="0" applyFont="1" applyFill="1" applyBorder="1" applyAlignment="1" applyProtection="1">
      <alignment horizontal="left" vertical="center"/>
      <protection locked="0"/>
    </xf>
    <xf numFmtId="0" fontId="46" fillId="5" borderId="82" xfId="0" applyFont="1" applyFill="1" applyBorder="1" applyAlignment="1" applyProtection="1">
      <alignment horizontal="left" vertical="center"/>
      <protection locked="0"/>
    </xf>
    <xf numFmtId="0" fontId="46" fillId="5" borderId="17" xfId="0" applyFont="1" applyFill="1" applyBorder="1" applyAlignment="1" applyProtection="1">
      <alignment horizontal="left"/>
      <protection locked="0"/>
    </xf>
    <xf numFmtId="0" fontId="46" fillId="5" borderId="17" xfId="0" applyNumberFormat="1" applyFont="1" applyFill="1" applyBorder="1" applyAlignment="1" applyProtection="1">
      <alignment horizontal="center" vertical="top"/>
      <protection locked="0"/>
    </xf>
    <xf numFmtId="0" fontId="46" fillId="5" borderId="17" xfId="0" applyFont="1" applyFill="1" applyBorder="1" applyAlignment="1" applyProtection="1">
      <alignment horizontal="left"/>
      <protection locked="0"/>
    </xf>
    <xf numFmtId="0" fontId="46" fillId="5" borderId="17" xfId="0" applyFont="1" applyFill="1" applyBorder="1" applyAlignment="1" applyProtection="1">
      <alignment horizontal="left" vertical="center"/>
      <protection locked="0"/>
    </xf>
    <xf numFmtId="0" fontId="46" fillId="5" borderId="9" xfId="0" applyFont="1" applyFill="1" applyBorder="1" applyAlignment="1" applyProtection="1">
      <alignment horizontal="left" vertical="center"/>
      <protection locked="0"/>
    </xf>
    <xf numFmtId="0" fontId="46" fillId="5" borderId="13" xfId="0" applyFont="1" applyFill="1" applyBorder="1" applyAlignment="1" applyProtection="1">
      <alignment horizontal="left" vertical="center"/>
      <protection locked="0"/>
    </xf>
    <xf numFmtId="0" fontId="46" fillId="5" borderId="14" xfId="0" applyFont="1" applyFill="1" applyBorder="1" applyAlignment="1" applyProtection="1">
      <alignment horizontal="left" vertical="center"/>
      <protection locked="0"/>
    </xf>
    <xf numFmtId="0" fontId="42" fillId="5" borderId="50" xfId="0" applyFont="1" applyFill="1" applyBorder="1" applyAlignment="1" applyProtection="1">
      <alignment horizontal="left" vertical="center"/>
      <protection locked="0"/>
    </xf>
    <xf numFmtId="0" fontId="42" fillId="5" borderId="77" xfId="0" applyFont="1" applyFill="1" applyBorder="1" applyAlignment="1" applyProtection="1">
      <alignment horizontal="left" vertical="center"/>
      <protection locked="0"/>
    </xf>
    <xf numFmtId="0" fontId="42" fillId="5" borderId="21" xfId="0" applyFont="1" applyFill="1" applyBorder="1" applyAlignment="1" applyProtection="1">
      <alignment horizontal="left" vertical="center"/>
      <protection locked="0"/>
    </xf>
    <xf numFmtId="0" fontId="42" fillId="5" borderId="31" xfId="0" applyFont="1" applyFill="1" applyBorder="1" applyAlignment="1" applyProtection="1">
      <alignment horizontal="left" vertical="center"/>
      <protection locked="0"/>
    </xf>
    <xf numFmtId="0" fontId="42" fillId="5" borderId="48" xfId="0" applyFont="1" applyFill="1" applyBorder="1" applyAlignment="1" applyProtection="1">
      <alignment horizontal="left" vertical="center"/>
      <protection locked="0"/>
    </xf>
    <xf numFmtId="0" fontId="42" fillId="5" borderId="93" xfId="0" applyFont="1" applyFill="1" applyBorder="1" applyAlignment="1" applyProtection="1">
      <alignment horizontal="left" vertical="center"/>
      <protection locked="0"/>
    </xf>
    <xf numFmtId="0" fontId="42" fillId="5" borderId="58" xfId="0" applyFont="1" applyFill="1" applyBorder="1" applyAlignment="1" applyProtection="1">
      <alignment horizontal="left" vertical="center"/>
      <protection locked="0"/>
    </xf>
    <xf numFmtId="0" fontId="42" fillId="5" borderId="34" xfId="0" applyFont="1" applyFill="1" applyBorder="1" applyAlignment="1" applyProtection="1">
      <alignment horizontal="left" vertical="center"/>
      <protection locked="0"/>
    </xf>
    <xf numFmtId="0" fontId="4" fillId="5" borderId="136" xfId="0" applyNumberFormat="1" applyFont="1" applyFill="1" applyBorder="1" applyAlignment="1" applyProtection="1">
      <alignment horizontal="right" vertical="center"/>
      <protection locked="0"/>
    </xf>
    <xf numFmtId="0" fontId="4" fillId="5" borderId="18" xfId="0" applyNumberFormat="1" applyFont="1" applyFill="1" applyBorder="1" applyAlignment="1" applyProtection="1">
      <alignment horizontal="right" vertical="center"/>
      <protection locked="0"/>
    </xf>
    <xf numFmtId="0" fontId="46" fillId="0" borderId="0" xfId="0" applyFont="1" applyBorder="1" applyAlignment="1" applyProtection="1">
      <alignment horizontal="justify" vertical="top" wrapText="1"/>
      <protection locked="0"/>
    </xf>
    <xf numFmtId="0" fontId="41" fillId="0" borderId="0" xfId="0" applyFont="1" applyFill="1" applyAlignment="1" applyProtection="1">
      <alignment horizontal="center" vertical="center" wrapText="1"/>
    </xf>
    <xf numFmtId="0" fontId="46" fillId="0" borderId="0" xfId="0" applyFont="1" applyFill="1" applyAlignment="1" applyProtection="1">
      <alignment horizontal="left" vertical="top" wrapText="1"/>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2" fillId="5" borderId="50" xfId="0" applyFont="1" applyFill="1" applyBorder="1" applyAlignment="1" applyProtection="1">
      <alignment horizontal="left" vertical="center"/>
      <protection locked="0"/>
    </xf>
    <xf numFmtId="0" fontId="42" fillId="5" borderId="38" xfId="0" applyFont="1" applyFill="1" applyBorder="1" applyAlignment="1" applyProtection="1">
      <alignment horizontal="left" vertical="center"/>
      <protection locked="0"/>
    </xf>
    <xf numFmtId="0" fontId="42" fillId="5" borderId="77" xfId="0" applyFont="1" applyFill="1" applyBorder="1" applyAlignment="1" applyProtection="1">
      <alignment horizontal="left" vertical="center"/>
      <protection locked="0"/>
    </xf>
    <xf numFmtId="0" fontId="42" fillId="5" borderId="21" xfId="0" applyFont="1" applyFill="1" applyBorder="1" applyAlignment="1" applyProtection="1">
      <alignment horizontal="left" vertical="center"/>
      <protection locked="0"/>
    </xf>
    <xf numFmtId="0" fontId="42" fillId="5" borderId="31" xfId="0" applyFont="1" applyFill="1" applyBorder="1" applyAlignment="1" applyProtection="1">
      <alignment horizontal="left" vertical="center"/>
      <protection locked="0"/>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54" fillId="0" borderId="0" xfId="0" applyFont="1" applyFill="1" applyBorder="1" applyAlignment="1" applyProtection="1">
      <alignment horizontal="left" vertical="center"/>
    </xf>
    <xf numFmtId="0" fontId="46" fillId="0" borderId="0" xfId="0" applyFont="1" applyBorder="1" applyAlignment="1" applyProtection="1">
      <alignment horizontal="left" vertical="center"/>
    </xf>
    <xf numFmtId="0" fontId="46" fillId="5" borderId="9" xfId="0" applyNumberFormat="1" applyFont="1" applyFill="1" applyBorder="1" applyAlignment="1" applyProtection="1">
      <alignment horizontal="left" vertical="center"/>
      <protection locked="0"/>
    </xf>
    <xf numFmtId="0" fontId="46" fillId="5" borderId="13" xfId="0" applyNumberFormat="1" applyFont="1" applyFill="1" applyBorder="1" applyAlignment="1" applyProtection="1">
      <alignment horizontal="left" vertical="center"/>
      <protection locked="0"/>
    </xf>
    <xf numFmtId="0" fontId="46" fillId="5" borderId="14" xfId="0" applyNumberFormat="1" applyFont="1" applyFill="1" applyBorder="1" applyAlignment="1" applyProtection="1">
      <alignment horizontal="left" vertical="center"/>
      <protection locked="0"/>
    </xf>
    <xf numFmtId="167" fontId="46" fillId="5" borderId="30" xfId="0" applyNumberFormat="1" applyFont="1" applyFill="1" applyBorder="1" applyAlignment="1" applyProtection="1">
      <alignment horizontal="left" vertical="center"/>
      <protection locked="0"/>
    </xf>
    <xf numFmtId="167" fontId="46" fillId="5" borderId="21" xfId="0" applyNumberFormat="1" applyFont="1" applyFill="1" applyBorder="1" applyAlignment="1" applyProtection="1">
      <alignment horizontal="left" vertical="center"/>
      <protection locked="0"/>
    </xf>
    <xf numFmtId="167" fontId="46" fillId="5" borderId="31" xfId="0" applyNumberFormat="1" applyFont="1" applyFill="1" applyBorder="1" applyAlignment="1" applyProtection="1">
      <alignment horizontal="left" vertical="center"/>
      <protection locked="0"/>
    </xf>
    <xf numFmtId="0" fontId="46" fillId="5" borderId="30" xfId="0" applyFont="1" applyFill="1" applyBorder="1" applyAlignment="1" applyProtection="1">
      <alignment horizontal="left" vertical="center"/>
      <protection locked="0"/>
    </xf>
    <xf numFmtId="0" fontId="46" fillId="5" borderId="21" xfId="0" applyFont="1" applyFill="1" applyBorder="1" applyAlignment="1" applyProtection="1">
      <alignment horizontal="left" vertical="center"/>
      <protection locked="0"/>
    </xf>
    <xf numFmtId="0" fontId="46" fillId="5" borderId="31" xfId="0" applyFont="1" applyFill="1" applyBorder="1" applyAlignment="1" applyProtection="1">
      <alignment horizontal="left" vertical="center"/>
      <protection locked="0"/>
    </xf>
    <xf numFmtId="167" fontId="46" fillId="5" borderId="28" xfId="0" applyNumberFormat="1" applyFont="1" applyFill="1" applyBorder="1" applyAlignment="1" applyProtection="1">
      <alignment horizontal="left" vertical="center"/>
      <protection locked="0"/>
    </xf>
    <xf numFmtId="167" fontId="46" fillId="5" borderId="57" xfId="0" applyNumberFormat="1" applyFont="1" applyFill="1" applyBorder="1" applyAlignment="1" applyProtection="1">
      <alignment horizontal="left" vertical="center"/>
      <protection locked="0"/>
    </xf>
    <xf numFmtId="167" fontId="46" fillId="5" borderId="29" xfId="0" applyNumberFormat="1" applyFont="1" applyFill="1" applyBorder="1" applyAlignment="1" applyProtection="1">
      <alignment horizontal="left" vertical="center"/>
      <protection locked="0"/>
    </xf>
    <xf numFmtId="0" fontId="46" fillId="5" borderId="28" xfId="0" applyFont="1" applyFill="1" applyBorder="1" applyAlignment="1" applyProtection="1">
      <alignment horizontal="left" vertical="center"/>
      <protection locked="0"/>
    </xf>
    <xf numFmtId="0" fontId="46" fillId="5" borderId="57" xfId="0" applyFont="1" applyFill="1" applyBorder="1" applyAlignment="1" applyProtection="1">
      <alignment horizontal="left" vertical="center"/>
      <protection locked="0"/>
    </xf>
    <xf numFmtId="0" fontId="46" fillId="5" borderId="29" xfId="0" applyFont="1" applyFill="1" applyBorder="1" applyAlignment="1" applyProtection="1">
      <alignment horizontal="left" vertical="center"/>
      <protection locked="0"/>
    </xf>
    <xf numFmtId="169" fontId="46" fillId="5" borderId="27" xfId="0" applyNumberFormat="1" applyFont="1" applyFill="1" applyBorder="1" applyAlignment="1" applyProtection="1">
      <alignment horizontal="left" vertical="center"/>
      <protection locked="0"/>
    </xf>
    <xf numFmtId="169" fontId="46" fillId="5" borderId="92" xfId="0" applyNumberFormat="1" applyFont="1" applyFill="1" applyBorder="1" applyAlignment="1" applyProtection="1">
      <alignment horizontal="left" vertical="center"/>
      <protection locked="0"/>
    </xf>
    <xf numFmtId="0" fontId="46" fillId="5" borderId="9" xfId="0" applyFont="1" applyFill="1" applyBorder="1" applyAlignment="1" applyProtection="1">
      <alignment horizontal="left" vertical="center"/>
      <protection locked="0"/>
    </xf>
    <xf numFmtId="0" fontId="46" fillId="5" borderId="13" xfId="0" applyFont="1" applyFill="1" applyBorder="1" applyAlignment="1" applyProtection="1">
      <alignment horizontal="left" vertical="center"/>
      <protection locked="0"/>
    </xf>
    <xf numFmtId="0" fontId="46" fillId="5" borderId="14" xfId="0" applyFont="1" applyFill="1" applyBorder="1" applyAlignment="1" applyProtection="1">
      <alignment horizontal="left" vertical="center"/>
      <protection locked="0"/>
    </xf>
    <xf numFmtId="0" fontId="46" fillId="5" borderId="19" xfId="0" applyFont="1" applyFill="1" applyBorder="1" applyAlignment="1" applyProtection="1">
      <alignment horizontal="left" vertical="center"/>
      <protection locked="0"/>
    </xf>
    <xf numFmtId="0" fontId="46" fillId="0" borderId="0" xfId="0" applyFont="1" applyFill="1" applyBorder="1" applyAlignment="1" applyProtection="1">
      <alignment horizontal="left" vertical="center"/>
    </xf>
    <xf numFmtId="0" fontId="42" fillId="5" borderId="78" xfId="0" applyFont="1" applyFill="1" applyBorder="1" applyAlignment="1" applyProtection="1">
      <alignment horizontal="center"/>
      <protection locked="0"/>
    </xf>
    <xf numFmtId="0" fontId="42" fillId="5" borderId="79" xfId="0" applyFont="1" applyFill="1" applyBorder="1" applyAlignment="1" applyProtection="1">
      <alignment horizontal="center"/>
      <protection locked="0"/>
    </xf>
    <xf numFmtId="6" fontId="46" fillId="5" borderId="133" xfId="0" applyNumberFormat="1" applyFont="1" applyFill="1" applyBorder="1" applyAlignment="1" applyProtection="1">
      <alignment horizontal="center" vertical="center"/>
      <protection locked="0"/>
    </xf>
    <xf numFmtId="6" fontId="46" fillId="5" borderId="92" xfId="0" applyNumberFormat="1" applyFont="1" applyFill="1" applyBorder="1" applyAlignment="1" applyProtection="1">
      <alignment horizontal="center" vertical="center"/>
      <protection locked="0"/>
    </xf>
    <xf numFmtId="6" fontId="46" fillId="5" borderId="33" xfId="0" applyNumberFormat="1" applyFont="1" applyFill="1" applyBorder="1" applyAlignment="1" applyProtection="1">
      <alignment horizontal="center" vertical="center"/>
      <protection locked="0"/>
    </xf>
    <xf numFmtId="6" fontId="46" fillId="5" borderId="34" xfId="0" applyNumberFormat="1" applyFont="1" applyFill="1" applyBorder="1" applyAlignment="1" applyProtection="1">
      <alignment horizontal="center" vertical="center"/>
      <protection locked="0"/>
    </xf>
    <xf numFmtId="175" fontId="46" fillId="5" borderId="28" xfId="0" applyNumberFormat="1" applyFont="1" applyFill="1" applyBorder="1" applyAlignment="1" applyProtection="1">
      <alignment horizontal="left" vertical="center"/>
      <protection locked="0"/>
    </xf>
    <xf numFmtId="175" fontId="46" fillId="5" borderId="29" xfId="0" applyNumberFormat="1" applyFont="1" applyFill="1" applyBorder="1" applyAlignment="1" applyProtection="1">
      <alignment horizontal="left" vertical="center"/>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4" borderId="78" xfId="0" applyFont="1" applyFill="1" applyBorder="1" applyAlignment="1" applyProtection="1">
      <alignment horizontal="left" vertical="top" wrapText="1"/>
      <protection locked="0"/>
    </xf>
    <xf numFmtId="0" fontId="42" fillId="4" borderId="82" xfId="0" applyFont="1" applyFill="1" applyBorder="1" applyAlignment="1" applyProtection="1">
      <alignment horizontal="left" vertical="top" wrapText="1"/>
      <protection locked="0"/>
    </xf>
    <xf numFmtId="0" fontId="42" fillId="4" borderId="79" xfId="0" applyFont="1" applyFill="1" applyBorder="1" applyAlignment="1" applyProtection="1">
      <alignment horizontal="left" vertical="top" wrapText="1"/>
      <protection locked="0"/>
    </xf>
    <xf numFmtId="175" fontId="46" fillId="5" borderId="30" xfId="0" applyNumberFormat="1" applyFont="1" applyFill="1" applyBorder="1" applyAlignment="1" applyProtection="1">
      <alignment horizontal="left" vertical="center"/>
      <protection locked="0"/>
    </xf>
    <xf numFmtId="175" fontId="46" fillId="5" borderId="31" xfId="0" applyNumberFormat="1" applyFont="1" applyFill="1" applyBorder="1" applyAlignment="1" applyProtection="1">
      <alignment horizontal="left" vertical="center"/>
      <protection locked="0"/>
    </xf>
    <xf numFmtId="175" fontId="46" fillId="5" borderId="33" xfId="0" applyNumberFormat="1" applyFont="1" applyFill="1" applyBorder="1" applyAlignment="1" applyProtection="1">
      <alignment horizontal="left" vertical="center"/>
      <protection locked="0"/>
    </xf>
    <xf numFmtId="175" fontId="46" fillId="5" borderId="34" xfId="0" applyNumberFormat="1" applyFont="1" applyFill="1" applyBorder="1" applyAlignment="1" applyProtection="1">
      <alignment horizontal="left" vertical="center"/>
      <protection locked="0"/>
    </xf>
    <xf numFmtId="6" fontId="46" fillId="5" borderId="30" xfId="0" applyNumberFormat="1" applyFont="1" applyFill="1" applyBorder="1" applyAlignment="1" applyProtection="1">
      <alignment horizontal="center" vertical="center"/>
      <protection locked="0"/>
    </xf>
    <xf numFmtId="6" fontId="46" fillId="5" borderId="31" xfId="0" applyNumberFormat="1" applyFont="1" applyFill="1" applyBorder="1" applyAlignment="1" applyProtection="1">
      <alignment horizontal="center" vertical="center"/>
      <protection locked="0"/>
    </xf>
    <xf numFmtId="0" fontId="46" fillId="5" borderId="33" xfId="0" applyFont="1" applyFill="1" applyBorder="1" applyAlignment="1" applyProtection="1">
      <alignment horizontal="left" vertical="center"/>
      <protection locked="0"/>
    </xf>
    <xf numFmtId="0" fontId="46" fillId="5" borderId="34" xfId="0" applyFont="1" applyFill="1" applyBorder="1" applyAlignment="1" applyProtection="1">
      <alignment horizontal="left" vertical="center"/>
      <protection locked="0"/>
    </xf>
    <xf numFmtId="175" fontId="46" fillId="5" borderId="9" xfId="0" applyNumberFormat="1" applyFont="1" applyFill="1" applyBorder="1" applyAlignment="1" applyProtection="1">
      <alignment horizontal="left" vertical="center"/>
      <protection locked="0"/>
    </xf>
    <xf numFmtId="175" fontId="46" fillId="5" borderId="37" xfId="0" applyNumberFormat="1" applyFont="1" applyFill="1" applyBorder="1" applyAlignment="1" applyProtection="1">
      <alignment horizontal="left" vertical="center"/>
      <protection locked="0"/>
    </xf>
    <xf numFmtId="0" fontId="42" fillId="5" borderId="48" xfId="0" applyFont="1" applyFill="1" applyBorder="1" applyAlignment="1" applyProtection="1">
      <alignment horizontal="left" vertical="center"/>
      <protection locked="0"/>
    </xf>
    <xf numFmtId="0" fontId="42" fillId="5" borderId="49" xfId="0" applyFont="1" applyFill="1" applyBorder="1" applyAlignment="1" applyProtection="1">
      <alignment horizontal="left" vertical="center"/>
      <protection locked="0"/>
    </xf>
    <xf numFmtId="0" fontId="42" fillId="5" borderId="93" xfId="0" applyFont="1" applyFill="1" applyBorder="1" applyAlignment="1" applyProtection="1">
      <alignment horizontal="left" vertical="center"/>
      <protection locked="0"/>
    </xf>
    <xf numFmtId="0" fontId="42" fillId="5" borderId="58" xfId="0" applyFont="1" applyFill="1" applyBorder="1" applyAlignment="1" applyProtection="1">
      <alignment horizontal="left" vertical="center"/>
      <protection locked="0"/>
    </xf>
    <xf numFmtId="0" fontId="42" fillId="5" borderId="34" xfId="0" applyFont="1" applyFill="1" applyBorder="1" applyAlignment="1" applyProtection="1">
      <alignment horizontal="left" vertical="center"/>
      <protection locked="0"/>
    </xf>
    <xf numFmtId="0" fontId="42" fillId="5" borderId="51" xfId="0" applyFont="1" applyFill="1" applyBorder="1" applyAlignment="1" applyProtection="1">
      <alignment horizontal="left" vertical="center"/>
      <protection locked="0"/>
    </xf>
    <xf numFmtId="0" fontId="46" fillId="0" borderId="21" xfId="0" applyFont="1" applyBorder="1" applyProtection="1">
      <protection locked="0"/>
    </xf>
    <xf numFmtId="0" fontId="46" fillId="0" borderId="31" xfId="0" applyFont="1" applyBorder="1" applyProtection="1">
      <protection locked="0"/>
    </xf>
    <xf numFmtId="0" fontId="46" fillId="5" borderId="7" xfId="0" applyFont="1" applyFill="1" applyBorder="1" applyAlignment="1" applyProtection="1">
      <alignment horizontal="left" vertical="center"/>
      <protection locked="0"/>
    </xf>
    <xf numFmtId="0" fontId="46" fillId="0" borderId="85" xfId="0" applyFont="1" applyBorder="1" applyProtection="1">
      <protection locked="0"/>
    </xf>
    <xf numFmtId="0" fontId="46" fillId="0" borderId="37" xfId="0" applyFont="1" applyBorder="1" applyProtection="1">
      <protection locked="0"/>
    </xf>
    <xf numFmtId="0" fontId="46" fillId="0" borderId="57" xfId="0" applyFont="1" applyBorder="1" applyProtection="1">
      <protection locked="0"/>
    </xf>
    <xf numFmtId="0" fontId="46" fillId="0" borderId="20" xfId="0" applyFont="1" applyBorder="1" applyProtection="1">
      <protection locked="0"/>
    </xf>
    <xf numFmtId="0" fontId="46" fillId="0" borderId="92" xfId="0" applyFont="1" applyBorder="1" applyProtection="1">
      <protection locked="0"/>
    </xf>
    <xf numFmtId="167" fontId="46" fillId="5" borderId="33" xfId="0" applyNumberFormat="1" applyFont="1" applyFill="1" applyBorder="1" applyAlignment="1" applyProtection="1">
      <alignment horizontal="left" vertical="center"/>
      <protection locked="0"/>
    </xf>
    <xf numFmtId="167" fontId="46" fillId="5" borderId="58" xfId="0" applyNumberFormat="1" applyFont="1" applyFill="1" applyBorder="1" applyAlignment="1" applyProtection="1">
      <alignment horizontal="left" vertical="center"/>
      <protection locked="0"/>
    </xf>
    <xf numFmtId="167" fontId="46" fillId="5" borderId="34" xfId="0" applyNumberFormat="1" applyFont="1" applyFill="1" applyBorder="1" applyAlignment="1" applyProtection="1">
      <alignment horizontal="left" vertical="center"/>
      <protection locked="0"/>
    </xf>
    <xf numFmtId="0" fontId="46" fillId="0" borderId="34" xfId="0" applyFont="1" applyBorder="1" applyAlignment="1" applyProtection="1">
      <alignment horizontal="left"/>
      <protection locked="0"/>
    </xf>
    <xf numFmtId="0" fontId="46" fillId="5" borderId="78" xfId="0" applyNumberFormat="1" applyFont="1" applyFill="1" applyBorder="1" applyAlignment="1" applyProtection="1">
      <alignment horizontal="left" vertical="center"/>
      <protection locked="0"/>
    </xf>
    <xf numFmtId="0" fontId="54" fillId="0" borderId="0" xfId="0" applyFont="1" applyFill="1" applyBorder="1" applyAlignment="1" applyProtection="1">
      <alignment horizontal="left" wrapText="1"/>
    </xf>
    <xf numFmtId="0" fontId="42" fillId="5" borderId="52" xfId="0" applyFont="1" applyFill="1" applyBorder="1" applyAlignment="1" applyProtection="1">
      <alignment horizontal="left" vertical="center"/>
      <protection locked="0"/>
    </xf>
    <xf numFmtId="0" fontId="42" fillId="5" borderId="96" xfId="0" applyFont="1" applyFill="1" applyBorder="1" applyAlignment="1" applyProtection="1">
      <alignment horizontal="left" vertical="center"/>
      <protection locked="0"/>
    </xf>
    <xf numFmtId="0" fontId="42" fillId="5" borderId="57" xfId="0" applyFont="1" applyFill="1" applyBorder="1" applyAlignment="1" applyProtection="1">
      <alignment horizontal="left" vertical="center"/>
      <protection locked="0"/>
    </xf>
    <xf numFmtId="0" fontId="42" fillId="5" borderId="29" xfId="0" applyFont="1" applyFill="1" applyBorder="1" applyAlignment="1" applyProtection="1">
      <alignment horizontal="left" vertical="center"/>
      <protection locked="0"/>
    </xf>
    <xf numFmtId="178" fontId="46" fillId="5" borderId="28" xfId="0" applyNumberFormat="1" applyFont="1" applyFill="1" applyBorder="1" applyAlignment="1" applyProtection="1">
      <alignment horizontal="left" vertical="center"/>
      <protection locked="0"/>
    </xf>
    <xf numFmtId="178" fontId="46" fillId="5" borderId="92" xfId="0" applyNumberFormat="1" applyFont="1" applyFill="1" applyBorder="1" applyAlignment="1" applyProtection="1">
      <alignment horizontal="left" vertical="center"/>
      <protection locked="0"/>
    </xf>
    <xf numFmtId="0" fontId="46" fillId="0" borderId="0" xfId="0" applyFont="1" applyFill="1" applyBorder="1" applyAlignment="1" applyProtection="1">
      <alignment horizontal="left"/>
    </xf>
    <xf numFmtId="0" fontId="46" fillId="5" borderId="26" xfId="0" applyFont="1" applyFill="1" applyBorder="1" applyAlignment="1" applyProtection="1">
      <alignment horizontal="left" vertical="center"/>
      <protection locked="0"/>
    </xf>
    <xf numFmtId="0" fontId="46" fillId="5" borderId="58" xfId="0" applyFont="1" applyFill="1" applyBorder="1" applyAlignment="1" applyProtection="1">
      <alignment horizontal="left" vertical="center"/>
      <protection locked="0"/>
    </xf>
    <xf numFmtId="0" fontId="46" fillId="5" borderId="32" xfId="0" applyFont="1" applyFill="1" applyBorder="1" applyAlignment="1" applyProtection="1">
      <alignment horizontal="left" vertical="center"/>
      <protection locked="0"/>
    </xf>
    <xf numFmtId="0" fontId="46" fillId="5" borderId="30" xfId="0" applyNumberFormat="1" applyFont="1" applyFill="1" applyBorder="1" applyAlignment="1" applyProtection="1">
      <alignment horizontal="left" vertical="center"/>
      <protection locked="0"/>
    </xf>
    <xf numFmtId="0" fontId="46" fillId="5" borderId="31" xfId="0" applyNumberFormat="1" applyFont="1" applyFill="1" applyBorder="1" applyAlignment="1" applyProtection="1">
      <alignment horizontal="left" vertical="center"/>
      <protection locked="0"/>
    </xf>
    <xf numFmtId="169" fontId="46" fillId="5" borderId="33" xfId="0" applyNumberFormat="1" applyFont="1" applyFill="1" applyBorder="1" applyAlignment="1" applyProtection="1">
      <alignment horizontal="center" vertical="center"/>
      <protection locked="0"/>
    </xf>
    <xf numFmtId="0" fontId="46" fillId="0" borderId="34" xfId="0" applyFont="1" applyBorder="1" applyProtection="1">
      <protection locked="0"/>
    </xf>
    <xf numFmtId="3" fontId="46" fillId="5" borderId="30" xfId="0" applyNumberFormat="1" applyFont="1" applyFill="1" applyBorder="1" applyAlignment="1" applyProtection="1">
      <alignment horizontal="left" vertical="center"/>
      <protection locked="0"/>
    </xf>
    <xf numFmtId="3" fontId="46" fillId="5" borderId="31" xfId="0" applyNumberFormat="1" applyFont="1" applyFill="1" applyBorder="1" applyAlignment="1" applyProtection="1">
      <alignment horizontal="left" vertical="center"/>
      <protection locked="0"/>
    </xf>
    <xf numFmtId="0" fontId="86" fillId="5" borderId="78" xfId="0" applyFont="1" applyFill="1" applyBorder="1" applyAlignment="1" applyProtection="1">
      <alignment horizontal="left" vertical="center"/>
      <protection locked="0"/>
    </xf>
    <xf numFmtId="0" fontId="86" fillId="5" borderId="79" xfId="0" applyFont="1" applyFill="1" applyBorder="1" applyAlignment="1" applyProtection="1">
      <alignment horizontal="left" vertical="center"/>
      <protection locked="0"/>
    </xf>
    <xf numFmtId="0" fontId="86" fillId="5" borderId="82" xfId="0" applyFont="1" applyFill="1" applyBorder="1" applyAlignment="1" applyProtection="1">
      <alignment horizontal="left" vertical="center"/>
      <protection locked="0"/>
    </xf>
    <xf numFmtId="0" fontId="46" fillId="0" borderId="0" xfId="0" applyFont="1" applyFill="1" applyBorder="1" applyAlignment="1" applyProtection="1">
      <alignment horizontal="left" vertical="top" wrapText="1"/>
    </xf>
    <xf numFmtId="0" fontId="86" fillId="5" borderId="36" xfId="0" applyFont="1" applyFill="1" applyBorder="1" applyAlignment="1" applyProtection="1">
      <alignment horizontal="left" vertical="center"/>
      <protection locked="0"/>
    </xf>
    <xf numFmtId="0" fontId="86" fillId="5" borderId="37" xfId="0" applyFont="1" applyFill="1" applyBorder="1" applyAlignment="1" applyProtection="1">
      <alignment horizontal="left" vertical="center"/>
      <protection locked="0"/>
    </xf>
    <xf numFmtId="38" fontId="46" fillId="5" borderId="80" xfId="0" applyNumberFormat="1" applyFont="1" applyFill="1" applyBorder="1" applyAlignment="1" applyProtection="1">
      <alignment horizontal="left" vertical="center"/>
      <protection locked="0"/>
    </xf>
    <xf numFmtId="38" fontId="46" fillId="5" borderId="85" xfId="0" applyNumberFormat="1" applyFont="1" applyFill="1" applyBorder="1" applyAlignment="1" applyProtection="1">
      <alignment horizontal="left" vertical="center"/>
      <protection locked="0"/>
    </xf>
    <xf numFmtId="38" fontId="46" fillId="5" borderId="2" xfId="0" applyNumberFormat="1" applyFont="1" applyFill="1" applyBorder="1" applyAlignment="1" applyProtection="1">
      <alignment horizontal="left" vertical="center"/>
      <protection locked="0"/>
    </xf>
    <xf numFmtId="38" fontId="46" fillId="5" borderId="81" xfId="0" applyNumberFormat="1" applyFont="1" applyFill="1" applyBorder="1" applyAlignment="1" applyProtection="1">
      <alignment horizontal="left" vertical="center"/>
      <protection locked="0"/>
    </xf>
    <xf numFmtId="0" fontId="46" fillId="5" borderId="78" xfId="0" applyFont="1" applyFill="1" applyBorder="1" applyAlignment="1" applyProtection="1">
      <alignment horizontal="left" vertical="center"/>
      <protection locked="0"/>
    </xf>
    <xf numFmtId="0" fontId="46" fillId="5" borderId="82" xfId="0" applyFont="1" applyFill="1" applyBorder="1" applyAlignment="1" applyProtection="1">
      <alignment horizontal="left" vertical="center"/>
      <protection locked="0"/>
    </xf>
    <xf numFmtId="0" fontId="46" fillId="5" borderId="79" xfId="0" applyFont="1" applyFill="1" applyBorder="1" applyAlignment="1" applyProtection="1">
      <alignment horizontal="left" vertical="center"/>
      <protection locked="0"/>
    </xf>
    <xf numFmtId="38" fontId="46" fillId="5" borderId="30" xfId="0" applyNumberFormat="1" applyFont="1" applyFill="1" applyBorder="1" applyAlignment="1" applyProtection="1">
      <alignment horizontal="left" vertical="center"/>
      <protection locked="0"/>
    </xf>
    <xf numFmtId="38" fontId="46" fillId="5" borderId="21" xfId="0" applyNumberFormat="1" applyFont="1" applyFill="1" applyBorder="1" applyAlignment="1" applyProtection="1">
      <alignment horizontal="left" vertical="center"/>
      <protection locked="0"/>
    </xf>
    <xf numFmtId="38" fontId="46" fillId="5" borderId="31" xfId="0" applyNumberFormat="1" applyFont="1" applyFill="1" applyBorder="1" applyAlignment="1" applyProtection="1">
      <alignment horizontal="left" vertical="center"/>
      <protection locked="0"/>
    </xf>
    <xf numFmtId="38" fontId="46" fillId="5" borderId="7" xfId="0" applyNumberFormat="1" applyFont="1" applyFill="1" applyBorder="1" applyAlignment="1" applyProtection="1">
      <alignment horizontal="left" vertical="center"/>
      <protection locked="0"/>
    </xf>
    <xf numFmtId="38" fontId="46" fillId="5" borderId="0" xfId="0" applyNumberFormat="1" applyFont="1" applyFill="1" applyBorder="1" applyAlignment="1" applyProtection="1">
      <alignment horizontal="left" vertical="center"/>
      <protection locked="0"/>
    </xf>
    <xf numFmtId="38" fontId="46" fillId="5" borderId="13" xfId="0" applyNumberFormat="1" applyFont="1" applyFill="1" applyBorder="1" applyAlignment="1" applyProtection="1">
      <alignment horizontal="left" vertical="center"/>
      <protection locked="0"/>
    </xf>
    <xf numFmtId="38" fontId="46" fillId="5" borderId="8" xfId="0" applyNumberFormat="1" applyFont="1" applyFill="1" applyBorder="1" applyAlignment="1" applyProtection="1">
      <alignment horizontal="left" vertical="center"/>
      <protection locked="0"/>
    </xf>
    <xf numFmtId="38" fontId="46" fillId="5" borderId="28" xfId="0" applyNumberFormat="1" applyFont="1" applyFill="1" applyBorder="1" applyAlignment="1" applyProtection="1">
      <alignment horizontal="left" vertical="center"/>
      <protection locked="0"/>
    </xf>
    <xf numFmtId="38" fontId="46" fillId="5" borderId="57" xfId="0" applyNumberFormat="1" applyFont="1" applyFill="1" applyBorder="1" applyAlignment="1" applyProtection="1">
      <alignment horizontal="left" vertical="center"/>
      <protection locked="0"/>
    </xf>
    <xf numFmtId="38" fontId="46" fillId="5" borderId="29" xfId="0" applyNumberFormat="1" applyFont="1" applyFill="1" applyBorder="1" applyAlignment="1" applyProtection="1">
      <alignment horizontal="left" vertical="center"/>
      <protection locked="0"/>
    </xf>
    <xf numFmtId="169" fontId="46" fillId="5" borderId="33" xfId="0" applyNumberFormat="1" applyFont="1" applyFill="1" applyBorder="1" applyAlignment="1" applyProtection="1">
      <alignment horizontal="left" vertical="center"/>
      <protection locked="0"/>
    </xf>
    <xf numFmtId="169" fontId="46" fillId="5" borderId="34" xfId="0" applyNumberFormat="1" applyFont="1" applyFill="1" applyBorder="1" applyAlignment="1" applyProtection="1">
      <alignment horizontal="left" vertical="center"/>
      <protection locked="0"/>
    </xf>
    <xf numFmtId="167" fontId="46" fillId="5" borderId="33" xfId="0" applyNumberFormat="1" applyFont="1" applyFill="1" applyBorder="1" applyAlignment="1" applyProtection="1">
      <alignment horizontal="center" vertical="center"/>
      <protection locked="0"/>
    </xf>
    <xf numFmtId="167" fontId="46" fillId="5" borderId="58" xfId="0" applyNumberFormat="1" applyFont="1" applyFill="1" applyBorder="1" applyAlignment="1" applyProtection="1">
      <alignment horizontal="center" vertical="center"/>
      <protection locked="0"/>
    </xf>
    <xf numFmtId="167" fontId="46" fillId="5" borderId="34" xfId="0" applyNumberFormat="1" applyFont="1" applyFill="1" applyBorder="1" applyAlignment="1" applyProtection="1">
      <alignment horizontal="center" vertical="center"/>
      <protection locked="0"/>
    </xf>
    <xf numFmtId="38" fontId="46" fillId="5" borderId="33" xfId="0" applyNumberFormat="1" applyFont="1" applyFill="1" applyBorder="1" applyAlignment="1" applyProtection="1">
      <alignment horizontal="left" vertical="center"/>
      <protection locked="0"/>
    </xf>
    <xf numFmtId="38" fontId="46" fillId="5" borderId="58" xfId="0" applyNumberFormat="1" applyFont="1" applyFill="1" applyBorder="1" applyAlignment="1" applyProtection="1">
      <alignment horizontal="left" vertical="center"/>
      <protection locked="0"/>
    </xf>
    <xf numFmtId="38" fontId="46" fillId="5" borderId="34" xfId="0" applyNumberFormat="1" applyFont="1" applyFill="1" applyBorder="1" applyAlignment="1" applyProtection="1">
      <alignment horizontal="left" vertical="center"/>
      <protection locked="0"/>
    </xf>
    <xf numFmtId="0" fontId="46" fillId="5" borderId="20" xfId="0" applyFont="1" applyFill="1" applyBorder="1" applyAlignment="1" applyProtection="1">
      <alignment horizontal="left" vertical="center"/>
      <protection locked="0"/>
    </xf>
    <xf numFmtId="0" fontId="46" fillId="5" borderId="92" xfId="0" applyFont="1" applyFill="1" applyBorder="1" applyAlignment="1" applyProtection="1">
      <alignment horizontal="left" vertical="center"/>
      <protection locked="0"/>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protection locked="0"/>
    </xf>
    <xf numFmtId="0" fontId="56" fillId="16" borderId="35" xfId="0" applyFont="1" applyFill="1" applyBorder="1" applyAlignment="1" applyProtection="1">
      <alignment horizontal="center" vertical="center"/>
      <protection locked="0"/>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protection locked="0"/>
    </xf>
    <xf numFmtId="0" fontId="42" fillId="5" borderId="2" xfId="0" applyFont="1" applyFill="1" applyBorder="1" applyAlignment="1" applyProtection="1">
      <alignment horizontal="left" vertical="center"/>
      <protection locked="0"/>
    </xf>
    <xf numFmtId="0" fontId="42" fillId="5" borderId="37" xfId="0" applyFont="1" applyFill="1" applyBorder="1" applyAlignment="1" applyProtection="1">
      <alignment horizontal="left" vertical="center"/>
      <protection locked="0"/>
    </xf>
    <xf numFmtId="0" fontId="46" fillId="5" borderId="36" xfId="0" applyFont="1" applyFill="1" applyBorder="1" applyAlignment="1" applyProtection="1">
      <alignment horizontal="center" vertical="center"/>
      <protection locked="0"/>
    </xf>
    <xf numFmtId="0" fontId="46" fillId="5" borderId="37" xfId="0" applyFont="1" applyFill="1" applyBorder="1" applyAlignment="1" applyProtection="1">
      <alignment horizontal="center" vertical="center"/>
      <protection locked="0"/>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protection locked="0"/>
    </xf>
    <xf numFmtId="0" fontId="42" fillId="5" borderId="79" xfId="0" applyFont="1" applyFill="1" applyBorder="1" applyAlignment="1" applyProtection="1">
      <alignment horizontal="center" vertical="center"/>
      <protection locked="0"/>
    </xf>
    <xf numFmtId="0" fontId="46" fillId="5" borderId="82" xfId="0" applyNumberFormat="1" applyFont="1" applyFill="1" applyBorder="1" applyAlignment="1" applyProtection="1">
      <alignment horizontal="left" vertical="center"/>
      <protection locked="0"/>
    </xf>
    <xf numFmtId="0" fontId="46" fillId="5" borderId="79" xfId="0" applyNumberFormat="1" applyFont="1" applyFill="1" applyBorder="1" applyAlignment="1" applyProtection="1">
      <alignment horizontal="left" vertical="center"/>
      <protection locked="0"/>
    </xf>
    <xf numFmtId="0" fontId="42" fillId="5" borderId="78" xfId="0" applyFont="1" applyFill="1" applyBorder="1" applyAlignment="1" applyProtection="1">
      <alignment horizontal="left" vertical="center"/>
      <protection locked="0"/>
    </xf>
    <xf numFmtId="0" fontId="42" fillId="5" borderId="82" xfId="0" applyFont="1" applyFill="1" applyBorder="1" applyAlignment="1" applyProtection="1">
      <alignment horizontal="left" vertical="center"/>
      <protection locked="0"/>
    </xf>
    <xf numFmtId="0" fontId="42" fillId="5" borderId="79" xfId="0" applyFont="1" applyFill="1" applyBorder="1" applyAlignment="1" applyProtection="1">
      <alignment horizontal="left" vertical="center"/>
      <protection locked="0"/>
    </xf>
    <xf numFmtId="182" fontId="46" fillId="5" borderId="30" xfId="0" applyNumberFormat="1" applyFont="1" applyFill="1" applyBorder="1" applyAlignment="1" applyProtection="1">
      <alignment horizontal="left" vertical="center"/>
      <protection locked="0"/>
    </xf>
    <xf numFmtId="182" fontId="46" fillId="5" borderId="31" xfId="0" applyNumberFormat="1" applyFont="1" applyFill="1" applyBorder="1" applyAlignment="1" applyProtection="1">
      <alignment horizontal="left" vertical="center"/>
      <protection locked="0"/>
    </xf>
    <xf numFmtId="169" fontId="46" fillId="5" borderId="30" xfId="0" applyNumberFormat="1" applyFont="1" applyFill="1" applyBorder="1" applyAlignment="1" applyProtection="1">
      <alignment horizontal="left" vertical="center"/>
      <protection locked="0"/>
    </xf>
    <xf numFmtId="169" fontId="46" fillId="5" borderId="31" xfId="0" applyNumberFormat="1" applyFont="1" applyFill="1" applyBorder="1" applyAlignment="1" applyProtection="1">
      <alignment horizontal="left" vertical="center"/>
      <protection locked="0"/>
    </xf>
    <xf numFmtId="49" fontId="46"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6" fillId="5" borderId="28" xfId="0" applyNumberFormat="1" applyFont="1" applyFill="1" applyBorder="1" applyAlignment="1" applyProtection="1">
      <alignment horizontal="left" vertical="center"/>
      <protection locked="0"/>
    </xf>
    <xf numFmtId="0" fontId="46" fillId="5" borderId="57" xfId="0" applyNumberFormat="1" applyFont="1" applyFill="1" applyBorder="1" applyAlignment="1" applyProtection="1">
      <alignment horizontal="left" vertical="center"/>
      <protection locked="0"/>
    </xf>
    <xf numFmtId="0" fontId="46" fillId="5" borderId="29" xfId="0" applyNumberFormat="1" applyFont="1" applyFill="1" applyBorder="1" applyAlignment="1" applyProtection="1">
      <alignment horizontal="left" vertical="center"/>
      <protection locked="0"/>
    </xf>
    <xf numFmtId="1" fontId="46" fillId="5" borderId="28" xfId="1" applyNumberFormat="1" applyFont="1" applyFill="1" applyBorder="1" applyAlignment="1" applyProtection="1">
      <alignment horizontal="center" vertical="center"/>
      <protection locked="0"/>
    </xf>
    <xf numFmtId="1" fontId="46"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protection locked="0"/>
    </xf>
    <xf numFmtId="1" fontId="46"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protection locked="0"/>
    </xf>
    <xf numFmtId="0" fontId="46" fillId="6" borderId="34" xfId="0" applyNumberFormat="1" applyFont="1" applyFill="1" applyBorder="1" applyAlignment="1" applyProtection="1">
      <alignment horizontal="left" vertical="center"/>
      <protection locked="0"/>
    </xf>
    <xf numFmtId="0" fontId="46" fillId="0" borderId="80" xfId="0" applyFont="1" applyFill="1" applyBorder="1" applyAlignment="1" applyProtection="1">
      <alignment horizontal="center" vertical="center"/>
    </xf>
    <xf numFmtId="0" fontId="46" fillId="0" borderId="81" xfId="0" applyFont="1" applyFill="1" applyBorder="1" applyAlignment="1" applyProtection="1">
      <alignment horizontal="center" vertical="center"/>
    </xf>
    <xf numFmtId="0" fontId="46" fillId="6" borderId="78" xfId="0" applyFont="1" applyFill="1" applyBorder="1" applyAlignment="1" applyProtection="1">
      <alignment horizontal="left" vertical="center"/>
      <protection locked="0"/>
    </xf>
    <xf numFmtId="0" fontId="46" fillId="6" borderId="14" xfId="0" applyFont="1" applyFill="1" applyBorder="1" applyAlignment="1" applyProtection="1">
      <alignment horizontal="left" vertical="center"/>
      <protection locked="0"/>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167" fontId="46" fillId="5" borderId="27" xfId="0" applyNumberFormat="1" applyFont="1" applyFill="1" applyBorder="1" applyAlignment="1" applyProtection="1">
      <alignment horizontal="left" vertical="center"/>
      <protection locked="0"/>
    </xf>
    <xf numFmtId="167" fontId="46" fillId="5" borderId="135" xfId="0" applyNumberFormat="1" applyFont="1" applyFill="1" applyBorder="1" applyAlignment="1" applyProtection="1">
      <alignment horizontal="left" vertical="center"/>
      <protection locked="0"/>
    </xf>
    <xf numFmtId="167" fontId="46" fillId="5" borderId="133" xfId="0" applyNumberFormat="1" applyFont="1" applyFill="1" applyBorder="1" applyAlignment="1" applyProtection="1">
      <alignment horizontal="left" vertical="center"/>
      <protection locked="0"/>
    </xf>
    <xf numFmtId="0" fontId="46" fillId="5" borderId="133" xfId="0" applyFont="1" applyFill="1" applyBorder="1" applyAlignment="1" applyProtection="1">
      <alignment horizontal="left" vertical="center"/>
      <protection locked="0"/>
    </xf>
    <xf numFmtId="0" fontId="46" fillId="5" borderId="134" xfId="0" applyFont="1" applyFill="1" applyBorder="1" applyAlignment="1" applyProtection="1">
      <alignment horizontal="left" vertical="center"/>
      <protection locked="0"/>
    </xf>
    <xf numFmtId="0" fontId="46" fillId="5" borderId="135" xfId="0" applyFont="1" applyFill="1" applyBorder="1" applyAlignment="1" applyProtection="1">
      <alignment horizontal="left" vertical="center"/>
      <protection locked="0"/>
    </xf>
    <xf numFmtId="169" fontId="46" fillId="5" borderId="21" xfId="0" applyNumberFormat="1" applyFont="1" applyFill="1" applyBorder="1" applyAlignment="1" applyProtection="1">
      <alignment horizontal="left" vertical="center"/>
      <protection locked="0"/>
    </xf>
    <xf numFmtId="0" fontId="46" fillId="5" borderId="194" xfId="0" applyFont="1" applyFill="1" applyBorder="1" applyAlignment="1" applyProtection="1">
      <alignment horizontal="left" vertical="center"/>
      <protection locked="0"/>
    </xf>
    <xf numFmtId="0" fontId="46" fillId="5" borderId="196" xfId="0" applyFont="1" applyFill="1" applyBorder="1" applyAlignment="1" applyProtection="1">
      <alignment horizontal="left" vertical="center"/>
      <protection locked="0"/>
    </xf>
    <xf numFmtId="0" fontId="46" fillId="5" borderId="198" xfId="0" applyFont="1" applyFill="1" applyBorder="1" applyAlignment="1" applyProtection="1">
      <alignment horizontal="left" vertical="center"/>
      <protection locked="0"/>
    </xf>
    <xf numFmtId="0" fontId="46" fillId="5" borderId="197" xfId="0" applyFont="1" applyFill="1" applyBorder="1" applyAlignment="1" applyProtection="1">
      <alignment horizontal="left" vertical="center"/>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protection locked="0"/>
    </xf>
    <xf numFmtId="0" fontId="43" fillId="5" borderId="21" xfId="0" applyFont="1" applyFill="1" applyBorder="1" applyAlignment="1" applyProtection="1">
      <alignment horizontal="left" vertical="top" wrapText="1"/>
      <protection locked="0"/>
    </xf>
    <xf numFmtId="0" fontId="43" fillId="5" borderId="77" xfId="0" applyFont="1" applyFill="1" applyBorder="1" applyAlignment="1" applyProtection="1">
      <alignment horizontal="left" vertical="top" wrapText="1"/>
      <protection locked="0"/>
    </xf>
    <xf numFmtId="0" fontId="43" fillId="5" borderId="31" xfId="0" applyFont="1" applyFill="1" applyBorder="1" applyAlignment="1" applyProtection="1">
      <alignment horizontal="left" vertical="top" wrapText="1"/>
      <protection locked="0"/>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protection locked="0"/>
    </xf>
    <xf numFmtId="0" fontId="43" fillId="5" borderId="58" xfId="0" applyFont="1" applyFill="1" applyBorder="1" applyAlignment="1" applyProtection="1">
      <alignment horizontal="left" vertical="top" wrapText="1"/>
      <protection locked="0"/>
    </xf>
    <xf numFmtId="0" fontId="43" fillId="5" borderId="93" xfId="0" applyFont="1" applyFill="1" applyBorder="1" applyAlignment="1" applyProtection="1">
      <alignment horizontal="left" vertical="top" wrapText="1"/>
      <protection locked="0"/>
    </xf>
    <xf numFmtId="0" fontId="43" fillId="5" borderId="34"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top" wrapText="1"/>
      <protection locked="0"/>
    </xf>
    <xf numFmtId="0" fontId="42" fillId="5" borderId="2" xfId="0" applyFont="1" applyFill="1" applyBorder="1" applyAlignment="1" applyProtection="1">
      <alignment horizontal="left" vertical="top" wrapText="1"/>
      <protection locked="0"/>
    </xf>
    <xf numFmtId="0" fontId="42" fillId="5" borderId="37" xfId="0" applyFont="1" applyFill="1" applyBorder="1" applyAlignment="1" applyProtection="1">
      <alignment horizontal="left" vertical="top" wrapText="1"/>
      <protection locked="0"/>
    </xf>
    <xf numFmtId="0" fontId="42" fillId="4" borderId="36" xfId="0" applyFont="1" applyFill="1" applyBorder="1" applyAlignment="1" applyProtection="1">
      <alignment horizontal="left" vertical="top" wrapText="1"/>
      <protection locked="0"/>
    </xf>
    <xf numFmtId="0" fontId="42" fillId="4" borderId="2" xfId="0" applyFont="1" applyFill="1" applyBorder="1" applyAlignment="1" applyProtection="1">
      <alignment horizontal="left" vertical="top" wrapText="1"/>
      <protection locked="0"/>
    </xf>
    <xf numFmtId="0" fontId="42" fillId="4" borderId="37" xfId="0" applyFont="1" applyFill="1" applyBorder="1" applyAlignment="1" applyProtection="1">
      <alignment horizontal="left" vertical="top" wrapText="1"/>
      <protection locked="0"/>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protection locked="0"/>
    </xf>
    <xf numFmtId="0" fontId="43" fillId="5" borderId="57" xfId="0" applyFont="1" applyFill="1" applyBorder="1" applyAlignment="1" applyProtection="1">
      <alignment horizontal="left" vertical="top" wrapText="1"/>
      <protection locked="0"/>
    </xf>
    <xf numFmtId="0" fontId="43" fillId="5" borderId="96" xfId="0" applyFont="1" applyFill="1" applyBorder="1" applyAlignment="1" applyProtection="1">
      <alignment horizontal="left" vertical="top" wrapText="1"/>
      <protection locked="0"/>
    </xf>
    <xf numFmtId="0" fontId="43" fillId="5" borderId="29" xfId="0" applyFont="1" applyFill="1" applyBorder="1" applyAlignment="1" applyProtection="1">
      <alignment horizontal="left" vertical="top" wrapText="1"/>
      <protection locked="0"/>
    </xf>
    <xf numFmtId="0" fontId="46" fillId="10" borderId="77" xfId="0" applyFont="1" applyFill="1" applyBorder="1" applyAlignment="1" applyProtection="1">
      <alignment horizontal="left" vertical="top" wrapText="1"/>
      <protection locked="0"/>
    </xf>
    <xf numFmtId="0" fontId="46" fillId="10" borderId="21" xfId="0" applyFont="1" applyFill="1" applyBorder="1" applyAlignment="1" applyProtection="1">
      <alignment horizontal="left" vertical="top" wrapText="1"/>
      <protection locked="0"/>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80" xfId="0" applyFont="1" applyFill="1" applyBorder="1" applyAlignment="1" applyProtection="1">
      <alignment horizontal="center" vertical="top" wrapText="1"/>
    </xf>
    <xf numFmtId="0" fontId="54" fillId="0" borderId="85" xfId="0" applyFont="1" applyFill="1" applyBorder="1" applyAlignment="1" applyProtection="1">
      <alignment horizontal="center" vertical="top" wrapText="1"/>
    </xf>
    <xf numFmtId="0" fontId="54" fillId="0" borderId="81" xfId="0" applyFont="1" applyFill="1" applyBorder="1" applyAlignment="1" applyProtection="1">
      <alignment horizontal="center" vertical="top" wrapText="1"/>
    </xf>
    <xf numFmtId="0" fontId="54" fillId="0" borderId="7" xfId="0" applyFont="1" applyFill="1" applyBorder="1" applyAlignment="1" applyProtection="1">
      <alignment horizontal="center" vertical="top" wrapText="1"/>
    </xf>
    <xf numFmtId="0" fontId="54" fillId="0" borderId="0" xfId="0" applyFont="1" applyFill="1" applyBorder="1" applyAlignment="1" applyProtection="1">
      <alignment horizontal="center" vertical="top" wrapText="1"/>
    </xf>
    <xf numFmtId="0" fontId="54"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0" xfId="0" applyFont="1" applyFill="1" applyAlignment="1" applyProtection="1">
      <alignment horizontal="right" vertical="center" wrapText="1"/>
    </xf>
    <xf numFmtId="0" fontId="46" fillId="0" borderId="8" xfId="0" applyFont="1" applyFill="1" applyBorder="1" applyAlignment="1" applyProtection="1">
      <alignment horizontal="right" vertical="center" wrapText="1"/>
    </xf>
    <xf numFmtId="0" fontId="46" fillId="0" borderId="78" xfId="0" applyFont="1" applyFill="1" applyBorder="1" applyAlignment="1" applyProtection="1">
      <alignment horizontal="left" vertical="center" wrapText="1"/>
      <protection locked="0"/>
    </xf>
    <xf numFmtId="0" fontId="46" fillId="0" borderId="82" xfId="0" applyFont="1" applyFill="1" applyBorder="1" applyAlignment="1" applyProtection="1">
      <alignment horizontal="left" vertical="center" wrapText="1"/>
      <protection locked="0"/>
    </xf>
    <xf numFmtId="0" fontId="46" fillId="0" borderId="79" xfId="0" applyFont="1" applyFill="1" applyBorder="1" applyAlignment="1" applyProtection="1">
      <alignment horizontal="left" vertical="center" wrapText="1"/>
      <protection locked="0"/>
    </xf>
    <xf numFmtId="0" fontId="43" fillId="5" borderId="134" xfId="0" applyFont="1" applyFill="1" applyBorder="1" applyAlignment="1" applyProtection="1">
      <alignment horizontal="left" vertical="top" wrapText="1"/>
      <protection locked="0"/>
    </xf>
    <xf numFmtId="167" fontId="46" fillId="5" borderId="9" xfId="0" applyNumberFormat="1" applyFont="1" applyFill="1" applyBorder="1" applyAlignment="1" applyProtection="1">
      <alignment horizontal="left" vertical="center"/>
      <protection locked="0"/>
    </xf>
    <xf numFmtId="167" fontId="46" fillId="5" borderId="37" xfId="0" applyNumberFormat="1" applyFont="1" applyFill="1" applyBorder="1" applyAlignment="1" applyProtection="1">
      <alignment horizontal="left" vertical="center"/>
      <protection locked="0"/>
    </xf>
    <xf numFmtId="0" fontId="46" fillId="0" borderId="134" xfId="0" applyFont="1" applyBorder="1" applyProtection="1">
      <protection locked="0"/>
    </xf>
    <xf numFmtId="0" fontId="46" fillId="0" borderId="135" xfId="0" applyFont="1" applyBorder="1" applyProtection="1">
      <protection locked="0"/>
    </xf>
    <xf numFmtId="167" fontId="46" fillId="0" borderId="134" xfId="0" applyNumberFormat="1" applyFont="1" applyBorder="1" applyProtection="1">
      <protection locked="0"/>
    </xf>
    <xf numFmtId="167" fontId="46" fillId="0" borderId="135" xfId="0" applyNumberFormat="1" applyFont="1" applyBorder="1" applyProtection="1">
      <protection locked="0"/>
    </xf>
    <xf numFmtId="0" fontId="46" fillId="0" borderId="13" xfId="0" applyFont="1" applyBorder="1" applyProtection="1">
      <protection locked="0"/>
    </xf>
    <xf numFmtId="0" fontId="46" fillId="0" borderId="0" xfId="0" applyFont="1" applyBorder="1" applyProtection="1">
      <protection locked="0"/>
    </xf>
    <xf numFmtId="0" fontId="46" fillId="0" borderId="14" xfId="0" applyFont="1" applyBorder="1" applyProtection="1">
      <protection locked="0"/>
    </xf>
    <xf numFmtId="0" fontId="46" fillId="5" borderId="27" xfId="0" applyFont="1" applyFill="1" applyBorder="1" applyAlignment="1" applyProtection="1">
      <alignment horizontal="left" vertical="center"/>
      <protection locked="0"/>
    </xf>
    <xf numFmtId="0" fontId="46" fillId="0" borderId="19" xfId="0" applyFont="1" applyBorder="1" applyProtection="1">
      <protection locked="0"/>
    </xf>
    <xf numFmtId="0" fontId="46" fillId="0" borderId="58" xfId="0" applyFont="1" applyBorder="1" applyProtection="1">
      <protection locked="0"/>
    </xf>
    <xf numFmtId="0" fontId="46" fillId="0" borderId="32" xfId="0" applyFont="1" applyBorder="1" applyProtection="1">
      <protection locked="0"/>
    </xf>
    <xf numFmtId="0" fontId="46" fillId="0" borderId="31" xfId="0" applyFont="1" applyBorder="1" applyAlignment="1" applyProtection="1">
      <alignment horizontal="left"/>
      <protection locked="0"/>
    </xf>
    <xf numFmtId="0" fontId="41" fillId="0" borderId="0" xfId="0" applyFont="1" applyFill="1" applyBorder="1" applyAlignment="1" applyProtection="1">
      <alignment horizontal="center" vertical="center" wrapText="1"/>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9" fontId="46" fillId="5" borderId="78" xfId="0" applyNumberFormat="1" applyFont="1" applyFill="1" applyBorder="1" applyAlignment="1" applyProtection="1">
      <alignment horizontal="center" vertical="center"/>
      <protection locked="0"/>
    </xf>
    <xf numFmtId="0" fontId="46" fillId="0" borderId="79" xfId="0" applyFont="1" applyBorder="1" applyProtection="1">
      <protection locked="0"/>
    </xf>
    <xf numFmtId="0" fontId="46" fillId="10" borderId="30" xfId="0" applyFont="1" applyFill="1" applyBorder="1" applyAlignment="1" applyProtection="1">
      <alignment horizontal="center" vertical="center"/>
      <protection locked="0"/>
    </xf>
    <xf numFmtId="0" fontId="46" fillId="10" borderId="31" xfId="0" applyFont="1" applyFill="1" applyBorder="1" applyAlignment="1" applyProtection="1">
      <alignment horizontal="center" vertical="center"/>
      <protection locked="0"/>
    </xf>
    <xf numFmtId="0" fontId="46" fillId="5" borderId="18" xfId="0" applyFont="1" applyFill="1" applyBorder="1" applyAlignment="1" applyProtection="1">
      <alignment horizontal="left" vertical="center" wrapText="1"/>
      <protection locked="0"/>
    </xf>
    <xf numFmtId="0" fontId="46" fillId="5" borderId="33" xfId="0" applyFont="1" applyFill="1" applyBorder="1" applyAlignment="1" applyProtection="1">
      <alignment horizontal="left" vertical="center" wrapText="1"/>
      <protection locked="0"/>
    </xf>
    <xf numFmtId="0" fontId="46" fillId="5" borderId="58" xfId="0" applyFont="1" applyFill="1" applyBorder="1" applyAlignment="1" applyProtection="1">
      <alignment horizontal="left" vertical="center" wrapText="1"/>
      <protection locked="0"/>
    </xf>
    <xf numFmtId="0" fontId="46" fillId="5" borderId="34" xfId="0" applyFont="1" applyFill="1" applyBorder="1" applyAlignment="1" applyProtection="1">
      <alignment horizontal="left" vertical="center" wrapText="1"/>
      <protection locked="0"/>
    </xf>
    <xf numFmtId="38" fontId="46" fillId="5" borderId="18" xfId="0" applyNumberFormat="1" applyFont="1" applyFill="1" applyBorder="1" applyAlignment="1" applyProtection="1">
      <alignment horizontal="right" vertical="center"/>
      <protection locked="0"/>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2" fillId="13" borderId="40" xfId="0" applyFont="1" applyFill="1" applyBorder="1" applyAlignment="1" applyProtection="1">
      <alignment horizontal="left" vertical="top" wrapText="1"/>
      <protection locked="0"/>
    </xf>
    <xf numFmtId="0" fontId="42" fillId="13" borderId="41" xfId="0" applyFont="1" applyFill="1" applyBorder="1" applyAlignment="1" applyProtection="1">
      <alignment horizontal="left" vertical="top" wrapText="1"/>
      <protection locked="0"/>
    </xf>
    <xf numFmtId="0" fontId="42" fillId="13" borderId="42" xfId="0" applyFont="1" applyFill="1" applyBorder="1" applyAlignment="1" applyProtection="1">
      <alignment horizontal="left" vertical="top" wrapText="1"/>
      <protection locked="0"/>
    </xf>
    <xf numFmtId="0" fontId="42" fillId="13" borderId="59" xfId="0" applyFont="1" applyFill="1" applyBorder="1" applyAlignment="1" applyProtection="1">
      <alignment horizontal="left" vertical="top" wrapText="1"/>
      <protection locked="0"/>
    </xf>
    <xf numFmtId="0" fontId="46" fillId="5" borderId="16" xfId="0" applyFont="1" applyFill="1" applyBorder="1" applyAlignment="1" applyProtection="1">
      <alignment horizontal="left" vertical="center" wrapText="1"/>
      <protection locked="0"/>
    </xf>
    <xf numFmtId="0" fontId="46" fillId="5" borderId="30" xfId="0" applyFont="1" applyFill="1" applyBorder="1" applyAlignment="1" applyProtection="1">
      <alignment horizontal="left" vertical="center" wrapText="1"/>
      <protection locked="0"/>
    </xf>
    <xf numFmtId="0" fontId="46" fillId="5" borderId="21" xfId="0" applyFont="1" applyFill="1" applyBorder="1" applyAlignment="1" applyProtection="1">
      <alignment horizontal="left" vertical="center" wrapText="1"/>
      <protection locked="0"/>
    </xf>
    <xf numFmtId="0" fontId="46" fillId="5" borderId="31" xfId="0" applyFont="1" applyFill="1" applyBorder="1" applyAlignment="1" applyProtection="1">
      <alignment horizontal="left" vertical="center" wrapText="1"/>
      <protection locked="0"/>
    </xf>
    <xf numFmtId="38" fontId="46" fillId="5" borderId="17" xfId="0" applyNumberFormat="1" applyFont="1" applyFill="1" applyBorder="1" applyAlignment="1" applyProtection="1">
      <alignment horizontal="right" vertical="center"/>
      <protection locked="0"/>
    </xf>
    <xf numFmtId="0" fontId="46" fillId="5" borderId="17" xfId="0" applyFont="1" applyFill="1" applyBorder="1" applyAlignment="1" applyProtection="1">
      <alignment horizontal="left" vertical="center" wrapText="1"/>
      <protection locked="0"/>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0" fontId="42" fillId="0" borderId="0" xfId="0" applyFont="1" applyFill="1" applyAlignment="1" applyProtection="1">
      <alignment horizontal="left" vertical="top" wrapText="1"/>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protection locked="0"/>
    </xf>
    <xf numFmtId="0" fontId="42" fillId="5" borderId="86" xfId="0" applyFont="1" applyFill="1" applyBorder="1" applyAlignment="1" applyProtection="1">
      <alignment horizontal="left" vertical="top" wrapText="1"/>
      <protection locked="0"/>
    </xf>
    <xf numFmtId="38" fontId="46" fillId="5" borderId="16" xfId="0" applyNumberFormat="1" applyFont="1" applyFill="1" applyBorder="1" applyAlignment="1" applyProtection="1">
      <alignment horizontal="right" vertical="center"/>
      <protection locked="0"/>
    </xf>
    <xf numFmtId="0" fontId="46" fillId="5" borderId="16" xfId="0" applyFont="1" applyFill="1" applyBorder="1" applyAlignment="1" applyProtection="1">
      <alignment vertical="center"/>
      <protection locked="0"/>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0" fontId="46" fillId="5" borderId="28" xfId="0" applyFont="1" applyFill="1" applyBorder="1" applyAlignment="1" applyProtection="1">
      <alignment horizontal="left" vertical="center" wrapText="1"/>
      <protection locked="0"/>
    </xf>
    <xf numFmtId="0" fontId="46" fillId="5" borderId="57" xfId="0" applyFont="1" applyFill="1" applyBorder="1" applyAlignment="1" applyProtection="1">
      <alignment horizontal="left" vertical="center" wrapText="1"/>
      <protection locked="0"/>
    </xf>
    <xf numFmtId="0" fontId="46" fillId="5" borderId="29" xfId="0" applyFont="1" applyFill="1" applyBorder="1" applyAlignment="1" applyProtection="1">
      <alignment horizontal="left" vertical="center" wrapText="1"/>
      <protection locked="0"/>
    </xf>
    <xf numFmtId="38" fontId="46" fillId="5" borderId="22" xfId="0" applyNumberFormat="1" applyFont="1" applyFill="1" applyBorder="1" applyAlignment="1" applyProtection="1">
      <alignment horizontal="right" vertical="center"/>
      <protection locked="0"/>
    </xf>
    <xf numFmtId="0" fontId="46" fillId="5" borderId="22" xfId="0" applyFont="1" applyFill="1" applyBorder="1" applyAlignment="1" applyProtection="1">
      <alignment vertical="center"/>
      <protection locked="0"/>
    </xf>
    <xf numFmtId="0" fontId="42" fillId="13" borderId="43" xfId="0" applyFont="1" applyFill="1" applyBorder="1" applyAlignment="1" applyProtection="1">
      <alignment horizontal="left" vertical="top" wrapText="1"/>
      <protection locked="0"/>
    </xf>
    <xf numFmtId="0" fontId="42" fillId="13" borderId="39" xfId="0" applyFont="1" applyFill="1" applyBorder="1" applyAlignment="1" applyProtection="1">
      <alignment horizontal="left" vertical="top" wrapText="1"/>
      <protection locked="0"/>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5" borderId="17" xfId="0" applyFont="1" applyFill="1" applyBorder="1" applyAlignment="1" applyProtection="1">
      <alignment vertical="center"/>
      <protection locked="0"/>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protection locked="0"/>
    </xf>
    <xf numFmtId="38" fontId="46" fillId="0" borderId="41" xfId="2" applyNumberFormat="1" applyFont="1" applyFill="1" applyBorder="1" applyAlignment="1" applyProtection="1">
      <alignment horizontal="right" vertical="center"/>
      <protection locked="0"/>
    </xf>
    <xf numFmtId="38" fontId="46" fillId="6" borderId="17" xfId="2" applyNumberFormat="1" applyFont="1" applyFill="1" applyBorder="1" applyAlignment="1" applyProtection="1">
      <alignment horizontal="center" vertical="center"/>
      <protection locked="0"/>
    </xf>
    <xf numFmtId="3" fontId="46" fillId="10" borderId="18" xfId="0" applyNumberFormat="1" applyFont="1" applyFill="1" applyBorder="1" applyAlignment="1" applyProtection="1">
      <alignment horizontal="right" vertical="center"/>
      <protection locked="0"/>
    </xf>
    <xf numFmtId="3" fontId="46" fillId="10" borderId="18" xfId="0" applyNumberFormat="1" applyFont="1" applyFill="1" applyBorder="1" applyAlignment="1" applyProtection="1">
      <alignment vertical="center"/>
      <protection locked="0"/>
    </xf>
    <xf numFmtId="38" fontId="46" fillId="6" borderId="78" xfId="2" applyNumberFormat="1" applyFont="1" applyFill="1" applyBorder="1" applyAlignment="1" applyProtection="1">
      <alignment horizontal="center" vertical="center"/>
      <protection locked="0"/>
    </xf>
    <xf numFmtId="38" fontId="46" fillId="6" borderId="79" xfId="2" applyNumberFormat="1" applyFont="1" applyFill="1" applyBorder="1" applyAlignment="1" applyProtection="1">
      <alignment horizontal="center" vertical="center"/>
      <protection locked="0"/>
    </xf>
    <xf numFmtId="0" fontId="46" fillId="5" borderId="78" xfId="0" applyFont="1" applyFill="1" applyBorder="1" applyAlignment="1" applyProtection="1">
      <alignment horizontal="center" vertical="center"/>
      <protection locked="0"/>
    </xf>
    <xf numFmtId="0" fontId="46" fillId="5" borderId="79" xfId="0" applyFont="1" applyFill="1" applyBorder="1" applyAlignment="1" applyProtection="1">
      <alignment horizontal="center" vertical="center"/>
      <protection locked="0"/>
    </xf>
    <xf numFmtId="0" fontId="46" fillId="5" borderId="78" xfId="0" applyFont="1" applyFill="1" applyBorder="1" applyAlignment="1" applyProtection="1">
      <alignment horizontal="left" vertical="center" wrapText="1"/>
      <protection locked="0"/>
    </xf>
    <xf numFmtId="0" fontId="46" fillId="5" borderId="79" xfId="0" applyFont="1" applyFill="1" applyBorder="1" applyAlignment="1" applyProtection="1">
      <alignment horizontal="left" vertical="center" wrapText="1"/>
      <protection locked="0"/>
    </xf>
    <xf numFmtId="38" fontId="46" fillId="5" borderId="30" xfId="0" applyNumberFormat="1" applyFont="1" applyFill="1" applyBorder="1" applyAlignment="1" applyProtection="1">
      <alignment horizontal="right" vertical="center"/>
      <protection locked="0"/>
    </xf>
    <xf numFmtId="38" fontId="46" fillId="5" borderId="31" xfId="0" applyNumberFormat="1" applyFont="1" applyFill="1" applyBorder="1" applyAlignment="1" applyProtection="1">
      <alignment horizontal="right" vertical="center"/>
      <protection locked="0"/>
    </xf>
    <xf numFmtId="38" fontId="46" fillId="6" borderId="18" xfId="2" applyNumberFormat="1" applyFont="1" applyFill="1" applyBorder="1" applyAlignment="1" applyProtection="1">
      <alignment horizontal="center" vertical="center"/>
      <protection locked="0"/>
    </xf>
    <xf numFmtId="0" fontId="46" fillId="5" borderId="18" xfId="0" applyFont="1" applyFill="1" applyBorder="1" applyAlignment="1" applyProtection="1">
      <alignment horizontal="center" vertical="center"/>
      <protection locked="0"/>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protection locked="0"/>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46" fillId="0" borderId="13" xfId="0" applyFont="1" applyBorder="1" applyAlignment="1">
      <alignment horizontal="center" wrapText="1"/>
    </xf>
    <xf numFmtId="0" fontId="9" fillId="0" borderId="0" xfId="0" applyFont="1" applyFill="1" applyAlignment="1" applyProtection="1">
      <alignment horizontal="left"/>
    </xf>
    <xf numFmtId="0" fontId="46" fillId="5" borderId="17" xfId="0" applyFont="1" applyFill="1" applyBorder="1" applyAlignment="1" applyProtection="1">
      <alignment horizontal="center" vertical="center"/>
      <protection locked="0"/>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16" xfId="0" applyFont="1" applyFill="1" applyBorder="1" applyAlignment="1" applyProtection="1">
      <alignment horizontal="center" vertical="center"/>
      <protection locked="0"/>
    </xf>
    <xf numFmtId="164" fontId="46" fillId="5" borderId="30" xfId="1" applyNumberFormat="1" applyFont="1" applyFill="1" applyBorder="1" applyAlignment="1" applyProtection="1">
      <alignment horizontal="right" vertical="center"/>
      <protection locked="0"/>
    </xf>
    <xf numFmtId="164" fontId="46" fillId="5" borderId="31" xfId="1" applyNumberFormat="1" applyFont="1" applyFill="1" applyBorder="1" applyAlignment="1" applyProtection="1">
      <alignment horizontal="right" vertical="center"/>
      <protection locked="0"/>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4" fontId="46" fillId="5" borderId="33" xfId="1" applyNumberFormat="1" applyFont="1" applyFill="1" applyBorder="1" applyAlignment="1" applyProtection="1">
      <alignment horizontal="right" vertical="center"/>
      <protection locked="0"/>
    </xf>
    <xf numFmtId="164" fontId="46" fillId="5" borderId="34" xfId="1" applyNumberFormat="1" applyFont="1" applyFill="1" applyBorder="1" applyAlignment="1" applyProtection="1">
      <alignment horizontal="right" vertical="center"/>
      <protection locked="0"/>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protection locked="0"/>
    </xf>
    <xf numFmtId="38" fontId="54" fillId="11" borderId="37" xfId="2" applyNumberFormat="1" applyFont="1" applyFill="1" applyBorder="1" applyAlignment="1" applyProtection="1">
      <alignment horizontal="right" vertical="center"/>
      <protection locked="0"/>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164" fontId="46" fillId="5" borderId="28" xfId="1" applyNumberFormat="1" applyFont="1" applyFill="1" applyBorder="1" applyAlignment="1" applyProtection="1">
      <alignment horizontal="right" vertical="center"/>
      <protection locked="0"/>
    </xf>
    <xf numFmtId="164" fontId="46" fillId="5" borderId="29" xfId="1" applyNumberFormat="1" applyFont="1" applyFill="1" applyBorder="1" applyAlignment="1" applyProtection="1">
      <alignment horizontal="right" vertical="center"/>
      <protection locked="0"/>
    </xf>
    <xf numFmtId="166" fontId="46" fillId="5" borderId="28" xfId="10" applyNumberFormat="1" applyFont="1" applyFill="1" applyBorder="1" applyAlignment="1" applyProtection="1">
      <alignment horizontal="center" vertical="center"/>
      <protection locked="0"/>
    </xf>
    <xf numFmtId="166" fontId="46" fillId="5" borderId="29" xfId="10" applyNumberFormat="1" applyFont="1" applyFill="1" applyBorder="1" applyAlignment="1" applyProtection="1">
      <alignment horizontal="center" vertical="center"/>
      <protection locked="0"/>
    </xf>
    <xf numFmtId="3" fontId="46" fillId="5" borderId="28" xfId="1" applyNumberFormat="1" applyFont="1" applyFill="1" applyBorder="1" applyAlignment="1" applyProtection="1">
      <alignment horizontal="center" vertical="center"/>
      <protection locked="0"/>
    </xf>
    <xf numFmtId="3" fontId="46" fillId="5" borderId="29" xfId="1" applyNumberFormat="1" applyFont="1" applyFill="1" applyBorder="1" applyAlignment="1" applyProtection="1">
      <alignment horizontal="center" vertical="center"/>
      <protection locked="0"/>
    </xf>
    <xf numFmtId="0" fontId="46" fillId="5" borderId="27" xfId="0" applyFont="1" applyFill="1" applyBorder="1" applyAlignment="1" applyProtection="1">
      <alignment horizontal="left" vertical="center" wrapText="1"/>
      <protection locked="0"/>
    </xf>
    <xf numFmtId="0" fontId="46" fillId="5" borderId="20" xfId="0" applyFont="1" applyFill="1" applyBorder="1" applyAlignment="1" applyProtection="1">
      <alignment horizontal="left" vertical="center" wrapText="1"/>
      <protection locked="0"/>
    </xf>
    <xf numFmtId="0" fontId="46" fillId="5" borderId="92" xfId="0" applyFont="1" applyFill="1" applyBorder="1" applyAlignment="1" applyProtection="1">
      <alignment horizontal="left" vertical="center" wrapText="1"/>
      <protection locked="0"/>
    </xf>
    <xf numFmtId="164" fontId="46" fillId="5" borderId="27" xfId="1" applyNumberFormat="1" applyFont="1" applyFill="1" applyBorder="1" applyAlignment="1" applyProtection="1">
      <alignment horizontal="right" vertical="center"/>
      <protection locked="0"/>
    </xf>
    <xf numFmtId="164" fontId="46" fillId="5" borderId="92" xfId="1" applyNumberFormat="1" applyFont="1" applyFill="1" applyBorder="1" applyAlignment="1" applyProtection="1">
      <alignment horizontal="right" vertical="center"/>
      <protection locked="0"/>
    </xf>
    <xf numFmtId="166" fontId="46" fillId="5" borderId="30" xfId="10" applyNumberFormat="1" applyFont="1" applyFill="1" applyBorder="1" applyAlignment="1" applyProtection="1">
      <alignment horizontal="center" vertical="center"/>
      <protection locked="0"/>
    </xf>
    <xf numFmtId="166" fontId="46" fillId="5" borderId="31" xfId="10" applyNumberFormat="1" applyFont="1" applyFill="1" applyBorder="1" applyAlignment="1" applyProtection="1">
      <alignment horizontal="center" vertical="center"/>
      <protection locked="0"/>
    </xf>
    <xf numFmtId="3" fontId="46" fillId="5" borderId="30" xfId="0" applyNumberFormat="1" applyFont="1" applyFill="1" applyBorder="1" applyAlignment="1" applyProtection="1">
      <alignment horizontal="center" vertical="center"/>
      <protection locked="0"/>
    </xf>
    <xf numFmtId="3" fontId="46" fillId="5" borderId="31" xfId="0" applyNumberFormat="1" applyFont="1" applyFill="1" applyBorder="1" applyAlignment="1" applyProtection="1">
      <alignment horizontal="center" vertical="center"/>
      <protection locked="0"/>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88" fillId="12" borderId="0" xfId="0" applyFont="1" applyFill="1" applyAlignment="1" applyProtection="1">
      <alignment horizontal="center" vertical="center"/>
    </xf>
    <xf numFmtId="3" fontId="46" fillId="10" borderId="78" xfId="0" applyNumberFormat="1" applyFont="1" applyFill="1" applyBorder="1" applyAlignment="1" applyProtection="1">
      <alignment horizontal="left" vertical="center"/>
      <protection locked="0"/>
    </xf>
    <xf numFmtId="3" fontId="46" fillId="10" borderId="79" xfId="0" applyNumberFormat="1" applyFont="1" applyFill="1" applyBorder="1" applyAlignment="1" applyProtection="1">
      <alignment horizontal="left" vertical="center"/>
      <protection locked="0"/>
    </xf>
    <xf numFmtId="0" fontId="42" fillId="10" borderId="78" xfId="0" applyFont="1" applyFill="1" applyBorder="1" applyAlignment="1" applyProtection="1">
      <alignment horizontal="left" vertical="center"/>
      <protection locked="0"/>
    </xf>
    <xf numFmtId="0" fontId="42" fillId="10" borderId="82" xfId="0" applyFont="1" applyFill="1" applyBorder="1" applyAlignment="1" applyProtection="1">
      <alignment horizontal="left" vertical="center"/>
      <protection locked="0"/>
    </xf>
    <xf numFmtId="0" fontId="42" fillId="10" borderId="79" xfId="0" applyFont="1" applyFill="1" applyBorder="1" applyAlignment="1" applyProtection="1">
      <alignment horizontal="left" vertical="center"/>
      <protection locked="0"/>
    </xf>
    <xf numFmtId="37" fontId="46"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6"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2" fillId="5" borderId="134" xfId="0" applyFont="1" applyFill="1" applyBorder="1" applyAlignment="1" applyProtection="1">
      <alignment horizontal="left" vertical="center"/>
      <protection locked="0"/>
    </xf>
    <xf numFmtId="0" fontId="42" fillId="10" borderId="33" xfId="0" applyFont="1" applyFill="1" applyBorder="1" applyAlignment="1" applyProtection="1">
      <alignment horizontal="left" vertical="center"/>
      <protection locked="0"/>
    </xf>
    <xf numFmtId="0" fontId="42" fillId="10" borderId="58" xfId="0" applyFont="1" applyFill="1" applyBorder="1" applyAlignment="1" applyProtection="1">
      <alignment horizontal="left" vertical="center"/>
      <protection locked="0"/>
    </xf>
    <xf numFmtId="0" fontId="42" fillId="10" borderId="34" xfId="0" applyFont="1" applyFill="1" applyBorder="1" applyAlignment="1" applyProtection="1">
      <alignment horizontal="left" vertical="center"/>
      <protection locked="0"/>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2" fillId="10" borderId="9" xfId="0" applyFont="1" applyFill="1" applyBorder="1" applyAlignment="1" applyProtection="1">
      <alignment horizontal="left" vertical="center"/>
      <protection locked="0"/>
    </xf>
    <xf numFmtId="0" fontId="42" fillId="10" borderId="13" xfId="0" applyFont="1" applyFill="1" applyBorder="1" applyAlignment="1" applyProtection="1">
      <alignment horizontal="left" vertical="center"/>
      <protection locked="0"/>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166" fontId="46" fillId="5" borderId="33" xfId="10" applyNumberFormat="1" applyFont="1" applyFill="1" applyBorder="1" applyAlignment="1" applyProtection="1">
      <alignment horizontal="center" vertical="center"/>
      <protection locked="0"/>
    </xf>
    <xf numFmtId="166" fontId="46" fillId="5" borderId="34" xfId="10" applyNumberFormat="1" applyFont="1" applyFill="1" applyBorder="1" applyAlignment="1" applyProtection="1">
      <alignment horizontal="center" vertical="center"/>
      <protection locked="0"/>
    </xf>
    <xf numFmtId="3" fontId="46" fillId="5" borderId="33" xfId="0" applyNumberFormat="1" applyFont="1" applyFill="1" applyBorder="1" applyAlignment="1" applyProtection="1">
      <alignment horizontal="center" vertical="center"/>
      <protection locked="0"/>
    </xf>
    <xf numFmtId="3" fontId="46" fillId="5" borderId="34" xfId="0" applyNumberFormat="1" applyFont="1" applyFill="1" applyBorder="1" applyAlignment="1" applyProtection="1">
      <alignment horizontal="center" vertical="center"/>
      <protection locked="0"/>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9" fillId="0" borderId="13" xfId="0" applyFont="1" applyBorder="1" applyAlignment="1" applyProtection="1">
      <alignment horizontal="center" vertical="center" wrapText="1"/>
    </xf>
    <xf numFmtId="0" fontId="20"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3"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110" fillId="0" borderId="0" xfId="0" applyFont="1" applyFill="1" applyAlignment="1" applyProtection="1">
      <alignment horizontal="center" vertical="center"/>
    </xf>
    <xf numFmtId="0" fontId="14" fillId="13" borderId="77" xfId="0" applyFont="1" applyFill="1" applyBorder="1" applyAlignment="1" applyProtection="1">
      <alignment horizontal="left" vertical="top" wrapText="1"/>
      <protection locked="0"/>
    </xf>
    <xf numFmtId="0" fontId="14" fillId="13" borderId="74" xfId="0" applyFont="1" applyFill="1" applyBorder="1" applyAlignment="1" applyProtection="1">
      <alignment horizontal="left" vertical="top" wrapText="1"/>
      <protection locked="0"/>
    </xf>
    <xf numFmtId="0" fontId="14" fillId="13" borderId="93" xfId="0" applyFont="1" applyFill="1" applyBorder="1" applyAlignment="1" applyProtection="1">
      <alignment horizontal="left" vertical="top" wrapText="1"/>
      <protection locked="0"/>
    </xf>
    <xf numFmtId="0" fontId="14" fillId="13" borderId="76" xfId="0" applyFont="1" applyFill="1" applyBorder="1" applyAlignment="1" applyProtection="1">
      <alignment horizontal="left" vertical="top" wrapText="1"/>
      <protection locked="0"/>
    </xf>
    <xf numFmtId="0" fontId="4" fillId="13" borderId="140" xfId="0" applyFont="1" applyFill="1" applyBorder="1" applyAlignment="1" applyProtection="1">
      <alignment horizontal="left" vertical="top" wrapText="1"/>
      <protection locked="0"/>
    </xf>
    <xf numFmtId="0" fontId="4" fillId="13" borderId="139"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3" fillId="0" borderId="7" xfId="0"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protection locked="0"/>
    </xf>
    <xf numFmtId="0" fontId="43" fillId="10" borderId="85" xfId="0" applyFont="1" applyFill="1" applyBorder="1" applyAlignment="1" applyProtection="1">
      <alignment horizontal="center" vertical="center" wrapText="1"/>
      <protection locked="0"/>
    </xf>
    <xf numFmtId="0" fontId="43" fillId="10" borderId="81" xfId="0" applyFont="1" applyFill="1" applyBorder="1" applyAlignment="1" applyProtection="1">
      <alignment horizontal="center" vertical="center" wrapText="1"/>
      <protection locked="0"/>
    </xf>
    <xf numFmtId="0" fontId="43" fillId="10" borderId="7" xfId="0" applyFont="1" applyFill="1" applyBorder="1" applyAlignment="1" applyProtection="1">
      <alignment horizontal="center" vertical="center" wrapText="1"/>
      <protection locked="0"/>
    </xf>
    <xf numFmtId="0" fontId="43" fillId="10" borderId="0" xfId="0" applyFont="1" applyFill="1" applyBorder="1" applyAlignment="1" applyProtection="1">
      <alignment horizontal="center" vertical="center" wrapText="1"/>
      <protection locked="0"/>
    </xf>
    <xf numFmtId="0" fontId="43" fillId="10" borderId="8" xfId="0" applyFont="1" applyFill="1" applyBorder="1" applyAlignment="1" applyProtection="1">
      <alignment horizontal="center" vertical="center" wrapText="1"/>
      <protection locked="0"/>
    </xf>
    <xf numFmtId="0" fontId="43" fillId="10" borderId="9" xfId="0" applyFont="1" applyFill="1" applyBorder="1" applyAlignment="1" applyProtection="1">
      <alignment horizontal="center" vertical="center" wrapText="1"/>
      <protection locked="0"/>
    </xf>
    <xf numFmtId="0" fontId="43" fillId="10" borderId="13" xfId="0" applyFont="1" applyFill="1" applyBorder="1" applyAlignment="1" applyProtection="1">
      <alignment horizontal="center" vertical="center" wrapText="1"/>
      <protection locked="0"/>
    </xf>
    <xf numFmtId="0" fontId="43" fillId="10" borderId="14" xfId="0" applyFont="1" applyFill="1" applyBorder="1" applyAlignment="1" applyProtection="1">
      <alignment horizontal="center" vertical="center" wrapText="1"/>
      <protection locked="0"/>
    </xf>
    <xf numFmtId="0" fontId="14" fillId="13" borderId="96" xfId="0" applyFont="1" applyFill="1" applyBorder="1" applyAlignment="1" applyProtection="1">
      <alignment horizontal="left" vertical="top" wrapText="1"/>
      <protection locked="0"/>
    </xf>
    <xf numFmtId="0" fontId="14" fillId="13" borderId="75" xfId="0" applyFont="1" applyFill="1" applyBorder="1" applyAlignment="1" applyProtection="1">
      <alignment horizontal="left" vertical="top" wrapText="1"/>
      <protection locked="0"/>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protection locked="0"/>
    </xf>
    <xf numFmtId="0" fontId="66" fillId="0" borderId="62" xfId="0" applyFont="1" applyFill="1" applyBorder="1" applyAlignment="1" applyProtection="1">
      <alignment horizontal="center" vertical="center" wrapText="1"/>
    </xf>
    <xf numFmtId="0" fontId="66" fillId="0" borderId="70" xfId="0" applyFont="1" applyFill="1" applyBorder="1" applyAlignment="1" applyProtection="1">
      <alignment horizontal="center" vertical="center" wrapText="1"/>
    </xf>
    <xf numFmtId="0" fontId="66" fillId="0" borderId="63" xfId="0" applyFont="1" applyFill="1" applyBorder="1" applyAlignment="1" applyProtection="1">
      <alignment horizontal="center" vertical="center" wrapText="1"/>
    </xf>
    <xf numFmtId="0" fontId="66" fillId="0" borderId="44" xfId="0" applyFont="1" applyFill="1" applyBorder="1" applyAlignment="1" applyProtection="1">
      <alignment horizontal="center" vertical="center" wrapText="1"/>
    </xf>
    <xf numFmtId="0" fontId="66" fillId="0" borderId="0" xfId="0" applyFont="1" applyFill="1" applyBorder="1" applyAlignment="1" applyProtection="1">
      <alignment horizontal="center" vertical="center" wrapText="1"/>
    </xf>
    <xf numFmtId="0" fontId="66" fillId="0" borderId="47" xfId="0" applyFont="1" applyFill="1" applyBorder="1" applyAlignment="1" applyProtection="1">
      <alignment horizontal="center" vertical="center" wrapText="1"/>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0" fontId="54" fillId="0" borderId="0" xfId="0" applyFont="1" applyFill="1" applyAlignment="1" applyProtection="1">
      <alignment horizontal="left"/>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protection locked="0"/>
    </xf>
    <xf numFmtId="10" fontId="46" fillId="5" borderId="37" xfId="0" applyNumberFormat="1" applyFont="1" applyFill="1" applyBorder="1" applyAlignment="1" applyProtection="1">
      <alignment horizontal="center" vertical="center"/>
      <protection locked="0"/>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protection locked="0"/>
    </xf>
    <xf numFmtId="170" fontId="46" fillId="5" borderId="37" xfId="0" applyNumberFormat="1" applyFont="1" applyFill="1" applyBorder="1" applyAlignment="1" applyProtection="1">
      <alignment horizontal="center" vertical="center"/>
      <protection locked="0"/>
    </xf>
    <xf numFmtId="38" fontId="54" fillId="0" borderId="1" xfId="0" applyNumberFormat="1" applyFont="1" applyFill="1" applyBorder="1" applyAlignment="1" applyProtection="1">
      <alignment horizontal="center" vertical="center"/>
    </xf>
    <xf numFmtId="38" fontId="54" fillId="0" borderId="36"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38" fontId="54" fillId="0" borderId="37" xfId="0" applyNumberFormat="1" applyFont="1" applyFill="1" applyBorder="1" applyAlignment="1" applyProtection="1">
      <alignment horizontal="center" vertical="center"/>
    </xf>
    <xf numFmtId="38" fontId="46" fillId="11" borderId="36" xfId="0" applyNumberFormat="1" applyFont="1" applyFill="1" applyBorder="1" applyAlignment="1" applyProtection="1">
      <alignment horizontal="center" vertical="center"/>
      <protection locked="0"/>
    </xf>
    <xf numFmtId="38" fontId="46" fillId="11" borderId="2" xfId="0" applyNumberFormat="1" applyFont="1" applyFill="1" applyBorder="1" applyAlignment="1" applyProtection="1">
      <alignment horizontal="center" vertical="center"/>
      <protection locked="0"/>
    </xf>
    <xf numFmtId="38" fontId="46" fillId="11" borderId="82" xfId="0" applyNumberFormat="1" applyFont="1" applyFill="1" applyBorder="1" applyAlignment="1" applyProtection="1">
      <alignment horizontal="center" vertical="center"/>
      <protection locked="0"/>
    </xf>
    <xf numFmtId="38" fontId="46" fillId="0" borderId="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protection locked="0"/>
    </xf>
    <xf numFmtId="38" fontId="54" fillId="10" borderId="2" xfId="0" applyNumberFormat="1" applyFont="1" applyFill="1" applyBorder="1" applyAlignment="1" applyProtection="1">
      <alignment horizontal="center" vertical="center"/>
      <protection locked="0"/>
    </xf>
    <xf numFmtId="38" fontId="54" fillId="10" borderId="37" xfId="0" applyNumberFormat="1" applyFont="1" applyFill="1" applyBorder="1" applyAlignment="1" applyProtection="1">
      <alignment horizontal="center" vertical="center"/>
      <protection locked="0"/>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38" fontId="54" fillId="5" borderId="28" xfId="0" applyNumberFormat="1" applyFont="1" applyFill="1" applyBorder="1" applyAlignment="1" applyProtection="1">
      <alignment horizontal="center" vertical="center"/>
      <protection locked="0"/>
    </xf>
    <xf numFmtId="38" fontId="54" fillId="5" borderId="29" xfId="0" applyNumberFormat="1" applyFont="1" applyFill="1" applyBorder="1" applyAlignment="1" applyProtection="1">
      <alignment horizontal="center" vertical="center"/>
      <protection locked="0"/>
    </xf>
    <xf numFmtId="38" fontId="54" fillId="5" borderId="30" xfId="0" applyNumberFormat="1" applyFont="1" applyFill="1" applyBorder="1" applyAlignment="1" applyProtection="1">
      <alignment horizontal="center" vertical="center"/>
      <protection locked="0"/>
    </xf>
    <xf numFmtId="38" fontId="54" fillId="5" borderId="31" xfId="0" applyNumberFormat="1" applyFont="1" applyFill="1" applyBorder="1" applyAlignment="1" applyProtection="1">
      <alignment horizontal="center" vertical="center"/>
      <protection locked="0"/>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protection locked="0"/>
    </xf>
    <xf numFmtId="0" fontId="46" fillId="5" borderId="13" xfId="0" applyFont="1" applyFill="1" applyBorder="1" applyAlignment="1" applyProtection="1">
      <alignment horizontal="left" vertical="center" wrapText="1"/>
      <protection locked="0"/>
    </xf>
    <xf numFmtId="0" fontId="46" fillId="5" borderId="14" xfId="0" applyFont="1" applyFill="1" applyBorder="1" applyAlignment="1" applyProtection="1">
      <alignment horizontal="left" vertical="center" wrapText="1"/>
      <protection locked="0"/>
    </xf>
    <xf numFmtId="38" fontId="54" fillId="5" borderId="33" xfId="0" applyNumberFormat="1" applyFont="1" applyFill="1" applyBorder="1" applyAlignment="1" applyProtection="1">
      <alignment horizontal="center" vertical="center"/>
      <protection locked="0"/>
    </xf>
    <xf numFmtId="38" fontId="54" fillId="5" borderId="34" xfId="0" applyNumberFormat="1" applyFont="1" applyFill="1" applyBorder="1" applyAlignment="1" applyProtection="1">
      <alignment horizontal="center" vertical="center"/>
      <protection locked="0"/>
    </xf>
    <xf numFmtId="0" fontId="42" fillId="5" borderId="13" xfId="0" applyFont="1" applyFill="1" applyBorder="1" applyAlignment="1" applyProtection="1">
      <alignment horizontal="left" vertical="center" wrapText="1"/>
      <protection locked="0"/>
    </xf>
    <xf numFmtId="0" fontId="42" fillId="5" borderId="14" xfId="0" applyFont="1" applyFill="1" applyBorder="1" applyAlignment="1" applyProtection="1">
      <alignment horizontal="left" vertical="center" wrapText="1"/>
      <protection locked="0"/>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37" fontId="46" fillId="0" borderId="60" xfId="1" applyNumberFormat="1" applyFont="1" applyFill="1" applyBorder="1" applyAlignment="1" applyProtection="1">
      <alignment horizontal="right" vertical="center"/>
    </xf>
    <xf numFmtId="37" fontId="46" fillId="0" borderId="61" xfId="1" applyNumberFormat="1" applyFont="1" applyFill="1" applyBorder="1" applyAlignment="1" applyProtection="1">
      <alignment horizontal="right" vertical="center"/>
    </xf>
    <xf numFmtId="164" fontId="46" fillId="5" borderId="113" xfId="1" applyNumberFormat="1" applyFont="1" applyFill="1" applyBorder="1" applyAlignment="1" applyProtection="1">
      <alignment horizontal="right" vertical="center"/>
      <protection locked="0"/>
    </xf>
    <xf numFmtId="164" fontId="46" fillId="5" borderId="114" xfId="1" applyNumberFormat="1" applyFont="1" applyFill="1" applyBorder="1" applyAlignment="1" applyProtection="1">
      <alignment horizontal="right" vertical="center"/>
      <protection locked="0"/>
    </xf>
    <xf numFmtId="164" fontId="46" fillId="5" borderId="86" xfId="1" applyNumberFormat="1" applyFont="1" applyFill="1" applyBorder="1" applyAlignment="1" applyProtection="1">
      <alignment horizontal="right" vertical="center"/>
      <protection locked="0"/>
    </xf>
    <xf numFmtId="164" fontId="46" fillId="5" borderId="78" xfId="1" applyNumberFormat="1" applyFont="1" applyFill="1" applyBorder="1" applyAlignment="1" applyProtection="1">
      <alignment horizontal="right" vertical="center"/>
      <protection locked="0"/>
    </xf>
    <xf numFmtId="164" fontId="46" fillId="5" borderId="79" xfId="1" applyNumberFormat="1" applyFont="1" applyFill="1" applyBorder="1" applyAlignment="1" applyProtection="1">
      <alignment horizontal="right" vertical="center"/>
      <protection locked="0"/>
    </xf>
    <xf numFmtId="164" fontId="46" fillId="0" borderId="0" xfId="1" applyNumberFormat="1" applyFont="1" applyFill="1" applyBorder="1" applyAlignment="1" applyProtection="1">
      <alignment horizontal="center" vertical="center"/>
    </xf>
    <xf numFmtId="0" fontId="42" fillId="5" borderId="20" xfId="0" applyFont="1" applyFill="1" applyBorder="1" applyAlignment="1" applyProtection="1">
      <alignment horizontal="left" vertical="center" wrapText="1"/>
      <protection locked="0"/>
    </xf>
    <xf numFmtId="0" fontId="42" fillId="5" borderId="92" xfId="0" applyFont="1" applyFill="1" applyBorder="1" applyAlignment="1" applyProtection="1">
      <alignment horizontal="left" vertical="center" wrapText="1"/>
      <protection locked="0"/>
    </xf>
    <xf numFmtId="0" fontId="42" fillId="5" borderId="58" xfId="0" applyFont="1" applyFill="1" applyBorder="1" applyAlignment="1" applyProtection="1">
      <alignment horizontal="left" vertical="center" wrapText="1"/>
      <protection locked="0"/>
    </xf>
    <xf numFmtId="0" fontId="42" fillId="5" borderId="34" xfId="0" applyFont="1" applyFill="1" applyBorder="1" applyAlignment="1" applyProtection="1">
      <alignment horizontal="left" vertical="center" wrapText="1"/>
      <protection locked="0"/>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protection locked="0"/>
    </xf>
    <xf numFmtId="164" fontId="46" fillId="5" borderId="37" xfId="1" applyNumberFormat="1" applyFont="1" applyFill="1" applyBorder="1" applyAlignment="1" applyProtection="1">
      <alignment horizontal="right" vertical="center"/>
      <protection locked="0"/>
    </xf>
    <xf numFmtId="4" fontId="63" fillId="0" borderId="9" xfId="0" applyNumberFormat="1" applyFont="1" applyFill="1" applyBorder="1" applyAlignment="1" applyProtection="1">
      <alignment horizontal="left" vertical="center"/>
    </xf>
    <xf numFmtId="4" fontId="63" fillId="0" borderId="14" xfId="0" applyNumberFormat="1" applyFont="1" applyFill="1" applyBorder="1" applyAlignment="1" applyProtection="1">
      <alignment horizontal="left" vertical="center"/>
    </xf>
    <xf numFmtId="4" fontId="63" fillId="0" borderId="13" xfId="1" applyNumberFormat="1" applyFont="1" applyFill="1" applyBorder="1" applyAlignment="1" applyProtection="1">
      <alignment horizontal="right" vertical="center"/>
    </xf>
    <xf numFmtId="0" fontId="52" fillId="0" borderId="13"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protection locked="0"/>
    </xf>
    <xf numFmtId="0" fontId="14" fillId="13" borderId="39" xfId="0" applyFont="1" applyFill="1" applyBorder="1" applyAlignment="1" applyProtection="1">
      <alignment horizontal="left" vertical="top" wrapText="1"/>
      <protection locked="0"/>
    </xf>
    <xf numFmtId="0" fontId="14" fillId="13" borderId="40" xfId="0" applyFont="1" applyFill="1" applyBorder="1" applyAlignment="1" applyProtection="1">
      <alignment horizontal="left" vertical="top" wrapText="1"/>
      <protection locked="0"/>
    </xf>
    <xf numFmtId="0" fontId="14" fillId="13" borderId="41" xfId="0" applyFont="1" applyFill="1" applyBorder="1" applyAlignment="1" applyProtection="1">
      <alignment horizontal="left" vertical="top" wrapText="1"/>
      <protection locked="0"/>
    </xf>
    <xf numFmtId="0" fontId="14" fillId="13" borderId="42" xfId="0" applyFont="1" applyFill="1" applyBorder="1" applyAlignment="1" applyProtection="1">
      <alignment horizontal="left" vertical="top" wrapText="1"/>
      <protection locked="0"/>
    </xf>
    <xf numFmtId="0" fontId="14" fillId="13" borderId="59" xfId="0" applyFont="1" applyFill="1" applyBorder="1" applyAlignment="1" applyProtection="1">
      <alignment horizontal="left" vertical="top" wrapText="1"/>
      <protection locked="0"/>
    </xf>
    <xf numFmtId="0" fontId="54" fillId="0" borderId="80" xfId="0" applyFont="1" applyFill="1" applyBorder="1" applyAlignment="1" applyProtection="1">
      <alignment horizontal="center" vertical="center" wrapText="1"/>
    </xf>
    <xf numFmtId="0" fontId="54" fillId="0" borderId="9" xfId="0" applyFont="1" applyFill="1" applyBorder="1" applyAlignment="1" applyProtection="1">
      <alignment horizontal="center" vertical="center" wrapText="1"/>
    </xf>
    <xf numFmtId="4" fontId="63" fillId="0" borderId="85" xfId="1" applyNumberFormat="1" applyFont="1" applyFill="1" applyBorder="1" applyAlignment="1" applyProtection="1">
      <alignment horizontal="right" vertical="center"/>
    </xf>
    <xf numFmtId="171" fontId="52" fillId="0" borderId="85" xfId="0" applyNumberFormat="1" applyFont="1" applyFill="1" applyBorder="1" applyAlignment="1" applyProtection="1">
      <alignment horizontal="left" vertical="center"/>
    </xf>
    <xf numFmtId="0" fontId="52" fillId="0" borderId="85" xfId="0" applyFont="1" applyFill="1" applyBorder="1" applyAlignment="1" applyProtection="1">
      <alignment horizontal="left" vertical="center"/>
    </xf>
    <xf numFmtId="0" fontId="52" fillId="0" borderId="81" xfId="0" applyFont="1" applyFill="1" applyBorder="1" applyAlignment="1" applyProtection="1">
      <alignment horizontal="left" vertical="center"/>
    </xf>
    <xf numFmtId="0" fontId="14" fillId="0" borderId="13" xfId="0" applyFont="1" applyBorder="1" applyAlignment="1" applyProtection="1">
      <alignment wrapText="1"/>
      <protection locked="0"/>
    </xf>
    <xf numFmtId="0" fontId="14" fillId="0" borderId="14" xfId="0" applyFont="1" applyBorder="1" applyAlignment="1" applyProtection="1">
      <alignment wrapText="1"/>
      <protection locked="0"/>
    </xf>
    <xf numFmtId="0" fontId="105" fillId="0" borderId="106"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0" borderId="65"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protection locked="0"/>
    </xf>
    <xf numFmtId="164" fontId="46" fillId="5" borderId="6" xfId="1" applyNumberFormat="1" applyFont="1" applyFill="1" applyBorder="1" applyAlignment="1" applyProtection="1">
      <alignment horizontal="right" vertical="center"/>
      <protection locked="0"/>
    </xf>
    <xf numFmtId="0" fontId="46" fillId="0" borderId="61" xfId="0" applyFont="1" applyBorder="1" applyProtection="1"/>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lignment horizontal="center" vertical="center"/>
    </xf>
    <xf numFmtId="38" fontId="43" fillId="0" borderId="11" xfId="0" applyNumberFormat="1" applyFont="1" applyBorder="1" applyAlignment="1">
      <alignment horizontal="center" vertical="center"/>
    </xf>
    <xf numFmtId="38" fontId="43" fillId="0" borderId="12" xfId="0" applyNumberFormat="1" applyFont="1" applyBorder="1" applyAlignment="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86" fillId="0" borderId="0" xfId="0" applyFont="1" applyAlignment="1">
      <alignment horizontal="center" vertical="center"/>
    </xf>
    <xf numFmtId="3" fontId="46" fillId="0" borderId="78" xfId="1" applyNumberFormat="1" applyFont="1" applyBorder="1" applyAlignment="1">
      <alignment horizontal="center" vertical="center"/>
    </xf>
    <xf numFmtId="3" fontId="46" fillId="0" borderId="82" xfId="1" applyNumberFormat="1" applyFont="1" applyBorder="1" applyAlignment="1">
      <alignment horizontal="center" vertical="center"/>
    </xf>
    <xf numFmtId="3" fontId="46" fillId="0" borderId="79" xfId="1" applyNumberFormat="1" applyFont="1" applyBorder="1" applyAlignment="1">
      <alignment horizontal="center" vertical="center"/>
    </xf>
    <xf numFmtId="0" fontId="225" fillId="0" borderId="0" xfId="0" applyFont="1" applyBorder="1" applyAlignment="1">
      <alignment horizontal="center" wrapText="1"/>
    </xf>
    <xf numFmtId="0" fontId="225" fillId="0" borderId="13" xfId="0" applyFont="1" applyBorder="1" applyAlignment="1">
      <alignment horizontal="center" wrapText="1"/>
    </xf>
    <xf numFmtId="0" fontId="43" fillId="0" borderId="0" xfId="0" applyFont="1" applyAlignment="1">
      <alignment horizontal="center" wrapText="1"/>
    </xf>
    <xf numFmtId="0" fontId="43" fillId="0" borderId="13" xfId="0" applyFont="1" applyBorder="1" applyAlignment="1">
      <alignment horizontal="center" wrapText="1"/>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protection locked="0"/>
    </xf>
    <xf numFmtId="0" fontId="43" fillId="5" borderId="11" xfId="1" applyNumberFormat="1" applyFont="1" applyFill="1" applyBorder="1" applyAlignment="1" applyProtection="1">
      <alignment horizontal="left" vertical="top" wrapText="1"/>
      <protection locked="0"/>
    </xf>
    <xf numFmtId="0" fontId="43" fillId="5" borderId="12" xfId="1" applyNumberFormat="1" applyFont="1" applyFill="1" applyBorder="1" applyAlignment="1" applyProtection="1">
      <alignment horizontal="left" vertical="top" wrapText="1"/>
      <protection locked="0"/>
    </xf>
    <xf numFmtId="0" fontId="43" fillId="5" borderId="16" xfId="1" applyNumberFormat="1" applyFont="1" applyFill="1" applyBorder="1" applyAlignment="1" applyProtection="1">
      <alignment horizontal="left" vertical="top" wrapText="1"/>
      <protection locked="0"/>
    </xf>
    <xf numFmtId="0" fontId="43" fillId="5" borderId="17" xfId="1" applyNumberFormat="1" applyFont="1" applyFill="1" applyBorder="1" applyAlignment="1" applyProtection="1">
      <alignment horizontal="left" vertical="top" wrapText="1"/>
      <protection locked="0"/>
    </xf>
    <xf numFmtId="0" fontId="43" fillId="5" borderId="18" xfId="1" applyNumberFormat="1" applyFont="1" applyFill="1" applyBorder="1" applyAlignment="1" applyProtection="1">
      <alignment horizontal="left" vertical="top" wrapText="1"/>
      <protection locked="0"/>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174" fillId="8" borderId="7" xfId="13" applyFont="1" applyFill="1" applyBorder="1" applyAlignment="1" applyProtection="1">
      <alignment horizontal="center" vertical="center"/>
    </xf>
    <xf numFmtId="0" fontId="174" fillId="8" borderId="0" xfId="13" applyFont="1" applyFill="1" applyBorder="1" applyAlignment="1" applyProtection="1">
      <alignment horizontal="center" vertical="center"/>
    </xf>
    <xf numFmtId="0" fontId="10" fillId="13" borderId="78" xfId="13" applyFont="1" applyFill="1" applyBorder="1" applyAlignment="1">
      <alignment horizontal="justify" vertical="top" wrapText="1"/>
    </xf>
    <xf numFmtId="0" fontId="10" fillId="13" borderId="82" xfId="13" applyFont="1" applyFill="1" applyBorder="1" applyAlignment="1">
      <alignment horizontal="justify" vertical="top" wrapText="1"/>
    </xf>
    <xf numFmtId="0" fontId="10" fillId="13" borderId="79" xfId="13" applyFont="1" applyFill="1" applyBorder="1" applyAlignment="1">
      <alignment horizontal="justify" vertical="top" wrapText="1"/>
    </xf>
    <xf numFmtId="0" fontId="9"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3" fillId="5" borderId="36" xfId="0" applyFont="1" applyFill="1" applyBorder="1" applyAlignment="1" applyProtection="1">
      <alignment horizontal="left" vertical="center" wrapText="1"/>
      <protection locked="0"/>
    </xf>
    <xf numFmtId="0" fontId="13" fillId="5" borderId="2" xfId="0" applyFont="1" applyFill="1" applyBorder="1" applyAlignment="1" applyProtection="1">
      <alignment horizontal="left" vertical="center" wrapText="1"/>
      <protection locked="0"/>
    </xf>
    <xf numFmtId="0" fontId="13" fillId="5" borderId="37" xfId="0" applyFont="1" applyFill="1" applyBorder="1" applyAlignment="1" applyProtection="1">
      <alignment horizontal="left" vertical="center" wrapText="1"/>
      <protection locked="0"/>
    </xf>
    <xf numFmtId="0" fontId="14" fillId="5" borderId="36" xfId="0" applyFont="1" applyFill="1" applyBorder="1" applyAlignment="1" applyProtection="1">
      <alignment horizontal="left" vertical="top" wrapText="1"/>
      <protection locked="0"/>
    </xf>
    <xf numFmtId="0" fontId="14" fillId="5" borderId="2"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top" wrapText="1"/>
      <protection locked="0"/>
    </xf>
    <xf numFmtId="0" fontId="14" fillId="13" borderId="36" xfId="0" applyFont="1" applyFill="1" applyBorder="1" applyAlignment="1" applyProtection="1">
      <alignment horizontal="left" vertical="top" wrapText="1"/>
      <protection locked="0"/>
    </xf>
    <xf numFmtId="0" fontId="14" fillId="13" borderId="2" xfId="0" applyFont="1" applyFill="1" applyBorder="1" applyAlignment="1" applyProtection="1">
      <alignment horizontal="left" vertical="top" wrapText="1"/>
      <protection locked="0"/>
    </xf>
    <xf numFmtId="0" fontId="14" fillId="13" borderId="37" xfId="0" applyFont="1" applyFill="1" applyBorder="1" applyAlignment="1" applyProtection="1">
      <alignment horizontal="left" vertical="top" wrapText="1"/>
      <protection locked="0"/>
    </xf>
    <xf numFmtId="0" fontId="9" fillId="0" borderId="0" xfId="0" applyFont="1" applyAlignment="1" applyProtection="1">
      <alignment horizontal="center"/>
    </xf>
    <xf numFmtId="0" fontId="9"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3" fillId="5" borderId="36" xfId="0" applyNumberFormat="1" applyFont="1" applyFill="1" applyBorder="1" applyAlignment="1" applyProtection="1">
      <alignment horizontal="left" vertical="center"/>
      <protection locked="0"/>
    </xf>
    <xf numFmtId="175" fontId="13" fillId="5" borderId="37" xfId="0" applyNumberFormat="1"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5" fillId="10" borderId="78" xfId="0" applyFont="1" applyFill="1" applyBorder="1" applyAlignment="1" applyProtection="1">
      <alignment horizontal="left" vertical="center"/>
      <protection locked="0"/>
    </xf>
    <xf numFmtId="0" fontId="5" fillId="10" borderId="82" xfId="0" applyFont="1" applyFill="1" applyBorder="1" applyAlignment="1" applyProtection="1">
      <alignment horizontal="left" vertical="center"/>
      <protection locked="0"/>
    </xf>
    <xf numFmtId="0" fontId="5" fillId="10" borderId="79" xfId="0" applyFont="1" applyFill="1" applyBorder="1" applyAlignment="1" applyProtection="1">
      <alignment horizontal="left" vertical="center"/>
      <protection locked="0"/>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49" fontId="99" fillId="20" borderId="0" xfId="0" applyNumberFormat="1" applyFont="1" applyFill="1" applyBorder="1" applyAlignment="1" applyProtection="1">
      <alignment horizontal="center"/>
    </xf>
    <xf numFmtId="0" fontId="4" fillId="13" borderId="30" xfId="0" applyFont="1" applyFill="1" applyBorder="1" applyAlignment="1" applyProtection="1">
      <alignment horizontal="left" vertical="top" wrapText="1"/>
      <protection locked="0"/>
    </xf>
    <xf numFmtId="0" fontId="4" fillId="13" borderId="21" xfId="0" applyFont="1" applyFill="1" applyBorder="1" applyAlignment="1" applyProtection="1">
      <alignment horizontal="left" vertical="top" wrapText="1"/>
      <protection locked="0"/>
    </xf>
    <xf numFmtId="0" fontId="4" fillId="13" borderId="31" xfId="0" applyFont="1" applyFill="1" applyBorder="1" applyAlignment="1" applyProtection="1">
      <alignment horizontal="left" vertical="top" wrapText="1"/>
      <protection locked="0"/>
    </xf>
    <xf numFmtId="3" fontId="80" fillId="0" borderId="0" xfId="0" applyNumberFormat="1" applyFont="1" applyFill="1" applyBorder="1" applyAlignment="1" applyProtection="1">
      <alignment horizontal="left" vertical="top"/>
    </xf>
    <xf numFmtId="0" fontId="4" fillId="13" borderId="33" xfId="0" applyFont="1" applyFill="1" applyBorder="1" applyAlignment="1" applyProtection="1">
      <alignment horizontal="left" vertical="top" wrapText="1"/>
      <protection locked="0"/>
    </xf>
    <xf numFmtId="0" fontId="4" fillId="13" borderId="58" xfId="0" applyFont="1" applyFill="1" applyBorder="1" applyAlignment="1" applyProtection="1">
      <alignment horizontal="left" vertical="top" wrapText="1"/>
      <protection locked="0"/>
    </xf>
    <xf numFmtId="0" fontId="4" fillId="13" borderId="34" xfId="0" applyFont="1" applyFill="1" applyBorder="1" applyAlignment="1" applyProtection="1">
      <alignment horizontal="left" vertical="top" wrapText="1"/>
      <protection locked="0"/>
    </xf>
    <xf numFmtId="0" fontId="4" fillId="13" borderId="28" xfId="0" applyFont="1" applyFill="1" applyBorder="1" applyAlignment="1" applyProtection="1">
      <alignment horizontal="left" vertical="top" wrapText="1"/>
      <protection locked="0"/>
    </xf>
    <xf numFmtId="0" fontId="4" fillId="13" borderId="57" xfId="0" applyFont="1" applyFill="1" applyBorder="1" applyAlignment="1" applyProtection="1">
      <alignment horizontal="left" vertical="top" wrapText="1"/>
      <protection locked="0"/>
    </xf>
    <xf numFmtId="0" fontId="4" fillId="13" borderId="29" xfId="0" applyFont="1" applyFill="1" applyBorder="1" applyAlignment="1" applyProtection="1">
      <alignment horizontal="left" vertical="top" wrapText="1"/>
      <protection locked="0"/>
    </xf>
    <xf numFmtId="0" fontId="185" fillId="0" borderId="0" xfId="0" applyFont="1" applyFill="1" applyAlignment="1" applyProtection="1">
      <alignment horizontal="right"/>
    </xf>
    <xf numFmtId="0" fontId="4" fillId="0" borderId="0" xfId="0" applyFont="1" applyFill="1" applyAlignment="1" applyProtection="1">
      <alignment horizontal="left" vertical="top" wrapText="1"/>
    </xf>
    <xf numFmtId="38" fontId="190" fillId="0" borderId="56" xfId="0" applyNumberFormat="1" applyFont="1" applyFill="1" applyBorder="1" applyAlignment="1" applyProtection="1">
      <alignment horizontal="center" vertical="center"/>
    </xf>
    <xf numFmtId="38" fontId="190" fillId="0" borderId="1" xfId="0" applyNumberFormat="1" applyFont="1" applyFill="1" applyBorder="1" applyAlignment="1" applyProtection="1">
      <alignment horizontal="center" vertical="center"/>
    </xf>
    <xf numFmtId="38" fontId="190" fillId="0" borderId="35" xfId="0" applyNumberFormat="1" applyFont="1" applyFill="1" applyBorder="1" applyAlignment="1" applyProtection="1">
      <alignment horizontal="center" vertical="center"/>
    </xf>
    <xf numFmtId="0" fontId="4" fillId="13" borderId="78" xfId="0" applyFont="1" applyFill="1" applyBorder="1" applyAlignment="1" applyProtection="1">
      <alignment horizontal="left" vertical="top" wrapText="1"/>
      <protection locked="0"/>
    </xf>
    <xf numFmtId="0" fontId="4" fillId="13" borderId="82" xfId="0" applyFont="1" applyFill="1" applyBorder="1" applyAlignment="1" applyProtection="1">
      <alignment horizontal="left" vertical="top" wrapText="1"/>
      <protection locked="0"/>
    </xf>
    <xf numFmtId="0" fontId="4" fillId="13" borderId="79" xfId="0" applyFont="1" applyFill="1" applyBorder="1" applyAlignment="1" applyProtection="1">
      <alignment horizontal="left" vertical="top" wrapText="1"/>
      <protection locked="0"/>
    </xf>
    <xf numFmtId="0" fontId="9" fillId="0" borderId="0" xfId="0" applyFont="1" applyFill="1" applyAlignment="1" applyProtection="1">
      <alignment horizontal="left" vertical="center"/>
    </xf>
    <xf numFmtId="0" fontId="41" fillId="0" borderId="7" xfId="0" applyFont="1" applyFill="1" applyBorder="1" applyAlignment="1" applyProtection="1">
      <alignment horizontal="center" vertical="center" wrapText="1"/>
    </xf>
    <xf numFmtId="3" fontId="13" fillId="0" borderId="60" xfId="0" applyNumberFormat="1" applyFont="1" applyFill="1" applyBorder="1" applyAlignment="1" applyProtection="1">
      <alignment horizontal="right" vertical="center"/>
    </xf>
    <xf numFmtId="3" fontId="13" fillId="0" borderId="141"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horizontal="right" vertical="center"/>
      <protection locked="0"/>
    </xf>
    <xf numFmtId="38" fontId="13" fillId="5" borderId="31" xfId="1" applyNumberFormat="1" applyFont="1" applyFill="1" applyBorder="1" applyAlignment="1" applyProtection="1">
      <alignment horizontal="right" vertical="center"/>
      <protection locked="0"/>
    </xf>
    <xf numFmtId="3" fontId="13" fillId="0" borderId="61"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protection locked="0"/>
    </xf>
    <xf numFmtId="38" fontId="5" fillId="5" borderId="82" xfId="0" applyNumberFormat="1" applyFont="1" applyFill="1" applyBorder="1" applyAlignment="1" applyProtection="1">
      <alignment horizontal="left" vertical="center" wrapText="1"/>
      <protection locked="0"/>
    </xf>
    <xf numFmtId="38" fontId="5" fillId="5" borderId="79" xfId="0" applyNumberFormat="1" applyFont="1" applyFill="1" applyBorder="1" applyAlignment="1" applyProtection="1">
      <alignment horizontal="left" vertical="center" wrapText="1"/>
      <protection locked="0"/>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9" fillId="0" borderId="40" xfId="0" applyNumberFormat="1" applyFont="1" applyFill="1" applyBorder="1" applyAlignment="1" applyProtection="1">
      <alignment horizontal="center"/>
    </xf>
    <xf numFmtId="1" fontId="179" fillId="0" borderId="0" xfId="0" applyNumberFormat="1" applyFont="1" applyFill="1" applyBorder="1" applyAlignment="1" applyProtection="1">
      <alignment horizontal="center"/>
    </xf>
    <xf numFmtId="1" fontId="179" fillId="0" borderId="41" xfId="0" applyNumberFormat="1" applyFont="1" applyFill="1" applyBorder="1" applyAlignment="1" applyProtection="1">
      <alignment horizontal="center"/>
    </xf>
    <xf numFmtId="38" fontId="13" fillId="5" borderId="113" xfId="1" applyNumberFormat="1" applyFont="1" applyFill="1" applyBorder="1" applyAlignment="1" applyProtection="1">
      <alignment horizontal="right" vertical="center"/>
      <protection locked="0"/>
    </xf>
    <xf numFmtId="38" fontId="13" fillId="5" borderId="114" xfId="1" applyNumberFormat="1" applyFont="1" applyFill="1" applyBorder="1" applyAlignment="1" applyProtection="1">
      <alignment horizontal="right" vertical="center"/>
      <protection locked="0"/>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13" fillId="5" borderId="28" xfId="1" applyNumberFormat="1" applyFont="1" applyFill="1" applyBorder="1" applyAlignment="1" applyProtection="1">
      <alignment vertical="center"/>
      <protection locked="0"/>
    </xf>
    <xf numFmtId="38" fontId="13" fillId="5" borderId="29" xfId="1" applyNumberFormat="1" applyFont="1" applyFill="1" applyBorder="1" applyAlignment="1" applyProtection="1">
      <alignment vertical="center"/>
      <protection locked="0"/>
    </xf>
    <xf numFmtId="3" fontId="13" fillId="5" borderId="28" xfId="0" applyNumberFormat="1" applyFont="1" applyFill="1" applyBorder="1" applyAlignment="1" applyProtection="1">
      <alignment horizontal="right" vertical="center"/>
      <protection locked="0"/>
    </xf>
    <xf numFmtId="3" fontId="13" fillId="5" borderId="29" xfId="0" applyNumberFormat="1" applyFont="1" applyFill="1" applyBorder="1" applyAlignment="1" applyProtection="1">
      <alignment horizontal="right" vertical="center"/>
      <protection locked="0"/>
    </xf>
    <xf numFmtId="38" fontId="13" fillId="5" borderId="30" xfId="1" applyNumberFormat="1" applyFont="1" applyFill="1" applyBorder="1" applyAlignment="1" applyProtection="1">
      <alignment vertical="center"/>
      <protection locked="0"/>
    </xf>
    <xf numFmtId="38" fontId="13" fillId="5" borderId="31" xfId="1" applyNumberFormat="1" applyFont="1" applyFill="1" applyBorder="1" applyAlignment="1" applyProtection="1">
      <alignment vertical="center"/>
      <protection locked="0"/>
    </xf>
    <xf numFmtId="3" fontId="13" fillId="5" borderId="30" xfId="0" applyNumberFormat="1" applyFont="1" applyFill="1" applyBorder="1" applyAlignment="1" applyProtection="1">
      <alignment horizontal="right" vertical="center"/>
      <protection locked="0"/>
    </xf>
    <xf numFmtId="3" fontId="13" fillId="5" borderId="31" xfId="0" applyNumberFormat="1" applyFont="1" applyFill="1" applyBorder="1" applyAlignment="1" applyProtection="1">
      <alignment horizontal="right" vertical="center"/>
      <protection locked="0"/>
    </xf>
    <xf numFmtId="3" fontId="13" fillId="5" borderId="113" xfId="0" applyNumberFormat="1" applyFont="1" applyFill="1" applyBorder="1" applyAlignment="1" applyProtection="1">
      <alignment horizontal="right" vertical="center"/>
      <protection locked="0"/>
    </xf>
    <xf numFmtId="3" fontId="13" fillId="5" borderId="114" xfId="0" applyNumberFormat="1" applyFont="1" applyFill="1" applyBorder="1" applyAlignment="1" applyProtection="1">
      <alignment horizontal="righ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5" fillId="5" borderId="36" xfId="0" applyFont="1" applyFill="1" applyBorder="1" applyAlignment="1" applyProtection="1">
      <alignment horizontal="left" vertical="center"/>
      <protection locked="0"/>
    </xf>
    <xf numFmtId="0" fontId="5" fillId="5" borderId="2" xfId="0" applyFont="1" applyFill="1" applyBorder="1" applyAlignment="1" applyProtection="1">
      <alignment horizontal="left" vertical="center"/>
      <protection locked="0"/>
    </xf>
    <xf numFmtId="0" fontId="5" fillId="5" borderId="37" xfId="0" applyFont="1" applyFill="1" applyBorder="1" applyAlignment="1" applyProtection="1">
      <alignment horizontal="left" vertical="center"/>
      <protection locked="0"/>
    </xf>
    <xf numFmtId="38" fontId="13" fillId="5" borderId="28" xfId="1" applyNumberFormat="1" applyFont="1" applyFill="1" applyBorder="1" applyAlignment="1" applyProtection="1">
      <alignment horizontal="right" vertical="center"/>
      <protection locked="0"/>
    </xf>
    <xf numFmtId="38" fontId="13" fillId="5" borderId="29" xfId="1" applyNumberFormat="1" applyFont="1" applyFill="1" applyBorder="1" applyAlignment="1" applyProtection="1">
      <alignment horizontal="right" vertical="center"/>
      <protection locked="0"/>
    </xf>
    <xf numFmtId="3" fontId="13" fillId="5" borderId="26" xfId="0" applyNumberFormat="1" applyFont="1" applyFill="1" applyBorder="1" applyAlignment="1" applyProtection="1">
      <alignment horizontal="right" vertical="center"/>
      <protection locked="0"/>
    </xf>
    <xf numFmtId="3" fontId="13" fillId="5" borderId="32" xfId="0" applyNumberFormat="1" applyFont="1" applyFill="1" applyBorder="1" applyAlignment="1" applyProtection="1">
      <alignment horizontal="right" vertical="center"/>
      <protection locked="0"/>
    </xf>
    <xf numFmtId="0" fontId="93" fillId="0" borderId="0" xfId="0" applyFont="1" applyFill="1" applyAlignment="1" applyProtection="1">
      <alignment horizontal="center" wrapText="1"/>
    </xf>
    <xf numFmtId="0" fontId="97" fillId="0" borderId="0" xfId="0" applyFont="1" applyFill="1" applyAlignment="1" applyProtection="1">
      <alignment horizontal="center" wrapText="1"/>
    </xf>
    <xf numFmtId="0" fontId="14" fillId="0" borderId="0" xfId="0" applyFont="1" applyFill="1" applyBorder="1" applyAlignment="1" applyProtection="1">
      <alignment horizontal="left" vertical="top"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164" fontId="14" fillId="11" borderId="78" xfId="0" applyNumberFormat="1" applyFont="1" applyFill="1" applyBorder="1" applyAlignment="1" applyProtection="1">
      <alignment horizontal="center" vertical="center"/>
      <protection locked="0"/>
    </xf>
    <xf numFmtId="164" fontId="14" fillId="11" borderId="82" xfId="0" applyNumberFormat="1" applyFont="1" applyFill="1" applyBorder="1" applyAlignment="1" applyProtection="1">
      <alignment horizontal="center" vertical="center"/>
      <protection locked="0"/>
    </xf>
    <xf numFmtId="164" fontId="14" fillId="11" borderId="79" xfId="0" applyNumberFormat="1" applyFont="1" applyFill="1" applyBorder="1" applyAlignment="1" applyProtection="1">
      <alignment horizontal="center" vertical="center"/>
      <protection locked="0"/>
    </xf>
    <xf numFmtId="0" fontId="9"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3" fillId="0" borderId="0" xfId="0" applyFont="1" applyFill="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06" fillId="0" borderId="0" xfId="0" applyFont="1" applyFill="1" applyAlignment="1" applyProtection="1">
      <alignment horizontal="center" vertical="center" wrapText="1"/>
    </xf>
    <xf numFmtId="0" fontId="11" fillId="0" borderId="13" xfId="0" applyFont="1" applyFill="1" applyBorder="1" applyAlignment="1" applyProtection="1">
      <alignment horizontal="center" wrapText="1"/>
    </xf>
    <xf numFmtId="164" fontId="206" fillId="0" borderId="85" xfId="1" applyNumberFormat="1" applyFont="1" applyFill="1" applyBorder="1" applyAlignment="1" applyProtection="1">
      <alignment horizontal="right" vertical="center" wrapText="1"/>
    </xf>
    <xf numFmtId="164" fontId="206" fillId="0" borderId="0" xfId="1" applyNumberFormat="1" applyFont="1" applyFill="1" applyBorder="1" applyAlignment="1" applyProtection="1">
      <alignment horizontal="right" vertical="center" wrapText="1"/>
    </xf>
    <xf numFmtId="0" fontId="36" fillId="0" borderId="0" xfId="0" applyFont="1" applyFill="1" applyAlignment="1" applyProtection="1">
      <alignment horizontal="left" vertical="top" wrapText="1"/>
    </xf>
    <xf numFmtId="0" fontId="36" fillId="0" borderId="0" xfId="0" applyFont="1" applyFill="1" applyAlignment="1" applyProtection="1">
      <alignment horizontal="center" textRotation="90" wrapText="1"/>
    </xf>
    <xf numFmtId="49" fontId="99" fillId="20" borderId="0" xfId="0" quotePrefix="1" applyNumberFormat="1" applyFont="1" applyFill="1" applyBorder="1" applyAlignment="1" applyProtection="1">
      <alignment horizontal="center" vertical="center" wrapText="1"/>
    </xf>
    <xf numFmtId="0" fontId="99" fillId="20" borderId="0" xfId="0" applyNumberFormat="1" applyFont="1" applyFill="1" applyBorder="1" applyAlignment="1" applyProtection="1">
      <alignment horizontal="center" vertical="center" wrapText="1"/>
    </xf>
    <xf numFmtId="0" fontId="4" fillId="0" borderId="0" xfId="0" applyFont="1" applyFill="1" applyBorder="1" applyAlignment="1">
      <alignment horizontal="left" vertical="center" wrapText="1"/>
    </xf>
    <xf numFmtId="0" fontId="4" fillId="13" borderId="133" xfId="0" applyFont="1" applyFill="1" applyBorder="1" applyAlignment="1" applyProtection="1">
      <alignment horizontal="left" vertical="top" wrapText="1"/>
      <protection locked="0"/>
    </xf>
    <xf numFmtId="0" fontId="4" fillId="13" borderId="134" xfId="0" applyFont="1" applyFill="1" applyBorder="1" applyAlignment="1" applyProtection="1">
      <alignment horizontal="left" vertical="top" wrapText="1"/>
      <protection locked="0"/>
    </xf>
    <xf numFmtId="0" fontId="4" fillId="13" borderId="135" xfId="0" applyFont="1" applyFill="1" applyBorder="1" applyAlignment="1" applyProtection="1">
      <alignment horizontal="left" vertical="top" wrapText="1"/>
      <protection locked="0"/>
    </xf>
    <xf numFmtId="3" fontId="13" fillId="5" borderId="78" xfId="0" applyNumberFormat="1" applyFont="1" applyFill="1" applyBorder="1" applyAlignment="1" applyProtection="1">
      <alignment horizontal="center" vertical="center"/>
      <protection locked="0"/>
    </xf>
    <xf numFmtId="3" fontId="13" fillId="5" borderId="79" xfId="0" applyNumberFormat="1" applyFont="1" applyFill="1" applyBorder="1" applyAlignment="1" applyProtection="1">
      <alignment horizontal="center" vertical="center"/>
      <protection locked="0"/>
    </xf>
    <xf numFmtId="0" fontId="4" fillId="0" borderId="0" xfId="0" applyFont="1" applyFill="1" applyAlignment="1" applyProtection="1">
      <alignment horizontal="center" vertical="center"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lignment horizontal="left" vertical="center" wrapText="1"/>
    </xf>
    <xf numFmtId="0" fontId="206" fillId="0" borderId="80" xfId="0" applyFont="1" applyFill="1" applyBorder="1" applyAlignment="1" applyProtection="1">
      <alignment horizontal="center" vertical="center"/>
    </xf>
    <xf numFmtId="0" fontId="206" fillId="0" borderId="81" xfId="0" applyFont="1" applyFill="1" applyBorder="1" applyAlignment="1" applyProtection="1">
      <alignment horizontal="center" vertical="center"/>
    </xf>
    <xf numFmtId="2" fontId="185" fillId="0" borderId="9" xfId="0" applyNumberFormat="1" applyFont="1" applyFill="1" applyBorder="1" applyAlignment="1" applyProtection="1">
      <alignment horizontal="center" vertical="top"/>
    </xf>
    <xf numFmtId="2" fontId="185" fillId="0" borderId="14" xfId="0" applyNumberFormat="1" applyFont="1" applyFill="1" applyBorder="1" applyAlignment="1" applyProtection="1">
      <alignment horizontal="center" vertical="top"/>
    </xf>
    <xf numFmtId="0" fontId="42" fillId="0" borderId="2" xfId="0" applyFont="1" applyBorder="1" applyAlignment="1" applyProtection="1">
      <alignment horizontal="left" vertical="top" wrapText="1"/>
      <protection locked="0"/>
    </xf>
    <xf numFmtId="0" fontId="42" fillId="0" borderId="37" xfId="0" applyFont="1" applyBorder="1" applyAlignment="1" applyProtection="1">
      <alignment horizontal="left" vertical="top" wrapText="1"/>
      <protection locked="0"/>
    </xf>
    <xf numFmtId="0" fontId="42" fillId="13" borderId="36" xfId="0" applyFont="1" applyFill="1" applyBorder="1" applyAlignment="1" applyProtection="1">
      <alignment horizontal="left" vertical="top" wrapText="1"/>
      <protection locked="0"/>
    </xf>
    <xf numFmtId="0" fontId="42" fillId="13" borderId="2" xfId="0" applyFont="1" applyFill="1" applyBorder="1" applyAlignment="1" applyProtection="1">
      <alignment horizontal="left" vertical="top" wrapText="1"/>
      <protection locked="0"/>
    </xf>
    <xf numFmtId="0" fontId="42" fillId="13" borderId="37" xfId="0" applyFont="1" applyFill="1" applyBorder="1" applyAlignment="1" applyProtection="1">
      <alignment horizontal="left" vertical="top" wrapText="1"/>
      <protection locked="0"/>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xf numFmtId="0" fontId="0" fillId="0" borderId="79" xfId="0" applyBorder="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95" fillId="0" borderId="0" xfId="0" applyFont="1" applyFill="1" applyAlignment="1" applyProtection="1">
      <alignment horizontal="left" vertical="top" wrapText="1"/>
    </xf>
    <xf numFmtId="0" fontId="5" fillId="5" borderId="78" xfId="0" applyFont="1" applyFill="1" applyBorder="1" applyAlignment="1" applyProtection="1">
      <alignment horizontal="left" vertical="center"/>
      <protection locked="0"/>
    </xf>
    <xf numFmtId="0" fontId="5" fillId="5" borderId="82" xfId="0" applyFont="1" applyFill="1" applyBorder="1" applyAlignment="1" applyProtection="1">
      <alignment horizontal="left" vertical="center"/>
      <protection locked="0"/>
    </xf>
    <xf numFmtId="0" fontId="5" fillId="5" borderId="79" xfId="0" applyFont="1" applyFill="1" applyBorder="1" applyAlignment="1" applyProtection="1">
      <alignment horizontal="left" vertical="center"/>
      <protection locked="0"/>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5" fillId="0" borderId="0" xfId="0" applyFont="1" applyBorder="1" applyAlignment="1" applyProtection="1">
      <alignment horizontal="center" vertical="center"/>
    </xf>
    <xf numFmtId="0" fontId="5" fillId="0" borderId="8" xfId="0" applyFont="1" applyBorder="1" applyAlignment="1" applyProtection="1">
      <alignment horizontal="center" vertical="center"/>
    </xf>
    <xf numFmtId="0" fontId="15" fillId="5" borderId="80" xfId="0" applyFont="1" applyFill="1" applyBorder="1" applyAlignment="1" applyProtection="1">
      <alignment horizontal="center" vertical="center"/>
      <protection locked="0"/>
    </xf>
    <xf numFmtId="0" fontId="15" fillId="5" borderId="81" xfId="0" applyFont="1" applyFill="1" applyBorder="1" applyAlignment="1" applyProtection="1">
      <alignment horizontal="center" vertical="center"/>
      <protection locked="0"/>
    </xf>
    <xf numFmtId="3" fontId="15" fillId="5" borderId="28" xfId="0" applyNumberFormat="1" applyFont="1" applyFill="1" applyBorder="1" applyAlignment="1" applyProtection="1">
      <alignment horizontal="left" vertical="center"/>
      <protection locked="0"/>
    </xf>
    <xf numFmtId="3" fontId="15" fillId="5" borderId="29" xfId="0" applyNumberFormat="1" applyFont="1" applyFill="1" applyBorder="1" applyAlignment="1" applyProtection="1">
      <alignment horizontal="left" vertical="center"/>
      <protection locked="0"/>
    </xf>
    <xf numFmtId="176" fontId="15" fillId="5" borderId="9" xfId="0" applyNumberFormat="1" applyFont="1" applyFill="1" applyBorder="1" applyAlignment="1" applyProtection="1">
      <alignment horizontal="left" vertical="center"/>
      <protection locked="0"/>
    </xf>
    <xf numFmtId="176" fontId="15" fillId="5" borderId="14" xfId="0" applyNumberFormat="1" applyFont="1" applyFill="1" applyBorder="1" applyAlignment="1" applyProtection="1">
      <alignment horizontal="left" vertical="center"/>
      <protection locked="0"/>
    </xf>
    <xf numFmtId="3" fontId="92" fillId="0" borderId="77" xfId="0" applyNumberFormat="1" applyFont="1" applyFill="1" applyBorder="1" applyAlignment="1" applyProtection="1">
      <alignment horizontal="center" vertical="center"/>
    </xf>
    <xf numFmtId="3" fontId="92" fillId="0" borderId="74" xfId="0" applyNumberFormat="1" applyFont="1" applyFill="1" applyBorder="1" applyAlignment="1" applyProtection="1">
      <alignment horizontal="center" vertical="center"/>
    </xf>
    <xf numFmtId="3" fontId="15" fillId="5" borderId="116" xfId="0" applyNumberFormat="1" applyFont="1" applyFill="1" applyBorder="1" applyAlignment="1" applyProtection="1">
      <alignment horizontal="left" vertical="center"/>
      <protection locked="0"/>
    </xf>
    <xf numFmtId="3" fontId="15" fillId="5" borderId="117" xfId="0" applyNumberFormat="1" applyFont="1" applyFill="1" applyBorder="1" applyAlignment="1" applyProtection="1">
      <alignment horizontal="left" vertical="center"/>
      <protection locked="0"/>
    </xf>
    <xf numFmtId="0" fontId="15" fillId="5" borderId="33" xfId="0" applyFont="1" applyFill="1" applyBorder="1" applyAlignment="1" applyProtection="1">
      <alignment horizontal="left" vertical="center"/>
      <protection locked="0"/>
    </xf>
    <xf numFmtId="0" fontId="15" fillId="5" borderId="34" xfId="0" applyFont="1" applyFill="1" applyBorder="1" applyAlignment="1" applyProtection="1">
      <alignment horizontal="left" vertical="center"/>
      <protection locked="0"/>
    </xf>
    <xf numFmtId="0" fontId="15" fillId="13" borderId="33" xfId="0" applyFont="1" applyFill="1" applyBorder="1" applyAlignment="1" applyProtection="1">
      <alignment horizontal="center" vertical="center"/>
    </xf>
    <xf numFmtId="0" fontId="15" fillId="13" borderId="34" xfId="0" applyFont="1" applyFill="1" applyBorder="1" applyAlignment="1" applyProtection="1">
      <alignment horizontal="center" vertical="center"/>
    </xf>
    <xf numFmtId="0" fontId="15" fillId="5" borderId="80" xfId="0" applyFont="1" applyFill="1" applyBorder="1" applyAlignment="1" applyProtection="1">
      <alignment horizontal="left" vertical="center"/>
      <protection locked="0"/>
    </xf>
    <xf numFmtId="0" fontId="15" fillId="5" borderId="85" xfId="0" applyFont="1" applyFill="1" applyBorder="1" applyAlignment="1" applyProtection="1">
      <alignment horizontal="left" vertical="center"/>
      <protection locked="0"/>
    </xf>
    <xf numFmtId="0" fontId="15" fillId="5" borderId="81" xfId="0" applyFont="1" applyFill="1" applyBorder="1" applyAlignment="1" applyProtection="1">
      <alignment horizontal="left" vertical="center"/>
      <protection locked="0"/>
    </xf>
    <xf numFmtId="0" fontId="15" fillId="5" borderId="78" xfId="0" applyFont="1" applyFill="1" applyBorder="1" applyAlignment="1" applyProtection="1">
      <alignment horizontal="left" vertical="center"/>
      <protection locked="0"/>
    </xf>
    <xf numFmtId="0" fontId="15" fillId="5" borderId="82" xfId="0" applyFont="1" applyFill="1" applyBorder="1" applyAlignment="1" applyProtection="1">
      <alignment horizontal="left" vertical="center"/>
      <protection locked="0"/>
    </xf>
    <xf numFmtId="0" fontId="15" fillId="5" borderId="79" xfId="0" applyFont="1" applyFill="1" applyBorder="1" applyAlignment="1" applyProtection="1">
      <alignment horizontal="left" vertical="center"/>
      <protection locked="0"/>
    </xf>
    <xf numFmtId="0" fontId="92" fillId="0" borderId="77" xfId="0" applyFont="1" applyFill="1" applyBorder="1" applyAlignment="1" applyProtection="1">
      <alignment horizontal="left" vertical="center" wrapText="1"/>
    </xf>
    <xf numFmtId="0" fontId="92" fillId="0" borderId="74" xfId="0" applyFont="1" applyFill="1" applyBorder="1" applyAlignment="1" applyProtection="1">
      <alignment horizontal="left" vertical="center" wrapText="1"/>
    </xf>
    <xf numFmtId="3" fontId="15" fillId="5" borderId="78" xfId="0" applyNumberFormat="1" applyFont="1" applyFill="1" applyBorder="1" applyAlignment="1" applyProtection="1">
      <alignment horizontal="left" vertical="center"/>
      <protection locked="0"/>
    </xf>
    <xf numFmtId="3" fontId="15" fillId="5" borderId="79" xfId="0" applyNumberFormat="1" applyFont="1" applyFill="1" applyBorder="1" applyAlignment="1" applyProtection="1">
      <alignment horizontal="left" vertical="center"/>
      <protection locked="0"/>
    </xf>
    <xf numFmtId="3" fontId="15" fillId="13" borderId="78" xfId="0" applyNumberFormat="1" applyFont="1" applyFill="1" applyBorder="1" applyAlignment="1" applyProtection="1">
      <alignment horizontal="center" vertical="center"/>
    </xf>
    <xf numFmtId="3" fontId="15" fillId="13" borderId="79" xfId="0" applyNumberFormat="1" applyFont="1" applyFill="1" applyBorder="1" applyAlignment="1" applyProtection="1">
      <alignment horizontal="center" vertical="center"/>
    </xf>
    <xf numFmtId="3" fontId="15" fillId="13" borderId="28" xfId="0" applyNumberFormat="1" applyFont="1" applyFill="1" applyBorder="1" applyAlignment="1" applyProtection="1">
      <alignment horizontal="center" vertical="center"/>
    </xf>
    <xf numFmtId="3" fontId="15" fillId="13" borderId="29" xfId="0" applyNumberFormat="1" applyFont="1" applyFill="1" applyBorder="1" applyAlignment="1" applyProtection="1">
      <alignment horizontal="center" vertical="center"/>
    </xf>
    <xf numFmtId="0" fontId="15" fillId="5" borderId="28" xfId="0" applyFont="1" applyFill="1" applyBorder="1" applyAlignment="1" applyProtection="1">
      <alignment horizontal="left" vertical="center"/>
      <protection locked="0"/>
    </xf>
    <xf numFmtId="0" fontId="15" fillId="5" borderId="57" xfId="0" applyFont="1" applyFill="1" applyBorder="1" applyAlignment="1" applyProtection="1">
      <alignment horizontal="left" vertical="center"/>
      <protection locked="0"/>
    </xf>
    <xf numFmtId="0" fontId="15" fillId="5" borderId="29" xfId="0" applyFont="1" applyFill="1" applyBorder="1" applyAlignment="1" applyProtection="1">
      <alignment horizontal="left" vertical="center"/>
      <protection locked="0"/>
    </xf>
    <xf numFmtId="0" fontId="15" fillId="5" borderId="58" xfId="0" applyFont="1" applyFill="1" applyBorder="1" applyAlignment="1" applyProtection="1">
      <alignment horizontal="left" vertical="center"/>
      <protection locked="0"/>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5" fillId="5" borderId="36" xfId="0" applyFont="1" applyFill="1" applyBorder="1" applyAlignment="1" applyProtection="1">
      <alignment horizontal="left" vertical="top" wrapText="1"/>
      <protection locked="0"/>
    </xf>
    <xf numFmtId="0" fontId="5" fillId="5" borderId="2" xfId="0" applyFont="1" applyFill="1" applyBorder="1" applyAlignment="1" applyProtection="1">
      <alignment horizontal="left" vertical="top" wrapText="1"/>
      <protection locked="0"/>
    </xf>
    <xf numFmtId="0" fontId="5" fillId="5" borderId="37" xfId="0" applyFont="1" applyFill="1" applyBorder="1" applyAlignment="1" applyProtection="1">
      <alignment horizontal="left" vertical="top" wrapText="1"/>
      <protection locked="0"/>
    </xf>
    <xf numFmtId="0" fontId="43" fillId="5" borderId="28" xfId="0" applyFont="1" applyFill="1" applyBorder="1" applyAlignment="1" applyProtection="1">
      <alignment vertical="top" wrapText="1"/>
      <protection locked="0"/>
    </xf>
    <xf numFmtId="0" fontId="46" fillId="0" borderId="57" xfId="0" applyFont="1" applyBorder="1" applyAlignment="1" applyProtection="1">
      <alignment vertical="top" wrapText="1"/>
      <protection locked="0"/>
    </xf>
    <xf numFmtId="0" fontId="46" fillId="0" borderId="29" xfId="0" applyFont="1" applyBorder="1" applyAlignment="1" applyProtection="1">
      <alignment vertical="top" wrapText="1"/>
      <protection locked="0"/>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175" fontId="15" fillId="13" borderId="28" xfId="0" applyNumberFormat="1" applyFont="1" applyFill="1" applyBorder="1" applyAlignment="1" applyProtection="1">
      <alignment horizontal="left" vertical="center"/>
    </xf>
    <xf numFmtId="175" fontId="15" fillId="13" borderId="29" xfId="0" applyNumberFormat="1" applyFont="1" applyFill="1" applyBorder="1" applyAlignment="1" applyProtection="1">
      <alignment horizontal="left" vertical="center"/>
    </xf>
    <xf numFmtId="0" fontId="15" fillId="13" borderId="30" xfId="0" applyFont="1" applyFill="1" applyBorder="1" applyAlignment="1" applyProtection="1">
      <alignment horizontal="left" vertical="center"/>
    </xf>
    <xf numFmtId="0" fontId="15" fillId="13" borderId="31" xfId="0" applyFont="1" applyFill="1" applyBorder="1" applyAlignment="1" applyProtection="1">
      <alignment horizontal="left" vertical="center"/>
    </xf>
    <xf numFmtId="175" fontId="15" fillId="5" borderId="78" xfId="0" applyNumberFormat="1" applyFont="1" applyFill="1" applyBorder="1" applyAlignment="1" applyProtection="1">
      <alignment horizontal="left" vertical="center"/>
      <protection locked="0"/>
    </xf>
    <xf numFmtId="175" fontId="15" fillId="5" borderId="82" xfId="0" applyNumberFormat="1" applyFont="1" applyFill="1" applyBorder="1" applyAlignment="1" applyProtection="1">
      <alignment horizontal="left" vertical="center"/>
      <protection locked="0"/>
    </xf>
    <xf numFmtId="175" fontId="15" fillId="5" borderId="79" xfId="0" applyNumberFormat="1" applyFont="1" applyFill="1" applyBorder="1" applyAlignment="1" applyProtection="1">
      <alignment horizontal="left" vertical="center"/>
      <protection locked="0"/>
    </xf>
    <xf numFmtId="175" fontId="15" fillId="13" borderId="33" xfId="0" applyNumberFormat="1" applyFont="1" applyFill="1" applyBorder="1" applyAlignment="1" applyProtection="1">
      <alignment horizontal="left" vertical="center"/>
    </xf>
    <xf numFmtId="175" fontId="15" fillId="13" borderId="34" xfId="0" applyNumberFormat="1" applyFont="1" applyFill="1" applyBorder="1" applyAlignment="1" applyProtection="1">
      <alignment horizontal="left" vertical="center"/>
    </xf>
    <xf numFmtId="175" fontId="15" fillId="5" borderId="28" xfId="0" applyNumberFormat="1" applyFont="1" applyFill="1" applyBorder="1" applyAlignment="1" applyProtection="1">
      <alignment horizontal="left" vertical="center"/>
      <protection locked="0"/>
    </xf>
    <xf numFmtId="175" fontId="15" fillId="5" borderId="57" xfId="0" applyNumberFormat="1" applyFont="1" applyFill="1" applyBorder="1" applyAlignment="1" applyProtection="1">
      <alignment horizontal="left" vertical="center"/>
      <protection locked="0"/>
    </xf>
    <xf numFmtId="175" fontId="15" fillId="5" borderId="29" xfId="0" applyNumberFormat="1" applyFont="1" applyFill="1" applyBorder="1" applyAlignment="1" applyProtection="1">
      <alignment horizontal="left" vertical="center"/>
      <protection locked="0"/>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center"/>
    </xf>
    <xf numFmtId="0" fontId="15" fillId="13" borderId="17" xfId="0" applyFont="1" applyFill="1" applyBorder="1" applyAlignment="1" applyProtection="1">
      <alignment horizontal="center" vertical="top"/>
    </xf>
    <xf numFmtId="0" fontId="15" fillId="5" borderId="17" xfId="0" applyFont="1" applyFill="1" applyBorder="1" applyAlignment="1" applyProtection="1">
      <alignment horizontal="center" vertical="top"/>
      <protection locked="0"/>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0" fontId="15" fillId="0" borderId="0" xfId="0" applyFont="1" applyFill="1" applyBorder="1" applyAlignment="1" applyProtection="1">
      <alignment horizontal="left" vertical="top" wrapText="1"/>
    </xf>
    <xf numFmtId="0" fontId="5" fillId="5" borderId="33" xfId="0" applyFont="1" applyFill="1" applyBorder="1" applyAlignment="1" applyProtection="1">
      <alignment horizontal="left" vertical="top" wrapText="1"/>
      <protection locked="0"/>
    </xf>
    <xf numFmtId="0" fontId="5" fillId="5" borderId="58" xfId="0" applyFont="1" applyFill="1" applyBorder="1" applyAlignment="1" applyProtection="1">
      <alignment horizontal="left" vertical="top" wrapText="1"/>
      <protection locked="0"/>
    </xf>
    <xf numFmtId="0" fontId="5" fillId="5" borderId="34" xfId="0" applyFont="1" applyFill="1" applyBorder="1" applyAlignment="1" applyProtection="1">
      <alignment horizontal="left" vertical="top" wrapText="1"/>
      <protection locked="0"/>
    </xf>
    <xf numFmtId="0" fontId="5" fillId="10" borderId="78" xfId="0" applyFont="1" applyFill="1" applyBorder="1" applyAlignment="1" applyProtection="1">
      <alignment horizontal="left" vertical="top"/>
      <protection locked="0"/>
    </xf>
    <xf numFmtId="0" fontId="5" fillId="10" borderId="82" xfId="0" applyFont="1" applyFill="1" applyBorder="1" applyAlignment="1" applyProtection="1">
      <alignment horizontal="left" vertical="top"/>
      <protection locked="0"/>
    </xf>
    <xf numFmtId="0" fontId="5" fillId="10" borderId="79" xfId="0" applyFont="1" applyFill="1" applyBorder="1" applyAlignment="1" applyProtection="1">
      <alignment horizontal="left" vertical="top"/>
      <protection locked="0"/>
    </xf>
    <xf numFmtId="0" fontId="46" fillId="0" borderId="58" xfId="0" applyFont="1" applyBorder="1" applyAlignment="1" applyProtection="1">
      <alignment horizontal="left" vertical="top" wrapText="1"/>
      <protection locked="0"/>
    </xf>
    <xf numFmtId="0" fontId="46" fillId="0" borderId="34" xfId="0" applyFont="1" applyBorder="1" applyAlignment="1" applyProtection="1">
      <alignment horizontal="left" vertical="top" wrapText="1"/>
      <protection locked="0"/>
    </xf>
    <xf numFmtId="0" fontId="15" fillId="13" borderId="80" xfId="0" applyFont="1" applyFill="1" applyBorder="1" applyAlignment="1" applyProtection="1">
      <alignment horizontal="left" vertical="center"/>
    </xf>
    <xf numFmtId="0" fontId="15" fillId="13" borderId="81" xfId="0" applyFont="1" applyFill="1" applyBorder="1" applyAlignment="1" applyProtection="1">
      <alignment horizontal="left" vertical="center"/>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5" fillId="5" borderId="28" xfId="0" applyFont="1" applyFill="1" applyBorder="1" applyAlignment="1" applyProtection="1">
      <alignment horizontal="left" vertical="top" wrapText="1"/>
      <protection locked="0"/>
    </xf>
    <xf numFmtId="0" fontId="5" fillId="5" borderId="57" xfId="0" applyFont="1" applyFill="1" applyBorder="1" applyAlignment="1" applyProtection="1">
      <alignment horizontal="left" vertical="top" wrapText="1"/>
      <protection locked="0"/>
    </xf>
    <xf numFmtId="0" fontId="5" fillId="5" borderId="29" xfId="0" applyFont="1" applyFill="1" applyBorder="1" applyAlignment="1" applyProtection="1">
      <alignment horizontal="left" vertical="top" wrapText="1"/>
      <protection locked="0"/>
    </xf>
    <xf numFmtId="0" fontId="20" fillId="5" borderId="78" xfId="0" applyFont="1" applyFill="1" applyBorder="1" applyAlignment="1" applyProtection="1">
      <alignment horizontal="left"/>
      <protection locked="0"/>
    </xf>
    <xf numFmtId="0" fontId="20" fillId="5" borderId="82" xfId="0" applyFont="1" applyFill="1" applyBorder="1" applyAlignment="1" applyProtection="1">
      <alignment horizontal="left"/>
      <protection locked="0"/>
    </xf>
    <xf numFmtId="0" fontId="20" fillId="5" borderId="79" xfId="0" applyFont="1" applyFill="1" applyBorder="1" applyAlignment="1" applyProtection="1">
      <alignment horizontal="left"/>
      <protection locked="0"/>
    </xf>
    <xf numFmtId="0" fontId="5" fillId="0" borderId="0" xfId="0" applyFont="1" applyFill="1" applyAlignment="1" applyProtection="1">
      <alignment horizontal="left" vertical="top" wrapText="1"/>
    </xf>
    <xf numFmtId="0" fontId="15" fillId="5" borderId="133" xfId="0" applyFont="1" applyFill="1" applyBorder="1" applyAlignment="1" applyProtection="1">
      <alignment horizontal="left" vertical="center"/>
      <protection locked="0"/>
    </xf>
    <xf numFmtId="0" fontId="15" fillId="5" borderId="134" xfId="0" applyFont="1" applyFill="1" applyBorder="1" applyAlignment="1" applyProtection="1">
      <alignment horizontal="left" vertical="center"/>
      <protection locked="0"/>
    </xf>
    <xf numFmtId="0" fontId="15" fillId="5" borderId="135" xfId="0" applyFont="1" applyFill="1" applyBorder="1" applyAlignment="1" applyProtection="1">
      <alignment horizontal="left" vertical="center"/>
      <protection locked="0"/>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3" xfId="0" applyFont="1" applyFill="1" applyBorder="1" applyAlignment="1" applyProtection="1">
      <alignment horizontal="left" vertical="top" wrapText="1"/>
      <protection locked="0"/>
    </xf>
    <xf numFmtId="0" fontId="5" fillId="5" borderId="134" xfId="0" applyFont="1" applyFill="1" applyBorder="1" applyAlignment="1" applyProtection="1">
      <alignment horizontal="left" vertical="top" wrapText="1"/>
      <protection locked="0"/>
    </xf>
    <xf numFmtId="0" fontId="5" fillId="5" borderId="135" xfId="0" applyFont="1" applyFill="1" applyBorder="1" applyAlignment="1" applyProtection="1">
      <alignment horizontal="left" vertical="top" wrapText="1"/>
      <protection locked="0"/>
    </xf>
    <xf numFmtId="0" fontId="43" fillId="5" borderId="133" xfId="0" applyFont="1" applyFill="1" applyBorder="1" applyAlignment="1" applyProtection="1">
      <alignment horizontal="left" vertical="top" wrapText="1"/>
      <protection locked="0"/>
    </xf>
    <xf numFmtId="0" fontId="43" fillId="5" borderId="135" xfId="0" applyFont="1" applyFill="1" applyBorder="1" applyAlignment="1" applyProtection="1">
      <alignment horizontal="left" vertical="top" wrapText="1"/>
      <protection locked="0"/>
    </xf>
    <xf numFmtId="0" fontId="5" fillId="5" borderId="30" xfId="0" applyFont="1" applyFill="1" applyBorder="1" applyAlignment="1" applyProtection="1">
      <alignment horizontal="left" vertical="top" wrapText="1"/>
      <protection locked="0"/>
    </xf>
    <xf numFmtId="0" fontId="5" fillId="5" borderId="21" xfId="0" applyFont="1" applyFill="1" applyBorder="1" applyAlignment="1" applyProtection="1">
      <alignment horizontal="left" vertical="top" wrapText="1"/>
      <protection locked="0"/>
    </xf>
    <xf numFmtId="0" fontId="5" fillId="5" borderId="31" xfId="0" applyFont="1" applyFill="1" applyBorder="1" applyAlignment="1" applyProtection="1">
      <alignment horizontal="left" vertical="top" wrapText="1"/>
      <protection locked="0"/>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13" xfId="0" applyFont="1" applyBorder="1" applyAlignment="1" applyProtection="1">
      <alignment horizontal="left" wrapText="1"/>
    </xf>
    <xf numFmtId="0" fontId="190" fillId="0" borderId="43" xfId="0" applyNumberFormat="1" applyFont="1" applyFill="1" applyBorder="1" applyAlignment="1" applyProtection="1">
      <alignment horizontal="center" vertical="center" wrapText="1"/>
    </xf>
    <xf numFmtId="0" fontId="190" fillId="0" borderId="39" xfId="0" applyNumberFormat="1" applyFont="1" applyFill="1" applyBorder="1" applyAlignment="1" applyProtection="1">
      <alignment horizontal="center" vertical="center" wrapText="1"/>
    </xf>
    <xf numFmtId="0" fontId="190" fillId="0" borderId="42" xfId="0" applyNumberFormat="1" applyFont="1" applyFill="1" applyBorder="1" applyAlignment="1" applyProtection="1">
      <alignment horizontal="center" vertical="center" wrapText="1"/>
    </xf>
    <xf numFmtId="0" fontId="190" fillId="0" borderId="59" xfId="0" applyNumberFormat="1"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208" fillId="20" borderId="62" xfId="0" applyFont="1" applyFill="1" applyBorder="1" applyAlignment="1" applyProtection="1">
      <alignment horizontal="center" vertical="center" wrapText="1"/>
    </xf>
    <xf numFmtId="0" fontId="208" fillId="20" borderId="70" xfId="0" applyFont="1" applyFill="1" applyBorder="1" applyAlignment="1" applyProtection="1">
      <alignment horizontal="center" vertical="center" wrapText="1"/>
    </xf>
    <xf numFmtId="0" fontId="208" fillId="20" borderId="63" xfId="0" applyFont="1" applyFill="1" applyBorder="1" applyAlignment="1" applyProtection="1">
      <alignment horizontal="center" vertical="center" wrapText="1"/>
    </xf>
    <xf numFmtId="0" fontId="208" fillId="20" borderId="44" xfId="0" applyFont="1" applyFill="1" applyBorder="1" applyAlignment="1" applyProtection="1">
      <alignment horizontal="center" vertical="center" wrapText="1"/>
    </xf>
    <xf numFmtId="0" fontId="208" fillId="20" borderId="0" xfId="0" applyFont="1" applyFill="1" applyBorder="1" applyAlignment="1" applyProtection="1">
      <alignment horizontal="center" vertical="center" wrapText="1"/>
    </xf>
    <xf numFmtId="0" fontId="208" fillId="20" borderId="47" xfId="0" applyFont="1" applyFill="1" applyBorder="1" applyAlignment="1" applyProtection="1">
      <alignment horizontal="center" vertical="center" wrapText="1"/>
    </xf>
    <xf numFmtId="0" fontId="208" fillId="20" borderId="45" xfId="0" applyFont="1" applyFill="1" applyBorder="1" applyAlignment="1" applyProtection="1">
      <alignment horizontal="center" vertical="center" wrapText="1"/>
    </xf>
    <xf numFmtId="0" fontId="208" fillId="20" borderId="83" xfId="0" applyFont="1" applyFill="1" applyBorder="1" applyAlignment="1" applyProtection="1">
      <alignment horizontal="center" vertical="center" wrapText="1"/>
    </xf>
    <xf numFmtId="0" fontId="208" fillId="20" borderId="64" xfId="0" applyFont="1" applyFill="1" applyBorder="1" applyAlignment="1" applyProtection="1">
      <alignment horizontal="center" vertical="center" wrapText="1"/>
    </xf>
    <xf numFmtId="10" fontId="15" fillId="5" borderId="30" xfId="0" applyNumberFormat="1" applyFont="1" applyFill="1" applyBorder="1" applyAlignment="1" applyProtection="1">
      <alignment horizontal="left" vertical="center"/>
      <protection locked="0"/>
    </xf>
    <xf numFmtId="10" fontId="15"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5" fillId="5" borderId="86" xfId="0" applyFont="1" applyFill="1" applyBorder="1" applyAlignment="1" applyProtection="1">
      <alignment horizontal="left" vertical="center" wrapText="1"/>
      <protection locked="0"/>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3" fontId="45" fillId="0" borderId="0"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xf>
    <xf numFmtId="0" fontId="92" fillId="0" borderId="0" xfId="0" applyFont="1" applyFill="1" applyBorder="1" applyAlignment="1" applyProtection="1">
      <alignment horizontal="center" vertical="center"/>
    </xf>
    <xf numFmtId="0" fontId="15" fillId="5" borderId="16" xfId="0" applyFont="1" applyFill="1" applyBorder="1" applyAlignment="1" applyProtection="1">
      <alignment horizontal="left" vertical="center"/>
      <protection locked="0"/>
    </xf>
    <xf numFmtId="0" fontId="15" fillId="5" borderId="84" xfId="0" applyFont="1" applyFill="1" applyBorder="1" applyAlignment="1" applyProtection="1">
      <alignment horizontal="center" vertical="center"/>
      <protection locked="0"/>
    </xf>
    <xf numFmtId="0" fontId="15" fillId="5" borderId="12" xfId="0" applyFont="1" applyFill="1" applyBorder="1" applyAlignment="1" applyProtection="1">
      <alignment horizontal="center" vertical="center"/>
      <protection locked="0"/>
    </xf>
    <xf numFmtId="0" fontId="15" fillId="5" borderId="18" xfId="0" applyFont="1" applyFill="1" applyBorder="1" applyAlignment="1" applyProtection="1">
      <alignment horizontal="left" vertical="center"/>
      <protection locked="0"/>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7" fillId="0" borderId="43" xfId="0" applyNumberFormat="1" applyFont="1" applyFill="1" applyBorder="1" applyAlignment="1" applyProtection="1">
      <alignment horizontal="center" vertical="center" wrapText="1"/>
    </xf>
    <xf numFmtId="3" fontId="167" fillId="0" borderId="39" xfId="0" applyNumberFormat="1" applyFont="1" applyFill="1" applyBorder="1" applyAlignment="1" applyProtection="1">
      <alignment horizontal="center" vertical="center" wrapText="1"/>
    </xf>
    <xf numFmtId="3" fontId="167" fillId="0" borderId="42" xfId="0" applyNumberFormat="1" applyFont="1" applyFill="1" applyBorder="1" applyAlignment="1" applyProtection="1">
      <alignment horizontal="center" vertical="center" wrapText="1"/>
    </xf>
    <xf numFmtId="3" fontId="167" fillId="0" borderId="59" xfId="0" applyNumberFormat="1" applyFont="1" applyFill="1" applyBorder="1" applyAlignment="1" applyProtection="1">
      <alignment horizontal="center" vertical="center" wrapText="1"/>
    </xf>
    <xf numFmtId="3" fontId="150" fillId="0" borderId="78" xfId="0" applyNumberFormat="1" applyFont="1" applyFill="1" applyBorder="1" applyAlignment="1" applyProtection="1">
      <alignment horizontal="center" vertical="center" wrapText="1"/>
    </xf>
    <xf numFmtId="3" fontId="150"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176" fontId="9" fillId="10" borderId="78" xfId="0" applyNumberFormat="1" applyFont="1" applyFill="1" applyBorder="1" applyAlignment="1" applyProtection="1">
      <alignment horizontal="center"/>
      <protection locked="0"/>
    </xf>
    <xf numFmtId="176" fontId="9" fillId="10" borderId="79" xfId="0" applyNumberFormat="1" applyFont="1" applyFill="1" applyBorder="1" applyAlignment="1" applyProtection="1">
      <alignment horizontal="center"/>
      <protection locked="0"/>
    </xf>
    <xf numFmtId="0" fontId="15" fillId="5" borderId="4" xfId="0" applyFont="1" applyFill="1" applyBorder="1" applyAlignment="1" applyProtection="1">
      <alignment horizontal="center"/>
      <protection locked="0"/>
    </xf>
    <xf numFmtId="0" fontId="15" fillId="5" borderId="37" xfId="0" applyFont="1" applyFill="1" applyBorder="1" applyAlignment="1" applyProtection="1">
      <alignment horizontal="center"/>
      <protection locked="0"/>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5" fillId="5" borderId="30" xfId="0" applyFont="1" applyFill="1" applyBorder="1" applyAlignment="1" applyProtection="1">
      <alignment horizontal="left" vertical="center"/>
      <protection locked="0"/>
    </xf>
    <xf numFmtId="0" fontId="15"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5" fillId="5" borderId="9" xfId="0" applyFont="1" applyFill="1" applyBorder="1" applyAlignment="1" applyProtection="1">
      <alignment horizontal="left" vertical="center"/>
      <protection locked="0"/>
    </xf>
    <xf numFmtId="0" fontId="5" fillId="5" borderId="13" xfId="0" applyFont="1" applyFill="1" applyBorder="1" applyAlignment="1" applyProtection="1">
      <alignment horizontal="left" vertical="center"/>
      <protection locked="0"/>
    </xf>
    <xf numFmtId="0" fontId="5" fillId="5" borderId="14" xfId="0" applyFont="1" applyFill="1" applyBorder="1" applyAlignment="1" applyProtection="1">
      <alignment horizontal="left" vertical="center"/>
      <protection locked="0"/>
    </xf>
    <xf numFmtId="0" fontId="15" fillId="5" borderId="36" xfId="0" applyFont="1" applyFill="1" applyBorder="1" applyAlignment="1" applyProtection="1">
      <alignment horizontal="left" vertical="center"/>
      <protection locked="0"/>
    </xf>
    <xf numFmtId="0" fontId="15" fillId="5" borderId="2" xfId="0" applyFont="1" applyFill="1" applyBorder="1" applyAlignment="1" applyProtection="1">
      <alignment horizontal="left" vertical="center"/>
      <protection locked="0"/>
    </xf>
    <xf numFmtId="0" fontId="15" fillId="5" borderId="37" xfId="0" applyFont="1" applyFill="1" applyBorder="1" applyAlignment="1" applyProtection="1">
      <alignment horizontal="left" vertical="center"/>
      <protection locked="0"/>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15" fillId="13" borderId="18" xfId="0" applyFont="1" applyFill="1" applyBorder="1" applyAlignment="1" applyProtection="1">
      <alignment horizontal="center" vertical="top"/>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top"/>
      <protection locked="0"/>
    </xf>
    <xf numFmtId="0" fontId="15" fillId="13" borderId="136" xfId="0" applyFont="1" applyFill="1" applyBorder="1" applyAlignment="1" applyProtection="1">
      <alignment horizontal="center" vertical="top"/>
    </xf>
    <xf numFmtId="0" fontId="15" fillId="5" borderId="136" xfId="0" applyFont="1" applyFill="1" applyBorder="1" applyAlignment="1" applyProtection="1">
      <alignment horizontal="center" vertical="top"/>
      <protection locked="0"/>
    </xf>
    <xf numFmtId="0" fontId="43" fillId="5" borderId="80" xfId="0" applyFont="1" applyFill="1" applyBorder="1" applyAlignment="1" applyProtection="1">
      <alignment horizontal="left" vertical="top" wrapText="1"/>
      <protection locked="0"/>
    </xf>
    <xf numFmtId="0" fontId="43" fillId="5" borderId="85" xfId="0" applyFont="1" applyFill="1" applyBorder="1" applyAlignment="1" applyProtection="1">
      <alignment horizontal="left" vertical="top" wrapText="1"/>
      <protection locked="0"/>
    </xf>
    <xf numFmtId="0" fontId="43" fillId="5" borderId="81" xfId="0" applyFont="1" applyFill="1" applyBorder="1" applyAlignment="1" applyProtection="1">
      <alignment horizontal="left" vertical="top" wrapText="1"/>
      <protection locked="0"/>
    </xf>
    <xf numFmtId="0" fontId="43" fillId="5" borderId="9" xfId="0" applyFont="1" applyFill="1" applyBorder="1" applyAlignment="1" applyProtection="1">
      <alignment horizontal="left" vertical="top" wrapText="1"/>
      <protection locked="0"/>
    </xf>
    <xf numFmtId="0" fontId="43" fillId="5" borderId="13" xfId="0" applyFont="1" applyFill="1" applyBorder="1" applyAlignment="1" applyProtection="1">
      <alignment horizontal="left" vertical="top" wrapText="1"/>
      <protection locked="0"/>
    </xf>
    <xf numFmtId="0" fontId="43" fillId="5" borderId="14" xfId="0" applyFont="1" applyFill="1" applyBorder="1" applyAlignment="1" applyProtection="1">
      <alignment horizontal="left" vertical="top" wrapText="1"/>
      <protection locked="0"/>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10" borderId="78" xfId="0" applyFont="1" applyFill="1" applyBorder="1" applyAlignment="1" applyProtection="1">
      <alignment horizontal="left" vertical="center" wrapText="1"/>
      <protection locked="0"/>
    </xf>
    <xf numFmtId="0" fontId="5" fillId="10" borderId="82" xfId="0" applyFont="1" applyFill="1" applyBorder="1" applyAlignment="1" applyProtection="1">
      <alignment horizontal="left" vertical="center" wrapText="1"/>
      <protection locked="0"/>
    </xf>
    <xf numFmtId="0" fontId="5" fillId="10" borderId="79" xfId="0" applyFont="1" applyFill="1" applyBorder="1" applyAlignment="1" applyProtection="1">
      <alignment horizontal="left" vertical="center" wrapText="1"/>
      <protection locked="0"/>
    </xf>
    <xf numFmtId="0" fontId="5" fillId="0" borderId="0" xfId="0" applyFont="1" applyFill="1" applyAlignment="1" applyProtection="1">
      <alignment horizontal="center" vertical="center" wrapText="1"/>
    </xf>
    <xf numFmtId="0" fontId="5" fillId="0" borderId="47" xfId="0" applyFont="1" applyFill="1" applyBorder="1" applyAlignment="1" applyProtection="1">
      <alignment horizontal="center" wrapText="1"/>
    </xf>
    <xf numFmtId="38" fontId="106" fillId="0" borderId="0" xfId="0" applyNumberFormat="1" applyFont="1" applyFill="1" applyBorder="1" applyAlignment="1" applyProtection="1">
      <alignment horizontal="center" vertical="center" wrapText="1"/>
    </xf>
    <xf numFmtId="0" fontId="5" fillId="0" borderId="0" xfId="0" applyFont="1" applyFill="1" applyBorder="1" applyAlignment="1" applyProtection="1">
      <alignment horizontal="center" vertical="center"/>
    </xf>
    <xf numFmtId="0" fontId="5" fillId="0" borderId="0" xfId="0" applyFont="1" applyBorder="1" applyAlignment="1" applyProtection="1">
      <alignment horizontal="left" vertical="center"/>
    </xf>
    <xf numFmtId="0" fontId="11" fillId="13" borderId="6" xfId="0" applyFont="1" applyFill="1" applyBorder="1" applyAlignment="1" applyProtection="1">
      <alignment horizontal="center" vertical="center"/>
    </xf>
    <xf numFmtId="0" fontId="5" fillId="5" borderId="36" xfId="0" applyFont="1" applyFill="1" applyBorder="1" applyAlignment="1" applyProtection="1">
      <alignment horizontal="left" vertical="center" wrapText="1"/>
      <protection locked="0"/>
    </xf>
    <xf numFmtId="0" fontId="5" fillId="5" borderId="2" xfId="0" applyFont="1" applyFill="1" applyBorder="1" applyAlignment="1" applyProtection="1">
      <alignment horizontal="left" vertical="center" wrapText="1"/>
      <protection locked="0"/>
    </xf>
    <xf numFmtId="0" fontId="5" fillId="5" borderId="37" xfId="0" applyFont="1" applyFill="1" applyBorder="1" applyAlignment="1" applyProtection="1">
      <alignment horizontal="left" vertical="center" wrapText="1"/>
      <protection locked="0"/>
    </xf>
    <xf numFmtId="0" fontId="43" fillId="5" borderId="78" xfId="0" applyFont="1" applyFill="1" applyBorder="1" applyAlignment="1" applyProtection="1">
      <alignment horizontal="left" vertical="top" wrapText="1"/>
      <protection locked="0"/>
    </xf>
    <xf numFmtId="0" fontId="43" fillId="5" borderId="82" xfId="0" applyFont="1" applyFill="1" applyBorder="1" applyAlignment="1" applyProtection="1">
      <alignment horizontal="left" vertical="top" wrapText="1"/>
      <protection locked="0"/>
    </xf>
    <xf numFmtId="0" fontId="43" fillId="5" borderId="79" xfId="0" applyFont="1" applyFill="1" applyBorder="1" applyAlignment="1" applyProtection="1">
      <alignment horizontal="left" vertical="top" wrapText="1"/>
      <protection locked="0"/>
    </xf>
    <xf numFmtId="0" fontId="15" fillId="5" borderId="36" xfId="0" applyFont="1" applyFill="1" applyBorder="1" applyAlignment="1" applyProtection="1">
      <alignment horizontal="center" vertical="top"/>
      <protection locked="0"/>
    </xf>
    <xf numFmtId="0" fontId="15" fillId="5" borderId="37" xfId="0" applyFont="1" applyFill="1" applyBorder="1" applyAlignment="1" applyProtection="1">
      <alignment horizontal="center" vertical="top"/>
      <protection locked="0"/>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11" fillId="5" borderId="86" xfId="0" applyFont="1" applyFill="1" applyBorder="1" applyAlignment="1" applyProtection="1">
      <alignment horizontal="left" vertical="center"/>
      <protection locked="0"/>
    </xf>
    <xf numFmtId="0" fontId="5" fillId="0" borderId="0" xfId="0" applyFont="1" applyFill="1" applyAlignment="1" applyProtection="1">
      <alignment horizontal="left" vertical="center" wrapText="1"/>
    </xf>
    <xf numFmtId="0" fontId="43" fillId="10" borderId="121" xfId="0" applyFont="1" applyFill="1" applyBorder="1" applyAlignment="1" applyProtection="1">
      <alignment horizontal="left"/>
      <protection locked="0"/>
    </xf>
    <xf numFmtId="0" fontId="43" fillId="10" borderId="85" xfId="0" applyFont="1" applyFill="1" applyBorder="1" applyAlignment="1" applyProtection="1">
      <alignment horizontal="left"/>
      <protection locked="0"/>
    </xf>
    <xf numFmtId="0" fontId="43" fillId="10" borderId="81" xfId="0" applyFont="1" applyFill="1" applyBorder="1" applyAlignment="1" applyProtection="1">
      <alignment horizontal="left"/>
      <protection locked="0"/>
    </xf>
    <xf numFmtId="0" fontId="15" fillId="5" borderId="111" xfId="0" applyFont="1" applyFill="1" applyBorder="1" applyAlignment="1" applyProtection="1">
      <alignment horizontal="left" vertical="center"/>
      <protection locked="0"/>
    </xf>
    <xf numFmtId="0" fontId="15" fillId="5" borderId="90" xfId="0" applyFont="1" applyFill="1" applyBorder="1" applyAlignment="1" applyProtection="1">
      <alignment horizontal="left" vertical="center"/>
      <protection locked="0"/>
    </xf>
    <xf numFmtId="0" fontId="43" fillId="0" borderId="0" xfId="0" quotePrefix="1" applyFont="1" applyFill="1" applyAlignment="1" applyProtection="1">
      <alignment horizontal="left" vertical="center"/>
    </xf>
    <xf numFmtId="3" fontId="15" fillId="13" borderId="117" xfId="0" applyNumberFormat="1" applyFont="1" applyFill="1" applyBorder="1" applyAlignment="1" applyProtection="1">
      <alignment horizontal="center" vertical="center"/>
    </xf>
    <xf numFmtId="3" fontId="15" fillId="13" borderId="118" xfId="0" applyNumberFormat="1" applyFont="1" applyFill="1" applyBorder="1" applyAlignment="1" applyProtection="1">
      <alignment horizontal="center" vertical="center"/>
    </xf>
    <xf numFmtId="0" fontId="11" fillId="13" borderId="80" xfId="0" applyFont="1" applyFill="1" applyBorder="1" applyAlignment="1" applyProtection="1">
      <alignment horizontal="center" vertical="center"/>
    </xf>
    <xf numFmtId="0" fontId="11" fillId="5" borderId="86" xfId="0" applyFont="1" applyFill="1" applyBorder="1" applyAlignment="1" applyProtection="1">
      <alignment horizontal="left" vertical="center" wrapText="1"/>
      <protection locked="0"/>
    </xf>
    <xf numFmtId="0" fontId="15" fillId="13" borderId="84" xfId="0" applyFont="1" applyFill="1" applyBorder="1" applyAlignment="1" applyProtection="1">
      <alignment horizontal="center" vertical="center"/>
    </xf>
    <xf numFmtId="0" fontId="15" fillId="13" borderId="12" xfId="0" applyFont="1" applyFill="1" applyBorder="1" applyAlignment="1" applyProtection="1">
      <alignment horizontal="center" vertical="center"/>
    </xf>
    <xf numFmtId="3" fontId="5" fillId="5" borderId="27" xfId="0" applyNumberFormat="1" applyFont="1" applyFill="1" applyBorder="1" applyAlignment="1" applyProtection="1">
      <alignment horizontal="center" vertical="center" wrapText="1"/>
      <protection locked="0"/>
    </xf>
    <xf numFmtId="3" fontId="5" fillId="5" borderId="92" xfId="0" applyNumberFormat="1" applyFont="1" applyFill="1" applyBorder="1" applyAlignment="1" applyProtection="1">
      <alignment horizontal="center" vertical="center" wrapText="1"/>
      <protection locked="0"/>
    </xf>
    <xf numFmtId="0" fontId="5" fillId="0" borderId="13" xfId="0" applyFont="1" applyBorder="1" applyAlignment="1" applyProtection="1">
      <alignment horizontal="center" vertical="center"/>
    </xf>
    <xf numFmtId="0" fontId="5" fillId="0" borderId="0" xfId="0" applyFont="1" applyAlignment="1" applyProtection="1">
      <alignment horizontal="left" vertical="center" wrapText="1"/>
    </xf>
    <xf numFmtId="0" fontId="50" fillId="0" borderId="90" xfId="0" applyFont="1" applyBorder="1" applyAlignment="1" applyProtection="1">
      <alignment horizontal="center" wrapText="1"/>
    </xf>
    <xf numFmtId="0" fontId="50" fillId="0" borderId="123" xfId="0" applyFont="1" applyBorder="1" applyAlignment="1" applyProtection="1">
      <alignment horizontal="center" wrapText="1"/>
    </xf>
    <xf numFmtId="0" fontId="50" fillId="0" borderId="119" xfId="0" applyFont="1" applyBorder="1" applyAlignment="1" applyProtection="1">
      <alignment horizontal="center" wrapText="1"/>
    </xf>
    <xf numFmtId="0" fontId="176" fillId="0" borderId="0" xfId="0" applyFont="1" applyBorder="1" applyAlignment="1" applyProtection="1">
      <alignment horizontal="center" vertical="center" wrapText="1"/>
    </xf>
    <xf numFmtId="0" fontId="5" fillId="5" borderId="124" xfId="0" applyFont="1" applyFill="1" applyBorder="1" applyAlignment="1" applyProtection="1">
      <alignment horizontal="left" vertical="top" wrapText="1"/>
      <protection locked="0"/>
    </xf>
    <xf numFmtId="0" fontId="5" fillId="5" borderId="125" xfId="0" applyFont="1" applyFill="1" applyBorder="1" applyAlignment="1" applyProtection="1">
      <alignment horizontal="left" vertical="top" wrapText="1"/>
      <protection locked="0"/>
    </xf>
    <xf numFmtId="0" fontId="5" fillId="5" borderId="126" xfId="0" applyFont="1" applyFill="1" applyBorder="1" applyAlignment="1" applyProtection="1">
      <alignment horizontal="left" vertical="top" wrapText="1"/>
      <protection locked="0"/>
    </xf>
    <xf numFmtId="0" fontId="5" fillId="5" borderId="33" xfId="0" applyFont="1" applyFill="1" applyBorder="1" applyAlignment="1" applyProtection="1">
      <alignment horizontal="left" vertical="center"/>
      <protection locked="0"/>
    </xf>
    <xf numFmtId="0" fontId="5" fillId="5" borderId="58" xfId="0" applyFont="1" applyFill="1" applyBorder="1" applyAlignment="1" applyProtection="1">
      <alignment horizontal="left" vertical="center"/>
      <protection locked="0"/>
    </xf>
    <xf numFmtId="0" fontId="5" fillId="5" borderId="34" xfId="0" applyFont="1" applyFill="1" applyBorder="1" applyAlignment="1" applyProtection="1">
      <alignment horizontal="left" vertical="center"/>
      <protection locked="0"/>
    </xf>
    <xf numFmtId="0" fontId="86" fillId="0" borderId="0" xfId="0" applyFont="1" applyFill="1" applyAlignment="1" applyProtection="1">
      <alignment horizontal="left" vertical="center" wrapText="1"/>
    </xf>
    <xf numFmtId="0" fontId="5" fillId="0" borderId="0" xfId="0" applyFont="1" applyAlignment="1" applyProtection="1">
      <alignment horizontal="left" vertical="top" wrapText="1"/>
    </xf>
    <xf numFmtId="0" fontId="163" fillId="0" borderId="0" xfId="0" applyFont="1" applyFill="1" applyBorder="1" applyAlignment="1" applyProtection="1">
      <alignment horizontal="center" vertical="top" wrapText="1"/>
    </xf>
    <xf numFmtId="3" fontId="14" fillId="10" borderId="78" xfId="0" applyNumberFormat="1" applyFont="1" applyFill="1" applyBorder="1" applyAlignment="1" applyProtection="1">
      <alignment horizontal="center" vertical="center" wrapText="1"/>
      <protection locked="0"/>
    </xf>
    <xf numFmtId="3" fontId="14" fillId="10" borderId="79" xfId="0" applyNumberFormat="1" applyFont="1" applyFill="1" applyBorder="1" applyAlignment="1" applyProtection="1">
      <alignment horizontal="center" vertical="center" wrapText="1"/>
      <protection locked="0"/>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11" fillId="0" borderId="0" xfId="0" quotePrefix="1" applyFont="1" applyFill="1" applyAlignment="1" applyProtection="1">
      <alignment horizontal="right" vertical="top" wrapText="1"/>
    </xf>
    <xf numFmtId="0" fontId="92" fillId="0" borderId="0" xfId="0" applyFont="1" applyFill="1" applyAlignment="1" applyProtection="1">
      <alignment horizontal="left" vertical="center"/>
    </xf>
    <xf numFmtId="0" fontId="5" fillId="5" borderId="28" xfId="0" applyFont="1" applyFill="1" applyBorder="1" applyAlignment="1" applyProtection="1">
      <alignment horizontal="left" vertical="center"/>
      <protection locked="0"/>
    </xf>
    <xf numFmtId="0" fontId="5" fillId="5" borderId="57" xfId="0" applyFont="1" applyFill="1" applyBorder="1" applyAlignment="1" applyProtection="1">
      <alignment horizontal="left" vertical="center"/>
      <protection locked="0"/>
    </xf>
    <xf numFmtId="0" fontId="5" fillId="5" borderId="29" xfId="0" applyFont="1" applyFill="1" applyBorder="1" applyAlignment="1" applyProtection="1">
      <alignment horizontal="left" vertical="center"/>
      <protection locked="0"/>
    </xf>
    <xf numFmtId="0" fontId="5" fillId="0" borderId="7" xfId="0" applyFont="1" applyBorder="1" applyAlignment="1" applyProtection="1">
      <alignment horizontal="left" vertical="top" wrapText="1"/>
    </xf>
    <xf numFmtId="0" fontId="5" fillId="0" borderId="0" xfId="0" applyFont="1" applyBorder="1" applyAlignment="1" applyProtection="1">
      <alignment horizontal="left" vertical="top" wrapText="1"/>
    </xf>
    <xf numFmtId="0" fontId="43" fillId="5" borderId="124" xfId="0" applyFont="1" applyFill="1" applyBorder="1" applyAlignment="1" applyProtection="1">
      <alignment horizontal="left" vertical="top" wrapText="1"/>
      <protection locked="0"/>
    </xf>
    <xf numFmtId="0" fontId="43" fillId="5" borderId="125" xfId="0" applyFont="1" applyFill="1" applyBorder="1" applyAlignment="1" applyProtection="1">
      <alignment horizontal="left" vertical="top" wrapText="1"/>
      <protection locked="0"/>
    </xf>
    <xf numFmtId="0" fontId="43" fillId="5" borderId="126" xfId="0" applyFont="1" applyFill="1" applyBorder="1" applyAlignment="1" applyProtection="1">
      <alignment horizontal="left" vertical="top" wrapText="1"/>
      <protection locked="0"/>
    </xf>
    <xf numFmtId="0" fontId="14" fillId="0" borderId="0" xfId="0" quotePrefix="1" applyFont="1" applyFill="1" applyAlignment="1" applyProtection="1">
      <alignment horizontal="left" vertical="top" wrapText="1"/>
    </xf>
    <xf numFmtId="0" fontId="14" fillId="0" borderId="0" xfId="0" applyFont="1" applyAlignment="1" applyProtection="1">
      <alignment horizontal="left" vertical="top" wrapText="1"/>
    </xf>
    <xf numFmtId="0" fontId="86" fillId="20" borderId="86" xfId="0" applyFont="1" applyFill="1" applyBorder="1" applyAlignment="1" applyProtection="1">
      <alignment horizontal="left" vertical="center" wrapText="1"/>
    </xf>
    <xf numFmtId="0" fontId="102" fillId="20" borderId="80" xfId="0" applyFont="1" applyFill="1" applyBorder="1" applyAlignment="1" applyProtection="1">
      <alignment horizontal="center" vertical="center" wrapText="1"/>
    </xf>
    <xf numFmtId="0" fontId="102" fillId="20" borderId="85" xfId="0" applyFont="1" applyFill="1" applyBorder="1" applyAlignment="1" applyProtection="1">
      <alignment horizontal="center" vertical="center" wrapText="1"/>
    </xf>
    <xf numFmtId="0" fontId="102" fillId="20" borderId="81" xfId="0" applyFont="1" applyFill="1" applyBorder="1" applyAlignment="1" applyProtection="1">
      <alignment horizontal="center" vertical="center" wrapText="1"/>
    </xf>
    <xf numFmtId="0" fontId="102" fillId="20" borderId="7" xfId="0" applyFont="1" applyFill="1" applyBorder="1" applyAlignment="1" applyProtection="1">
      <alignment horizontal="center" vertical="center" wrapText="1"/>
    </xf>
    <xf numFmtId="0" fontId="102" fillId="20" borderId="0" xfId="0" applyFont="1" applyFill="1" applyBorder="1" applyAlignment="1" applyProtection="1">
      <alignment horizontal="center" vertical="center" wrapText="1"/>
    </xf>
    <xf numFmtId="0" fontId="102" fillId="20" borderId="8" xfId="0" applyFont="1" applyFill="1" applyBorder="1" applyAlignment="1" applyProtection="1">
      <alignment horizontal="center" vertical="center" wrapText="1"/>
    </xf>
    <xf numFmtId="0" fontId="102" fillId="20" borderId="9" xfId="0" applyFont="1" applyFill="1" applyBorder="1" applyAlignment="1" applyProtection="1">
      <alignment horizontal="center" vertical="center" wrapText="1"/>
    </xf>
    <xf numFmtId="0" fontId="102" fillId="20" borderId="13" xfId="0" applyFont="1" applyFill="1" applyBorder="1" applyAlignment="1" applyProtection="1">
      <alignment horizontal="center" vertical="center" wrapText="1"/>
    </xf>
    <xf numFmtId="0" fontId="102" fillId="20" borderId="14" xfId="0" applyFont="1" applyFill="1" applyBorder="1" applyAlignment="1" applyProtection="1">
      <alignment horizontal="center" vertical="center" wrapText="1"/>
    </xf>
    <xf numFmtId="0" fontId="19" fillId="0" borderId="0" xfId="0" applyFont="1" applyFill="1" applyAlignment="1" applyProtection="1">
      <alignment horizontal="center"/>
    </xf>
    <xf numFmtId="0" fontId="99" fillId="2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43" fillId="10" borderId="30" xfId="0" applyFont="1" applyFill="1" applyBorder="1" applyAlignment="1" applyProtection="1">
      <alignment horizontal="left" vertical="center" wrapText="1"/>
      <protection locked="0"/>
    </xf>
    <xf numFmtId="0" fontId="43" fillId="10" borderId="21" xfId="0" applyFont="1" applyFill="1" applyBorder="1" applyAlignment="1" applyProtection="1">
      <alignment horizontal="left" vertical="center" wrapText="1"/>
      <protection locked="0"/>
    </xf>
    <xf numFmtId="0" fontId="43" fillId="10" borderId="31" xfId="0" applyFont="1" applyFill="1" applyBorder="1" applyAlignment="1" applyProtection="1">
      <alignment horizontal="left" vertical="center" wrapText="1"/>
      <protection locked="0"/>
    </xf>
    <xf numFmtId="0" fontId="5" fillId="0" borderId="13" xfId="0" applyFont="1" applyFill="1" applyBorder="1" applyAlignment="1" applyProtection="1">
      <alignment horizontal="center" vertical="center" wrapText="1"/>
    </xf>
    <xf numFmtId="0" fontId="43" fillId="10" borderId="133" xfId="0" applyFont="1" applyFill="1" applyBorder="1" applyAlignment="1" applyProtection="1">
      <alignment horizontal="left" vertical="center" wrapText="1"/>
      <protection locked="0"/>
    </xf>
    <xf numFmtId="0" fontId="43" fillId="10" borderId="134" xfId="0" applyFont="1" applyFill="1" applyBorder="1" applyAlignment="1" applyProtection="1">
      <alignment horizontal="left" vertical="center" wrapText="1"/>
      <protection locked="0"/>
    </xf>
    <xf numFmtId="0" fontId="43" fillId="10" borderId="135" xfId="0" applyFont="1" applyFill="1" applyBorder="1" applyAlignment="1" applyProtection="1">
      <alignment horizontal="left" vertical="center" wrapText="1"/>
      <protection locked="0"/>
    </xf>
    <xf numFmtId="0" fontId="114" fillId="20" borderId="0" xfId="0" applyFont="1" applyFill="1" applyBorder="1" applyAlignment="1" applyProtection="1">
      <alignment horizontal="center" vertical="center"/>
    </xf>
    <xf numFmtId="0" fontId="114" fillId="20" borderId="41" xfId="0" applyFont="1" applyFill="1" applyBorder="1" applyAlignment="1" applyProtection="1">
      <alignment horizontal="center" vertical="center"/>
    </xf>
    <xf numFmtId="0" fontId="43" fillId="10" borderId="33" xfId="0" applyFont="1" applyFill="1" applyBorder="1" applyAlignment="1" applyProtection="1">
      <alignment horizontal="left" vertical="center" wrapText="1"/>
      <protection locked="0"/>
    </xf>
    <xf numFmtId="0" fontId="43" fillId="10" borderId="58" xfId="0" applyFont="1" applyFill="1" applyBorder="1" applyAlignment="1" applyProtection="1">
      <alignment horizontal="left" vertical="center" wrapText="1"/>
      <protection locked="0"/>
    </xf>
    <xf numFmtId="0" fontId="43" fillId="10" borderId="34" xfId="0" applyFont="1" applyFill="1" applyBorder="1" applyAlignment="1" applyProtection="1">
      <alignment horizontal="left" vertical="center" wrapText="1"/>
      <protection locked="0"/>
    </xf>
    <xf numFmtId="0" fontId="43" fillId="10" borderId="33" xfId="0" applyFont="1" applyFill="1" applyBorder="1" applyAlignment="1" applyProtection="1">
      <alignment horizontal="left" vertical="top" wrapText="1"/>
      <protection locked="0"/>
    </xf>
    <xf numFmtId="0" fontId="43" fillId="10" borderId="58" xfId="0" applyFont="1" applyFill="1" applyBorder="1" applyAlignment="1" applyProtection="1">
      <alignment horizontal="left" vertical="top" wrapText="1"/>
      <protection locked="0"/>
    </xf>
    <xf numFmtId="0" fontId="43" fillId="10" borderId="34" xfId="0" applyFont="1" applyFill="1" applyBorder="1" applyAlignment="1" applyProtection="1">
      <alignment horizontal="left" vertical="top" wrapText="1"/>
      <protection locked="0"/>
    </xf>
    <xf numFmtId="0" fontId="43" fillId="10" borderId="30" xfId="0" applyFont="1" applyFill="1" applyBorder="1" applyAlignment="1" applyProtection="1">
      <alignment horizontal="left" vertical="top" wrapText="1"/>
      <protection locked="0"/>
    </xf>
    <xf numFmtId="0" fontId="43" fillId="10" borderId="21" xfId="0" applyFont="1" applyFill="1" applyBorder="1" applyAlignment="1" applyProtection="1">
      <alignment horizontal="left" vertical="top" wrapText="1"/>
      <protection locked="0"/>
    </xf>
    <xf numFmtId="0" fontId="43" fillId="10" borderId="31" xfId="0" applyFont="1" applyFill="1" applyBorder="1" applyAlignment="1" applyProtection="1">
      <alignment horizontal="left" vertical="top" wrapText="1"/>
      <protection locked="0"/>
    </xf>
    <xf numFmtId="0" fontId="15" fillId="0" borderId="77" xfId="0" applyFont="1" applyFill="1" applyBorder="1" applyAlignment="1" applyProtection="1">
      <alignment horizontal="center" vertical="center" wrapText="1"/>
    </xf>
    <xf numFmtId="0" fontId="15" fillId="0" borderId="21" xfId="0" applyFont="1" applyFill="1" applyBorder="1" applyAlignment="1" applyProtection="1">
      <alignment horizontal="center" vertical="center" wrapText="1"/>
    </xf>
    <xf numFmtId="0" fontId="15" fillId="0" borderId="74" xfId="0" applyFont="1" applyFill="1" applyBorder="1" applyAlignment="1" applyProtection="1">
      <alignment horizontal="center" vertical="center" wrapText="1"/>
    </xf>
    <xf numFmtId="0" fontId="43" fillId="0" borderId="0" xfId="0" applyFont="1" applyFill="1" applyAlignment="1" applyProtection="1">
      <alignment horizontal="center" wrapText="1"/>
    </xf>
    <xf numFmtId="0" fontId="5" fillId="5" borderId="78" xfId="0" applyFont="1" applyFill="1" applyBorder="1" applyAlignment="1" applyProtection="1">
      <alignment horizontal="left" vertical="center" wrapText="1"/>
      <protection locked="0"/>
    </xf>
    <xf numFmtId="0" fontId="5" fillId="5" borderId="82" xfId="0" applyFont="1" applyFill="1" applyBorder="1" applyAlignment="1" applyProtection="1">
      <alignment horizontal="left" vertical="center" wrapText="1"/>
      <protection locked="0"/>
    </xf>
    <xf numFmtId="0" fontId="5" fillId="5" borderId="79" xfId="0" applyFont="1" applyFill="1" applyBorder="1" applyAlignment="1" applyProtection="1">
      <alignment horizontal="left" vertical="center" wrapText="1"/>
      <protection locked="0"/>
    </xf>
    <xf numFmtId="0" fontId="43" fillId="10" borderId="78" xfId="0" applyNumberFormat="1" applyFont="1" applyFill="1" applyBorder="1" applyAlignment="1" applyProtection="1">
      <alignment horizontal="left" vertical="center" wrapText="1"/>
      <protection locked="0"/>
    </xf>
    <xf numFmtId="0" fontId="43" fillId="10" borderId="82" xfId="0" applyNumberFormat="1" applyFont="1" applyFill="1" applyBorder="1" applyAlignment="1" applyProtection="1">
      <alignment horizontal="left" vertical="center" wrapText="1"/>
      <protection locked="0"/>
    </xf>
    <xf numFmtId="0" fontId="43" fillId="10" borderId="79" xfId="0" applyNumberFormat="1" applyFont="1" applyFill="1" applyBorder="1" applyAlignment="1" applyProtection="1">
      <alignment horizontal="left" vertical="center" wrapText="1"/>
      <protection locked="0"/>
    </xf>
    <xf numFmtId="0" fontId="43" fillId="10" borderId="30" xfId="0" applyNumberFormat="1" applyFont="1" applyFill="1" applyBorder="1" applyAlignment="1" applyProtection="1">
      <alignment horizontal="left" vertical="center" wrapText="1"/>
      <protection locked="0"/>
    </xf>
    <xf numFmtId="0" fontId="43" fillId="10" borderId="21" xfId="0" applyNumberFormat="1" applyFont="1" applyFill="1" applyBorder="1" applyAlignment="1" applyProtection="1">
      <alignment horizontal="left" vertical="center" wrapText="1"/>
      <protection locked="0"/>
    </xf>
    <xf numFmtId="0" fontId="43" fillId="10" borderId="31" xfId="0" applyNumberFormat="1" applyFont="1" applyFill="1" applyBorder="1" applyAlignment="1" applyProtection="1">
      <alignment horizontal="left" vertical="center" wrapText="1"/>
      <protection locked="0"/>
    </xf>
    <xf numFmtId="3" fontId="14" fillId="0" borderId="16" xfId="0" applyNumberFormat="1" applyFont="1" applyBorder="1" applyAlignment="1" applyProtection="1">
      <alignment horizontal="center" vertical="center" wrapText="1"/>
    </xf>
    <xf numFmtId="0" fontId="15" fillId="0" borderId="0" xfId="0" applyFont="1" applyBorder="1" applyAlignment="1" applyProtection="1">
      <alignment horizontal="center" wrapText="1"/>
    </xf>
    <xf numFmtId="3" fontId="14" fillId="0" borderId="18" xfId="0" applyNumberFormat="1" applyFont="1" applyBorder="1" applyAlignment="1" applyProtection="1">
      <alignment horizontal="center" vertical="center" wrapText="1"/>
    </xf>
    <xf numFmtId="0" fontId="5" fillId="0" borderId="0" xfId="0" applyFont="1" applyBorder="1" applyAlignment="1" applyProtection="1">
      <alignment horizontal="center" vertical="top" wrapText="1"/>
    </xf>
    <xf numFmtId="0" fontId="15" fillId="0" borderId="13" xfId="0" applyFont="1" applyBorder="1" applyAlignment="1" applyProtection="1">
      <alignment horizontal="center" wrapText="1"/>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14" fillId="0" borderId="0" xfId="0" applyFont="1" applyFill="1" applyBorder="1" applyAlignment="1" applyProtection="1">
      <alignment horizontal="left" vertical="center" wrapText="1"/>
    </xf>
    <xf numFmtId="0" fontId="50" fillId="0" borderId="93" xfId="0" applyFont="1" applyBorder="1" applyAlignment="1" applyProtection="1">
      <alignment horizontal="center" vertical="top"/>
    </xf>
    <xf numFmtId="0" fontId="50" fillId="0" borderId="76" xfId="0" applyFont="1" applyBorder="1" applyAlignment="1" applyProtection="1">
      <alignment horizontal="center" vertical="top"/>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5" fillId="0" borderId="85" xfId="0" applyFont="1" applyFill="1" applyBorder="1" applyAlignment="1" applyProtection="1">
      <alignment horizontal="center" vertical="center" wrapText="1"/>
    </xf>
    <xf numFmtId="0" fontId="15" fillId="0" borderId="0" xfId="0" applyFont="1" applyFill="1" applyAlignment="1" applyProtection="1">
      <alignment horizontal="center" vertical="center" wrapText="1"/>
    </xf>
    <xf numFmtId="0" fontId="15" fillId="0" borderId="13" xfId="0" applyFont="1" applyFill="1" applyBorder="1" applyAlignment="1" applyProtection="1">
      <alignment horizontal="center" vertical="center" wrapText="1"/>
    </xf>
    <xf numFmtId="0" fontId="5" fillId="0" borderId="133" xfId="0" applyFont="1" applyFill="1" applyBorder="1" applyAlignment="1" applyProtection="1">
      <alignment horizontal="left" vertical="center"/>
    </xf>
    <xf numFmtId="0" fontId="5" fillId="0" borderId="134" xfId="0" applyFont="1" applyFill="1" applyBorder="1" applyAlignment="1" applyProtection="1">
      <alignment horizontal="left" vertical="center"/>
    </xf>
    <xf numFmtId="0" fontId="5" fillId="0" borderId="135" xfId="0" applyFont="1" applyFill="1" applyBorder="1" applyAlignment="1" applyProtection="1">
      <alignment horizontal="left" vertical="center"/>
    </xf>
    <xf numFmtId="0" fontId="43" fillId="10" borderId="28" xfId="0" applyNumberFormat="1" applyFont="1" applyFill="1" applyBorder="1" applyAlignment="1" applyProtection="1">
      <alignment horizontal="left" vertical="center" wrapText="1"/>
      <protection locked="0"/>
    </xf>
    <xf numFmtId="0" fontId="43" fillId="10" borderId="57" xfId="0" applyNumberFormat="1" applyFont="1" applyFill="1" applyBorder="1" applyAlignment="1" applyProtection="1">
      <alignment horizontal="left" vertical="center" wrapText="1"/>
      <protection locked="0"/>
    </xf>
    <xf numFmtId="0" fontId="43" fillId="10" borderId="29" xfId="0" applyNumberFormat="1" applyFont="1" applyFill="1" applyBorder="1" applyAlignment="1" applyProtection="1">
      <alignment horizontal="left" vertical="center" wrapText="1"/>
      <protection locked="0"/>
    </xf>
    <xf numFmtId="0" fontId="11" fillId="0" borderId="0" xfId="0" applyFont="1" applyBorder="1" applyAlignment="1" applyProtection="1">
      <alignment horizontal="center" wrapText="1"/>
    </xf>
    <xf numFmtId="0" fontId="5" fillId="0" borderId="0" xfId="0" applyFont="1" applyBorder="1" applyAlignment="1" applyProtection="1">
      <alignment horizontal="left" vertical="center" wrapText="1"/>
    </xf>
    <xf numFmtId="0" fontId="46" fillId="5" borderId="48" xfId="0" applyNumberFormat="1" applyFont="1" applyFill="1" applyBorder="1" applyAlignment="1" applyProtection="1">
      <alignment horizontal="center" vertical="center"/>
      <protection locked="0"/>
    </xf>
    <xf numFmtId="0" fontId="46" fillId="5" borderId="49" xfId="0" applyNumberFormat="1" applyFont="1" applyFill="1" applyBorder="1" applyAlignment="1" applyProtection="1">
      <alignment horizontal="center" vertical="center"/>
      <protection locked="0"/>
    </xf>
    <xf numFmtId="0" fontId="43" fillId="10" borderId="28" xfId="0" applyFont="1" applyFill="1" applyBorder="1" applyAlignment="1" applyProtection="1">
      <alignment horizontal="left" vertical="top" wrapText="1"/>
      <protection locked="0"/>
    </xf>
    <xf numFmtId="0" fontId="43" fillId="10" borderId="57" xfId="0" applyFont="1" applyFill="1" applyBorder="1" applyAlignment="1" applyProtection="1">
      <alignment horizontal="left" vertical="top" wrapText="1"/>
      <protection locked="0"/>
    </xf>
    <xf numFmtId="0" fontId="43" fillId="10" borderId="29" xfId="0" applyFont="1" applyFill="1" applyBorder="1" applyAlignment="1" applyProtection="1">
      <alignment horizontal="left" vertical="top" wrapText="1"/>
      <protection locked="0"/>
    </xf>
    <xf numFmtId="0" fontId="43" fillId="10" borderId="27" xfId="0" applyFont="1" applyFill="1" applyBorder="1" applyAlignment="1" applyProtection="1">
      <alignment horizontal="left" vertical="top" wrapText="1"/>
      <protection locked="0"/>
    </xf>
    <xf numFmtId="0" fontId="43" fillId="10" borderId="20" xfId="0" applyFont="1" applyFill="1" applyBorder="1" applyAlignment="1" applyProtection="1">
      <alignment horizontal="left" vertical="top" wrapText="1"/>
      <protection locked="0"/>
    </xf>
    <xf numFmtId="0" fontId="43" fillId="10" borderId="92" xfId="0" applyFont="1" applyFill="1" applyBorder="1" applyAlignment="1" applyProtection="1">
      <alignment horizontal="left" vertical="top" wrapText="1"/>
      <protection locked="0"/>
    </xf>
    <xf numFmtId="0" fontId="5" fillId="0" borderId="85" xfId="0" applyFont="1" applyFill="1" applyBorder="1" applyAlignment="1" applyProtection="1">
      <alignment horizontal="center"/>
    </xf>
    <xf numFmtId="0" fontId="43" fillId="10" borderId="133" xfId="0" applyFont="1" applyFill="1" applyBorder="1" applyAlignment="1" applyProtection="1">
      <alignment horizontal="left" vertical="top" wrapText="1"/>
      <protection locked="0"/>
    </xf>
    <xf numFmtId="0" fontId="43" fillId="10" borderId="134" xfId="0" applyFont="1" applyFill="1" applyBorder="1" applyAlignment="1" applyProtection="1">
      <alignment horizontal="left" vertical="top" wrapText="1"/>
      <protection locked="0"/>
    </xf>
    <xf numFmtId="0" fontId="43" fillId="10" borderId="135" xfId="0" applyFont="1" applyFill="1" applyBorder="1" applyAlignment="1" applyProtection="1">
      <alignment horizontal="left" vertical="top" wrapText="1"/>
      <protection locked="0"/>
    </xf>
    <xf numFmtId="0" fontId="5" fillId="10" borderId="17" xfId="0" applyFont="1" applyFill="1" applyBorder="1" applyAlignment="1" applyProtection="1">
      <alignment horizontal="center" vertical="top"/>
      <protection locked="0"/>
    </xf>
    <xf numFmtId="0" fontId="5" fillId="10" borderId="18" xfId="0" applyFont="1" applyFill="1" applyBorder="1" applyAlignment="1" applyProtection="1">
      <alignment horizontal="center" vertical="top"/>
      <protection locked="0"/>
    </xf>
    <xf numFmtId="0" fontId="43" fillId="10" borderId="86" xfId="0" applyFont="1" applyFill="1" applyBorder="1" applyAlignment="1" applyProtection="1">
      <alignment horizontal="left" vertical="top" wrapText="1"/>
      <protection locked="0"/>
    </xf>
    <xf numFmtId="0" fontId="43" fillId="10" borderId="12" xfId="0" applyFont="1" applyFill="1" applyBorder="1" applyAlignment="1" applyProtection="1">
      <alignment horizontal="left" vertical="top" wrapText="1"/>
      <protection locked="0"/>
    </xf>
    <xf numFmtId="0" fontId="43" fillId="0" borderId="0" xfId="0" applyFont="1" applyFill="1" applyAlignment="1" applyProtection="1">
      <alignment horizontal="left" vertical="top" wrapText="1"/>
    </xf>
    <xf numFmtId="4" fontId="5" fillId="10" borderId="17" xfId="0" applyNumberFormat="1" applyFont="1" applyFill="1" applyBorder="1" applyAlignment="1" applyProtection="1">
      <alignment horizontal="center" vertical="top"/>
      <protection locked="0"/>
    </xf>
    <xf numFmtId="0" fontId="11" fillId="0" borderId="0" xfId="0" applyFont="1" applyFill="1" applyAlignment="1" applyProtection="1">
      <alignment horizontal="left" vertical="center" wrapText="1"/>
    </xf>
    <xf numFmtId="0" fontId="17" fillId="0" borderId="0"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4" fillId="0" borderId="56"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protection locked="0"/>
    </xf>
    <xf numFmtId="3" fontId="4" fillId="10" borderId="29" xfId="0" applyNumberFormat="1" applyFont="1" applyFill="1" applyBorder="1" applyAlignment="1" applyProtection="1">
      <alignment horizontal="center" vertical="center"/>
      <protection locked="0"/>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4" fillId="0" borderId="78" xfId="0" applyNumberFormat="1" applyFont="1" applyFill="1" applyBorder="1" applyAlignment="1" applyProtection="1">
      <alignment horizontal="center" vertical="center"/>
    </xf>
    <xf numFmtId="38" fontId="4" fillId="0" borderId="82"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174" fontId="70" fillId="0" borderId="33" xfId="0" applyNumberFormat="1" applyFont="1" applyFill="1" applyBorder="1" applyAlignment="1" applyProtection="1">
      <alignment horizontal="center" vertical="center"/>
    </xf>
    <xf numFmtId="174" fontId="70" fillId="0" borderId="34" xfId="0" applyNumberFormat="1" applyFont="1" applyFill="1" applyBorder="1" applyAlignment="1" applyProtection="1">
      <alignment horizontal="center" vertical="center"/>
    </xf>
    <xf numFmtId="174" fontId="70" fillId="0" borderId="78" xfId="0" applyNumberFormat="1" applyFont="1" applyFill="1" applyBorder="1" applyAlignment="1" applyProtection="1">
      <alignment horizontal="center" vertical="center"/>
    </xf>
    <xf numFmtId="174" fontId="70" fillId="0" borderId="82" xfId="0" applyNumberFormat="1" applyFont="1" applyFill="1" applyBorder="1" applyAlignment="1" applyProtection="1">
      <alignment horizontal="center" vertical="center"/>
    </xf>
    <xf numFmtId="174" fontId="70" fillId="0" borderId="79" xfId="0" applyNumberFormat="1" applyFont="1" applyFill="1" applyBorder="1" applyAlignment="1" applyProtection="1">
      <alignment horizontal="center" vertical="center"/>
    </xf>
    <xf numFmtId="0" fontId="43" fillId="20" borderId="0" xfId="0" applyFont="1" applyFill="1" applyAlignment="1" applyProtection="1">
      <alignment horizontal="left" vertical="center" wrapText="1"/>
    </xf>
    <xf numFmtId="0" fontId="5" fillId="0" borderId="13" xfId="0" applyFont="1" applyFill="1" applyBorder="1" applyAlignment="1" applyProtection="1">
      <alignment horizontal="left" vertical="center" wrapText="1"/>
    </xf>
    <xf numFmtId="3" fontId="4" fillId="10" borderId="30" xfId="0" applyNumberFormat="1" applyFont="1" applyFill="1" applyBorder="1" applyAlignment="1" applyProtection="1">
      <alignment horizontal="center" vertical="center"/>
      <protection locked="0"/>
    </xf>
    <xf numFmtId="3" fontId="4" fillId="10" borderId="31" xfId="0" applyNumberFormat="1" applyFont="1" applyFill="1" applyBorder="1" applyAlignment="1" applyProtection="1">
      <alignment horizontal="center" vertical="center"/>
      <protection locked="0"/>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17" fillId="0" borderId="0" xfId="0" applyFont="1" applyAlignment="1" applyProtection="1">
      <alignment horizontal="center"/>
    </xf>
    <xf numFmtId="0" fontId="162" fillId="0" borderId="0" xfId="0" applyFont="1" applyFill="1" applyBorder="1" applyAlignment="1" applyProtection="1">
      <alignment horizontal="center"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0" fontId="219"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21"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21"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5" fillId="0" borderId="0" xfId="0" applyFont="1" applyFill="1" applyAlignment="1" applyProtection="1">
      <alignment horizontal="center" vertical="center"/>
    </xf>
    <xf numFmtId="0" fontId="5" fillId="0" borderId="8" xfId="0" applyFont="1" applyFill="1" applyBorder="1" applyAlignment="1" applyProtection="1">
      <alignment horizontal="center" vertical="center"/>
    </xf>
    <xf numFmtId="0" fontId="46" fillId="5" borderId="33" xfId="0" applyNumberFormat="1" applyFont="1" applyFill="1" applyBorder="1" applyAlignment="1" applyProtection="1">
      <alignment horizontal="center" vertical="center"/>
      <protection locked="0"/>
    </xf>
    <xf numFmtId="0" fontId="46" fillId="5" borderId="76" xfId="0" applyNumberFormat="1" applyFont="1" applyFill="1" applyBorder="1" applyAlignment="1" applyProtection="1">
      <alignment horizontal="center" vertical="center"/>
      <protection locked="0"/>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193" fillId="0" borderId="80" xfId="0" applyFont="1" applyFill="1" applyBorder="1" applyAlignment="1" applyProtection="1">
      <alignment horizontal="center" vertical="center" wrapText="1"/>
    </xf>
    <xf numFmtId="0" fontId="193" fillId="0" borderId="85" xfId="0" applyFont="1" applyFill="1" applyBorder="1" applyAlignment="1" applyProtection="1">
      <alignment horizontal="center" vertical="center" wrapText="1"/>
    </xf>
    <xf numFmtId="0" fontId="193" fillId="0" borderId="81" xfId="0" applyFont="1" applyFill="1" applyBorder="1" applyAlignment="1" applyProtection="1">
      <alignment horizontal="center" vertical="center" wrapText="1"/>
    </xf>
    <xf numFmtId="0" fontId="193" fillId="0" borderId="7" xfId="0" applyFont="1" applyFill="1" applyBorder="1" applyAlignment="1" applyProtection="1">
      <alignment horizontal="center" vertical="center" wrapText="1"/>
    </xf>
    <xf numFmtId="0" fontId="193" fillId="0" borderId="0" xfId="0" applyFont="1" applyFill="1" applyBorder="1" applyAlignment="1" applyProtection="1">
      <alignment horizontal="center" vertical="center" wrapText="1"/>
    </xf>
    <xf numFmtId="0" fontId="193" fillId="0" borderId="8" xfId="0" applyFont="1" applyFill="1" applyBorder="1" applyAlignment="1" applyProtection="1">
      <alignment horizontal="center" vertical="center" wrapText="1"/>
    </xf>
    <xf numFmtId="0" fontId="193" fillId="0" borderId="9" xfId="0" applyFont="1" applyFill="1" applyBorder="1" applyAlignment="1" applyProtection="1">
      <alignment horizontal="center" vertical="center" wrapText="1"/>
    </xf>
    <xf numFmtId="0" fontId="193" fillId="0" borderId="13" xfId="0" applyFont="1" applyFill="1" applyBorder="1" applyAlignment="1" applyProtection="1">
      <alignment horizontal="center" vertical="center" wrapText="1"/>
    </xf>
    <xf numFmtId="0" fontId="193" fillId="0" borderId="14" xfId="0" applyFont="1" applyFill="1" applyBorder="1" applyAlignment="1" applyProtection="1">
      <alignment horizontal="center" vertical="center"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0" fontId="5" fillId="0" borderId="8" xfId="0" applyFont="1" applyFill="1" applyBorder="1" applyAlignment="1" applyProtection="1">
      <alignment horizontal="left" vertical="center" wrapText="1"/>
    </xf>
    <xf numFmtId="0" fontId="114" fillId="0" borderId="165" xfId="0" applyFont="1" applyFill="1" applyBorder="1" applyAlignment="1" applyProtection="1">
      <alignment horizontal="center" vertical="top" wrapText="1"/>
    </xf>
    <xf numFmtId="0" fontId="114" fillId="0" borderId="166" xfId="0" applyFont="1" applyFill="1" applyBorder="1" applyAlignment="1" applyProtection="1">
      <alignment horizontal="center" vertical="top" wrapText="1"/>
    </xf>
    <xf numFmtId="0" fontId="114" fillId="0" borderId="167" xfId="0" applyFont="1" applyFill="1" applyBorder="1" applyAlignment="1" applyProtection="1">
      <alignment horizontal="center" vertical="top" wrapText="1"/>
    </xf>
    <xf numFmtId="0" fontId="114" fillId="0" borderId="168" xfId="0" applyFont="1" applyFill="1" applyBorder="1" applyAlignment="1" applyProtection="1">
      <alignment horizontal="center" vertical="top" wrapText="1"/>
    </xf>
    <xf numFmtId="0" fontId="114" fillId="0" borderId="0" xfId="0" applyFont="1" applyFill="1" applyBorder="1" applyAlignment="1" applyProtection="1">
      <alignment horizontal="center" vertical="top" wrapText="1"/>
    </xf>
    <xf numFmtId="0" fontId="114" fillId="0" borderId="169" xfId="0" applyFont="1" applyFill="1" applyBorder="1" applyAlignment="1" applyProtection="1">
      <alignment horizontal="center" vertical="top" wrapText="1"/>
    </xf>
    <xf numFmtId="0" fontId="114" fillId="0" borderId="170" xfId="0" applyFont="1" applyFill="1" applyBorder="1" applyAlignment="1" applyProtection="1">
      <alignment horizontal="center" vertical="top" wrapText="1"/>
    </xf>
    <xf numFmtId="0" fontId="114" fillId="0" borderId="171" xfId="0" applyFont="1" applyFill="1" applyBorder="1" applyAlignment="1" applyProtection="1">
      <alignment horizontal="center" vertical="top" wrapText="1"/>
    </xf>
    <xf numFmtId="0" fontId="114" fillId="0" borderId="172" xfId="0" applyFont="1" applyFill="1" applyBorder="1" applyAlignment="1" applyProtection="1">
      <alignment horizontal="center" vertical="top" wrapText="1"/>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43" fillId="10" borderId="109" xfId="0" applyFont="1" applyFill="1" applyBorder="1" applyAlignment="1" applyProtection="1">
      <alignment horizontal="left" vertical="top" wrapText="1"/>
      <protection locked="0"/>
    </xf>
    <xf numFmtId="0" fontId="43" fillId="10" borderId="108" xfId="0" applyFont="1" applyFill="1" applyBorder="1" applyAlignment="1" applyProtection="1">
      <alignment horizontal="left" vertical="top" wrapText="1"/>
      <protection locked="0"/>
    </xf>
    <xf numFmtId="0" fontId="43" fillId="10" borderId="99" xfId="0" applyFont="1" applyFill="1" applyBorder="1" applyAlignment="1" applyProtection="1">
      <alignment horizontal="left" vertical="top" wrapText="1"/>
      <protection locked="0"/>
    </xf>
    <xf numFmtId="0" fontId="43" fillId="10" borderId="91" xfId="0" applyFont="1" applyFill="1" applyBorder="1" applyAlignment="1" applyProtection="1">
      <alignment horizontal="left" vertical="top" wrapText="1"/>
      <protection locked="0"/>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105" fillId="0" borderId="0" xfId="0" applyFont="1" applyFill="1" applyAlignment="1" applyProtection="1">
      <alignment horizontal="center" vertical="center" wrapText="1"/>
    </xf>
    <xf numFmtId="0" fontId="112" fillId="0" borderId="0" xfId="0" applyFont="1" applyFill="1" applyBorder="1" applyAlignment="1" applyProtection="1">
      <alignment horizontal="left" wrapText="1"/>
    </xf>
    <xf numFmtId="0" fontId="14" fillId="0" borderId="13" xfId="0"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46" fillId="5" borderId="51" xfId="0" applyNumberFormat="1" applyFont="1" applyFill="1" applyBorder="1" applyAlignment="1" applyProtection="1">
      <alignment horizontal="center" vertical="center"/>
      <protection locked="0"/>
    </xf>
    <xf numFmtId="0" fontId="46" fillId="5" borderId="52" xfId="0" applyNumberFormat="1" applyFont="1" applyFill="1" applyBorder="1" applyAlignment="1" applyProtection="1">
      <alignment horizontal="center" vertical="center"/>
      <protection locked="0"/>
    </xf>
    <xf numFmtId="0" fontId="77" fillId="0" borderId="0" xfId="0" applyFont="1" applyFill="1" applyAlignment="1" applyProtection="1">
      <alignment horizontal="left" vertical="center" wrapText="1"/>
    </xf>
    <xf numFmtId="0" fontId="189" fillId="20" borderId="0" xfId="0" applyFont="1" applyFill="1" applyAlignment="1" applyProtection="1">
      <alignment horizontal="center" vertical="center" wrapText="1"/>
    </xf>
    <xf numFmtId="4" fontId="5" fillId="10" borderId="18" xfId="0" applyNumberFormat="1" applyFont="1" applyFill="1" applyBorder="1" applyAlignment="1" applyProtection="1">
      <alignment horizontal="center" vertical="top"/>
      <protection locked="0"/>
    </xf>
    <xf numFmtId="0" fontId="5" fillId="10" borderId="16" xfId="0" applyFont="1" applyFill="1" applyBorder="1" applyAlignment="1" applyProtection="1">
      <alignment horizontal="center" vertical="top"/>
      <protection locked="0"/>
    </xf>
    <xf numFmtId="4" fontId="5" fillId="10" borderId="16" xfId="0" applyNumberFormat="1" applyFont="1" applyFill="1" applyBorder="1" applyAlignment="1" applyProtection="1">
      <alignment horizontal="center" vertical="top"/>
      <protection locked="0"/>
    </xf>
    <xf numFmtId="0" fontId="46" fillId="5" borderId="28" xfId="0" applyNumberFormat="1" applyFont="1" applyFill="1" applyBorder="1" applyAlignment="1" applyProtection="1">
      <alignment horizontal="center" vertical="center"/>
      <protection locked="0"/>
    </xf>
    <xf numFmtId="0" fontId="46"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10" xfId="0" applyNumberFormat="1" applyFont="1" applyFill="1" applyBorder="1" applyAlignment="1" applyProtection="1">
      <alignment horizontal="left" vertical="top" wrapText="1"/>
      <protection locked="0"/>
    </xf>
    <xf numFmtId="167" fontId="43" fillId="10" borderId="98" xfId="0" applyNumberFormat="1" applyFont="1" applyFill="1" applyBorder="1" applyAlignment="1" applyProtection="1">
      <alignment horizontal="left" vertical="top" wrapText="1"/>
      <protection locked="0"/>
    </xf>
    <xf numFmtId="0" fontId="43" fillId="0" borderId="96" xfId="0" applyFont="1" applyFill="1" applyBorder="1" applyAlignment="1" applyProtection="1">
      <alignment horizontal="left" vertical="center" wrapText="1"/>
    </xf>
    <xf numFmtId="0" fontId="43" fillId="0" borderId="29" xfId="0" applyFont="1" applyFill="1" applyBorder="1" applyAlignment="1" applyProtection="1">
      <alignment horizontal="left" vertical="center" wrapText="1"/>
    </xf>
    <xf numFmtId="0" fontId="14" fillId="0" borderId="90" xfId="0" applyFont="1" applyBorder="1" applyAlignment="1" applyProtection="1">
      <alignment horizontal="center" vertical="center" textRotation="90" wrapText="1"/>
    </xf>
    <xf numFmtId="0" fontId="14" fillId="0" borderId="123" xfId="0" applyFont="1" applyBorder="1" applyAlignment="1" applyProtection="1">
      <alignment horizontal="center" vertical="center" textRotation="90" wrapText="1"/>
    </xf>
    <xf numFmtId="0" fontId="14" fillId="0" borderId="91" xfId="0" applyFont="1" applyBorder="1" applyAlignment="1" applyProtection="1">
      <alignment horizontal="center" vertical="center" textRotation="90" wrapText="1"/>
    </xf>
    <xf numFmtId="0" fontId="5" fillId="0" borderId="30" xfId="0" applyFont="1" applyFill="1" applyBorder="1" applyAlignment="1" applyProtection="1">
      <alignment horizontal="left" vertical="center"/>
    </xf>
    <xf numFmtId="0" fontId="5" fillId="0" borderId="21" xfId="0" applyFont="1" applyFill="1" applyBorder="1" applyAlignment="1" applyProtection="1">
      <alignment horizontal="left" vertical="center"/>
    </xf>
    <xf numFmtId="0" fontId="5" fillId="0" borderId="31" xfId="0" applyFont="1" applyFill="1" applyBorder="1" applyAlignment="1" applyProtection="1">
      <alignment horizontal="left" vertical="center"/>
    </xf>
    <xf numFmtId="0" fontId="5" fillId="0" borderId="33" xfId="0" applyFont="1" applyFill="1" applyBorder="1" applyAlignment="1" applyProtection="1">
      <alignment horizontal="left" vertical="center"/>
    </xf>
    <xf numFmtId="0" fontId="5" fillId="0" borderId="58" xfId="0" applyFont="1" applyFill="1" applyBorder="1" applyAlignment="1" applyProtection="1">
      <alignment horizontal="left" vertical="center"/>
    </xf>
    <xf numFmtId="0" fontId="5" fillId="0" borderId="34" xfId="0" applyFont="1" applyFill="1" applyBorder="1" applyAlignment="1" applyProtection="1">
      <alignment horizontal="left" vertical="center"/>
    </xf>
    <xf numFmtId="0" fontId="5" fillId="0" borderId="28" xfId="0" applyFont="1" applyFill="1" applyBorder="1" applyAlignment="1" applyProtection="1">
      <alignment horizontal="left" vertical="center"/>
    </xf>
    <xf numFmtId="0" fontId="5" fillId="0" borderId="57" xfId="0" applyFont="1" applyFill="1" applyBorder="1" applyAlignment="1" applyProtection="1">
      <alignment horizontal="left" vertical="center"/>
    </xf>
    <xf numFmtId="0" fontId="5" fillId="0" borderId="29" xfId="0" applyFont="1" applyFill="1" applyBorder="1" applyAlignment="1" applyProtection="1">
      <alignment horizontal="left"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15" fillId="0" borderId="13" xfId="0" applyFont="1" applyFill="1" applyBorder="1" applyAlignment="1" applyProtection="1">
      <alignment horizontal="left" wrapText="1"/>
    </xf>
    <xf numFmtId="0" fontId="43" fillId="10" borderId="33" xfId="0" applyNumberFormat="1" applyFont="1" applyFill="1" applyBorder="1" applyAlignment="1" applyProtection="1">
      <alignment horizontal="left" vertical="center" wrapText="1"/>
      <protection locked="0"/>
    </xf>
    <xf numFmtId="0" fontId="43" fillId="10" borderId="58" xfId="0" applyNumberFormat="1" applyFont="1" applyFill="1" applyBorder="1" applyAlignment="1" applyProtection="1">
      <alignment horizontal="left" vertical="center" wrapText="1"/>
      <protection locked="0"/>
    </xf>
    <xf numFmtId="0" fontId="43" fillId="10" borderId="34" xfId="0" applyNumberFormat="1" applyFont="1" applyFill="1" applyBorder="1" applyAlignment="1" applyProtection="1">
      <alignment horizontal="left" vertical="center" wrapText="1"/>
      <protection locked="0"/>
    </xf>
    <xf numFmtId="0" fontId="5" fillId="10" borderId="133" xfId="0" applyFont="1" applyFill="1" applyBorder="1" applyAlignment="1" applyProtection="1">
      <alignment horizontal="left" vertical="center"/>
      <protection locked="0"/>
    </xf>
    <xf numFmtId="0" fontId="5" fillId="10" borderId="134" xfId="0" applyFont="1" applyFill="1" applyBorder="1" applyAlignment="1" applyProtection="1">
      <alignment horizontal="left" vertical="center"/>
      <protection locked="0"/>
    </xf>
    <xf numFmtId="0" fontId="5" fillId="10" borderId="135" xfId="0" applyFont="1" applyFill="1" applyBorder="1" applyAlignment="1" applyProtection="1">
      <alignment horizontal="left" vertical="center"/>
      <protection locked="0"/>
    </xf>
    <xf numFmtId="0" fontId="111" fillId="20" borderId="80" xfId="0" applyFont="1" applyFill="1" applyBorder="1" applyAlignment="1" applyProtection="1">
      <alignment horizontal="center" vertical="center" wrapText="1"/>
    </xf>
    <xf numFmtId="0" fontId="111" fillId="20" borderId="85" xfId="0" applyFont="1" applyFill="1" applyBorder="1" applyAlignment="1" applyProtection="1">
      <alignment horizontal="center" vertical="center" wrapText="1"/>
    </xf>
    <xf numFmtId="0" fontId="111" fillId="20" borderId="81" xfId="0" applyFont="1" applyFill="1" applyBorder="1" applyAlignment="1" applyProtection="1">
      <alignment horizontal="center" vertical="center" wrapText="1"/>
    </xf>
    <xf numFmtId="0" fontId="111" fillId="20" borderId="8" xfId="0" applyFont="1" applyFill="1" applyBorder="1" applyAlignment="1" applyProtection="1">
      <alignment horizontal="center" vertical="center" wrapText="1"/>
    </xf>
    <xf numFmtId="0" fontId="111" fillId="20" borderId="9" xfId="0" applyFont="1" applyFill="1" applyBorder="1" applyAlignment="1" applyProtection="1">
      <alignment horizontal="center" vertical="center" wrapText="1"/>
    </xf>
    <xf numFmtId="0" fontId="111" fillId="20" borderId="13" xfId="0" applyFont="1" applyFill="1" applyBorder="1" applyAlignment="1" applyProtection="1">
      <alignment horizontal="center" vertical="center" wrapText="1"/>
    </xf>
    <xf numFmtId="0" fontId="111" fillId="20" borderId="14" xfId="0" applyFont="1" applyFill="1" applyBorder="1" applyAlignment="1" applyProtection="1">
      <alignment horizontal="center" vertical="center" wrapText="1"/>
    </xf>
    <xf numFmtId="3" fontId="5" fillId="13" borderId="27" xfId="0" applyNumberFormat="1" applyFont="1" applyFill="1" applyBorder="1" applyAlignment="1" applyProtection="1">
      <alignment horizontal="center" vertical="center"/>
    </xf>
    <xf numFmtId="3" fontId="5" fillId="13" borderId="92" xfId="0" applyNumberFormat="1" applyFont="1" applyFill="1" applyBorder="1" applyAlignment="1" applyProtection="1">
      <alignment horizontal="center" vertical="center"/>
    </xf>
    <xf numFmtId="0" fontId="43" fillId="0" borderId="93" xfId="0" applyFont="1" applyFill="1" applyBorder="1" applyAlignment="1" applyProtection="1">
      <alignment horizontal="left" vertical="center" wrapText="1"/>
    </xf>
    <xf numFmtId="0" fontId="43" fillId="0" borderId="34"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58"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43" fillId="0" borderId="77" xfId="0" applyFont="1" applyFill="1" applyBorder="1" applyAlignment="1" applyProtection="1">
      <alignment horizontal="left" vertical="center" wrapText="1"/>
    </xf>
    <xf numFmtId="0" fontId="43" fillId="0" borderId="31" xfId="0" applyFont="1" applyFill="1" applyBorder="1" applyAlignment="1" applyProtection="1">
      <alignment horizontal="left" vertical="center" wrapText="1"/>
    </xf>
    <xf numFmtId="0" fontId="5" fillId="0" borderId="7" xfId="0" applyFont="1" applyFill="1" applyBorder="1" applyAlignment="1" applyProtection="1">
      <alignment horizontal="right" vertical="center" wrapText="1"/>
    </xf>
    <xf numFmtId="0" fontId="5" fillId="0" borderId="0" xfId="0" applyFont="1" applyFill="1" applyBorder="1" applyAlignment="1" applyProtection="1">
      <alignment horizontal="right" vertical="center" wrapText="1"/>
    </xf>
    <xf numFmtId="176" fontId="11" fillId="10" borderId="78" xfId="0" applyNumberFormat="1" applyFont="1" applyFill="1" applyBorder="1" applyAlignment="1" applyProtection="1">
      <alignment horizontal="center" vertical="center"/>
      <protection locked="0"/>
    </xf>
    <xf numFmtId="176" fontId="11" fillId="10" borderId="79" xfId="0" applyNumberFormat="1" applyFont="1" applyFill="1" applyBorder="1" applyAlignment="1" applyProtection="1">
      <alignment horizontal="center" vertical="center"/>
      <protection locked="0"/>
    </xf>
    <xf numFmtId="0" fontId="8" fillId="5" borderId="13" xfId="0" applyFont="1" applyFill="1" applyBorder="1" applyAlignment="1" applyProtection="1">
      <alignment horizontal="left" vertical="center"/>
      <protection locked="0"/>
    </xf>
    <xf numFmtId="0" fontId="8" fillId="5" borderId="14" xfId="0" applyFont="1" applyFill="1" applyBorder="1" applyAlignment="1" applyProtection="1">
      <alignment horizontal="left" vertical="center"/>
      <protection locked="0"/>
    </xf>
    <xf numFmtId="0" fontId="86" fillId="0" borderId="0" xfId="0" applyFont="1" applyFill="1" applyAlignment="1" applyProtection="1">
      <alignment horizontal="left" vertical="top" wrapText="1"/>
    </xf>
    <xf numFmtId="0" fontId="242" fillId="20" borderId="86" xfId="0" applyFont="1" applyFill="1" applyBorder="1" applyAlignment="1" applyProtection="1">
      <alignment horizontal="left" vertical="center" wrapText="1"/>
    </xf>
    <xf numFmtId="0" fontId="97" fillId="0" borderId="0" xfId="0" applyFont="1" applyFill="1" applyBorder="1" applyAlignment="1" applyProtection="1">
      <alignment horizontal="center"/>
    </xf>
    <xf numFmtId="0" fontId="102" fillId="20" borderId="86" xfId="0" applyFont="1" applyFill="1" applyBorder="1" applyAlignment="1" applyProtection="1">
      <alignment horizontal="left" vertical="center" wrapText="1"/>
    </xf>
    <xf numFmtId="0" fontId="139" fillId="20" borderId="86" xfId="0" applyFont="1" applyFill="1" applyBorder="1" applyAlignment="1" applyProtection="1">
      <alignment horizontal="center" vertical="center" wrapText="1"/>
    </xf>
    <xf numFmtId="0" fontId="5" fillId="10" borderId="33" xfId="0" applyFont="1" applyFill="1" applyBorder="1" applyAlignment="1" applyProtection="1">
      <alignment horizontal="left" vertical="center"/>
      <protection locked="0"/>
    </xf>
    <xf numFmtId="0" fontId="5" fillId="10" borderId="58" xfId="0" applyFont="1" applyFill="1" applyBorder="1" applyAlignment="1" applyProtection="1">
      <alignment horizontal="left" vertical="center"/>
      <protection locked="0"/>
    </xf>
    <xf numFmtId="0" fontId="5" fillId="10" borderId="34" xfId="0" applyFont="1" applyFill="1" applyBorder="1" applyAlignment="1" applyProtection="1">
      <alignment horizontal="left" vertical="center"/>
      <protection locked="0"/>
    </xf>
    <xf numFmtId="174" fontId="77" fillId="0" borderId="33" xfId="0" applyNumberFormat="1" applyFont="1" applyFill="1" applyBorder="1" applyAlignment="1" applyProtection="1">
      <alignment horizontal="center" vertical="center"/>
    </xf>
    <xf numFmtId="174" fontId="77" fillId="0" borderId="34" xfId="0" applyNumberFormat="1" applyFont="1" applyFill="1" applyBorder="1" applyAlignment="1" applyProtection="1">
      <alignment horizontal="center" vertical="center"/>
    </xf>
    <xf numFmtId="3" fontId="5" fillId="0" borderId="78" xfId="0" applyNumberFormat="1" applyFont="1" applyFill="1" applyBorder="1" applyAlignment="1" applyProtection="1">
      <alignment horizontal="center" vertical="center"/>
    </xf>
    <xf numFmtId="3" fontId="5" fillId="0" borderId="79" xfId="0" applyNumberFormat="1" applyFont="1" applyFill="1" applyBorder="1" applyAlignment="1" applyProtection="1">
      <alignment horizontal="center" vertical="center"/>
    </xf>
    <xf numFmtId="0" fontId="99" fillId="0" borderId="0" xfId="0" applyFont="1" applyAlignment="1" applyProtection="1">
      <alignment horizontal="center" vertical="center" wrapText="1"/>
    </xf>
    <xf numFmtId="0" fontId="166" fillId="0" borderId="0" xfId="0" applyFont="1" applyAlignment="1" applyProtection="1">
      <alignment horizontal="center" vertical="center"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0" fontId="5" fillId="10" borderId="80" xfId="0" applyFont="1" applyFill="1" applyBorder="1" applyAlignment="1" applyProtection="1">
      <alignment horizontal="left" vertical="center"/>
      <protection locked="0"/>
    </xf>
    <xf numFmtId="0" fontId="5" fillId="10" borderId="85" xfId="0" applyFont="1" applyFill="1" applyBorder="1" applyAlignment="1" applyProtection="1">
      <alignment horizontal="left" vertical="center"/>
      <protection locked="0"/>
    </xf>
    <xf numFmtId="0" fontId="5" fillId="10" borderId="81" xfId="0" applyFont="1" applyFill="1" applyBorder="1" applyAlignment="1" applyProtection="1">
      <alignment horizontal="left" vertical="center"/>
      <protection locked="0"/>
    </xf>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10" fillId="0" borderId="0" xfId="13" applyFont="1" applyFill="1" applyAlignment="1" applyProtection="1">
      <alignment horizontal="justify" vertical="top" wrapText="1"/>
    </xf>
    <xf numFmtId="0" fontId="116" fillId="0" borderId="0" xfId="13" applyFont="1" applyFill="1" applyAlignment="1" applyProtection="1">
      <alignment horizontal="justify" vertical="top" wrapText="1"/>
    </xf>
    <xf numFmtId="0" fontId="10"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52" fillId="0" borderId="0" xfId="13" applyFont="1" applyAlignment="1">
      <alignment horizontal="center" vertical="center"/>
    </xf>
    <xf numFmtId="0" fontId="251"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135" fillId="0" borderId="0" xfId="13" applyFont="1" applyAlignment="1" applyProtection="1">
      <alignment horizontal="center"/>
    </xf>
    <xf numFmtId="0" fontId="6" fillId="0" borderId="77" xfId="13" applyFont="1" applyBorder="1" applyAlignment="1" applyProtection="1">
      <alignment horizontal="center" vertical="center" wrapText="1"/>
    </xf>
    <xf numFmtId="0" fontId="6" fillId="0" borderId="21" xfId="13" applyFont="1" applyBorder="1" applyAlignment="1" applyProtection="1">
      <alignment horizontal="center" vertical="center"/>
    </xf>
    <xf numFmtId="0" fontId="6" fillId="0" borderId="74" xfId="13" applyFont="1" applyBorder="1" applyAlignment="1" applyProtection="1">
      <alignment horizontal="center" vertical="center"/>
    </xf>
    <xf numFmtId="0" fontId="5" fillId="0" borderId="0" xfId="13" applyFont="1" applyAlignment="1" applyProtection="1">
      <alignment horizontal="center" vertical="center" wrapText="1"/>
    </xf>
    <xf numFmtId="0" fontId="5" fillId="0" borderId="20" xfId="13" applyFont="1" applyBorder="1" applyAlignment="1" applyProtection="1">
      <alignment horizontal="center" vertical="center" wrapText="1"/>
    </xf>
    <xf numFmtId="0" fontId="6" fillId="0" borderId="0" xfId="13" applyFont="1" applyAlignment="1" applyProtection="1">
      <alignment horizontal="left" vertical="center" wrapText="1"/>
    </xf>
    <xf numFmtId="0" fontId="24" fillId="0" borderId="86" xfId="13" applyFont="1" applyBorder="1" applyAlignment="1" applyProtection="1">
      <alignment horizontal="center" vertical="center" wrapText="1"/>
    </xf>
    <xf numFmtId="0" fontId="6" fillId="20" borderId="104" xfId="13" applyFont="1" applyFill="1" applyBorder="1" applyAlignment="1" applyProtection="1">
      <alignment horizontal="center" vertical="center"/>
    </xf>
    <xf numFmtId="0" fontId="6" fillId="20" borderId="105" xfId="13" applyFont="1" applyFill="1" applyBorder="1" applyAlignment="1" applyProtection="1">
      <alignment horizontal="center" vertical="center"/>
    </xf>
    <xf numFmtId="3" fontId="14" fillId="0" borderId="52" xfId="13" applyNumberFormat="1" applyFont="1" applyBorder="1" applyAlignment="1" applyProtection="1">
      <alignment horizontal="center" vertical="center"/>
    </xf>
    <xf numFmtId="37" fontId="14" fillId="0" borderId="52" xfId="13" applyNumberFormat="1" applyFont="1" applyBorder="1" applyAlignment="1" applyProtection="1">
      <alignment horizontal="center" vertical="center"/>
    </xf>
    <xf numFmtId="0" fontId="4" fillId="0" borderId="0" xfId="13" applyFont="1" applyAlignment="1" applyProtection="1">
      <alignment horizontal="center" wrapText="1"/>
    </xf>
    <xf numFmtId="0" fontId="4" fillId="0" borderId="20" xfId="13" applyFont="1" applyBorder="1" applyAlignment="1" applyProtection="1">
      <alignment horizontal="center" wrapText="1"/>
    </xf>
    <xf numFmtId="0" fontId="160" fillId="0" borderId="0" xfId="13" applyFont="1" applyAlignment="1" applyProtection="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200" fillId="10" borderId="0" xfId="13" applyFont="1" applyFill="1" applyAlignment="1" applyProtection="1">
      <alignment horizontal="center" vertical="center" wrapText="1"/>
    </xf>
    <xf numFmtId="0" fontId="9" fillId="0" borderId="0" xfId="13" applyFont="1" applyAlignment="1" applyProtection="1">
      <alignment horizontal="justify" vertical="top" wrapText="1"/>
    </xf>
    <xf numFmtId="0" fontId="4" fillId="0" borderId="0" xfId="13" applyFont="1" applyAlignment="1" applyProtection="1">
      <alignment horizontal="justify"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21" xfId="13" applyFont="1" applyFill="1" applyBorder="1" applyAlignment="1" applyProtection="1">
      <alignment horizontal="left"/>
    </xf>
    <xf numFmtId="0" fontId="4" fillId="10" borderId="119"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0" fontId="9" fillId="10" borderId="13" xfId="13" applyFont="1" applyFill="1" applyBorder="1" applyAlignment="1" applyProtection="1">
      <alignment horizontal="left"/>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234" fillId="0" borderId="143" xfId="33" applyFont="1" applyFill="1" applyBorder="1" applyAlignment="1">
      <alignment horizontal="left" vertical="center"/>
    </xf>
    <xf numFmtId="0" fontId="234" fillId="0" borderId="144" xfId="33" applyFont="1" applyFill="1" applyBorder="1" applyAlignment="1">
      <alignment horizontal="left" vertical="center"/>
    </xf>
    <xf numFmtId="0" fontId="234" fillId="0" borderId="161" xfId="33" applyFont="1" applyFill="1" applyBorder="1" applyAlignment="1">
      <alignment horizontal="left" vertical="center"/>
    </xf>
    <xf numFmtId="164" fontId="232" fillId="0" borderId="133" xfId="34" applyNumberFormat="1" applyFont="1" applyBorder="1" applyAlignment="1">
      <alignment horizontal="left" vertical="center"/>
    </xf>
    <xf numFmtId="164" fontId="232" fillId="0" borderId="134" xfId="34" applyNumberFormat="1" applyFont="1" applyBorder="1" applyAlignment="1">
      <alignment horizontal="left" vertical="center"/>
    </xf>
    <xf numFmtId="164" fontId="232" fillId="0" borderId="30" xfId="34" applyNumberFormat="1" applyFont="1" applyBorder="1" applyAlignment="1">
      <alignment horizontal="left" vertical="center"/>
    </xf>
    <xf numFmtId="164" fontId="232" fillId="0" borderId="21" xfId="34" applyNumberFormat="1" applyFont="1" applyBorder="1" applyAlignment="1">
      <alignment horizontal="left" vertical="center"/>
    </xf>
    <xf numFmtId="14" fontId="232" fillId="0" borderId="33" xfId="34" applyNumberFormat="1" applyFont="1" applyBorder="1" applyAlignment="1">
      <alignment horizontal="left" vertical="center"/>
    </xf>
    <xf numFmtId="14" fontId="232" fillId="0" borderId="58" xfId="34" applyNumberFormat="1" applyFont="1" applyBorder="1" applyAlignment="1">
      <alignment horizontal="left" vertical="center"/>
    </xf>
    <xf numFmtId="0" fontId="233" fillId="13" borderId="112" xfId="33" applyFont="1" applyFill="1" applyBorder="1" applyAlignment="1">
      <alignment horizontal="center"/>
    </xf>
    <xf numFmtId="0" fontId="233" fillId="13" borderId="138" xfId="33" applyFont="1" applyFill="1" applyBorder="1" applyAlignment="1">
      <alignment horizontal="center"/>
    </xf>
    <xf numFmtId="0" fontId="233" fillId="28" borderId="151" xfId="33" applyFont="1" applyFill="1" applyBorder="1" applyAlignment="1">
      <alignment horizontal="center" wrapText="1"/>
    </xf>
    <xf numFmtId="0" fontId="233" fillId="28" borderId="163" xfId="33" applyFont="1" applyFill="1" applyBorder="1" applyAlignment="1">
      <alignment horizontal="center" wrapText="1"/>
    </xf>
    <xf numFmtId="0" fontId="233" fillId="28" borderId="152" xfId="33" applyFont="1" applyFill="1" applyBorder="1" applyAlignment="1">
      <alignment horizontal="center" wrapText="1"/>
    </xf>
    <xf numFmtId="0" fontId="233" fillId="28" borderId="162" xfId="33" applyFont="1" applyFill="1" applyBorder="1" applyAlignment="1">
      <alignment horizontal="center" wrapText="1"/>
    </xf>
    <xf numFmtId="37" fontId="232" fillId="11" borderId="21" xfId="34" applyNumberFormat="1" applyFont="1" applyFill="1" applyBorder="1" applyAlignment="1" applyProtection="1">
      <alignment horizontal="center" vertical="center"/>
      <protection locked="0"/>
    </xf>
    <xf numFmtId="37" fontId="232" fillId="11" borderId="31" xfId="34" applyNumberFormat="1" applyFont="1" applyFill="1" applyBorder="1" applyAlignment="1" applyProtection="1">
      <alignment horizontal="center" vertical="center"/>
      <protection locked="0"/>
    </xf>
    <xf numFmtId="0" fontId="232" fillId="0" borderId="13" xfId="33" applyFont="1" applyBorder="1" applyAlignment="1">
      <alignment horizontal="center" vertical="center"/>
    </xf>
    <xf numFmtId="0" fontId="232" fillId="0" borderId="82" xfId="33" applyFont="1" applyBorder="1" applyAlignment="1">
      <alignment horizontal="center" vertical="center"/>
    </xf>
    <xf numFmtId="0" fontId="233" fillId="28" borderId="78" xfId="33" applyFont="1" applyFill="1" applyBorder="1" applyAlignment="1">
      <alignment horizontal="center"/>
    </xf>
    <xf numFmtId="0" fontId="233" fillId="28" borderId="82" xfId="33" applyFont="1" applyFill="1" applyBorder="1" applyAlignment="1">
      <alignment horizontal="center"/>
    </xf>
    <xf numFmtId="0" fontId="233" fillId="28" borderId="79" xfId="33" applyFont="1" applyFill="1" applyBorder="1" applyAlignment="1">
      <alignment horizontal="center"/>
    </xf>
    <xf numFmtId="0" fontId="234" fillId="0" borderId="145" xfId="33" applyFont="1" applyFill="1" applyBorder="1" applyAlignment="1">
      <alignment horizontal="left" vertical="center"/>
    </xf>
    <xf numFmtId="0" fontId="234" fillId="0" borderId="82" xfId="33" applyFont="1" applyFill="1" applyBorder="1" applyAlignment="1">
      <alignment horizontal="left" vertical="center"/>
    </xf>
    <xf numFmtId="0" fontId="234" fillId="0" borderId="160" xfId="33" applyFont="1" applyFill="1" applyBorder="1" applyAlignment="1">
      <alignment horizontal="lef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4" fillId="0" borderId="0" xfId="33" applyFont="1" applyBorder="1" applyAlignment="1">
      <alignment horizontal="right" vertical="center"/>
    </xf>
    <xf numFmtId="0" fontId="234" fillId="0" borderId="8" xfId="33" applyFont="1" applyBorder="1" applyAlignment="1">
      <alignment horizontal="right" vertical="center"/>
    </xf>
    <xf numFmtId="0" fontId="232" fillId="0" borderId="7" xfId="33" applyFont="1" applyBorder="1" applyAlignment="1">
      <alignment horizontal="center"/>
    </xf>
    <xf numFmtId="0" fontId="232" fillId="0" borderId="0" xfId="33" applyFont="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34" fillId="29" borderId="78" xfId="33" applyFont="1" applyFill="1" applyBorder="1" applyAlignment="1">
      <alignment horizontal="left"/>
    </xf>
    <xf numFmtId="0" fontId="234" fillId="29" borderId="82" xfId="33" applyFont="1" applyFill="1" applyBorder="1" applyAlignment="1">
      <alignment horizontal="left"/>
    </xf>
    <xf numFmtId="0" fontId="234" fillId="29" borderId="79" xfId="33" applyFont="1" applyFill="1" applyBorder="1" applyAlignment="1">
      <alignment horizontal="left"/>
    </xf>
    <xf numFmtId="0" fontId="232" fillId="0" borderId="164" xfId="33" applyFont="1" applyBorder="1"/>
    <xf numFmtId="0" fontId="232" fillId="0" borderId="47" xfId="33" applyFont="1" applyBorder="1"/>
    <xf numFmtId="0" fontId="232" fillId="28" borderId="134" xfId="33" applyFont="1" applyFill="1" applyBorder="1" applyAlignment="1">
      <alignment horizontal="center" vertical="center"/>
    </xf>
    <xf numFmtId="0" fontId="232" fillId="28" borderId="135" xfId="33" applyFont="1" applyFill="1" applyBorder="1" applyAlignment="1">
      <alignment horizontal="center" vertical="center"/>
    </xf>
    <xf numFmtId="37" fontId="232" fillId="11" borderId="134" xfId="34" applyNumberFormat="1" applyFont="1" applyFill="1" applyBorder="1" applyAlignment="1" applyProtection="1">
      <alignment horizontal="center" vertical="center"/>
      <protection locked="0"/>
    </xf>
    <xf numFmtId="37" fontId="232" fillId="11" borderId="135" xfId="34" applyNumberFormat="1" applyFont="1" applyFill="1" applyBorder="1" applyAlignment="1" applyProtection="1">
      <alignment horizontal="center" vertical="center"/>
      <protection locked="0"/>
    </xf>
    <xf numFmtId="37" fontId="232" fillId="28" borderId="136" xfId="33" applyNumberFormat="1" applyFont="1" applyFill="1" applyBorder="1" applyAlignment="1">
      <alignment horizontal="center" vertical="center"/>
    </xf>
    <xf numFmtId="0" fontId="232" fillId="28" borderId="21" xfId="33" applyFont="1" applyFill="1" applyBorder="1" applyAlignment="1">
      <alignment horizontal="center" vertical="center"/>
    </xf>
    <xf numFmtId="0" fontId="232" fillId="28" borderId="31" xfId="33" applyFont="1" applyFill="1" applyBorder="1" applyAlignment="1">
      <alignment horizontal="center" vertical="center"/>
    </xf>
    <xf numFmtId="37" fontId="232" fillId="28" borderId="17" xfId="33" applyNumberFormat="1" applyFont="1" applyFill="1" applyBorder="1" applyAlignment="1">
      <alignment horizontal="center" vertical="center"/>
    </xf>
    <xf numFmtId="0" fontId="236" fillId="0" borderId="0" xfId="33" applyFont="1" applyFill="1" applyBorder="1" applyAlignment="1">
      <alignment horizontal="center" vertical="center" wrapText="1"/>
    </xf>
    <xf numFmtId="0" fontId="234" fillId="0" borderId="153" xfId="33" applyFont="1" applyBorder="1" applyAlignment="1">
      <alignment horizontal="right" vertical="center"/>
    </xf>
    <xf numFmtId="0" fontId="233" fillId="0" borderId="78" xfId="33" applyFont="1" applyFill="1" applyBorder="1" applyAlignment="1">
      <alignment horizontal="left"/>
    </xf>
    <xf numFmtId="0" fontId="233" fillId="0" borderId="82" xfId="33" applyFont="1" applyFill="1" applyBorder="1" applyAlignment="1">
      <alignment horizontal="left"/>
    </xf>
    <xf numFmtId="0" fontId="233" fillId="0" borderId="79" xfId="33" applyFont="1" applyFill="1" applyBorder="1" applyAlignment="1">
      <alignment horizontal="left"/>
    </xf>
    <xf numFmtId="0" fontId="233" fillId="13" borderId="86" xfId="33" applyFont="1" applyFill="1" applyBorder="1" applyAlignment="1">
      <alignment horizontal="center"/>
    </xf>
    <xf numFmtId="0" fontId="232" fillId="28" borderId="58" xfId="33" applyFont="1" applyFill="1" applyBorder="1" applyAlignment="1">
      <alignment horizontal="center" vertical="center"/>
    </xf>
    <xf numFmtId="0" fontId="232" fillId="28" borderId="34" xfId="33" applyFont="1" applyFill="1" applyBorder="1" applyAlignment="1">
      <alignment horizontal="center" vertical="center"/>
    </xf>
    <xf numFmtId="37" fontId="232" fillId="11" borderId="58" xfId="34" applyNumberFormat="1" applyFont="1" applyFill="1" applyBorder="1" applyAlignment="1" applyProtection="1">
      <alignment horizontal="center" vertical="center"/>
      <protection locked="0"/>
    </xf>
    <xf numFmtId="37" fontId="232" fillId="11" borderId="34" xfId="34" applyNumberFormat="1" applyFont="1" applyFill="1" applyBorder="1" applyAlignment="1" applyProtection="1">
      <alignment horizontal="center" vertical="center"/>
      <protection locked="0"/>
    </xf>
    <xf numFmtId="37" fontId="232" fillId="28" borderId="18" xfId="33" applyNumberFormat="1" applyFont="1" applyFill="1" applyBorder="1" applyAlignment="1">
      <alignment horizontal="center" vertical="center"/>
    </xf>
    <xf numFmtId="0" fontId="4" fillId="0" borderId="0" xfId="13" applyFont="1" applyBorder="1" applyAlignment="1" applyProtection="1">
      <alignment horizontal="justify" vertical="top" wrapText="1"/>
    </xf>
    <xf numFmtId="0" fontId="4" fillId="0" borderId="20" xfId="13" applyFont="1" applyBorder="1" applyAlignment="1" applyProtection="1">
      <alignment horizontal="justify" vertical="top" wrapText="1"/>
    </xf>
    <xf numFmtId="0" fontId="4" fillId="0" borderId="0" xfId="13" applyFont="1" applyAlignment="1" applyProtection="1">
      <alignment horizontal="left" vertical="top" wrapText="1"/>
    </xf>
    <xf numFmtId="181"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Font="1" applyFill="1" applyAlignment="1" applyProtection="1">
      <alignment horizontal="justify" vertical="top" wrapText="1"/>
    </xf>
    <xf numFmtId="0" fontId="198" fillId="0" borderId="0" xfId="13" applyFont="1" applyAlignment="1" applyProtection="1">
      <alignment horizontal="left" vertical="center" wrapText="1"/>
    </xf>
    <xf numFmtId="0" fontId="167" fillId="0" borderId="56" xfId="13" applyFont="1" applyBorder="1" applyAlignment="1" applyProtection="1">
      <alignment horizontal="right" vertical="center"/>
    </xf>
    <xf numFmtId="0" fontId="167" fillId="0" borderId="1" xfId="13" applyFont="1" applyBorder="1" applyAlignment="1" applyProtection="1">
      <alignment horizontal="right" vertical="center"/>
    </xf>
    <xf numFmtId="3" fontId="167" fillId="0" borderId="0" xfId="13" applyNumberFormat="1" applyFont="1" applyAlignment="1" applyProtection="1">
      <alignment horizontal="center" vertical="center"/>
    </xf>
    <xf numFmtId="3" fontId="91" fillId="10" borderId="77" xfId="13" applyNumberFormat="1" applyFont="1" applyFill="1" applyBorder="1" applyAlignment="1" applyProtection="1">
      <alignment horizontal="center" vertical="center"/>
    </xf>
    <xf numFmtId="3" fontId="91" fillId="10" borderId="74" xfId="13" applyNumberFormat="1" applyFont="1" applyFill="1" applyBorder="1" applyAlignment="1" applyProtection="1">
      <alignment horizontal="center" vertical="center"/>
    </xf>
    <xf numFmtId="3" fontId="99" fillId="10" borderId="91" xfId="13" applyNumberFormat="1" applyFont="1" applyFill="1" applyBorder="1" applyAlignment="1" applyProtection="1">
      <alignment horizontal="center" vertical="center"/>
    </xf>
    <xf numFmtId="3" fontId="99" fillId="10" borderId="42" xfId="13" applyNumberFormat="1" applyFont="1" applyFill="1" applyBorder="1" applyAlignment="1" applyProtection="1">
      <alignment horizontal="center" vertical="center"/>
    </xf>
    <xf numFmtId="0" fontId="14" fillId="0" borderId="13" xfId="13" applyFont="1" applyBorder="1" applyAlignment="1" applyProtection="1">
      <alignment horizontal="center" wrapText="1"/>
    </xf>
    <xf numFmtId="0" fontId="14" fillId="0" borderId="0" xfId="13" applyFont="1" applyBorder="1" applyAlignment="1" applyProtection="1">
      <alignment horizontal="center" wrapText="1"/>
    </xf>
    <xf numFmtId="0" fontId="5" fillId="0" borderId="62" xfId="13" applyFont="1" applyBorder="1" applyAlignment="1" applyProtection="1">
      <alignment horizontal="center" wrapText="1"/>
    </xf>
    <xf numFmtId="0" fontId="5" fillId="0" borderId="67" xfId="13" applyFont="1" applyBorder="1" applyAlignment="1" applyProtection="1">
      <alignment horizontal="center" wrapText="1"/>
    </xf>
    <xf numFmtId="0" fontId="5" fillId="0" borderId="44" xfId="13" applyFont="1" applyBorder="1" applyAlignment="1" applyProtection="1">
      <alignment horizontal="center" wrapText="1"/>
    </xf>
    <xf numFmtId="0" fontId="5" fillId="0" borderId="8" xfId="13" applyFont="1" applyBorder="1" applyAlignment="1" applyProtection="1">
      <alignment horizontal="center" wrapText="1"/>
    </xf>
    <xf numFmtId="0" fontId="5" fillId="0" borderId="45" xfId="13" applyFont="1" applyBorder="1" applyAlignment="1" applyProtection="1">
      <alignment horizontal="center" wrapText="1"/>
    </xf>
    <xf numFmtId="0" fontId="5" fillId="0" borderId="188" xfId="13" applyFont="1" applyBorder="1" applyAlignment="1" applyProtection="1">
      <alignment horizontal="center" wrapText="1"/>
    </xf>
    <xf numFmtId="0" fontId="4" fillId="0" borderId="70" xfId="13" applyFont="1" applyBorder="1" applyAlignment="1" applyProtection="1">
      <alignment horizontal="center" vertical="center"/>
    </xf>
    <xf numFmtId="0" fontId="4" fillId="0" borderId="0" xfId="13" applyFont="1" applyBorder="1" applyAlignment="1" applyProtection="1">
      <alignment horizontal="center" vertical="center"/>
    </xf>
    <xf numFmtId="0" fontId="4" fillId="0" borderId="83" xfId="13" applyFont="1" applyBorder="1" applyAlignment="1" applyProtection="1">
      <alignment horizontal="center" vertical="center"/>
    </xf>
    <xf numFmtId="0" fontId="5" fillId="0" borderId="9" xfId="13" applyFont="1" applyBorder="1" applyAlignment="1" applyProtection="1">
      <alignment horizontal="center" wrapText="1"/>
    </xf>
    <xf numFmtId="0" fontId="5" fillId="0" borderId="13" xfId="13" applyFont="1" applyBorder="1" applyAlignment="1" applyProtection="1">
      <alignment horizontal="center" wrapText="1"/>
    </xf>
    <xf numFmtId="0" fontId="5" fillId="0" borderId="189" xfId="13" applyFont="1" applyBorder="1" applyAlignment="1" applyProtection="1">
      <alignment horizontal="center" wrapText="1"/>
    </xf>
    <xf numFmtId="0" fontId="5" fillId="0" borderId="83" xfId="13" applyFont="1" applyBorder="1" applyAlignment="1" applyProtection="1">
      <alignment horizontal="center" wrapText="1"/>
    </xf>
    <xf numFmtId="0" fontId="5" fillId="0" borderId="163" xfId="13" applyFont="1" applyBorder="1" applyAlignment="1" applyProtection="1">
      <alignment horizontal="center" wrapText="1"/>
    </xf>
    <xf numFmtId="0" fontId="5" fillId="0" borderId="64" xfId="13" applyFont="1" applyBorder="1" applyAlignment="1" applyProtection="1">
      <alignment horizontal="center" wrapText="1"/>
    </xf>
    <xf numFmtId="0" fontId="117" fillId="0" borderId="56" xfId="13" applyFont="1" applyBorder="1" applyAlignment="1" applyProtection="1">
      <alignment horizontal="center" vertical="center"/>
    </xf>
    <xf numFmtId="0" fontId="117" fillId="0" borderId="1" xfId="13" applyFont="1" applyBorder="1" applyAlignment="1" applyProtection="1">
      <alignment horizontal="center" vertical="center"/>
    </xf>
    <xf numFmtId="0" fontId="117" fillId="0" borderId="35" xfId="13" applyFont="1" applyBorder="1" applyAlignment="1" applyProtection="1">
      <alignment horizontal="center" vertical="center"/>
    </xf>
    <xf numFmtId="0" fontId="4" fillId="0" borderId="185" xfId="13" applyFont="1" applyBorder="1" applyAlignment="1" applyProtection="1">
      <alignment horizontal="center" vertical="center"/>
    </xf>
    <xf numFmtId="0" fontId="4" fillId="0" borderId="186" xfId="13" applyFont="1" applyBorder="1" applyAlignment="1" applyProtection="1">
      <alignment horizontal="center" vertical="center"/>
    </xf>
    <xf numFmtId="0" fontId="4" fillId="0" borderId="187" xfId="13" applyFont="1" applyBorder="1" applyAlignment="1" applyProtection="1">
      <alignment horizontal="center" vertical="center"/>
    </xf>
    <xf numFmtId="0" fontId="5" fillId="0" borderId="19" xfId="13" applyFont="1" applyBorder="1" applyAlignment="1" applyProtection="1">
      <alignment horizontal="center" vertical="center" wrapText="1"/>
    </xf>
    <xf numFmtId="0" fontId="5" fillId="0" borderId="0" xfId="13" applyFont="1" applyBorder="1" applyAlignment="1" applyProtection="1">
      <alignment horizontal="center" vertical="center" wrapText="1"/>
    </xf>
    <xf numFmtId="0" fontId="5" fillId="0" borderId="83" xfId="13" applyFont="1" applyBorder="1" applyAlignment="1" applyProtection="1">
      <alignment horizontal="center" vertical="center" wrapText="1"/>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4" fillId="0" borderId="0" xfId="13" applyFont="1" applyBorder="1" applyAlignment="1" applyProtection="1">
      <alignment horizontal="left"/>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75" fillId="0" borderId="13" xfId="13" applyFont="1" applyBorder="1" applyAlignment="1">
      <alignment horizontal="left"/>
    </xf>
    <xf numFmtId="175" fontId="75" fillId="0" borderId="13" xfId="13" applyNumberFormat="1" applyFont="1" applyBorder="1" applyAlignment="1" applyProtection="1">
      <alignment horizontal="left"/>
      <protection locked="0"/>
    </xf>
    <xf numFmtId="0" fontId="43" fillId="0" borderId="85" xfId="13" applyFont="1" applyBorder="1" applyAlignment="1">
      <alignment horizontal="center" vertical="top"/>
    </xf>
    <xf numFmtId="0" fontId="43" fillId="0" borderId="0" xfId="13" applyFont="1" applyAlignment="1">
      <alignment horizontal="center"/>
    </xf>
    <xf numFmtId="0" fontId="75" fillId="0" borderId="0" xfId="13" applyFont="1" applyAlignment="1">
      <alignment horizontal="left"/>
    </xf>
    <xf numFmtId="0" fontId="75" fillId="0" borderId="13" xfId="13" applyFont="1" applyBorder="1" applyAlignment="1" applyProtection="1">
      <alignment horizontal="left"/>
      <protection locked="0"/>
    </xf>
    <xf numFmtId="0" fontId="75" fillId="0" borderId="0" xfId="13" applyFont="1" applyAlignment="1">
      <alignment horizontal="justify" vertical="top" wrapText="1"/>
    </xf>
    <xf numFmtId="0" fontId="75" fillId="0" borderId="0" xfId="13" applyFont="1" applyAlignment="1">
      <alignment horizontal="left" vertical="top" wrapText="1"/>
    </xf>
    <xf numFmtId="0" fontId="75" fillId="0" borderId="0" xfId="13" applyFont="1" applyAlignment="1">
      <alignment horizontal="left" vertical="center" wrapText="1"/>
    </xf>
    <xf numFmtId="0" fontId="75" fillId="0" borderId="0" xfId="13" applyFont="1" applyAlignment="1">
      <alignment horizontal="justify" vertical="center" wrapText="1"/>
    </xf>
    <xf numFmtId="0" fontId="250" fillId="20" borderId="20" xfId="0" applyFont="1" applyFill="1" applyBorder="1" applyAlignment="1">
      <alignment horizontal="center" vertical="center"/>
    </xf>
    <xf numFmtId="0" fontId="250"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40" fillId="0" borderId="86" xfId="0" quotePrefix="1" applyFont="1" applyBorder="1" applyAlignment="1">
      <alignment horizontal="center"/>
    </xf>
    <xf numFmtId="1" fontId="240" fillId="0" borderId="86" xfId="0" quotePrefix="1" applyNumberFormat="1" applyFont="1" applyBorder="1" applyAlignment="1">
      <alignment horizontal="center" wrapText="1"/>
    </xf>
    <xf numFmtId="3" fontId="43" fillId="0" borderId="3" xfId="10" applyNumberFormat="1"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6" xfId="0" applyNumberFormat="1" applyFont="1" applyBorder="1" applyAlignment="1">
      <alignment horizontal="center" vertical="center"/>
    </xf>
    <xf numFmtId="38" fontId="43" fillId="0" borderId="18" xfId="0" applyNumberFormat="1" applyFont="1" applyBorder="1" applyAlignment="1">
      <alignment horizontal="center" vertical="center"/>
    </xf>
    <xf numFmtId="38" fontId="43" fillId="0" borderId="86" xfId="0" applyNumberFormat="1" applyFont="1" applyBorder="1" applyAlignment="1">
      <alignment horizontal="center" vertical="center"/>
    </xf>
    <xf numFmtId="9" fontId="43" fillId="0" borderId="3" xfId="10" applyFont="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cellXfs>
  <cellStyles count="64">
    <cellStyle name="Body" xfId="14" xr:uid="{00000000-0005-0000-0000-000000000000}"/>
    <cellStyle name="Comma" xfId="1" builtinId="3"/>
    <cellStyle name="Comma 2" xfId="15" xr:uid="{00000000-0005-0000-0000-000002000000}"/>
    <cellStyle name="Comma 3" xfId="28" xr:uid="{00000000-0005-0000-0000-000003000000}"/>
    <cellStyle name="Comma 3 2" xfId="49" xr:uid="{84D6BB37-213C-463F-BDD8-3D25236B6D43}"/>
    <cellStyle name="Comma 4" xfId="34" xr:uid="{7A5A16FF-AADC-401C-AFE0-CC45055EA32C}"/>
    <cellStyle name="Comma 4 2" xfId="53" xr:uid="{84D66F5D-695F-4866-ABE9-DCE0CECD582E}"/>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eader2 2 2" xfId="55" xr:uid="{47EC71AA-0FB0-47FB-8FC0-3FAC89178618}"/>
    <cellStyle name="Header2 2 3" xfId="46" xr:uid="{473ACB6B-B58A-4083-A396-852EE7483003}"/>
    <cellStyle name="Header2 2 4" xfId="51" xr:uid="{2FEC1F5E-1FCF-4A45-9631-A172411407B7}"/>
    <cellStyle name="Header2 2 5" xfId="38" xr:uid="{0650B55D-3471-473F-B0E3-3B3F4269DE73}"/>
    <cellStyle name="Header2 2 6" xfId="62" xr:uid="{E23DB591-B206-468E-85CC-74F777283F86}"/>
    <cellStyle name="Header2 2 7" xfId="48" xr:uid="{8A7DF9F5-AA04-4701-86DF-CED6796178F7}"/>
    <cellStyle name="Header2 3" xfId="41" xr:uid="{4DD6CB0B-75AA-45EF-A608-537AF113296A}"/>
    <cellStyle name="Header2 4" xfId="36" xr:uid="{A685D35C-706F-4061-B14B-62121CECB3B0}"/>
    <cellStyle name="Header2 5" xfId="37" xr:uid="{9A1A4BB3-4299-4B9A-9D11-F7498E3747A9}"/>
    <cellStyle name="Header2 6" xfId="61" xr:uid="{0CBD61DA-BED5-4478-A8FF-01B3F7006F93}"/>
    <cellStyle name="Header2 7" xfId="57" xr:uid="{8F99BA8F-D65D-4E3D-84F3-53940E8084CA}"/>
    <cellStyle name="HIDE" xfId="20" xr:uid="{00000000-0005-0000-0000-00000D000000}"/>
    <cellStyle name="Hyperlink" xfId="6" builtinId="8"/>
    <cellStyle name="Input [yellow]" xfId="7" xr:uid="{00000000-0005-0000-0000-00000F000000}"/>
    <cellStyle name="Input [yellow] 2" xfId="32" xr:uid="{00000000-0005-0000-0000-000010000000}"/>
    <cellStyle name="Input [yellow] 2 2" xfId="56" xr:uid="{E7B47AC5-ED29-422E-B780-9325BCA1918C}"/>
    <cellStyle name="Input [yellow] 2 3" xfId="44" xr:uid="{C0F66D8C-46FB-4922-960E-511C1DA74B37}"/>
    <cellStyle name="Input [yellow] 2 4" xfId="39" xr:uid="{6E343866-69CD-4184-A4C3-D084BCD73FE0}"/>
    <cellStyle name="Input [yellow] 2 5" xfId="58" xr:uid="{1FDB1F0D-D58A-4DDB-BB1D-B7F464C4BA08}"/>
    <cellStyle name="Input [yellow] 2 6" xfId="60" xr:uid="{481C663A-DA69-4E48-8E1C-8A3F89AF8FDA}"/>
    <cellStyle name="Input [yellow] 2 7" xfId="63" xr:uid="{722FC4A7-5AF6-4C77-BEE6-CE67A12647B4}"/>
    <cellStyle name="Input [yellow] 3" xfId="47" xr:uid="{A90B0B66-0400-4D7D-8E7C-41A422A85D94}"/>
    <cellStyle name="Input [yellow] 4" xfId="40" xr:uid="{EDD0DD5B-C5BD-47F8-987B-0B100FC17761}"/>
    <cellStyle name="Input [yellow] 5" xfId="42" xr:uid="{0E4DD668-EEF5-49F4-A611-CC6E364A2E32}"/>
    <cellStyle name="Input [yellow] 6" xfId="45" xr:uid="{F0F81216-692F-4832-AB7C-A19FBEA2058D}"/>
    <cellStyle name="Input [yellow] 7" xfId="59" xr:uid="{5BA1CCB0-D379-4EE5-A058-994925DF900B}"/>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43" xr:uid="{6CB2695A-19B5-4EBA-BAFC-DDEFD2B5B2EE}"/>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 6 2" xfId="52" xr:uid="{6A27AC53-F181-4EEA-A48B-B45B26BFC19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3 2" xfId="50" xr:uid="{47629D61-807C-44D2-86F8-60E321BCA76A}"/>
    <cellStyle name="Percent 4" xfId="35" xr:uid="{333FA03E-6FD7-42BE-B486-7D32096698CE}"/>
    <cellStyle name="Percent 4 2" xfId="54" xr:uid="{20840182-9588-4F95-94CF-2B6A9E949314}"/>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abSelected="1" zoomScaleNormal="100" workbookViewId="0"/>
  </sheetViews>
  <sheetFormatPr defaultColWidth="9.109375" defaultRowHeight="13.2"/>
  <cols>
    <col min="1" max="1" width="171.44140625" style="27" customWidth="1"/>
    <col min="2" max="16384" width="9.109375" style="27"/>
  </cols>
  <sheetData>
    <row r="1" spans="1:6" ht="15" customHeight="1">
      <c r="A1" s="960" t="s">
        <v>957</v>
      </c>
    </row>
    <row r="2" spans="1:6" ht="15" customHeight="1">
      <c r="A2" s="961" t="str">
        <f>'Part I-Project Information'!F34</f>
        <v>Lakeview Terrace</v>
      </c>
    </row>
    <row r="3" spans="1:6" ht="15" customHeight="1">
      <c r="A3" s="961" t="str">
        <f>CONCATENATE('Part I-Project Information'!F38,", ", 'Part I-Project Information'!J39," County")</f>
        <v>Augusta, Richmond County</v>
      </c>
    </row>
    <row r="4" spans="1:6" ht="12" customHeight="1">
      <c r="A4" s="1701"/>
    </row>
    <row r="5" spans="1:6" ht="72" customHeight="1">
      <c r="A5" s="2877" t="s">
        <v>7034</v>
      </c>
      <c r="B5" s="2878" t="s">
        <v>4466</v>
      </c>
      <c r="C5" s="2878"/>
      <c r="D5" s="2878"/>
      <c r="E5" s="2878"/>
      <c r="F5" s="2878"/>
    </row>
    <row r="6" spans="1:6" ht="6.6" customHeight="1">
      <c r="A6" s="2877"/>
      <c r="B6" s="2878"/>
      <c r="C6" s="2878"/>
      <c r="D6" s="2878"/>
      <c r="E6" s="2878"/>
      <c r="F6" s="2878"/>
    </row>
    <row r="7" spans="1:6" ht="72" customHeight="1">
      <c r="A7" s="2877"/>
      <c r="B7" s="2878"/>
      <c r="C7" s="2878"/>
      <c r="D7" s="2878"/>
      <c r="E7" s="2878"/>
      <c r="F7" s="2878"/>
    </row>
    <row r="8" spans="1:6" ht="6.6" customHeight="1">
      <c r="A8" s="2877"/>
    </row>
    <row r="9" spans="1:6" ht="72" customHeight="1">
      <c r="A9" s="2877"/>
    </row>
    <row r="10" spans="1:6" ht="6.6" customHeight="1">
      <c r="A10" s="2877"/>
    </row>
    <row r="11" spans="1:6" ht="72" customHeight="1">
      <c r="A11" s="2877"/>
    </row>
    <row r="12" spans="1:6" ht="6.6" customHeight="1">
      <c r="A12" s="2877"/>
    </row>
    <row r="13" spans="1:6" ht="72" customHeight="1">
      <c r="A13" s="2877"/>
    </row>
    <row r="14" spans="1:6" ht="6.6" customHeight="1">
      <c r="A14" s="2877"/>
    </row>
    <row r="15" spans="1:6" ht="72" customHeight="1">
      <c r="A15" s="2877"/>
    </row>
    <row r="16" spans="1:6" ht="6.6" customHeight="1">
      <c r="A16" s="2877"/>
    </row>
    <row r="17" spans="1:1" ht="72" customHeight="1">
      <c r="A17" s="2877"/>
    </row>
    <row r="18" spans="1:1" ht="6.6" customHeight="1">
      <c r="A18" s="2877"/>
    </row>
    <row r="19" spans="1:1" ht="72" customHeight="1">
      <c r="A19" s="2877"/>
    </row>
    <row r="20" spans="1:1" ht="6.6" customHeight="1">
      <c r="A20" s="2877"/>
    </row>
    <row r="21" spans="1:1" ht="72" customHeight="1">
      <c r="A21" s="2877"/>
    </row>
    <row r="22" spans="1:1" ht="6.6" customHeight="1">
      <c r="A22" s="2877"/>
    </row>
    <row r="23" spans="1:1" ht="72" customHeight="1">
      <c r="A23" s="2877"/>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zoomScaleNormal="100" workbookViewId="0">
      <selection activeCell="N255" sqref="N255:Q255"/>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3" customWidth="1"/>
    <col min="18" max="18" width="9.88671875" style="83" customWidth="1"/>
    <col min="19" max="21" width="7.88671875" style="83" customWidth="1"/>
    <col min="22" max="22" width="59.109375" style="83" customWidth="1"/>
    <col min="23" max="23" width="47.88671875" style="83" customWidth="1"/>
    <col min="24" max="137" width="9.109375" style="506" customWidth="1"/>
    <col min="138" max="138" width="12.5546875" style="506" customWidth="1"/>
    <col min="139" max="139" width="8.109375" style="506" customWidth="1"/>
    <col min="140" max="143" width="7.109375" style="506" customWidth="1"/>
    <col min="144" max="144" width="8.109375" style="506" customWidth="1"/>
    <col min="145" max="148" width="7.109375" style="506" customWidth="1"/>
    <col min="149" max="158" width="9.109375" style="506" customWidth="1"/>
    <col min="159" max="159" width="8.109375" style="506" customWidth="1"/>
    <col min="160" max="163" width="7.109375" style="506" customWidth="1"/>
    <col min="164" max="168" width="9.109375" style="506" customWidth="1"/>
    <col min="169" max="169" width="8.109375" style="506" customWidth="1"/>
    <col min="170" max="173" width="7.109375" style="506" customWidth="1"/>
    <col min="174" max="253" width="9.109375" style="506" customWidth="1"/>
    <col min="254" max="258" width="11.109375" style="506" customWidth="1"/>
    <col min="259" max="273" width="9.109375" style="506" customWidth="1"/>
    <col min="274" max="274" width="10.109375" style="506" customWidth="1"/>
    <col min="275" max="278" width="10" style="506" customWidth="1"/>
    <col min="279" max="282" width="9.109375" style="506" customWidth="1"/>
    <col min="283" max="283" width="9.109375" style="2478" customWidth="1"/>
    <col min="284" max="287" width="9.109375" style="506" customWidth="1"/>
    <col min="288" max="298" width="9.109375" style="2478" customWidth="1"/>
    <col min="299" max="308" width="11.5546875" style="2478" customWidth="1"/>
    <col min="309" max="329" width="9.109375" style="2478" customWidth="1"/>
    <col min="330" max="335" width="9.109375" style="506" customWidth="1"/>
    <col min="336" max="336" width="9.109375" style="511" customWidth="1"/>
    <col min="337" max="351" width="9.109375" style="506" customWidth="1"/>
    <col min="352" max="353" width="9.109375" style="511" customWidth="1"/>
    <col min="354" max="360" width="10.109375" style="506" customWidth="1"/>
    <col min="361" max="363" width="9.109375" style="506"/>
    <col min="364" max="364" width="10.44140625" style="506" customWidth="1"/>
    <col min="365" max="368" width="10.109375" style="506" customWidth="1"/>
    <col min="369" max="503" width="9.109375" style="150"/>
    <col min="504" max="16384" width="9.109375" style="83"/>
  </cols>
  <sheetData>
    <row r="1" spans="1:503" s="91" customFormat="1" ht="14.1" customHeight="1">
      <c r="A1" s="2311" t="str">
        <f>CONCATENATE("PART SIX - PROJECTED REVENUES &amp; EXPENSES","  -  ",'Part I-Project Information'!$O$6," ",'Part I-Project Information'!$F$34,", ",'Part I-Project Information'!F38,", ",'Part I-Project Information'!J39," County")</f>
        <v>PART SIX - PROJECTED REVENUES &amp; EXPENSES  -  2020-5 Lakeview Terrace, Augusta, Richmond County</v>
      </c>
      <c r="B1" s="2312"/>
      <c r="C1" s="2312"/>
      <c r="D1" s="2312"/>
      <c r="E1" s="2312"/>
      <c r="F1" s="2312"/>
      <c r="G1" s="2312"/>
      <c r="H1" s="2312"/>
      <c r="I1" s="2314"/>
      <c r="J1" s="2312"/>
      <c r="K1" s="2312"/>
      <c r="L1" s="2312"/>
      <c r="M1" s="2312"/>
      <c r="N1" s="2312"/>
      <c r="O1" s="2312"/>
      <c r="P1" s="2312"/>
      <c r="Q1" s="2313"/>
      <c r="T1" s="2310" t="str">
        <f>A1</f>
        <v>PART SIX - PROJECTED REVENUES &amp; EXPENSES  -  2020-5 Lakeview Terrace, Augusta, Richmond County</v>
      </c>
      <c r="U1" s="2310"/>
      <c r="V1" s="2310"/>
      <c r="W1" s="2310"/>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74"/>
      <c r="HY1" s="2474"/>
      <c r="HZ1" s="2474"/>
      <c r="IA1" s="2474"/>
      <c r="IB1" s="2474"/>
      <c r="IC1" s="2474"/>
      <c r="ID1" s="2474"/>
      <c r="IE1" s="2474"/>
      <c r="IF1" s="2474"/>
      <c r="IG1" s="2474"/>
      <c r="IH1" s="2474"/>
      <c r="II1" s="2474"/>
      <c r="IJ1" s="2474"/>
      <c r="IK1" s="2474"/>
      <c r="IL1" s="2474"/>
      <c r="IM1" s="2474"/>
      <c r="IN1" s="2474"/>
      <c r="IO1" s="2474"/>
      <c r="IP1" s="2474"/>
      <c r="IQ1" s="2474"/>
      <c r="IR1" s="2474"/>
      <c r="IS1" s="2474"/>
      <c r="IT1" s="2474"/>
      <c r="IU1" s="2474"/>
      <c r="IV1" s="2474"/>
      <c r="IW1" s="2474"/>
      <c r="IX1" s="2474"/>
      <c r="IY1" s="2474"/>
      <c r="IZ1" s="2474"/>
      <c r="JA1" s="2474"/>
      <c r="JB1" s="2474"/>
      <c r="JC1" s="2474"/>
      <c r="JD1" s="2474"/>
      <c r="JE1" s="2474"/>
      <c r="JF1" s="2474"/>
      <c r="JG1" s="2474"/>
      <c r="JH1" s="2474"/>
      <c r="JI1" s="2474"/>
      <c r="JJ1" s="2474"/>
      <c r="JK1" s="2474"/>
      <c r="JL1" s="2474"/>
      <c r="JM1" s="2474"/>
      <c r="JN1" s="2474"/>
      <c r="JO1" s="2474"/>
      <c r="JP1" s="2474"/>
      <c r="JQ1" s="2474"/>
      <c r="JR1" s="2474"/>
      <c r="JS1" s="2474"/>
      <c r="JT1" s="2474"/>
      <c r="JU1" s="2474"/>
      <c r="JV1" s="2474"/>
      <c r="JW1" s="2474"/>
      <c r="JX1" s="2474"/>
      <c r="JY1" s="2474"/>
      <c r="JZ1" s="2474"/>
      <c r="KA1" s="2474"/>
      <c r="KB1" s="2474"/>
      <c r="KC1" s="2474"/>
      <c r="KD1" s="2474"/>
      <c r="KE1" s="2474"/>
      <c r="KF1" s="2474"/>
      <c r="KG1" s="2474"/>
      <c r="KH1" s="2474"/>
      <c r="KI1" s="2474"/>
      <c r="KJ1" s="2474"/>
      <c r="KK1" s="2474"/>
      <c r="KL1" s="2474"/>
      <c r="KM1" s="2474"/>
      <c r="KN1" s="2474"/>
      <c r="KO1" s="2474"/>
      <c r="KP1" s="508"/>
      <c r="KQ1" s="508"/>
      <c r="KR1" s="2474"/>
      <c r="KS1" s="2474"/>
      <c r="KT1" s="2474"/>
      <c r="KU1" s="508"/>
      <c r="KV1" s="508"/>
      <c r="KW1" s="508"/>
      <c r="KX1" s="508"/>
      <c r="KY1" s="2475"/>
      <c r="KZ1" s="508"/>
      <c r="LA1" s="508"/>
      <c r="LB1" s="508"/>
      <c r="LC1" s="508"/>
      <c r="LD1" s="2475"/>
      <c r="LE1" s="508"/>
      <c r="LF1" s="508"/>
      <c r="LG1" s="508"/>
      <c r="LH1" s="508"/>
      <c r="LI1" s="2475"/>
      <c r="LJ1" s="508"/>
      <c r="LK1" s="508"/>
      <c r="LL1" s="508"/>
      <c r="LM1" s="508"/>
      <c r="LN1" s="2475"/>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598</v>
      </c>
      <c r="B3" s="4" t="s">
        <v>2306</v>
      </c>
      <c r="C3" s="1"/>
      <c r="D3" s="1031" t="s">
        <v>3437</v>
      </c>
      <c r="F3" s="1"/>
      <c r="G3" s="124"/>
      <c r="H3" s="124"/>
      <c r="I3" s="124"/>
      <c r="J3" s="124"/>
      <c r="K3" s="124"/>
      <c r="L3" s="124"/>
      <c r="M3" s="124"/>
      <c r="O3" s="116" t="s">
        <v>559</v>
      </c>
      <c r="P3" s="3506" t="str">
        <f>'Part I-Project Information'!$O$40</f>
        <v>Augusta-Richmond Co.</v>
      </c>
      <c r="Q3" s="3506"/>
      <c r="T3" s="4" t="str">
        <f>B3</f>
        <v>RENT SCHEDULE</v>
      </c>
      <c r="U3" s="319"/>
      <c r="X3" s="2476"/>
      <c r="Y3" s="2476"/>
      <c r="Z3" s="2476"/>
      <c r="AA3" s="2476"/>
      <c r="AB3" s="2476"/>
      <c r="AC3" s="2476"/>
      <c r="AD3" s="2476"/>
      <c r="AE3" s="2476"/>
      <c r="AF3" s="2476"/>
      <c r="AG3" s="2476"/>
      <c r="AH3" s="2476"/>
      <c r="AI3" s="2476"/>
      <c r="AJ3" s="2476"/>
      <c r="AK3" s="2476"/>
      <c r="AL3" s="2476"/>
      <c r="AM3" s="2476"/>
      <c r="AN3" s="2476"/>
      <c r="AO3" s="2476"/>
      <c r="AP3" s="2476"/>
      <c r="AQ3" s="2476"/>
      <c r="AR3" s="2476"/>
      <c r="AS3" s="2476"/>
      <c r="AT3" s="2476"/>
      <c r="AU3" s="2476"/>
      <c r="AV3" s="2476"/>
      <c r="AW3" s="2476"/>
      <c r="AX3" s="2476"/>
      <c r="AY3" s="2476"/>
      <c r="AZ3" s="2476"/>
      <c r="BA3" s="2476"/>
      <c r="BB3" s="2476"/>
      <c r="BC3" s="2476"/>
      <c r="BD3" s="2476"/>
      <c r="BE3" s="2476"/>
      <c r="BF3" s="2476"/>
      <c r="BG3" s="2476"/>
      <c r="BH3" s="2476"/>
      <c r="BI3" s="2476"/>
      <c r="BJ3" s="2476"/>
      <c r="BK3" s="2476"/>
      <c r="BL3" s="2476"/>
      <c r="BM3" s="2476"/>
      <c r="BN3" s="2476"/>
      <c r="BO3" s="2476"/>
      <c r="BP3" s="2476"/>
      <c r="BQ3" s="2476"/>
      <c r="BR3" s="2476"/>
      <c r="BS3" s="2476"/>
      <c r="BT3" s="2476"/>
      <c r="BU3" s="2476"/>
      <c r="BV3" s="2476"/>
      <c r="BW3" s="2476"/>
      <c r="BX3" s="2476"/>
      <c r="BY3" s="2476"/>
      <c r="BZ3" s="2476"/>
      <c r="CA3" s="2476"/>
      <c r="CB3" s="2476"/>
      <c r="CC3" s="2476"/>
      <c r="CD3" s="2476"/>
      <c r="CE3" s="2476"/>
      <c r="CF3" s="2476"/>
      <c r="CG3" s="2476"/>
      <c r="CH3" s="2476"/>
      <c r="CI3" s="2476"/>
      <c r="CJ3" s="2476"/>
      <c r="CK3" s="2476"/>
      <c r="CL3" s="2476"/>
      <c r="CM3" s="2476"/>
      <c r="CN3" s="2476"/>
      <c r="CO3" s="2476"/>
      <c r="CP3" s="2476"/>
      <c r="CQ3" s="2476"/>
      <c r="CR3" s="2476"/>
      <c r="CS3" s="2476"/>
      <c r="CT3" s="2476"/>
      <c r="CU3" s="2476"/>
      <c r="CV3" s="2476"/>
      <c r="CW3" s="2476"/>
      <c r="CX3" s="2476"/>
      <c r="CY3" s="2476"/>
      <c r="CZ3" s="2476"/>
      <c r="DA3" s="2476"/>
      <c r="DB3" s="2476"/>
      <c r="DC3" s="2476"/>
      <c r="DD3" s="2476"/>
      <c r="DE3" s="2476"/>
      <c r="DF3" s="2476"/>
      <c r="DG3" s="2476"/>
      <c r="DH3" s="2476"/>
      <c r="DI3" s="2476"/>
      <c r="DJ3" s="2476"/>
      <c r="DK3" s="2476"/>
      <c r="DL3" s="2476"/>
      <c r="DM3" s="2476"/>
      <c r="DN3" s="2476"/>
      <c r="DO3" s="2476"/>
      <c r="DP3" s="2476"/>
      <c r="DQ3" s="2476"/>
      <c r="DR3" s="2476"/>
      <c r="DS3" s="2476"/>
      <c r="DT3" s="2476"/>
      <c r="DU3" s="2476"/>
      <c r="DV3" s="2476"/>
      <c r="DW3" s="2476"/>
      <c r="DX3" s="2476"/>
      <c r="DY3" s="2476"/>
      <c r="DZ3" s="2476"/>
      <c r="EA3" s="2476"/>
      <c r="EB3" s="2476"/>
      <c r="EC3" s="2476"/>
      <c r="ED3" s="2476"/>
      <c r="EE3" s="2476"/>
      <c r="EF3" s="2476"/>
      <c r="EG3" s="2476"/>
      <c r="EH3" s="2476"/>
      <c r="EI3" s="2476"/>
      <c r="EJ3" s="2476"/>
      <c r="EK3" s="2476"/>
      <c r="EL3" s="2476"/>
      <c r="EM3" s="2476"/>
      <c r="EN3" s="2476"/>
      <c r="EO3" s="2476"/>
      <c r="EP3" s="2476"/>
      <c r="EQ3" s="2476"/>
      <c r="ER3" s="2476"/>
      <c r="ES3" s="2476"/>
      <c r="ET3" s="2476"/>
      <c r="EU3" s="2476"/>
      <c r="EV3" s="2476"/>
      <c r="EW3" s="2476"/>
      <c r="EX3" s="2476"/>
      <c r="EY3" s="2476"/>
      <c r="EZ3" s="2476"/>
      <c r="FA3" s="2476"/>
      <c r="FB3" s="2476"/>
      <c r="FC3" s="2476"/>
      <c r="FD3" s="2476"/>
      <c r="FE3" s="2476"/>
      <c r="FF3" s="2476"/>
      <c r="FG3" s="2476"/>
      <c r="FH3" s="2476"/>
      <c r="FI3" s="2476"/>
      <c r="FJ3" s="2476"/>
      <c r="FK3" s="2476"/>
      <c r="FL3" s="2476"/>
      <c r="FM3" s="2476"/>
      <c r="FN3" s="2476"/>
      <c r="FO3" s="2476"/>
      <c r="FP3" s="2476"/>
      <c r="FQ3" s="2476"/>
      <c r="FR3" s="2476"/>
      <c r="FS3" s="2476"/>
      <c r="FT3" s="2476"/>
      <c r="FU3" s="2476"/>
      <c r="FV3" s="2476"/>
      <c r="FW3" s="2476"/>
      <c r="FX3" s="2476"/>
      <c r="FY3" s="2476"/>
      <c r="FZ3" s="2476"/>
      <c r="GA3" s="2476"/>
      <c r="GB3" s="2476"/>
      <c r="GC3" s="2476"/>
      <c r="GD3" s="2476"/>
      <c r="GE3" s="2476"/>
      <c r="GF3" s="2476"/>
      <c r="GG3" s="2476"/>
      <c r="GH3" s="2476"/>
      <c r="GI3" s="2476"/>
      <c r="GJ3" s="2476"/>
      <c r="GK3" s="2476"/>
      <c r="GL3" s="2476"/>
      <c r="GM3" s="2476"/>
      <c r="GN3" s="2476"/>
      <c r="GO3" s="2476"/>
      <c r="GP3" s="2476"/>
      <c r="GQ3" s="2476"/>
      <c r="GR3" s="2476"/>
      <c r="GS3" s="2476"/>
      <c r="GT3" s="2476"/>
      <c r="GU3" s="2476"/>
      <c r="GV3" s="2476"/>
      <c r="GW3" s="2476"/>
      <c r="GX3" s="2476"/>
      <c r="GY3" s="2476"/>
      <c r="GZ3" s="2476"/>
      <c r="HA3" s="2476"/>
      <c r="HB3" s="2476"/>
      <c r="HC3" s="2476"/>
      <c r="HD3" s="2476"/>
      <c r="HE3" s="2476"/>
      <c r="HF3" s="2476"/>
      <c r="HG3" s="2476"/>
      <c r="HH3" s="2476"/>
      <c r="HI3" s="2476"/>
      <c r="HJ3" s="2476"/>
      <c r="HK3" s="2476"/>
      <c r="HL3" s="2476"/>
      <c r="HM3" s="2476"/>
      <c r="HN3" s="2476"/>
      <c r="HO3" s="2476"/>
      <c r="HP3" s="2476"/>
      <c r="HQ3" s="2476"/>
      <c r="HR3" s="2476"/>
      <c r="HS3" s="2476"/>
      <c r="HT3" s="2476"/>
      <c r="HU3" s="2476"/>
      <c r="HV3" s="2476"/>
      <c r="HW3" s="2476"/>
      <c r="HX3" s="2476"/>
      <c r="HY3" s="2476"/>
      <c r="HZ3" s="2477"/>
      <c r="IA3" s="2477"/>
      <c r="IB3" s="2477"/>
      <c r="IC3" s="2477"/>
      <c r="ID3" s="2477"/>
      <c r="IE3" s="510" t="s">
        <v>476</v>
      </c>
      <c r="IF3" s="510" t="s">
        <v>2377</v>
      </c>
      <c r="IG3" s="510" t="s">
        <v>2378</v>
      </c>
      <c r="IH3" s="510" t="s">
        <v>2379</v>
      </c>
      <c r="II3" s="510" t="s">
        <v>2380</v>
      </c>
      <c r="IJ3" s="510" t="s">
        <v>476</v>
      </c>
      <c r="IK3" s="510" t="s">
        <v>2377</v>
      </c>
      <c r="IL3" s="510" t="s">
        <v>2378</v>
      </c>
      <c r="IM3" s="510" t="s">
        <v>2379</v>
      </c>
      <c r="IN3" s="510" t="s">
        <v>2380</v>
      </c>
      <c r="IO3" s="2477"/>
      <c r="IP3" s="2477"/>
      <c r="IQ3" s="2477"/>
      <c r="IR3" s="2477"/>
      <c r="IS3" s="2477"/>
      <c r="IT3" s="2477"/>
      <c r="IU3" s="2477"/>
      <c r="IV3" s="2477"/>
      <c r="IW3" s="2477"/>
      <c r="IX3" s="2477"/>
      <c r="IY3" s="510" t="s">
        <v>476</v>
      </c>
      <c r="IZ3" s="510" t="s">
        <v>2377</v>
      </c>
      <c r="JA3" s="510" t="s">
        <v>2378</v>
      </c>
      <c r="JB3" s="510" t="s">
        <v>2379</v>
      </c>
      <c r="JC3" s="510" t="s">
        <v>2380</v>
      </c>
      <c r="JD3" s="510" t="s">
        <v>476</v>
      </c>
      <c r="JE3" s="510" t="s">
        <v>2377</v>
      </c>
      <c r="JF3" s="510" t="s">
        <v>2378</v>
      </c>
      <c r="JG3" s="510" t="s">
        <v>2379</v>
      </c>
      <c r="JH3" s="510" t="s">
        <v>2380</v>
      </c>
      <c r="JI3" s="510" t="s">
        <v>476</v>
      </c>
      <c r="JJ3" s="510" t="s">
        <v>2377</v>
      </c>
      <c r="JK3" s="510" t="s">
        <v>2378</v>
      </c>
      <c r="JL3" s="510" t="s">
        <v>2379</v>
      </c>
      <c r="JM3" s="510" t="s">
        <v>2380</v>
      </c>
      <c r="JN3" s="510" t="s">
        <v>476</v>
      </c>
      <c r="JO3" s="510" t="s">
        <v>2377</v>
      </c>
      <c r="JP3" s="510" t="s">
        <v>2378</v>
      </c>
      <c r="JQ3" s="510" t="s">
        <v>2379</v>
      </c>
      <c r="JR3" s="510" t="s">
        <v>2380</v>
      </c>
      <c r="JS3" s="510" t="s">
        <v>476</v>
      </c>
      <c r="JT3" s="510" t="s">
        <v>2377</v>
      </c>
      <c r="JU3" s="510" t="s">
        <v>2378</v>
      </c>
      <c r="JV3" s="510" t="s">
        <v>2379</v>
      </c>
      <c r="JW3" s="510" t="s">
        <v>2380</v>
      </c>
      <c r="JX3" s="510" t="s">
        <v>476</v>
      </c>
      <c r="JY3" s="510" t="s">
        <v>2377</v>
      </c>
      <c r="JZ3" s="510" t="s">
        <v>2378</v>
      </c>
      <c r="KA3" s="510" t="s">
        <v>2379</v>
      </c>
      <c r="KB3" s="510" t="s">
        <v>2380</v>
      </c>
      <c r="KC3" s="510" t="s">
        <v>476</v>
      </c>
      <c r="KD3" s="510" t="s">
        <v>2377</v>
      </c>
      <c r="KE3" s="510" t="s">
        <v>2378</v>
      </c>
      <c r="KF3" s="510" t="s">
        <v>2379</v>
      </c>
      <c r="KG3" s="510" t="s">
        <v>2380</v>
      </c>
      <c r="KH3" s="510" t="s">
        <v>476</v>
      </c>
      <c r="KI3" s="510" t="s">
        <v>2377</v>
      </c>
      <c r="KJ3" s="510" t="s">
        <v>2378</v>
      </c>
      <c r="KK3" s="510" t="s">
        <v>2379</v>
      </c>
      <c r="KL3" s="510" t="s">
        <v>2380</v>
      </c>
      <c r="KM3" s="510" t="s">
        <v>476</v>
      </c>
      <c r="KN3" s="510" t="s">
        <v>2377</v>
      </c>
      <c r="KO3" s="510" t="s">
        <v>2378</v>
      </c>
      <c r="KP3" s="510" t="s">
        <v>2379</v>
      </c>
      <c r="KQ3" s="510" t="s">
        <v>2380</v>
      </c>
      <c r="KR3" s="510" t="s">
        <v>476</v>
      </c>
      <c r="KS3" s="510" t="s">
        <v>2377</v>
      </c>
      <c r="KT3" s="510" t="s">
        <v>2378</v>
      </c>
      <c r="KU3" s="510" t="s">
        <v>2379</v>
      </c>
      <c r="KV3" s="510" t="s">
        <v>2380</v>
      </c>
      <c r="KW3" s="510" t="s">
        <v>476</v>
      </c>
      <c r="KX3" s="510" t="s">
        <v>2377</v>
      </c>
      <c r="KY3" s="510" t="s">
        <v>2378</v>
      </c>
      <c r="KZ3" s="510" t="s">
        <v>2379</v>
      </c>
      <c r="LA3" s="510" t="s">
        <v>2380</v>
      </c>
      <c r="LB3" s="510" t="s">
        <v>476</v>
      </c>
      <c r="LC3" s="510" t="s">
        <v>2377</v>
      </c>
      <c r="LD3" s="510" t="s">
        <v>2378</v>
      </c>
      <c r="LE3" s="510" t="s">
        <v>2379</v>
      </c>
      <c r="LF3" s="510" t="s">
        <v>2380</v>
      </c>
      <c r="LG3" s="510" t="s">
        <v>476</v>
      </c>
      <c r="LH3" s="510" t="s">
        <v>2377</v>
      </c>
      <c r="LI3" s="510" t="s">
        <v>2378</v>
      </c>
      <c r="LJ3" s="510" t="s">
        <v>2379</v>
      </c>
      <c r="LK3" s="510" t="s">
        <v>2380</v>
      </c>
      <c r="LL3" s="510" t="s">
        <v>476</v>
      </c>
      <c r="LM3" s="510" t="s">
        <v>2377</v>
      </c>
      <c r="LN3" s="510" t="s">
        <v>2378</v>
      </c>
      <c r="LO3" s="510" t="s">
        <v>2379</v>
      </c>
      <c r="LP3" s="510" t="s">
        <v>2380</v>
      </c>
      <c r="LQ3" s="508"/>
      <c r="LR3" s="508"/>
      <c r="LS3" s="508"/>
      <c r="LT3" s="508"/>
      <c r="LU3" s="508"/>
      <c r="LV3" s="2476"/>
      <c r="LW3" s="2476"/>
      <c r="LX3" s="2476"/>
      <c r="LY3" s="2476"/>
      <c r="LZ3" s="2476"/>
      <c r="MA3" s="2476"/>
      <c r="MB3" s="2476"/>
      <c r="MC3" s="2476"/>
      <c r="MD3" s="2476"/>
      <c r="ME3" s="2476"/>
      <c r="MF3" s="2476"/>
      <c r="MG3" s="2476"/>
      <c r="MH3" s="2476"/>
      <c r="MI3" s="2476"/>
      <c r="MJ3" s="2476"/>
      <c r="MK3" s="2476"/>
      <c r="ML3" s="2476"/>
      <c r="MM3" s="2476"/>
      <c r="MN3" s="2476"/>
      <c r="MO3" s="2476"/>
      <c r="MP3" s="3562" t="s">
        <v>3309</v>
      </c>
      <c r="MQ3" s="3562" t="s">
        <v>3310</v>
      </c>
      <c r="MR3" s="3562" t="s">
        <v>3311</v>
      </c>
      <c r="MS3" s="3562" t="s">
        <v>3312</v>
      </c>
      <c r="MT3" s="3562" t="s">
        <v>3313</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88"/>
      <c r="Q4" s="3571" t="s">
        <v>3524</v>
      </c>
      <c r="R4" s="1214"/>
      <c r="S4" s="475"/>
      <c r="T4" s="475"/>
      <c r="U4" s="475"/>
      <c r="W4" s="476"/>
      <c r="X4" s="3563" t="s">
        <v>4132</v>
      </c>
      <c r="Y4" s="3563" t="s">
        <v>4133</v>
      </c>
      <c r="Z4" s="3563" t="s">
        <v>4134</v>
      </c>
      <c r="AA4" s="3563" t="s">
        <v>4135</v>
      </c>
      <c r="AB4" s="3563" t="s">
        <v>4136</v>
      </c>
      <c r="AC4" s="3563" t="s">
        <v>4137</v>
      </c>
      <c r="AD4" s="3563" t="s">
        <v>4138</v>
      </c>
      <c r="AE4" s="3563" t="s">
        <v>4139</v>
      </c>
      <c r="AF4" s="3563" t="s">
        <v>4140</v>
      </c>
      <c r="AG4" s="3563" t="s">
        <v>4141</v>
      </c>
      <c r="AH4" s="3563" t="s">
        <v>898</v>
      </c>
      <c r="AI4" s="3563" t="s">
        <v>738</v>
      </c>
      <c r="AJ4" s="3563" t="s">
        <v>739</v>
      </c>
      <c r="AK4" s="3563" t="s">
        <v>740</v>
      </c>
      <c r="AL4" s="3563" t="s">
        <v>741</v>
      </c>
      <c r="AM4" s="3563" t="s">
        <v>899</v>
      </c>
      <c r="AN4" s="3563" t="s">
        <v>2251</v>
      </c>
      <c r="AO4" s="3563" t="s">
        <v>2252</v>
      </c>
      <c r="AP4" s="3563" t="s">
        <v>2253</v>
      </c>
      <c r="AQ4" s="3563" t="s">
        <v>2254</v>
      </c>
      <c r="AR4" s="3563" t="s">
        <v>4143</v>
      </c>
      <c r="AS4" s="3563" t="s">
        <v>4144</v>
      </c>
      <c r="AT4" s="3563" t="s">
        <v>4145</v>
      </c>
      <c r="AU4" s="3563" t="s">
        <v>4146</v>
      </c>
      <c r="AV4" s="3563" t="s">
        <v>4142</v>
      </c>
      <c r="AW4" s="3563" t="s">
        <v>900</v>
      </c>
      <c r="AX4" s="3563" t="s">
        <v>2255</v>
      </c>
      <c r="AY4" s="3563" t="s">
        <v>2256</v>
      </c>
      <c r="AZ4" s="3563" t="s">
        <v>2257</v>
      </c>
      <c r="BA4" s="3563" t="s">
        <v>2258</v>
      </c>
      <c r="BB4" s="3563" t="s">
        <v>4147</v>
      </c>
      <c r="BC4" s="3563" t="s">
        <v>4148</v>
      </c>
      <c r="BD4" s="3563" t="s">
        <v>4149</v>
      </c>
      <c r="BE4" s="3563" t="s">
        <v>4150</v>
      </c>
      <c r="BF4" s="3563" t="s">
        <v>4151</v>
      </c>
      <c r="BG4" s="3563" t="s">
        <v>126</v>
      </c>
      <c r="BH4" s="3563" t="s">
        <v>2259</v>
      </c>
      <c r="BI4" s="3563" t="s">
        <v>2260</v>
      </c>
      <c r="BJ4" s="3563" t="s">
        <v>2261</v>
      </c>
      <c r="BK4" s="3563" t="s">
        <v>1126</v>
      </c>
      <c r="BL4" s="3563" t="s">
        <v>4152</v>
      </c>
      <c r="BM4" s="3563" t="s">
        <v>4153</v>
      </c>
      <c r="BN4" s="3563" t="s">
        <v>4154</v>
      </c>
      <c r="BO4" s="3563" t="s">
        <v>4155</v>
      </c>
      <c r="BP4" s="3563" t="s">
        <v>4156</v>
      </c>
      <c r="BQ4" s="3563" t="s">
        <v>540</v>
      </c>
      <c r="BR4" s="3563" t="s">
        <v>541</v>
      </c>
      <c r="BS4" s="3563" t="s">
        <v>560</v>
      </c>
      <c r="BT4" s="3563" t="s">
        <v>561</v>
      </c>
      <c r="BU4" s="3563" t="s">
        <v>562</v>
      </c>
      <c r="BV4" s="3563" t="s">
        <v>4157</v>
      </c>
      <c r="BW4" s="3563" t="s">
        <v>4158</v>
      </c>
      <c r="BX4" s="3563" t="s">
        <v>4159</v>
      </c>
      <c r="BY4" s="3563" t="s">
        <v>4160</v>
      </c>
      <c r="BZ4" s="3563" t="s">
        <v>4161</v>
      </c>
      <c r="CA4" s="3563" t="s">
        <v>563</v>
      </c>
      <c r="CB4" s="3563" t="s">
        <v>564</v>
      </c>
      <c r="CC4" s="3563" t="s">
        <v>565</v>
      </c>
      <c r="CD4" s="3563" t="s">
        <v>566</v>
      </c>
      <c r="CE4" s="3563" t="s">
        <v>567</v>
      </c>
      <c r="CF4" s="3563" t="s">
        <v>568</v>
      </c>
      <c r="CG4" s="3563" t="s">
        <v>569</v>
      </c>
      <c r="CH4" s="3563" t="s">
        <v>909</v>
      </c>
      <c r="CI4" s="3563" t="s">
        <v>910</v>
      </c>
      <c r="CJ4" s="3563" t="s">
        <v>911</v>
      </c>
      <c r="CK4" s="3563" t="s">
        <v>4167</v>
      </c>
      <c r="CL4" s="3563" t="s">
        <v>4168</v>
      </c>
      <c r="CM4" s="3563" t="s">
        <v>4169</v>
      </c>
      <c r="CN4" s="3563" t="s">
        <v>4170</v>
      </c>
      <c r="CO4" s="3563" t="s">
        <v>4171</v>
      </c>
      <c r="CP4" s="3563" t="s">
        <v>4162</v>
      </c>
      <c r="CQ4" s="3563" t="s">
        <v>4163</v>
      </c>
      <c r="CR4" s="3563" t="s">
        <v>4164</v>
      </c>
      <c r="CS4" s="3563" t="s">
        <v>4165</v>
      </c>
      <c r="CT4" s="3563" t="s">
        <v>4166</v>
      </c>
      <c r="CU4" s="3563" t="s">
        <v>4172</v>
      </c>
      <c r="CV4" s="3563" t="s">
        <v>4173</v>
      </c>
      <c r="CW4" s="3563" t="s">
        <v>4174</v>
      </c>
      <c r="CX4" s="3563" t="s">
        <v>4175</v>
      </c>
      <c r="CY4" s="3563" t="s">
        <v>4176</v>
      </c>
      <c r="CZ4" s="3563" t="s">
        <v>485</v>
      </c>
      <c r="DA4" s="3563" t="s">
        <v>486</v>
      </c>
      <c r="DB4" s="3563" t="s">
        <v>487</v>
      </c>
      <c r="DC4" s="3563" t="s">
        <v>488</v>
      </c>
      <c r="DD4" s="3563" t="s">
        <v>489</v>
      </c>
      <c r="DE4" s="3563" t="s">
        <v>4177</v>
      </c>
      <c r="DF4" s="3563" t="s">
        <v>4178</v>
      </c>
      <c r="DG4" s="3563" t="s">
        <v>4179</v>
      </c>
      <c r="DH4" s="3563" t="s">
        <v>4180</v>
      </c>
      <c r="DI4" s="3563" t="s">
        <v>4181</v>
      </c>
      <c r="DJ4" s="3563" t="s">
        <v>859</v>
      </c>
      <c r="DK4" s="3563" t="s">
        <v>860</v>
      </c>
      <c r="DL4" s="3563" t="s">
        <v>861</v>
      </c>
      <c r="DM4" s="3563" t="s">
        <v>862</v>
      </c>
      <c r="DN4" s="3563" t="s">
        <v>863</v>
      </c>
      <c r="DO4" s="3563" t="s">
        <v>864</v>
      </c>
      <c r="DP4" s="3563" t="s">
        <v>865</v>
      </c>
      <c r="DQ4" s="3563" t="s">
        <v>866</v>
      </c>
      <c r="DR4" s="3563" t="s">
        <v>867</v>
      </c>
      <c r="DS4" s="3563" t="s">
        <v>868</v>
      </c>
      <c r="DT4" s="3563" t="s">
        <v>4182</v>
      </c>
      <c r="DU4" s="3563" t="s">
        <v>4183</v>
      </c>
      <c r="DV4" s="3563" t="s">
        <v>4184</v>
      </c>
      <c r="DW4" s="3563" t="s">
        <v>4185</v>
      </c>
      <c r="DX4" s="3563" t="s">
        <v>4186</v>
      </c>
      <c r="DY4" s="3563" t="s">
        <v>4187</v>
      </c>
      <c r="DZ4" s="3563" t="s">
        <v>4188</v>
      </c>
      <c r="EA4" s="3563" t="s">
        <v>4189</v>
      </c>
      <c r="EB4" s="3563" t="s">
        <v>4190</v>
      </c>
      <c r="EC4" s="3563" t="s">
        <v>4191</v>
      </c>
      <c r="ED4" s="3563" t="s">
        <v>2367</v>
      </c>
      <c r="EE4" s="3563" t="s">
        <v>2368</v>
      </c>
      <c r="EF4" s="3563" t="s">
        <v>2369</v>
      </c>
      <c r="EG4" s="3563" t="s">
        <v>2370</v>
      </c>
      <c r="EH4" s="3563" t="s">
        <v>2371</v>
      </c>
      <c r="EI4" s="3563" t="s">
        <v>4192</v>
      </c>
      <c r="EJ4" s="3563" t="s">
        <v>4193</v>
      </c>
      <c r="EK4" s="3563" t="s">
        <v>4194</v>
      </c>
      <c r="EL4" s="3563" t="s">
        <v>4195</v>
      </c>
      <c r="EM4" s="3563" t="s">
        <v>4196</v>
      </c>
      <c r="EN4" s="3563" t="s">
        <v>4197</v>
      </c>
      <c r="EO4" s="3563" t="s">
        <v>4198</v>
      </c>
      <c r="EP4" s="3563" t="s">
        <v>4199</v>
      </c>
      <c r="EQ4" s="3563" t="s">
        <v>4200</v>
      </c>
      <c r="ER4" s="3563" t="s">
        <v>4201</v>
      </c>
      <c r="ES4" s="3562" t="s">
        <v>114</v>
      </c>
      <c r="ET4" s="3562" t="s">
        <v>1129</v>
      </c>
      <c r="EU4" s="3562" t="s">
        <v>1130</v>
      </c>
      <c r="EV4" s="3562" t="s">
        <v>1187</v>
      </c>
      <c r="EW4" s="3562" t="s">
        <v>1188</v>
      </c>
      <c r="EX4" s="3562" t="s">
        <v>129</v>
      </c>
      <c r="EY4" s="3562" t="s">
        <v>1189</v>
      </c>
      <c r="EZ4" s="3562" t="s">
        <v>1190</v>
      </c>
      <c r="FA4" s="3562" t="s">
        <v>1191</v>
      </c>
      <c r="FB4" s="3562" t="s">
        <v>1192</v>
      </c>
      <c r="FC4" s="3563" t="s">
        <v>4202</v>
      </c>
      <c r="FD4" s="3563" t="s">
        <v>4203</v>
      </c>
      <c r="FE4" s="3563" t="s">
        <v>4204</v>
      </c>
      <c r="FF4" s="3563" t="s">
        <v>4205</v>
      </c>
      <c r="FG4" s="3563" t="s">
        <v>4206</v>
      </c>
      <c r="FH4" s="3562" t="s">
        <v>128</v>
      </c>
      <c r="FI4" s="3562" t="s">
        <v>890</v>
      </c>
      <c r="FJ4" s="3562" t="s">
        <v>891</v>
      </c>
      <c r="FK4" s="3562" t="s">
        <v>892</v>
      </c>
      <c r="FL4" s="3562" t="s">
        <v>893</v>
      </c>
      <c r="FM4" s="3563" t="s">
        <v>4207</v>
      </c>
      <c r="FN4" s="3563" t="s">
        <v>4208</v>
      </c>
      <c r="FO4" s="3563" t="s">
        <v>4209</v>
      </c>
      <c r="FP4" s="3563" t="s">
        <v>4210</v>
      </c>
      <c r="FQ4" s="3563" t="s">
        <v>4211</v>
      </c>
      <c r="FR4" s="3562" t="s">
        <v>127</v>
      </c>
      <c r="FS4" s="3562" t="s">
        <v>894</v>
      </c>
      <c r="FT4" s="3562" t="s">
        <v>895</v>
      </c>
      <c r="FU4" s="3562" t="s">
        <v>896</v>
      </c>
      <c r="FV4" s="3562" t="s">
        <v>897</v>
      </c>
      <c r="FW4" s="3562" t="s">
        <v>789</v>
      </c>
      <c r="FX4" s="3562" t="s">
        <v>790</v>
      </c>
      <c r="FY4" s="3562" t="s">
        <v>791</v>
      </c>
      <c r="FZ4" s="3562" t="s">
        <v>792</v>
      </c>
      <c r="GA4" s="3562" t="s">
        <v>793</v>
      </c>
      <c r="GB4" s="3562" t="s">
        <v>935</v>
      </c>
      <c r="GC4" s="3562" t="s">
        <v>936</v>
      </c>
      <c r="GD4" s="3562" t="s">
        <v>937</v>
      </c>
      <c r="GE4" s="3562" t="s">
        <v>938</v>
      </c>
      <c r="GF4" s="3562" t="s">
        <v>2366</v>
      </c>
      <c r="GG4" s="3562" t="s">
        <v>1405</v>
      </c>
      <c r="GH4" s="3562" t="s">
        <v>1406</v>
      </c>
      <c r="GI4" s="3562" t="s">
        <v>1407</v>
      </c>
      <c r="GJ4" s="3562" t="s">
        <v>1408</v>
      </c>
      <c r="GK4" s="3562" t="s">
        <v>1409</v>
      </c>
      <c r="GL4" s="3562" t="s">
        <v>428</v>
      </c>
      <c r="GM4" s="3562" t="s">
        <v>429</v>
      </c>
      <c r="GN4" s="3562" t="s">
        <v>430</v>
      </c>
      <c r="GO4" s="3562" t="s">
        <v>431</v>
      </c>
      <c r="GP4" s="3562" t="s">
        <v>432</v>
      </c>
      <c r="GQ4" s="3562" t="s">
        <v>15</v>
      </c>
      <c r="GR4" s="3562" t="s">
        <v>16</v>
      </c>
      <c r="GS4" s="3562" t="s">
        <v>17</v>
      </c>
      <c r="GT4" s="3562" t="s">
        <v>18</v>
      </c>
      <c r="GU4" s="3562" t="s">
        <v>19</v>
      </c>
      <c r="GV4" s="3562" t="s">
        <v>217</v>
      </c>
      <c r="GW4" s="3562" t="s">
        <v>218</v>
      </c>
      <c r="GX4" s="3562" t="s">
        <v>219</v>
      </c>
      <c r="GY4" s="3562" t="s">
        <v>1765</v>
      </c>
      <c r="GZ4" s="3562" t="s">
        <v>1766</v>
      </c>
      <c r="HA4" s="3562" t="s">
        <v>1767</v>
      </c>
      <c r="HB4" s="3562" t="s">
        <v>575</v>
      </c>
      <c r="HC4" s="3562" t="s">
        <v>576</v>
      </c>
      <c r="HD4" s="3562" t="s">
        <v>577</v>
      </c>
      <c r="HE4" s="3562" t="s">
        <v>578</v>
      </c>
      <c r="HF4" s="3562" t="s">
        <v>20</v>
      </c>
      <c r="HG4" s="3562" t="s">
        <v>21</v>
      </c>
      <c r="HH4" s="3562" t="s">
        <v>22</v>
      </c>
      <c r="HI4" s="3562" t="s">
        <v>23</v>
      </c>
      <c r="HJ4" s="3562" t="s">
        <v>24</v>
      </c>
      <c r="HK4" s="3562" t="s">
        <v>484</v>
      </c>
      <c r="HL4" s="3562" t="s">
        <v>424</v>
      </c>
      <c r="HM4" s="3562" t="s">
        <v>425</v>
      </c>
      <c r="HN4" s="3562" t="s">
        <v>426</v>
      </c>
      <c r="HO4" s="3562" t="s">
        <v>427</v>
      </c>
      <c r="HP4" s="3562" t="s">
        <v>2152</v>
      </c>
      <c r="HQ4" s="3562" t="s">
        <v>2153</v>
      </c>
      <c r="HR4" s="3562" t="s">
        <v>2154</v>
      </c>
      <c r="HS4" s="3562" t="s">
        <v>1448</v>
      </c>
      <c r="HT4" s="3562" t="s">
        <v>1449</v>
      </c>
      <c r="HU4" s="3562" t="s">
        <v>25</v>
      </c>
      <c r="HV4" s="3562" t="s">
        <v>26</v>
      </c>
      <c r="HW4" s="3562" t="s">
        <v>27</v>
      </c>
      <c r="HX4" s="3562" t="s">
        <v>28</v>
      </c>
      <c r="HY4" s="3562" t="s">
        <v>29</v>
      </c>
      <c r="HZ4" s="2474"/>
      <c r="IA4" s="2474"/>
      <c r="IB4" s="2474"/>
      <c r="IC4" s="2474"/>
      <c r="ID4" s="2474"/>
      <c r="IE4" s="2474"/>
      <c r="IF4" s="2474"/>
      <c r="IG4" s="2474"/>
      <c r="IH4" s="2474"/>
      <c r="II4" s="2474"/>
      <c r="IJ4" s="2474"/>
      <c r="IK4" s="2474"/>
      <c r="IL4" s="2474"/>
      <c r="IM4" s="2474"/>
      <c r="IN4" s="2474"/>
      <c r="IO4" s="2474"/>
      <c r="IP4" s="2474"/>
      <c r="IQ4" s="2474"/>
      <c r="IR4" s="2474"/>
      <c r="IS4" s="2474"/>
      <c r="IT4" s="2474"/>
      <c r="IU4" s="2474"/>
      <c r="IV4" s="2474"/>
      <c r="IW4" s="2474"/>
      <c r="IX4" s="2474"/>
      <c r="IY4" s="2474"/>
      <c r="IZ4" s="2474"/>
      <c r="JA4" s="2474"/>
      <c r="JB4" s="2474"/>
      <c r="JC4" s="2474"/>
      <c r="JD4" s="2474"/>
      <c r="JE4" s="2474"/>
      <c r="JF4" s="2474"/>
      <c r="JG4" s="2474"/>
      <c r="JH4" s="2474"/>
      <c r="JI4" s="2474"/>
      <c r="JJ4" s="2474"/>
      <c r="JK4" s="2474"/>
      <c r="JL4" s="2474"/>
      <c r="JM4" s="2474"/>
      <c r="JN4" s="2474"/>
      <c r="JO4" s="2474"/>
      <c r="JP4" s="2474"/>
      <c r="JQ4" s="2474"/>
      <c r="JR4" s="2474"/>
      <c r="JS4" s="2474"/>
      <c r="JT4" s="2474"/>
      <c r="JU4" s="2474"/>
      <c r="JV4" s="2474"/>
      <c r="JW4" s="2474"/>
      <c r="JX4" s="2474"/>
      <c r="JY4" s="2474"/>
      <c r="JZ4" s="2474"/>
      <c r="KA4" s="2474"/>
      <c r="KB4" s="2474"/>
      <c r="KC4" s="2474"/>
      <c r="KD4" s="2474"/>
      <c r="KE4" s="2474"/>
      <c r="KF4" s="2474"/>
      <c r="KG4" s="2474"/>
      <c r="KH4" s="2474"/>
      <c r="KI4" s="2474"/>
      <c r="KJ4" s="2474"/>
      <c r="KK4" s="2474"/>
      <c r="KL4" s="2474"/>
      <c r="KM4" s="2474"/>
      <c r="KN4" s="2474"/>
      <c r="KO4" s="2474"/>
      <c r="KP4" s="2474"/>
      <c r="KQ4" s="2474"/>
      <c r="KR4" s="2474"/>
      <c r="KS4" s="2474"/>
      <c r="KT4" s="2474"/>
      <c r="KU4" s="2474"/>
      <c r="KV4" s="2474"/>
      <c r="KW4" s="508"/>
      <c r="KX4" s="508"/>
      <c r="KY4" s="508"/>
      <c r="KZ4" s="508"/>
      <c r="LA4" s="508"/>
      <c r="LB4" s="508"/>
      <c r="LC4" s="508"/>
      <c r="LD4" s="508"/>
      <c r="LE4" s="508"/>
      <c r="LF4" s="508"/>
      <c r="LG4" s="508"/>
      <c r="LH4" s="508"/>
      <c r="LI4" s="508"/>
      <c r="LJ4" s="508"/>
      <c r="LK4" s="508"/>
      <c r="LL4" s="508"/>
      <c r="LM4" s="508"/>
      <c r="LN4" s="508"/>
      <c r="LO4" s="508"/>
      <c r="LP4" s="508"/>
      <c r="LQ4" s="3562" t="s">
        <v>1592</v>
      </c>
      <c r="LR4" s="3562" t="s">
        <v>2457</v>
      </c>
      <c r="LS4" s="3562" t="s">
        <v>2458</v>
      </c>
      <c r="LT4" s="3562" t="s">
        <v>379</v>
      </c>
      <c r="LU4" s="3562" t="s">
        <v>380</v>
      </c>
      <c r="LV4" s="3562" t="s">
        <v>381</v>
      </c>
      <c r="LW4" s="3562" t="s">
        <v>382</v>
      </c>
      <c r="LX4" s="3562" t="s">
        <v>383</v>
      </c>
      <c r="LY4" s="3562" t="s">
        <v>384</v>
      </c>
      <c r="LZ4" s="3562" t="s">
        <v>385</v>
      </c>
      <c r="MA4" s="3562" t="s">
        <v>198</v>
      </c>
      <c r="MB4" s="3562" t="s">
        <v>199</v>
      </c>
      <c r="MC4" s="3562" t="s">
        <v>200</v>
      </c>
      <c r="MD4" s="3562" t="s">
        <v>201</v>
      </c>
      <c r="ME4" s="3562" t="s">
        <v>202</v>
      </c>
      <c r="MF4" s="3562" t="s">
        <v>203</v>
      </c>
      <c r="MG4" s="3562" t="s">
        <v>204</v>
      </c>
      <c r="MH4" s="3562" t="s">
        <v>205</v>
      </c>
      <c r="MI4" s="3562" t="s">
        <v>206</v>
      </c>
      <c r="MJ4" s="3562" t="s">
        <v>207</v>
      </c>
      <c r="MK4" s="3562" t="s">
        <v>208</v>
      </c>
      <c r="ML4" s="3562" t="s">
        <v>209</v>
      </c>
      <c r="MM4" s="3562" t="s">
        <v>210</v>
      </c>
      <c r="MN4" s="3562" t="s">
        <v>211</v>
      </c>
      <c r="MO4" s="3562" t="s">
        <v>212</v>
      </c>
      <c r="MP4" s="3562"/>
      <c r="MQ4" s="3562"/>
      <c r="MR4" s="3562"/>
      <c r="MS4" s="3562"/>
      <c r="MT4" s="3562"/>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82" t="str">
        <f>IF(A48&gt;0,"Finish Row!","")</f>
        <v>Finish Row!</v>
      </c>
      <c r="B5" s="4" t="s">
        <v>1800</v>
      </c>
      <c r="D5" s="1"/>
      <c r="E5" s="4"/>
      <c r="F5" s="1"/>
      <c r="G5" s="1878" t="s">
        <v>197</v>
      </c>
      <c r="I5" s="3571" t="s">
        <v>4801</v>
      </c>
      <c r="K5" s="1215" t="s">
        <v>3434</v>
      </c>
      <c r="L5" s="3583" t="str">
        <f>'Part I-Project Information'!$B$6</f>
        <v>July 15, 2020 Version (4%)</v>
      </c>
      <c r="M5" s="3584"/>
      <c r="O5" s="116" t="s">
        <v>6961</v>
      </c>
      <c r="P5" s="2486" t="s">
        <v>747</v>
      </c>
      <c r="Q5" s="3571"/>
      <c r="R5" s="1214"/>
      <c r="S5" s="95"/>
      <c r="U5" s="95"/>
      <c r="X5" s="3563"/>
      <c r="Y5" s="3563"/>
      <c r="Z5" s="3563"/>
      <c r="AA5" s="3563"/>
      <c r="AB5" s="3563"/>
      <c r="AC5" s="3563"/>
      <c r="AD5" s="3563"/>
      <c r="AE5" s="3563"/>
      <c r="AF5" s="3563"/>
      <c r="AG5" s="3563"/>
      <c r="AH5" s="3563"/>
      <c r="AI5" s="3563"/>
      <c r="AJ5" s="3563"/>
      <c r="AK5" s="3563"/>
      <c r="AL5" s="3563"/>
      <c r="AM5" s="3563"/>
      <c r="AN5" s="3563"/>
      <c r="AO5" s="3563"/>
      <c r="AP5" s="3563"/>
      <c r="AQ5" s="3563"/>
      <c r="AR5" s="3563"/>
      <c r="AS5" s="3563"/>
      <c r="AT5" s="3563"/>
      <c r="AU5" s="3563"/>
      <c r="AV5" s="3563"/>
      <c r="AW5" s="3563"/>
      <c r="AX5" s="3563"/>
      <c r="AY5" s="3563"/>
      <c r="AZ5" s="3563"/>
      <c r="BA5" s="3563"/>
      <c r="BB5" s="3563"/>
      <c r="BC5" s="3563"/>
      <c r="BD5" s="3563"/>
      <c r="BE5" s="3563"/>
      <c r="BF5" s="3563"/>
      <c r="BG5" s="3563"/>
      <c r="BH5" s="3563"/>
      <c r="BI5" s="3563"/>
      <c r="BJ5" s="3563"/>
      <c r="BK5" s="3563"/>
      <c r="BL5" s="3563"/>
      <c r="BM5" s="3563"/>
      <c r="BN5" s="3563"/>
      <c r="BO5" s="3563"/>
      <c r="BP5" s="3563"/>
      <c r="BQ5" s="3563"/>
      <c r="BR5" s="3563"/>
      <c r="BS5" s="3563"/>
      <c r="BT5" s="3563"/>
      <c r="BU5" s="3563"/>
      <c r="BV5" s="3563"/>
      <c r="BW5" s="3563"/>
      <c r="BX5" s="3563"/>
      <c r="BY5" s="3563"/>
      <c r="BZ5" s="3563"/>
      <c r="CA5" s="3563"/>
      <c r="CB5" s="3563"/>
      <c r="CC5" s="3563"/>
      <c r="CD5" s="3563"/>
      <c r="CE5" s="3563"/>
      <c r="CF5" s="3563"/>
      <c r="CG5" s="3563"/>
      <c r="CH5" s="3563"/>
      <c r="CI5" s="3563"/>
      <c r="CJ5" s="3563"/>
      <c r="CK5" s="3563"/>
      <c r="CL5" s="3563"/>
      <c r="CM5" s="3563"/>
      <c r="CN5" s="3563"/>
      <c r="CO5" s="3563"/>
      <c r="CP5" s="3563"/>
      <c r="CQ5" s="3563"/>
      <c r="CR5" s="3563"/>
      <c r="CS5" s="3563"/>
      <c r="CT5" s="3563"/>
      <c r="CU5" s="3563"/>
      <c r="CV5" s="3563"/>
      <c r="CW5" s="3563"/>
      <c r="CX5" s="3563"/>
      <c r="CY5" s="3563"/>
      <c r="CZ5" s="3563"/>
      <c r="DA5" s="3563"/>
      <c r="DB5" s="3563"/>
      <c r="DC5" s="3563"/>
      <c r="DD5" s="3563"/>
      <c r="DE5" s="3563"/>
      <c r="DF5" s="3563"/>
      <c r="DG5" s="3563"/>
      <c r="DH5" s="3563"/>
      <c r="DI5" s="3563"/>
      <c r="DJ5" s="3563"/>
      <c r="DK5" s="3563"/>
      <c r="DL5" s="3563"/>
      <c r="DM5" s="3563"/>
      <c r="DN5" s="3563"/>
      <c r="DO5" s="3563"/>
      <c r="DP5" s="3563"/>
      <c r="DQ5" s="3563"/>
      <c r="DR5" s="3563"/>
      <c r="DS5" s="3563"/>
      <c r="DT5" s="3563"/>
      <c r="DU5" s="3563"/>
      <c r="DV5" s="3563"/>
      <c r="DW5" s="3563"/>
      <c r="DX5" s="3563"/>
      <c r="DY5" s="3563"/>
      <c r="DZ5" s="3563"/>
      <c r="EA5" s="3563"/>
      <c r="EB5" s="3563"/>
      <c r="EC5" s="3563"/>
      <c r="ED5" s="3563"/>
      <c r="EE5" s="3563"/>
      <c r="EF5" s="3563"/>
      <c r="EG5" s="3563"/>
      <c r="EH5" s="3563"/>
      <c r="EI5" s="3563"/>
      <c r="EJ5" s="3563"/>
      <c r="EK5" s="3563"/>
      <c r="EL5" s="3563"/>
      <c r="EM5" s="3563"/>
      <c r="EN5" s="3563"/>
      <c r="EO5" s="3563"/>
      <c r="EP5" s="3563"/>
      <c r="EQ5" s="3563"/>
      <c r="ER5" s="3563"/>
      <c r="ES5" s="3562"/>
      <c r="ET5" s="3562"/>
      <c r="EU5" s="3562"/>
      <c r="EV5" s="3562"/>
      <c r="EW5" s="3562"/>
      <c r="EX5" s="3562"/>
      <c r="EY5" s="3562"/>
      <c r="EZ5" s="3562"/>
      <c r="FA5" s="3562"/>
      <c r="FB5" s="3562"/>
      <c r="FC5" s="3563"/>
      <c r="FD5" s="3563"/>
      <c r="FE5" s="3563"/>
      <c r="FF5" s="3563"/>
      <c r="FG5" s="3563"/>
      <c r="FH5" s="3562"/>
      <c r="FI5" s="3562"/>
      <c r="FJ5" s="3562"/>
      <c r="FK5" s="3562"/>
      <c r="FL5" s="3562"/>
      <c r="FM5" s="3563"/>
      <c r="FN5" s="3563"/>
      <c r="FO5" s="3563"/>
      <c r="FP5" s="3563"/>
      <c r="FQ5" s="3563"/>
      <c r="FR5" s="3562"/>
      <c r="FS5" s="3562"/>
      <c r="FT5" s="3562"/>
      <c r="FU5" s="3562"/>
      <c r="FV5" s="3562"/>
      <c r="FW5" s="3562"/>
      <c r="FX5" s="3562"/>
      <c r="FY5" s="3562"/>
      <c r="FZ5" s="3562"/>
      <c r="GA5" s="3562"/>
      <c r="GB5" s="3562"/>
      <c r="GC5" s="3562"/>
      <c r="GD5" s="3562"/>
      <c r="GE5" s="3562"/>
      <c r="GF5" s="3562"/>
      <c r="GG5" s="3562"/>
      <c r="GH5" s="3562"/>
      <c r="GI5" s="3562"/>
      <c r="GJ5" s="3562"/>
      <c r="GK5" s="3562"/>
      <c r="GL5" s="3562"/>
      <c r="GM5" s="3562"/>
      <c r="GN5" s="3562"/>
      <c r="GO5" s="3562"/>
      <c r="GP5" s="3562"/>
      <c r="GQ5" s="3562"/>
      <c r="GR5" s="3562"/>
      <c r="GS5" s="3562"/>
      <c r="GT5" s="3562"/>
      <c r="GU5" s="3562"/>
      <c r="GV5" s="3562"/>
      <c r="GW5" s="3562"/>
      <c r="GX5" s="3562"/>
      <c r="GY5" s="3562"/>
      <c r="GZ5" s="3562"/>
      <c r="HA5" s="3562"/>
      <c r="HB5" s="3562"/>
      <c r="HC5" s="3562"/>
      <c r="HD5" s="3562"/>
      <c r="HE5" s="3562"/>
      <c r="HF5" s="3562"/>
      <c r="HG5" s="3562"/>
      <c r="HH5" s="3562"/>
      <c r="HI5" s="3562"/>
      <c r="HJ5" s="3562"/>
      <c r="HK5" s="3562"/>
      <c r="HL5" s="3562"/>
      <c r="HM5" s="3562"/>
      <c r="HN5" s="3562"/>
      <c r="HO5" s="3562"/>
      <c r="HP5" s="3562"/>
      <c r="HQ5" s="3562"/>
      <c r="HR5" s="3562"/>
      <c r="HS5" s="3562"/>
      <c r="HT5" s="3562"/>
      <c r="HU5" s="3562"/>
      <c r="HV5" s="3562"/>
      <c r="HW5" s="3562"/>
      <c r="HX5" s="3562"/>
      <c r="HY5" s="3562"/>
      <c r="HZ5" s="2474"/>
      <c r="IA5" s="2474"/>
      <c r="IB5" s="2474"/>
      <c r="IC5" s="2474"/>
      <c r="ID5" s="2474"/>
      <c r="IE5" s="2474"/>
      <c r="IF5" s="2474"/>
      <c r="IG5" s="2474"/>
      <c r="IH5" s="2474"/>
      <c r="II5" s="2474"/>
      <c r="IJ5" s="2474"/>
      <c r="IK5" s="2474"/>
      <c r="IL5" s="2474"/>
      <c r="IM5" s="2474"/>
      <c r="IN5" s="2474"/>
      <c r="IO5" s="2474"/>
      <c r="IP5" s="2474"/>
      <c r="IQ5" s="2474"/>
      <c r="IR5" s="2474"/>
      <c r="IS5" s="2474"/>
      <c r="IT5" s="2474"/>
      <c r="IU5" s="2474"/>
      <c r="IV5" s="2474"/>
      <c r="IW5" s="2474"/>
      <c r="IX5" s="2474"/>
      <c r="IY5" s="2474"/>
      <c r="IZ5" s="2474"/>
      <c r="JA5" s="2474"/>
      <c r="JB5" s="2474"/>
      <c r="JC5" s="2474"/>
      <c r="JD5" s="2474"/>
      <c r="JE5" s="2474"/>
      <c r="JF5" s="2474"/>
      <c r="JG5" s="2474"/>
      <c r="JH5" s="2474"/>
      <c r="JI5" s="2474"/>
      <c r="JJ5" s="2474"/>
      <c r="JK5" s="2474"/>
      <c r="JL5" s="2474"/>
      <c r="JM5" s="2474"/>
      <c r="JN5" s="2474"/>
      <c r="JO5" s="2474"/>
      <c r="JP5" s="2474"/>
      <c r="JQ5" s="2474"/>
      <c r="JR5" s="2474"/>
      <c r="JS5" s="2474"/>
      <c r="JT5" s="2474"/>
      <c r="JU5" s="2474"/>
      <c r="JV5" s="2474"/>
      <c r="JW5" s="2474"/>
      <c r="JX5" s="2474"/>
      <c r="JY5" s="2474"/>
      <c r="JZ5" s="2474"/>
      <c r="KA5" s="2474"/>
      <c r="KB5" s="2474"/>
      <c r="KC5" s="2474"/>
      <c r="KD5" s="2474"/>
      <c r="KE5" s="2474"/>
      <c r="KF5" s="2474"/>
      <c r="KG5" s="2474"/>
      <c r="KH5" s="2474"/>
      <c r="KI5" s="2474"/>
      <c r="KJ5" s="2474"/>
      <c r="KK5" s="2474"/>
      <c r="KL5" s="2474"/>
      <c r="KM5" s="2474"/>
      <c r="KN5" s="2474"/>
      <c r="KO5" s="2474"/>
      <c r="KP5" s="2474"/>
      <c r="KQ5" s="2474"/>
      <c r="KR5" s="2474"/>
      <c r="KS5" s="2474"/>
      <c r="KT5" s="2474"/>
      <c r="KU5" s="2474"/>
      <c r="KV5" s="2474"/>
      <c r="KW5" s="508"/>
      <c r="KX5" s="508"/>
      <c r="KY5" s="508"/>
      <c r="KZ5" s="508"/>
      <c r="LA5" s="508"/>
      <c r="LB5" s="508"/>
      <c r="LC5" s="508"/>
      <c r="LD5" s="508"/>
      <c r="LE5" s="508"/>
      <c r="LF5" s="508"/>
      <c r="LG5" s="508"/>
      <c r="LH5" s="508"/>
      <c r="LI5" s="508"/>
      <c r="LJ5" s="508"/>
      <c r="LK5" s="508"/>
      <c r="LL5" s="508"/>
      <c r="LM5" s="508"/>
      <c r="LN5" s="508"/>
      <c r="LO5" s="508"/>
      <c r="LP5" s="508"/>
      <c r="LQ5" s="3562"/>
      <c r="LR5" s="3562"/>
      <c r="LS5" s="3562"/>
      <c r="LT5" s="3562"/>
      <c r="LU5" s="3562"/>
      <c r="LV5" s="3562"/>
      <c r="LW5" s="3562"/>
      <c r="LX5" s="3562"/>
      <c r="LY5" s="3562"/>
      <c r="LZ5" s="3562"/>
      <c r="MA5" s="3562"/>
      <c r="MB5" s="3562"/>
      <c r="MC5" s="3562"/>
      <c r="MD5" s="3562"/>
      <c r="ME5" s="3562"/>
      <c r="MF5" s="3562"/>
      <c r="MG5" s="3562"/>
      <c r="MH5" s="3562"/>
      <c r="MI5" s="3562"/>
      <c r="MJ5" s="3562"/>
      <c r="MK5" s="3562"/>
      <c r="ML5" s="3562"/>
      <c r="MM5" s="3562"/>
      <c r="MN5" s="3562"/>
      <c r="MO5" s="3562"/>
      <c r="MP5" s="3562"/>
      <c r="MQ5" s="3562"/>
      <c r="MR5" s="3562"/>
      <c r="MS5" s="3562"/>
      <c r="MT5" s="3562"/>
      <c r="MU5" s="3574" t="s">
        <v>3304</v>
      </c>
      <c r="MV5" s="3574" t="s">
        <v>3305</v>
      </c>
      <c r="MW5" s="3574" t="s">
        <v>3306</v>
      </c>
      <c r="MX5" s="3574" t="s">
        <v>3307</v>
      </c>
      <c r="MY5" s="3574" t="s">
        <v>3308</v>
      </c>
      <c r="MZ5" s="3562" t="s">
        <v>3318</v>
      </c>
      <c r="NA5" s="3562" t="s">
        <v>3320</v>
      </c>
      <c r="NB5" s="3562" t="s">
        <v>3321</v>
      </c>
      <c r="NC5" s="3562" t="s">
        <v>3322</v>
      </c>
      <c r="ND5" s="3562" t="s">
        <v>3323</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82"/>
      <c r="B6" s="29" t="s">
        <v>1759</v>
      </c>
      <c r="D6" s="1"/>
      <c r="E6" s="4"/>
      <c r="F6" s="1948" t="s">
        <v>2889</v>
      </c>
      <c r="G6" s="1215" t="s">
        <v>3493</v>
      </c>
      <c r="H6" s="3571" t="s">
        <v>3669</v>
      </c>
      <c r="I6" s="3571"/>
      <c r="J6" s="1215" t="s">
        <v>778</v>
      </c>
      <c r="K6" s="1215" t="s">
        <v>3496</v>
      </c>
      <c r="L6" s="3584"/>
      <c r="M6" s="3584"/>
      <c r="O6" s="2487" t="s">
        <v>6959</v>
      </c>
      <c r="P6" s="2492">
        <v>44287</v>
      </c>
      <c r="Q6" s="3571"/>
      <c r="R6" s="3572" t="s">
        <v>2619</v>
      </c>
      <c r="S6" s="3572"/>
      <c r="X6" s="3563"/>
      <c r="Y6" s="3563"/>
      <c r="Z6" s="3563"/>
      <c r="AA6" s="3563"/>
      <c r="AB6" s="3563"/>
      <c r="AC6" s="3563"/>
      <c r="AD6" s="3563"/>
      <c r="AE6" s="3563"/>
      <c r="AF6" s="3563"/>
      <c r="AG6" s="3563"/>
      <c r="AH6" s="3563"/>
      <c r="AI6" s="3563"/>
      <c r="AJ6" s="3563"/>
      <c r="AK6" s="3563"/>
      <c r="AL6" s="3563"/>
      <c r="AM6" s="3563"/>
      <c r="AN6" s="3563"/>
      <c r="AO6" s="3563"/>
      <c r="AP6" s="3563"/>
      <c r="AQ6" s="3563"/>
      <c r="AR6" s="3563"/>
      <c r="AS6" s="3563"/>
      <c r="AT6" s="3563"/>
      <c r="AU6" s="3563"/>
      <c r="AV6" s="3563"/>
      <c r="AW6" s="3563"/>
      <c r="AX6" s="3563"/>
      <c r="AY6" s="3563"/>
      <c r="AZ6" s="3563"/>
      <c r="BA6" s="3563"/>
      <c r="BB6" s="3563"/>
      <c r="BC6" s="3563"/>
      <c r="BD6" s="3563"/>
      <c r="BE6" s="3563"/>
      <c r="BF6" s="3563"/>
      <c r="BG6" s="3563"/>
      <c r="BH6" s="3563"/>
      <c r="BI6" s="3563"/>
      <c r="BJ6" s="3563"/>
      <c r="BK6" s="3563"/>
      <c r="BL6" s="3563"/>
      <c r="BM6" s="3563"/>
      <c r="BN6" s="3563"/>
      <c r="BO6" s="3563"/>
      <c r="BP6" s="3563"/>
      <c r="BQ6" s="3563"/>
      <c r="BR6" s="3563"/>
      <c r="BS6" s="3563"/>
      <c r="BT6" s="3563"/>
      <c r="BU6" s="3563"/>
      <c r="BV6" s="3563"/>
      <c r="BW6" s="3563"/>
      <c r="BX6" s="3563"/>
      <c r="BY6" s="3563"/>
      <c r="BZ6" s="3563"/>
      <c r="CA6" s="3563"/>
      <c r="CB6" s="3563"/>
      <c r="CC6" s="3563"/>
      <c r="CD6" s="3563"/>
      <c r="CE6" s="3563"/>
      <c r="CF6" s="3563"/>
      <c r="CG6" s="3563"/>
      <c r="CH6" s="3563"/>
      <c r="CI6" s="3563"/>
      <c r="CJ6" s="3563"/>
      <c r="CK6" s="3563"/>
      <c r="CL6" s="3563"/>
      <c r="CM6" s="3563"/>
      <c r="CN6" s="3563"/>
      <c r="CO6" s="3563"/>
      <c r="CP6" s="3563"/>
      <c r="CQ6" s="3563"/>
      <c r="CR6" s="3563"/>
      <c r="CS6" s="3563"/>
      <c r="CT6" s="3563"/>
      <c r="CU6" s="3563"/>
      <c r="CV6" s="3563"/>
      <c r="CW6" s="3563"/>
      <c r="CX6" s="3563"/>
      <c r="CY6" s="3563"/>
      <c r="CZ6" s="3563"/>
      <c r="DA6" s="3563"/>
      <c r="DB6" s="3563"/>
      <c r="DC6" s="3563"/>
      <c r="DD6" s="3563"/>
      <c r="DE6" s="3563"/>
      <c r="DF6" s="3563"/>
      <c r="DG6" s="3563"/>
      <c r="DH6" s="3563"/>
      <c r="DI6" s="3563"/>
      <c r="DJ6" s="3563"/>
      <c r="DK6" s="3563"/>
      <c r="DL6" s="3563"/>
      <c r="DM6" s="3563"/>
      <c r="DN6" s="3563"/>
      <c r="DO6" s="3563"/>
      <c r="DP6" s="3563"/>
      <c r="DQ6" s="3563"/>
      <c r="DR6" s="3563"/>
      <c r="DS6" s="3563"/>
      <c r="DT6" s="3563"/>
      <c r="DU6" s="3563"/>
      <c r="DV6" s="3563"/>
      <c r="DW6" s="3563"/>
      <c r="DX6" s="3563"/>
      <c r="DY6" s="3563"/>
      <c r="DZ6" s="3563"/>
      <c r="EA6" s="3563"/>
      <c r="EB6" s="3563"/>
      <c r="EC6" s="3563"/>
      <c r="ED6" s="3563"/>
      <c r="EE6" s="3563"/>
      <c r="EF6" s="3563"/>
      <c r="EG6" s="3563"/>
      <c r="EH6" s="3563"/>
      <c r="EI6" s="3563"/>
      <c r="EJ6" s="3563"/>
      <c r="EK6" s="3563"/>
      <c r="EL6" s="3563"/>
      <c r="EM6" s="3563"/>
      <c r="EN6" s="3563"/>
      <c r="EO6" s="3563"/>
      <c r="EP6" s="3563"/>
      <c r="EQ6" s="3563"/>
      <c r="ER6" s="3563"/>
      <c r="ES6" s="3562"/>
      <c r="ET6" s="3562"/>
      <c r="EU6" s="3562"/>
      <c r="EV6" s="3562"/>
      <c r="EW6" s="3562"/>
      <c r="EX6" s="3562"/>
      <c r="EY6" s="3562"/>
      <c r="EZ6" s="3562"/>
      <c r="FA6" s="3562"/>
      <c r="FB6" s="3562"/>
      <c r="FC6" s="3563"/>
      <c r="FD6" s="3563"/>
      <c r="FE6" s="3563"/>
      <c r="FF6" s="3563"/>
      <c r="FG6" s="3563"/>
      <c r="FH6" s="3562"/>
      <c r="FI6" s="3562"/>
      <c r="FJ6" s="3562"/>
      <c r="FK6" s="3562"/>
      <c r="FL6" s="3562"/>
      <c r="FM6" s="3563"/>
      <c r="FN6" s="3563"/>
      <c r="FO6" s="3563"/>
      <c r="FP6" s="3563"/>
      <c r="FQ6" s="3563"/>
      <c r="FR6" s="3562"/>
      <c r="FS6" s="3562"/>
      <c r="FT6" s="3562"/>
      <c r="FU6" s="3562"/>
      <c r="FV6" s="3562"/>
      <c r="FW6" s="3562"/>
      <c r="FX6" s="3562"/>
      <c r="FY6" s="3562"/>
      <c r="FZ6" s="3562"/>
      <c r="GA6" s="3562"/>
      <c r="GB6" s="3562"/>
      <c r="GC6" s="3562"/>
      <c r="GD6" s="3562"/>
      <c r="GE6" s="3562"/>
      <c r="GF6" s="3562"/>
      <c r="GG6" s="3562"/>
      <c r="GH6" s="3562"/>
      <c r="GI6" s="3562"/>
      <c r="GJ6" s="3562"/>
      <c r="GK6" s="3562"/>
      <c r="GL6" s="3562"/>
      <c r="GM6" s="3562"/>
      <c r="GN6" s="3562"/>
      <c r="GO6" s="3562"/>
      <c r="GP6" s="3562"/>
      <c r="GQ6" s="3562"/>
      <c r="GR6" s="3562"/>
      <c r="GS6" s="3562"/>
      <c r="GT6" s="3562"/>
      <c r="GU6" s="3562"/>
      <c r="GV6" s="3562"/>
      <c r="GW6" s="3562"/>
      <c r="GX6" s="3562"/>
      <c r="GY6" s="3562"/>
      <c r="GZ6" s="3562"/>
      <c r="HA6" s="3562"/>
      <c r="HB6" s="3562"/>
      <c r="HC6" s="3562"/>
      <c r="HD6" s="3562"/>
      <c r="HE6" s="3562"/>
      <c r="HF6" s="3562"/>
      <c r="HG6" s="3562"/>
      <c r="HH6" s="3562"/>
      <c r="HI6" s="3562"/>
      <c r="HJ6" s="3562"/>
      <c r="HK6" s="3562"/>
      <c r="HL6" s="3562"/>
      <c r="HM6" s="3562"/>
      <c r="HN6" s="3562"/>
      <c r="HO6" s="3562"/>
      <c r="HP6" s="3562"/>
      <c r="HQ6" s="3562"/>
      <c r="HR6" s="3562"/>
      <c r="HS6" s="3562"/>
      <c r="HT6" s="3562"/>
      <c r="HU6" s="3562"/>
      <c r="HV6" s="3562"/>
      <c r="HW6" s="3562"/>
      <c r="HX6" s="3562"/>
      <c r="HY6" s="3562"/>
      <c r="HZ6" s="2474"/>
      <c r="IA6" s="2474"/>
      <c r="IB6" s="2474"/>
      <c r="IC6" s="2474"/>
      <c r="ID6" s="2474"/>
      <c r="IE6" s="2474"/>
      <c r="IF6" s="2474"/>
      <c r="IG6" s="2474"/>
      <c r="IH6" s="2474"/>
      <c r="II6" s="2474"/>
      <c r="IJ6" s="2474"/>
      <c r="IK6" s="2474"/>
      <c r="IL6" s="2474"/>
      <c r="IM6" s="2474"/>
      <c r="IN6" s="2474"/>
      <c r="IO6" s="2474"/>
      <c r="IP6" s="2474"/>
      <c r="IQ6" s="2474"/>
      <c r="IR6" s="2474"/>
      <c r="IS6" s="2474"/>
      <c r="IT6" s="2474"/>
      <c r="IU6" s="2474"/>
      <c r="IV6" s="2474"/>
      <c r="IW6" s="2474"/>
      <c r="IX6" s="2474"/>
      <c r="IY6" s="2474"/>
      <c r="IZ6" s="2474"/>
      <c r="JA6" s="2474"/>
      <c r="JB6" s="2474"/>
      <c r="JC6" s="2474"/>
      <c r="JD6" s="2474"/>
      <c r="JE6" s="2474"/>
      <c r="JF6" s="2474"/>
      <c r="JG6" s="2474"/>
      <c r="JH6" s="2474"/>
      <c r="JI6" s="2474"/>
      <c r="JJ6" s="2474"/>
      <c r="JK6" s="2474"/>
      <c r="JL6" s="2474"/>
      <c r="JM6" s="2474"/>
      <c r="JN6" s="2474"/>
      <c r="JO6" s="2474"/>
      <c r="JP6" s="2474"/>
      <c r="JQ6" s="2474"/>
      <c r="JR6" s="2474"/>
      <c r="JS6" s="2474"/>
      <c r="JT6" s="2474"/>
      <c r="JU6" s="2474"/>
      <c r="JV6" s="2474"/>
      <c r="JW6" s="2474"/>
      <c r="JX6" s="2474"/>
      <c r="JY6" s="2474"/>
      <c r="JZ6" s="2474"/>
      <c r="KA6" s="2474"/>
      <c r="KB6" s="2474"/>
      <c r="KC6" s="2474"/>
      <c r="KD6" s="2474"/>
      <c r="KE6" s="2474"/>
      <c r="KF6" s="2474"/>
      <c r="KG6" s="2474"/>
      <c r="KH6" s="2474"/>
      <c r="KI6" s="2474"/>
      <c r="KJ6" s="2474"/>
      <c r="KK6" s="2474"/>
      <c r="KL6" s="2474"/>
      <c r="KM6" s="2474"/>
      <c r="KN6" s="2474"/>
      <c r="KO6" s="2474"/>
      <c r="KP6" s="2474"/>
      <c r="KQ6" s="2474"/>
      <c r="KR6" s="2474"/>
      <c r="KS6" s="2474"/>
      <c r="KT6" s="2474"/>
      <c r="KU6" s="2474"/>
      <c r="KV6" s="2474"/>
      <c r="KW6" s="508"/>
      <c r="KX6" s="508"/>
      <c r="KY6" s="508"/>
      <c r="KZ6" s="508"/>
      <c r="LA6" s="508"/>
      <c r="LB6" s="508"/>
      <c r="LC6" s="508"/>
      <c r="LD6" s="508"/>
      <c r="LE6" s="508"/>
      <c r="LF6" s="508"/>
      <c r="LG6" s="508"/>
      <c r="LH6" s="508"/>
      <c r="LI6" s="508"/>
      <c r="LJ6" s="508"/>
      <c r="LK6" s="508"/>
      <c r="LL6" s="508"/>
      <c r="LM6" s="508"/>
      <c r="LN6" s="508"/>
      <c r="LO6" s="508"/>
      <c r="LP6" s="508"/>
      <c r="LQ6" s="3562"/>
      <c r="LR6" s="3562"/>
      <c r="LS6" s="3562"/>
      <c r="LT6" s="3562"/>
      <c r="LU6" s="3562"/>
      <c r="LV6" s="3562"/>
      <c r="LW6" s="3562"/>
      <c r="LX6" s="3562"/>
      <c r="LY6" s="3562"/>
      <c r="LZ6" s="3562"/>
      <c r="MA6" s="3562"/>
      <c r="MB6" s="3562"/>
      <c r="MC6" s="3562"/>
      <c r="MD6" s="3562"/>
      <c r="ME6" s="3562"/>
      <c r="MF6" s="3562"/>
      <c r="MG6" s="3562"/>
      <c r="MH6" s="3562"/>
      <c r="MI6" s="3562"/>
      <c r="MJ6" s="3562"/>
      <c r="MK6" s="3562"/>
      <c r="ML6" s="3562"/>
      <c r="MM6" s="3562"/>
      <c r="MN6" s="3562"/>
      <c r="MO6" s="3562"/>
      <c r="MP6" s="3562"/>
      <c r="MQ6" s="3562"/>
      <c r="MR6" s="3562"/>
      <c r="MS6" s="3562"/>
      <c r="MT6" s="3562"/>
      <c r="MU6" s="3574"/>
      <c r="MV6" s="3574"/>
      <c r="MW6" s="3574"/>
      <c r="MX6" s="3574"/>
      <c r="MY6" s="3574"/>
      <c r="MZ6" s="3562"/>
      <c r="NA6" s="3562"/>
      <c r="NB6" s="3562"/>
      <c r="NC6" s="3562"/>
      <c r="ND6" s="3562"/>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82"/>
      <c r="B7" s="1216" t="s">
        <v>4214</v>
      </c>
      <c r="C7" s="1"/>
      <c r="D7" s="4"/>
      <c r="E7" s="1"/>
      <c r="F7" s="1"/>
      <c r="G7" s="1215" t="s">
        <v>3494</v>
      </c>
      <c r="H7" s="3571"/>
      <c r="I7" s="3571"/>
      <c r="J7" s="1215" t="s">
        <v>779</v>
      </c>
      <c r="K7" s="1215" t="s">
        <v>3497</v>
      </c>
      <c r="L7" s="962"/>
      <c r="M7" s="962"/>
      <c r="O7" s="2487" t="s">
        <v>6960</v>
      </c>
      <c r="P7" s="2491" t="s">
        <v>7109</v>
      </c>
      <c r="Q7" s="3571"/>
      <c r="R7" s="963"/>
      <c r="S7" s="967" t="s">
        <v>2616</v>
      </c>
      <c r="T7" s="475"/>
      <c r="W7" s="476"/>
      <c r="X7" s="3563"/>
      <c r="Y7" s="3563"/>
      <c r="Z7" s="3563"/>
      <c r="AA7" s="3563"/>
      <c r="AB7" s="3563"/>
      <c r="AC7" s="3563"/>
      <c r="AD7" s="3563"/>
      <c r="AE7" s="3563"/>
      <c r="AF7" s="3563"/>
      <c r="AG7" s="3563"/>
      <c r="AH7" s="3563"/>
      <c r="AI7" s="3563"/>
      <c r="AJ7" s="3563"/>
      <c r="AK7" s="3563"/>
      <c r="AL7" s="3563"/>
      <c r="AM7" s="3563"/>
      <c r="AN7" s="3563"/>
      <c r="AO7" s="3563"/>
      <c r="AP7" s="3563"/>
      <c r="AQ7" s="3563"/>
      <c r="AR7" s="3563"/>
      <c r="AS7" s="3563"/>
      <c r="AT7" s="3563"/>
      <c r="AU7" s="3563"/>
      <c r="AV7" s="3563"/>
      <c r="AW7" s="3563"/>
      <c r="AX7" s="3563"/>
      <c r="AY7" s="3563"/>
      <c r="AZ7" s="3563"/>
      <c r="BA7" s="3563"/>
      <c r="BB7" s="3563"/>
      <c r="BC7" s="3563"/>
      <c r="BD7" s="3563"/>
      <c r="BE7" s="3563"/>
      <c r="BF7" s="3563"/>
      <c r="BG7" s="3563"/>
      <c r="BH7" s="3563"/>
      <c r="BI7" s="3563"/>
      <c r="BJ7" s="3563"/>
      <c r="BK7" s="3563"/>
      <c r="BL7" s="3563"/>
      <c r="BM7" s="3563"/>
      <c r="BN7" s="3563"/>
      <c r="BO7" s="3563"/>
      <c r="BP7" s="3563"/>
      <c r="BQ7" s="3563"/>
      <c r="BR7" s="3563"/>
      <c r="BS7" s="3563"/>
      <c r="BT7" s="3563"/>
      <c r="BU7" s="3563"/>
      <c r="BV7" s="3563"/>
      <c r="BW7" s="3563"/>
      <c r="BX7" s="3563"/>
      <c r="BY7" s="3563"/>
      <c r="BZ7" s="3563"/>
      <c r="CA7" s="3563"/>
      <c r="CB7" s="3563"/>
      <c r="CC7" s="3563"/>
      <c r="CD7" s="3563"/>
      <c r="CE7" s="3563"/>
      <c r="CF7" s="3563"/>
      <c r="CG7" s="3563"/>
      <c r="CH7" s="3563"/>
      <c r="CI7" s="3563"/>
      <c r="CJ7" s="3563"/>
      <c r="CK7" s="3563"/>
      <c r="CL7" s="3563"/>
      <c r="CM7" s="3563"/>
      <c r="CN7" s="3563"/>
      <c r="CO7" s="3563"/>
      <c r="CP7" s="3563"/>
      <c r="CQ7" s="3563"/>
      <c r="CR7" s="3563"/>
      <c r="CS7" s="3563"/>
      <c r="CT7" s="3563"/>
      <c r="CU7" s="3563"/>
      <c r="CV7" s="3563"/>
      <c r="CW7" s="3563"/>
      <c r="CX7" s="3563"/>
      <c r="CY7" s="3563"/>
      <c r="CZ7" s="3563"/>
      <c r="DA7" s="3563"/>
      <c r="DB7" s="3563"/>
      <c r="DC7" s="3563"/>
      <c r="DD7" s="3563"/>
      <c r="DE7" s="3563"/>
      <c r="DF7" s="3563"/>
      <c r="DG7" s="3563"/>
      <c r="DH7" s="3563"/>
      <c r="DI7" s="3563"/>
      <c r="DJ7" s="3563"/>
      <c r="DK7" s="3563"/>
      <c r="DL7" s="3563"/>
      <c r="DM7" s="3563"/>
      <c r="DN7" s="3563"/>
      <c r="DO7" s="3563"/>
      <c r="DP7" s="3563"/>
      <c r="DQ7" s="3563"/>
      <c r="DR7" s="3563"/>
      <c r="DS7" s="3563"/>
      <c r="DT7" s="3563"/>
      <c r="DU7" s="3563"/>
      <c r="DV7" s="3563"/>
      <c r="DW7" s="3563"/>
      <c r="DX7" s="3563"/>
      <c r="DY7" s="3563"/>
      <c r="DZ7" s="3563"/>
      <c r="EA7" s="3563"/>
      <c r="EB7" s="3563"/>
      <c r="EC7" s="3563"/>
      <c r="ED7" s="3563"/>
      <c r="EE7" s="3563"/>
      <c r="EF7" s="3563"/>
      <c r="EG7" s="3563"/>
      <c r="EH7" s="3563"/>
      <c r="EI7" s="3563"/>
      <c r="EJ7" s="3563"/>
      <c r="EK7" s="3563"/>
      <c r="EL7" s="3563"/>
      <c r="EM7" s="3563"/>
      <c r="EN7" s="3563"/>
      <c r="EO7" s="3563"/>
      <c r="EP7" s="3563"/>
      <c r="EQ7" s="3563"/>
      <c r="ER7" s="3563"/>
      <c r="ES7" s="3562"/>
      <c r="ET7" s="3562"/>
      <c r="EU7" s="3562"/>
      <c r="EV7" s="3562"/>
      <c r="EW7" s="3562"/>
      <c r="EX7" s="3562"/>
      <c r="EY7" s="3562"/>
      <c r="EZ7" s="3562"/>
      <c r="FA7" s="3562"/>
      <c r="FB7" s="3562"/>
      <c r="FC7" s="3563"/>
      <c r="FD7" s="3563"/>
      <c r="FE7" s="3563"/>
      <c r="FF7" s="3563"/>
      <c r="FG7" s="3563"/>
      <c r="FH7" s="3562"/>
      <c r="FI7" s="3562"/>
      <c r="FJ7" s="3562"/>
      <c r="FK7" s="3562"/>
      <c r="FL7" s="3562"/>
      <c r="FM7" s="3563"/>
      <c r="FN7" s="3563"/>
      <c r="FO7" s="3563"/>
      <c r="FP7" s="3563"/>
      <c r="FQ7" s="3563"/>
      <c r="FR7" s="3562"/>
      <c r="FS7" s="3562"/>
      <c r="FT7" s="3562"/>
      <c r="FU7" s="3562"/>
      <c r="FV7" s="3562"/>
      <c r="FW7" s="3562"/>
      <c r="FX7" s="3562"/>
      <c r="FY7" s="3562"/>
      <c r="FZ7" s="3562"/>
      <c r="GA7" s="3562"/>
      <c r="GB7" s="3562"/>
      <c r="GC7" s="3562"/>
      <c r="GD7" s="3562"/>
      <c r="GE7" s="3562"/>
      <c r="GF7" s="3562"/>
      <c r="GG7" s="3562"/>
      <c r="GH7" s="3562"/>
      <c r="GI7" s="3562"/>
      <c r="GJ7" s="3562"/>
      <c r="GK7" s="3562"/>
      <c r="GL7" s="3562"/>
      <c r="GM7" s="3562"/>
      <c r="GN7" s="3562"/>
      <c r="GO7" s="3562"/>
      <c r="GP7" s="3562"/>
      <c r="GQ7" s="3562"/>
      <c r="GR7" s="3562"/>
      <c r="GS7" s="3562"/>
      <c r="GT7" s="3562"/>
      <c r="GU7" s="3562"/>
      <c r="GV7" s="3562"/>
      <c r="GW7" s="3562"/>
      <c r="GX7" s="3562"/>
      <c r="GY7" s="3562"/>
      <c r="GZ7" s="3562"/>
      <c r="HA7" s="3562"/>
      <c r="HB7" s="3562"/>
      <c r="HC7" s="3562"/>
      <c r="HD7" s="3562"/>
      <c r="HE7" s="3562"/>
      <c r="HF7" s="3562"/>
      <c r="HG7" s="3562"/>
      <c r="HH7" s="3562"/>
      <c r="HI7" s="3562"/>
      <c r="HJ7" s="3562"/>
      <c r="HK7" s="3562"/>
      <c r="HL7" s="3562"/>
      <c r="HM7" s="3562"/>
      <c r="HN7" s="3562"/>
      <c r="HO7" s="3562"/>
      <c r="HP7" s="3562"/>
      <c r="HQ7" s="3562"/>
      <c r="HR7" s="3562"/>
      <c r="HS7" s="3562"/>
      <c r="HT7" s="3562"/>
      <c r="HU7" s="3562"/>
      <c r="HV7" s="3562"/>
      <c r="HW7" s="3562"/>
      <c r="HX7" s="3562"/>
      <c r="HY7" s="3562"/>
      <c r="HZ7" s="2474"/>
      <c r="IA7" s="2474"/>
      <c r="IB7" s="2474"/>
      <c r="IC7" s="2474"/>
      <c r="ID7" s="2474"/>
      <c r="IE7" s="2474"/>
      <c r="IF7" s="2474"/>
      <c r="IG7" s="2474"/>
      <c r="IH7" s="2474"/>
      <c r="II7" s="2474"/>
      <c r="IJ7" s="2474"/>
      <c r="IK7" s="2474"/>
      <c r="IL7" s="2474"/>
      <c r="IM7" s="2474"/>
      <c r="IN7" s="2474"/>
      <c r="IO7" s="2474"/>
      <c r="IP7" s="2474"/>
      <c r="IQ7" s="2474"/>
      <c r="IR7" s="2474"/>
      <c r="IS7" s="2474"/>
      <c r="IT7" s="2474"/>
      <c r="IU7" s="2474"/>
      <c r="IV7" s="2474"/>
      <c r="IW7" s="2474"/>
      <c r="IX7" s="2474"/>
      <c r="IY7" s="2478" t="s">
        <v>551</v>
      </c>
      <c r="IZ7" s="2478" t="s">
        <v>2377</v>
      </c>
      <c r="JA7" s="2478" t="s">
        <v>2378</v>
      </c>
      <c r="JB7" s="2478" t="s">
        <v>2379</v>
      </c>
      <c r="JC7" s="2478" t="s">
        <v>2380</v>
      </c>
      <c r="JD7" s="2478" t="s">
        <v>551</v>
      </c>
      <c r="JE7" s="2478" t="s">
        <v>2377</v>
      </c>
      <c r="JF7" s="2478" t="s">
        <v>2378</v>
      </c>
      <c r="JG7" s="2478" t="s">
        <v>2379</v>
      </c>
      <c r="JH7" s="2478" t="s">
        <v>2380</v>
      </c>
      <c r="JI7" s="2478" t="s">
        <v>551</v>
      </c>
      <c r="JJ7" s="2478" t="s">
        <v>2377</v>
      </c>
      <c r="JK7" s="2478" t="s">
        <v>2378</v>
      </c>
      <c r="JL7" s="2478" t="s">
        <v>2379</v>
      </c>
      <c r="JM7" s="2478" t="s">
        <v>2380</v>
      </c>
      <c r="JN7" s="2478" t="s">
        <v>551</v>
      </c>
      <c r="JO7" s="2478" t="s">
        <v>2377</v>
      </c>
      <c r="JP7" s="2478" t="s">
        <v>2378</v>
      </c>
      <c r="JQ7" s="2478" t="s">
        <v>2379</v>
      </c>
      <c r="JR7" s="2478" t="s">
        <v>2380</v>
      </c>
      <c r="JS7" s="2478" t="s">
        <v>551</v>
      </c>
      <c r="JT7" s="2478" t="s">
        <v>2377</v>
      </c>
      <c r="JU7" s="2478" t="s">
        <v>2378</v>
      </c>
      <c r="JV7" s="2478" t="s">
        <v>2379</v>
      </c>
      <c r="JW7" s="2478" t="s">
        <v>2380</v>
      </c>
      <c r="JX7" s="2478" t="s">
        <v>551</v>
      </c>
      <c r="JY7" s="2478" t="s">
        <v>2377</v>
      </c>
      <c r="JZ7" s="2478" t="s">
        <v>2378</v>
      </c>
      <c r="KA7" s="2478" t="s">
        <v>2379</v>
      </c>
      <c r="KB7" s="2478" t="s">
        <v>2380</v>
      </c>
      <c r="KC7" s="2478" t="s">
        <v>551</v>
      </c>
      <c r="KD7" s="2478" t="s">
        <v>2377</v>
      </c>
      <c r="KE7" s="2478" t="s">
        <v>2378</v>
      </c>
      <c r="KF7" s="2478" t="s">
        <v>2379</v>
      </c>
      <c r="KG7" s="2478" t="s">
        <v>2380</v>
      </c>
      <c r="KH7" s="2478" t="s">
        <v>551</v>
      </c>
      <c r="KI7" s="2478" t="s">
        <v>2377</v>
      </c>
      <c r="KJ7" s="2478" t="s">
        <v>2378</v>
      </c>
      <c r="KK7" s="2478" t="s">
        <v>2379</v>
      </c>
      <c r="KL7" s="2478" t="s">
        <v>2380</v>
      </c>
      <c r="KM7" s="2478" t="s">
        <v>551</v>
      </c>
      <c r="KN7" s="2478" t="s">
        <v>2377</v>
      </c>
      <c r="KO7" s="2478" t="s">
        <v>2378</v>
      </c>
      <c r="KP7" s="2478" t="s">
        <v>2379</v>
      </c>
      <c r="KQ7" s="2478" t="s">
        <v>2380</v>
      </c>
      <c r="KR7" s="2478" t="s">
        <v>551</v>
      </c>
      <c r="KS7" s="2478" t="s">
        <v>2377</v>
      </c>
      <c r="KT7" s="2478" t="s">
        <v>2378</v>
      </c>
      <c r="KU7" s="2478" t="s">
        <v>2379</v>
      </c>
      <c r="KV7" s="2478" t="s">
        <v>2380</v>
      </c>
      <c r="KW7" s="2478" t="s">
        <v>551</v>
      </c>
      <c r="KX7" s="2478" t="s">
        <v>2377</v>
      </c>
      <c r="KY7" s="2478" t="s">
        <v>2378</v>
      </c>
      <c r="KZ7" s="2478" t="s">
        <v>2379</v>
      </c>
      <c r="LA7" s="2478" t="s">
        <v>2380</v>
      </c>
      <c r="LB7" s="2478" t="s">
        <v>551</v>
      </c>
      <c r="LC7" s="2478" t="s">
        <v>2377</v>
      </c>
      <c r="LD7" s="2478" t="s">
        <v>2378</v>
      </c>
      <c r="LE7" s="2478" t="s">
        <v>2379</v>
      </c>
      <c r="LF7" s="2478" t="s">
        <v>2380</v>
      </c>
      <c r="LG7" s="2478" t="s">
        <v>551</v>
      </c>
      <c r="LH7" s="2478" t="s">
        <v>2377</v>
      </c>
      <c r="LI7" s="2478" t="s">
        <v>2378</v>
      </c>
      <c r="LJ7" s="2478" t="s">
        <v>2379</v>
      </c>
      <c r="LK7" s="2478" t="s">
        <v>2380</v>
      </c>
      <c r="LL7" s="2478" t="s">
        <v>551</v>
      </c>
      <c r="LM7" s="2478" t="s">
        <v>2377</v>
      </c>
      <c r="LN7" s="2478" t="s">
        <v>2378</v>
      </c>
      <c r="LO7" s="2478" t="s">
        <v>2379</v>
      </c>
      <c r="LP7" s="2478" t="s">
        <v>2380</v>
      </c>
      <c r="LQ7" s="3562"/>
      <c r="LR7" s="3562"/>
      <c r="LS7" s="3562"/>
      <c r="LT7" s="3562"/>
      <c r="LU7" s="3562"/>
      <c r="LV7" s="3562"/>
      <c r="LW7" s="3562"/>
      <c r="LX7" s="3562"/>
      <c r="LY7" s="3562"/>
      <c r="LZ7" s="3562"/>
      <c r="MA7" s="3562"/>
      <c r="MB7" s="3562"/>
      <c r="MC7" s="3562"/>
      <c r="MD7" s="3562"/>
      <c r="ME7" s="3562"/>
      <c r="MF7" s="3562"/>
      <c r="MG7" s="3562"/>
      <c r="MH7" s="3562"/>
      <c r="MI7" s="3562"/>
      <c r="MJ7" s="3562"/>
      <c r="MK7" s="3562"/>
      <c r="ML7" s="3562"/>
      <c r="MM7" s="3562"/>
      <c r="MN7" s="3562"/>
      <c r="MO7" s="3562"/>
      <c r="MP7" s="3562"/>
      <c r="MQ7" s="3562"/>
      <c r="MR7" s="3562"/>
      <c r="MS7" s="3562"/>
      <c r="MT7" s="3562"/>
      <c r="MU7" s="3574"/>
      <c r="MV7" s="3574"/>
      <c r="MW7" s="3574"/>
      <c r="MX7" s="3574"/>
      <c r="MY7" s="3574"/>
      <c r="MZ7" s="3562"/>
      <c r="NA7" s="3562"/>
      <c r="NB7" s="3562"/>
      <c r="NC7" s="3562"/>
      <c r="ND7" s="3562"/>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82"/>
      <c r="B8" s="1683" t="s">
        <v>4215</v>
      </c>
      <c r="C8" s="1215" t="s">
        <v>168</v>
      </c>
      <c r="D8" s="1215" t="s">
        <v>530</v>
      </c>
      <c r="E8" s="1215" t="s">
        <v>1445</v>
      </c>
      <c r="F8" s="1215" t="s">
        <v>1445</v>
      </c>
      <c r="G8" s="1215" t="s">
        <v>1447</v>
      </c>
      <c r="H8" s="1215" t="s">
        <v>3494</v>
      </c>
      <c r="I8" s="3571"/>
      <c r="J8" s="3575" t="s">
        <v>4483</v>
      </c>
      <c r="K8" s="1215" t="s">
        <v>2344</v>
      </c>
      <c r="L8" s="3573" t="s">
        <v>142</v>
      </c>
      <c r="M8" s="3573"/>
      <c r="N8" s="1215" t="s">
        <v>2307</v>
      </c>
      <c r="O8" s="1215" t="s">
        <v>4796</v>
      </c>
      <c r="P8" s="1215" t="s">
        <v>377</v>
      </c>
      <c r="Q8" s="3571"/>
      <c r="R8" s="1215" t="s">
        <v>2615</v>
      </c>
      <c r="S8" s="1215" t="s">
        <v>2617</v>
      </c>
      <c r="T8" s="477"/>
      <c r="W8" s="478"/>
      <c r="X8" s="3563"/>
      <c r="Y8" s="3563"/>
      <c r="Z8" s="3563"/>
      <c r="AA8" s="3563"/>
      <c r="AB8" s="3563"/>
      <c r="AC8" s="3563"/>
      <c r="AD8" s="3563"/>
      <c r="AE8" s="3563"/>
      <c r="AF8" s="3563"/>
      <c r="AG8" s="3563"/>
      <c r="AH8" s="3563"/>
      <c r="AI8" s="3563"/>
      <c r="AJ8" s="3563"/>
      <c r="AK8" s="3563"/>
      <c r="AL8" s="3563"/>
      <c r="AM8" s="3563"/>
      <c r="AN8" s="3563"/>
      <c r="AO8" s="3563"/>
      <c r="AP8" s="3563"/>
      <c r="AQ8" s="3563"/>
      <c r="AR8" s="3563"/>
      <c r="AS8" s="3563"/>
      <c r="AT8" s="3563"/>
      <c r="AU8" s="3563"/>
      <c r="AV8" s="3563"/>
      <c r="AW8" s="3563"/>
      <c r="AX8" s="3563"/>
      <c r="AY8" s="3563"/>
      <c r="AZ8" s="3563"/>
      <c r="BA8" s="3563"/>
      <c r="BB8" s="3563"/>
      <c r="BC8" s="3563"/>
      <c r="BD8" s="3563"/>
      <c r="BE8" s="3563"/>
      <c r="BF8" s="3563"/>
      <c r="BG8" s="3563"/>
      <c r="BH8" s="3563"/>
      <c r="BI8" s="3563"/>
      <c r="BJ8" s="3563"/>
      <c r="BK8" s="3563"/>
      <c r="BL8" s="3563"/>
      <c r="BM8" s="3563"/>
      <c r="BN8" s="3563"/>
      <c r="BO8" s="3563"/>
      <c r="BP8" s="3563"/>
      <c r="BQ8" s="3563"/>
      <c r="BR8" s="3563"/>
      <c r="BS8" s="3563"/>
      <c r="BT8" s="3563"/>
      <c r="BU8" s="3563"/>
      <c r="BV8" s="3563"/>
      <c r="BW8" s="3563"/>
      <c r="BX8" s="3563"/>
      <c r="BY8" s="3563"/>
      <c r="BZ8" s="3563"/>
      <c r="CA8" s="3563"/>
      <c r="CB8" s="3563"/>
      <c r="CC8" s="3563"/>
      <c r="CD8" s="3563"/>
      <c r="CE8" s="3563"/>
      <c r="CF8" s="3563"/>
      <c r="CG8" s="3563"/>
      <c r="CH8" s="3563"/>
      <c r="CI8" s="3563"/>
      <c r="CJ8" s="3563"/>
      <c r="CK8" s="3563"/>
      <c r="CL8" s="3563"/>
      <c r="CM8" s="3563"/>
      <c r="CN8" s="3563"/>
      <c r="CO8" s="3563"/>
      <c r="CP8" s="3563"/>
      <c r="CQ8" s="3563"/>
      <c r="CR8" s="3563"/>
      <c r="CS8" s="3563"/>
      <c r="CT8" s="3563"/>
      <c r="CU8" s="3563"/>
      <c r="CV8" s="3563"/>
      <c r="CW8" s="3563"/>
      <c r="CX8" s="3563"/>
      <c r="CY8" s="3563"/>
      <c r="CZ8" s="3563"/>
      <c r="DA8" s="3563"/>
      <c r="DB8" s="3563"/>
      <c r="DC8" s="3563"/>
      <c r="DD8" s="3563"/>
      <c r="DE8" s="3563"/>
      <c r="DF8" s="3563"/>
      <c r="DG8" s="3563"/>
      <c r="DH8" s="3563"/>
      <c r="DI8" s="3563"/>
      <c r="DJ8" s="3563"/>
      <c r="DK8" s="3563"/>
      <c r="DL8" s="3563"/>
      <c r="DM8" s="3563"/>
      <c r="DN8" s="3563"/>
      <c r="DO8" s="3563"/>
      <c r="DP8" s="3563"/>
      <c r="DQ8" s="3563"/>
      <c r="DR8" s="3563"/>
      <c r="DS8" s="3563"/>
      <c r="DT8" s="3563"/>
      <c r="DU8" s="3563"/>
      <c r="DV8" s="3563"/>
      <c r="DW8" s="3563"/>
      <c r="DX8" s="3563"/>
      <c r="DY8" s="3563"/>
      <c r="DZ8" s="3563"/>
      <c r="EA8" s="3563"/>
      <c r="EB8" s="3563"/>
      <c r="EC8" s="3563"/>
      <c r="ED8" s="3563"/>
      <c r="EE8" s="3563"/>
      <c r="EF8" s="3563"/>
      <c r="EG8" s="3563"/>
      <c r="EH8" s="3563"/>
      <c r="EI8" s="3563"/>
      <c r="EJ8" s="3563"/>
      <c r="EK8" s="3563"/>
      <c r="EL8" s="3563"/>
      <c r="EM8" s="3563"/>
      <c r="EN8" s="3563"/>
      <c r="EO8" s="3563"/>
      <c r="EP8" s="3563"/>
      <c r="EQ8" s="3563"/>
      <c r="ER8" s="3563"/>
      <c r="ES8" s="3562"/>
      <c r="ET8" s="3562"/>
      <c r="EU8" s="3562"/>
      <c r="EV8" s="3562"/>
      <c r="EW8" s="3562"/>
      <c r="EX8" s="3562"/>
      <c r="EY8" s="3562"/>
      <c r="EZ8" s="3562"/>
      <c r="FA8" s="3562"/>
      <c r="FB8" s="3562"/>
      <c r="FC8" s="3563"/>
      <c r="FD8" s="3563"/>
      <c r="FE8" s="3563"/>
      <c r="FF8" s="3563"/>
      <c r="FG8" s="3563"/>
      <c r="FH8" s="3562"/>
      <c r="FI8" s="3562"/>
      <c r="FJ8" s="3562"/>
      <c r="FK8" s="3562"/>
      <c r="FL8" s="3562"/>
      <c r="FM8" s="3563"/>
      <c r="FN8" s="3563"/>
      <c r="FO8" s="3563"/>
      <c r="FP8" s="3563"/>
      <c r="FQ8" s="3563"/>
      <c r="FR8" s="3562"/>
      <c r="FS8" s="3562"/>
      <c r="FT8" s="3562"/>
      <c r="FU8" s="3562"/>
      <c r="FV8" s="3562"/>
      <c r="FW8" s="3562"/>
      <c r="FX8" s="3562"/>
      <c r="FY8" s="3562"/>
      <c r="FZ8" s="3562"/>
      <c r="GA8" s="3562"/>
      <c r="GB8" s="3562"/>
      <c r="GC8" s="3562"/>
      <c r="GD8" s="3562"/>
      <c r="GE8" s="3562"/>
      <c r="GF8" s="3562"/>
      <c r="GG8" s="3562"/>
      <c r="GH8" s="3562"/>
      <c r="GI8" s="3562"/>
      <c r="GJ8" s="3562"/>
      <c r="GK8" s="3562"/>
      <c r="GL8" s="3562"/>
      <c r="GM8" s="3562"/>
      <c r="GN8" s="3562"/>
      <c r="GO8" s="3562"/>
      <c r="GP8" s="3562"/>
      <c r="GQ8" s="3562"/>
      <c r="GR8" s="3562"/>
      <c r="GS8" s="3562"/>
      <c r="GT8" s="3562"/>
      <c r="GU8" s="3562"/>
      <c r="GV8" s="3562"/>
      <c r="GW8" s="3562"/>
      <c r="GX8" s="3562"/>
      <c r="GY8" s="3562"/>
      <c r="GZ8" s="3562"/>
      <c r="HA8" s="3562"/>
      <c r="HB8" s="3562"/>
      <c r="HC8" s="3562"/>
      <c r="HD8" s="3562"/>
      <c r="HE8" s="3562"/>
      <c r="HF8" s="3562"/>
      <c r="HG8" s="3562"/>
      <c r="HH8" s="3562"/>
      <c r="HI8" s="3562"/>
      <c r="HJ8" s="3562"/>
      <c r="HK8" s="3562"/>
      <c r="HL8" s="3562"/>
      <c r="HM8" s="3562"/>
      <c r="HN8" s="3562"/>
      <c r="HO8" s="3562"/>
      <c r="HP8" s="3562"/>
      <c r="HQ8" s="3562"/>
      <c r="HR8" s="3562"/>
      <c r="HS8" s="3562"/>
      <c r="HT8" s="3562"/>
      <c r="HU8" s="3562"/>
      <c r="HV8" s="3562"/>
      <c r="HW8" s="3562"/>
      <c r="HX8" s="3562"/>
      <c r="HY8" s="3562"/>
      <c r="HZ8" s="3562" t="s">
        <v>1433</v>
      </c>
      <c r="IA8" s="2478" t="s">
        <v>2377</v>
      </c>
      <c r="IB8" s="2478" t="s">
        <v>2378</v>
      </c>
      <c r="IC8" s="2478" t="s">
        <v>2379</v>
      </c>
      <c r="ID8" s="2478" t="s">
        <v>2380</v>
      </c>
      <c r="IE8" s="3562" t="s">
        <v>2432</v>
      </c>
      <c r="IF8" s="3562" t="s">
        <v>2432</v>
      </c>
      <c r="IG8" s="3562" t="s">
        <v>2432</v>
      </c>
      <c r="IH8" s="3562" t="s">
        <v>2432</v>
      </c>
      <c r="II8" s="3562" t="s">
        <v>2432</v>
      </c>
      <c r="IJ8" s="3562" t="s">
        <v>3260</v>
      </c>
      <c r="IK8" s="3562" t="s">
        <v>3260</v>
      </c>
      <c r="IL8" s="3562" t="s">
        <v>3260</v>
      </c>
      <c r="IM8" s="3562" t="s">
        <v>3260</v>
      </c>
      <c r="IN8" s="3562" t="s">
        <v>3260</v>
      </c>
      <c r="IO8" s="2478" t="s">
        <v>551</v>
      </c>
      <c r="IP8" s="2478" t="s">
        <v>2377</v>
      </c>
      <c r="IQ8" s="2478" t="s">
        <v>2378</v>
      </c>
      <c r="IR8" s="2478" t="s">
        <v>2379</v>
      </c>
      <c r="IS8" s="2478" t="s">
        <v>2380</v>
      </c>
      <c r="IT8" s="2478" t="s">
        <v>551</v>
      </c>
      <c r="IU8" s="2478" t="s">
        <v>2377</v>
      </c>
      <c r="IV8" s="2478" t="s">
        <v>2378</v>
      </c>
      <c r="IW8" s="2478" t="s">
        <v>2379</v>
      </c>
      <c r="IX8" s="2478" t="s">
        <v>2380</v>
      </c>
      <c r="IY8" s="3562" t="s">
        <v>2434</v>
      </c>
      <c r="IZ8" s="3562" t="s">
        <v>2434</v>
      </c>
      <c r="JA8" s="3562" t="s">
        <v>2434</v>
      </c>
      <c r="JB8" s="3562" t="s">
        <v>2434</v>
      </c>
      <c r="JC8" s="3562" t="s">
        <v>2434</v>
      </c>
      <c r="JD8" s="3562" t="s">
        <v>3256</v>
      </c>
      <c r="JE8" s="3562" t="s">
        <v>3256</v>
      </c>
      <c r="JF8" s="3562" t="s">
        <v>3256</v>
      </c>
      <c r="JG8" s="3562" t="s">
        <v>3256</v>
      </c>
      <c r="JH8" s="3562" t="s">
        <v>3256</v>
      </c>
      <c r="JI8" s="3562" t="s">
        <v>352</v>
      </c>
      <c r="JJ8" s="3562" t="s">
        <v>352</v>
      </c>
      <c r="JK8" s="3562" t="s">
        <v>352</v>
      </c>
      <c r="JL8" s="3562" t="s">
        <v>352</v>
      </c>
      <c r="JM8" s="3562" t="s">
        <v>352</v>
      </c>
      <c r="JN8" s="3562" t="s">
        <v>3255</v>
      </c>
      <c r="JO8" s="3562" t="s">
        <v>3255</v>
      </c>
      <c r="JP8" s="3562" t="s">
        <v>3255</v>
      </c>
      <c r="JQ8" s="3562" t="s">
        <v>3255</v>
      </c>
      <c r="JR8" s="3562" t="s">
        <v>3255</v>
      </c>
      <c r="JS8" s="3562" t="s">
        <v>353</v>
      </c>
      <c r="JT8" s="3562" t="s">
        <v>353</v>
      </c>
      <c r="JU8" s="3562" t="s">
        <v>353</v>
      </c>
      <c r="JV8" s="3562" t="s">
        <v>353</v>
      </c>
      <c r="JW8" s="3562" t="s">
        <v>353</v>
      </c>
      <c r="JX8" s="3562" t="s">
        <v>3254</v>
      </c>
      <c r="JY8" s="3562" t="s">
        <v>3254</v>
      </c>
      <c r="JZ8" s="3562" t="s">
        <v>3254</v>
      </c>
      <c r="KA8" s="3562" t="s">
        <v>3254</v>
      </c>
      <c r="KB8" s="3562" t="s">
        <v>3254</v>
      </c>
      <c r="KC8" s="3562" t="s">
        <v>354</v>
      </c>
      <c r="KD8" s="3562" t="s">
        <v>354</v>
      </c>
      <c r="KE8" s="3562" t="s">
        <v>354</v>
      </c>
      <c r="KF8" s="3562" t="s">
        <v>354</v>
      </c>
      <c r="KG8" s="3562" t="s">
        <v>354</v>
      </c>
      <c r="KH8" s="3562" t="s">
        <v>3257</v>
      </c>
      <c r="KI8" s="3562" t="s">
        <v>3257</v>
      </c>
      <c r="KJ8" s="3562" t="s">
        <v>3257</v>
      </c>
      <c r="KK8" s="3562" t="s">
        <v>3257</v>
      </c>
      <c r="KL8" s="3562" t="s">
        <v>3257</v>
      </c>
      <c r="KM8" s="3562" t="s">
        <v>355</v>
      </c>
      <c r="KN8" s="3562" t="s">
        <v>355</v>
      </c>
      <c r="KO8" s="3562" t="s">
        <v>355</v>
      </c>
      <c r="KP8" s="3562" t="s">
        <v>355</v>
      </c>
      <c r="KQ8" s="3562" t="s">
        <v>355</v>
      </c>
      <c r="KR8" s="3562" t="s">
        <v>3258</v>
      </c>
      <c r="KS8" s="3562" t="s">
        <v>3258</v>
      </c>
      <c r="KT8" s="3562" t="s">
        <v>3258</v>
      </c>
      <c r="KU8" s="3562" t="s">
        <v>3258</v>
      </c>
      <c r="KV8" s="3562" t="s">
        <v>3258</v>
      </c>
      <c r="KW8" s="3562" t="s">
        <v>1432</v>
      </c>
      <c r="KX8" s="3562" t="s">
        <v>1432</v>
      </c>
      <c r="KY8" s="3562" t="s">
        <v>1432</v>
      </c>
      <c r="KZ8" s="3562" t="s">
        <v>1432</v>
      </c>
      <c r="LA8" s="3562" t="s">
        <v>1432</v>
      </c>
      <c r="LB8" s="3562" t="s">
        <v>3259</v>
      </c>
      <c r="LC8" s="3562" t="s">
        <v>3259</v>
      </c>
      <c r="LD8" s="3562" t="s">
        <v>3259</v>
      </c>
      <c r="LE8" s="3562" t="s">
        <v>3259</v>
      </c>
      <c r="LF8" s="3562" t="s">
        <v>3259</v>
      </c>
      <c r="LG8" s="3562" t="s">
        <v>4802</v>
      </c>
      <c r="LH8" s="3562" t="s">
        <v>4802</v>
      </c>
      <c r="LI8" s="3562" t="s">
        <v>4802</v>
      </c>
      <c r="LJ8" s="3562" t="s">
        <v>4802</v>
      </c>
      <c r="LK8" s="3562" t="s">
        <v>4802</v>
      </c>
      <c r="LL8" s="3562" t="s">
        <v>4803</v>
      </c>
      <c r="LM8" s="3562" t="s">
        <v>4803</v>
      </c>
      <c r="LN8" s="3562" t="s">
        <v>4803</v>
      </c>
      <c r="LO8" s="3562" t="s">
        <v>4803</v>
      </c>
      <c r="LP8" s="3562" t="s">
        <v>4803</v>
      </c>
      <c r="LQ8" s="3562"/>
      <c r="LR8" s="3562"/>
      <c r="LS8" s="3562"/>
      <c r="LT8" s="3562"/>
      <c r="LU8" s="3562"/>
      <c r="LV8" s="3562"/>
      <c r="LW8" s="3562"/>
      <c r="LX8" s="3562"/>
      <c r="LY8" s="3562"/>
      <c r="LZ8" s="3562"/>
      <c r="MA8" s="3562"/>
      <c r="MB8" s="3562"/>
      <c r="MC8" s="3562"/>
      <c r="MD8" s="3562"/>
      <c r="ME8" s="3562"/>
      <c r="MF8" s="3562"/>
      <c r="MG8" s="3562"/>
      <c r="MH8" s="3562"/>
      <c r="MI8" s="3562"/>
      <c r="MJ8" s="3562"/>
      <c r="MK8" s="3562"/>
      <c r="ML8" s="3562"/>
      <c r="MM8" s="3562"/>
      <c r="MN8" s="3562"/>
      <c r="MO8" s="3562"/>
      <c r="MP8" s="3562"/>
      <c r="MQ8" s="3562"/>
      <c r="MR8" s="3562"/>
      <c r="MS8" s="3562"/>
      <c r="MT8" s="3562"/>
      <c r="MU8" s="3574"/>
      <c r="MV8" s="3574"/>
      <c r="MW8" s="3574"/>
      <c r="MX8" s="3574"/>
      <c r="MY8" s="3574"/>
      <c r="MZ8" s="3562"/>
      <c r="NA8" s="3562"/>
      <c r="NB8" s="3562"/>
      <c r="NC8" s="3562"/>
      <c r="ND8" s="3562"/>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82"/>
      <c r="B9" s="1981" t="s">
        <v>4529</v>
      </c>
      <c r="C9" s="1215" t="s">
        <v>167</v>
      </c>
      <c r="D9" s="1215" t="s">
        <v>169</v>
      </c>
      <c r="E9" s="1215" t="s">
        <v>1446</v>
      </c>
      <c r="F9" s="1215" t="s">
        <v>1253</v>
      </c>
      <c r="G9" s="1215" t="s">
        <v>3495</v>
      </c>
      <c r="H9" s="1215" t="s">
        <v>1447</v>
      </c>
      <c r="I9" s="3578"/>
      <c r="J9" s="3576"/>
      <c r="K9" s="507" t="s">
        <v>344</v>
      </c>
      <c r="L9" s="1215" t="s">
        <v>1498</v>
      </c>
      <c r="M9" s="1215" t="s">
        <v>524</v>
      </c>
      <c r="N9" s="1215" t="s">
        <v>1445</v>
      </c>
      <c r="O9" s="1215" t="s">
        <v>3210</v>
      </c>
      <c r="P9" s="1215" t="s">
        <v>378</v>
      </c>
      <c r="Q9" s="3578"/>
      <c r="R9" s="1215" t="s">
        <v>1447</v>
      </c>
      <c r="S9" s="1215" t="s">
        <v>2618</v>
      </c>
      <c r="T9" s="31" t="s">
        <v>1799</v>
      </c>
      <c r="W9" s="31"/>
      <c r="X9" s="3563"/>
      <c r="Y9" s="3563"/>
      <c r="Z9" s="3563"/>
      <c r="AA9" s="3563"/>
      <c r="AB9" s="3563"/>
      <c r="AC9" s="3563"/>
      <c r="AD9" s="3563"/>
      <c r="AE9" s="3563"/>
      <c r="AF9" s="3563"/>
      <c r="AG9" s="3563"/>
      <c r="AH9" s="3563"/>
      <c r="AI9" s="3563"/>
      <c r="AJ9" s="3563"/>
      <c r="AK9" s="3563"/>
      <c r="AL9" s="3563"/>
      <c r="AM9" s="3563"/>
      <c r="AN9" s="3563"/>
      <c r="AO9" s="3563"/>
      <c r="AP9" s="3563"/>
      <c r="AQ9" s="3563"/>
      <c r="AR9" s="3563"/>
      <c r="AS9" s="3563"/>
      <c r="AT9" s="3563"/>
      <c r="AU9" s="3563"/>
      <c r="AV9" s="3563"/>
      <c r="AW9" s="3563"/>
      <c r="AX9" s="3563"/>
      <c r="AY9" s="3563"/>
      <c r="AZ9" s="3563"/>
      <c r="BA9" s="3563"/>
      <c r="BB9" s="3563"/>
      <c r="BC9" s="3563"/>
      <c r="BD9" s="3563"/>
      <c r="BE9" s="3563"/>
      <c r="BF9" s="3563"/>
      <c r="BG9" s="3563"/>
      <c r="BH9" s="3563"/>
      <c r="BI9" s="3563"/>
      <c r="BJ9" s="3563"/>
      <c r="BK9" s="3563"/>
      <c r="BL9" s="3563"/>
      <c r="BM9" s="3563"/>
      <c r="BN9" s="3563"/>
      <c r="BO9" s="3563"/>
      <c r="BP9" s="3563"/>
      <c r="BQ9" s="3563"/>
      <c r="BR9" s="3563"/>
      <c r="BS9" s="3563"/>
      <c r="BT9" s="3563"/>
      <c r="BU9" s="3563"/>
      <c r="BV9" s="3563"/>
      <c r="BW9" s="3563"/>
      <c r="BX9" s="3563"/>
      <c r="BY9" s="3563"/>
      <c r="BZ9" s="3563"/>
      <c r="CA9" s="3563"/>
      <c r="CB9" s="3563"/>
      <c r="CC9" s="3563"/>
      <c r="CD9" s="3563"/>
      <c r="CE9" s="3563"/>
      <c r="CF9" s="3563"/>
      <c r="CG9" s="3563"/>
      <c r="CH9" s="3563"/>
      <c r="CI9" s="3563"/>
      <c r="CJ9" s="3563"/>
      <c r="CK9" s="3563"/>
      <c r="CL9" s="3563"/>
      <c r="CM9" s="3563"/>
      <c r="CN9" s="3563"/>
      <c r="CO9" s="3563"/>
      <c r="CP9" s="3563"/>
      <c r="CQ9" s="3563"/>
      <c r="CR9" s="3563"/>
      <c r="CS9" s="3563"/>
      <c r="CT9" s="3563"/>
      <c r="CU9" s="3563"/>
      <c r="CV9" s="3563"/>
      <c r="CW9" s="3563"/>
      <c r="CX9" s="3563"/>
      <c r="CY9" s="3563"/>
      <c r="CZ9" s="3563"/>
      <c r="DA9" s="3563"/>
      <c r="DB9" s="3563"/>
      <c r="DC9" s="3563"/>
      <c r="DD9" s="3563"/>
      <c r="DE9" s="3563"/>
      <c r="DF9" s="3563"/>
      <c r="DG9" s="3563"/>
      <c r="DH9" s="3563"/>
      <c r="DI9" s="3563"/>
      <c r="DJ9" s="3563"/>
      <c r="DK9" s="3563"/>
      <c r="DL9" s="3563"/>
      <c r="DM9" s="3563"/>
      <c r="DN9" s="3563"/>
      <c r="DO9" s="3563"/>
      <c r="DP9" s="3563"/>
      <c r="DQ9" s="3563"/>
      <c r="DR9" s="3563"/>
      <c r="DS9" s="3563"/>
      <c r="DT9" s="3563"/>
      <c r="DU9" s="3563"/>
      <c r="DV9" s="3563"/>
      <c r="DW9" s="3563"/>
      <c r="DX9" s="3563"/>
      <c r="DY9" s="3563"/>
      <c r="DZ9" s="3563"/>
      <c r="EA9" s="3563"/>
      <c r="EB9" s="3563"/>
      <c r="EC9" s="3563"/>
      <c r="ED9" s="3563"/>
      <c r="EE9" s="3563"/>
      <c r="EF9" s="3563"/>
      <c r="EG9" s="3563"/>
      <c r="EH9" s="3563"/>
      <c r="EI9" s="3563"/>
      <c r="EJ9" s="3563"/>
      <c r="EK9" s="3563"/>
      <c r="EL9" s="3563"/>
      <c r="EM9" s="3563"/>
      <c r="EN9" s="3563"/>
      <c r="EO9" s="3563"/>
      <c r="EP9" s="3563"/>
      <c r="EQ9" s="3563"/>
      <c r="ER9" s="3563"/>
      <c r="ES9" s="3562"/>
      <c r="ET9" s="3562"/>
      <c r="EU9" s="3562"/>
      <c r="EV9" s="3562"/>
      <c r="EW9" s="3562"/>
      <c r="EX9" s="3562"/>
      <c r="EY9" s="3562"/>
      <c r="EZ9" s="3562"/>
      <c r="FA9" s="3562"/>
      <c r="FB9" s="3562"/>
      <c r="FC9" s="3563"/>
      <c r="FD9" s="3563"/>
      <c r="FE9" s="3563"/>
      <c r="FF9" s="3563"/>
      <c r="FG9" s="3563"/>
      <c r="FH9" s="3562"/>
      <c r="FI9" s="3562"/>
      <c r="FJ9" s="3562"/>
      <c r="FK9" s="3562"/>
      <c r="FL9" s="3562"/>
      <c r="FM9" s="3563"/>
      <c r="FN9" s="3563"/>
      <c r="FO9" s="3563"/>
      <c r="FP9" s="3563"/>
      <c r="FQ9" s="3563"/>
      <c r="FR9" s="3562"/>
      <c r="FS9" s="3562"/>
      <c r="FT9" s="3562"/>
      <c r="FU9" s="3562"/>
      <c r="FV9" s="3562"/>
      <c r="FW9" s="3562"/>
      <c r="FX9" s="3562"/>
      <c r="FY9" s="3562"/>
      <c r="FZ9" s="3562"/>
      <c r="GA9" s="3562"/>
      <c r="GB9" s="3562"/>
      <c r="GC9" s="3562"/>
      <c r="GD9" s="3562"/>
      <c r="GE9" s="3562"/>
      <c r="GF9" s="3562"/>
      <c r="GG9" s="3562"/>
      <c r="GH9" s="3562"/>
      <c r="GI9" s="3562"/>
      <c r="GJ9" s="3562"/>
      <c r="GK9" s="3562"/>
      <c r="GL9" s="3562"/>
      <c r="GM9" s="3562"/>
      <c r="GN9" s="3562"/>
      <c r="GO9" s="3562"/>
      <c r="GP9" s="3562"/>
      <c r="GQ9" s="3562"/>
      <c r="GR9" s="3562"/>
      <c r="GS9" s="3562"/>
      <c r="GT9" s="3562"/>
      <c r="GU9" s="3562"/>
      <c r="GV9" s="3562"/>
      <c r="GW9" s="3562"/>
      <c r="GX9" s="3562"/>
      <c r="GY9" s="3562"/>
      <c r="GZ9" s="3562"/>
      <c r="HA9" s="3562"/>
      <c r="HB9" s="3562"/>
      <c r="HC9" s="3562"/>
      <c r="HD9" s="3562"/>
      <c r="HE9" s="3562"/>
      <c r="HF9" s="3562"/>
      <c r="HG9" s="3562"/>
      <c r="HH9" s="3562"/>
      <c r="HI9" s="3562"/>
      <c r="HJ9" s="3562"/>
      <c r="HK9" s="3562"/>
      <c r="HL9" s="3562"/>
      <c r="HM9" s="3562"/>
      <c r="HN9" s="3562"/>
      <c r="HO9" s="3562"/>
      <c r="HP9" s="3562"/>
      <c r="HQ9" s="3562"/>
      <c r="HR9" s="3562"/>
      <c r="HS9" s="3562"/>
      <c r="HT9" s="3562"/>
      <c r="HU9" s="3562"/>
      <c r="HV9" s="3562"/>
      <c r="HW9" s="3562"/>
      <c r="HX9" s="3562"/>
      <c r="HY9" s="3562"/>
      <c r="HZ9" s="3562"/>
      <c r="IA9" s="2478" t="s">
        <v>2431</v>
      </c>
      <c r="IB9" s="2478" t="s">
        <v>2431</v>
      </c>
      <c r="IC9" s="2478" t="s">
        <v>2431</v>
      </c>
      <c r="ID9" s="2478" t="s">
        <v>2431</v>
      </c>
      <c r="IE9" s="3562"/>
      <c r="IF9" s="3562"/>
      <c r="IG9" s="3562"/>
      <c r="IH9" s="3562"/>
      <c r="II9" s="3562"/>
      <c r="IJ9" s="3562"/>
      <c r="IK9" s="3562"/>
      <c r="IL9" s="3562"/>
      <c r="IM9" s="3562"/>
      <c r="IN9" s="3562"/>
      <c r="IO9" s="2478" t="s">
        <v>2433</v>
      </c>
      <c r="IP9" s="2478" t="s">
        <v>2433</v>
      </c>
      <c r="IQ9" s="2478" t="s">
        <v>2433</v>
      </c>
      <c r="IR9" s="2478" t="s">
        <v>2433</v>
      </c>
      <c r="IS9" s="2478" t="s">
        <v>2433</v>
      </c>
      <c r="IT9" s="2478" t="s">
        <v>3261</v>
      </c>
      <c r="IU9" s="2478" t="s">
        <v>3261</v>
      </c>
      <c r="IV9" s="2478" t="s">
        <v>3261</v>
      </c>
      <c r="IW9" s="2478" t="s">
        <v>3261</v>
      </c>
      <c r="IX9" s="2478" t="s">
        <v>3261</v>
      </c>
      <c r="IY9" s="3562"/>
      <c r="IZ9" s="3562"/>
      <c r="JA9" s="3562"/>
      <c r="JB9" s="3562"/>
      <c r="JC9" s="3562"/>
      <c r="JD9" s="3562"/>
      <c r="JE9" s="3562"/>
      <c r="JF9" s="3562"/>
      <c r="JG9" s="3562"/>
      <c r="JH9" s="3562"/>
      <c r="JI9" s="3562"/>
      <c r="JJ9" s="3562"/>
      <c r="JK9" s="3562"/>
      <c r="JL9" s="3562"/>
      <c r="JM9" s="3562"/>
      <c r="JN9" s="3562"/>
      <c r="JO9" s="3562"/>
      <c r="JP9" s="3562"/>
      <c r="JQ9" s="3562"/>
      <c r="JR9" s="3562"/>
      <c r="JS9" s="3562"/>
      <c r="JT9" s="3562"/>
      <c r="JU9" s="3562"/>
      <c r="JV9" s="3562"/>
      <c r="JW9" s="3562"/>
      <c r="JX9" s="3562"/>
      <c r="JY9" s="3562"/>
      <c r="JZ9" s="3562"/>
      <c r="KA9" s="3562"/>
      <c r="KB9" s="3562"/>
      <c r="KC9" s="3562"/>
      <c r="KD9" s="3562"/>
      <c r="KE9" s="3562"/>
      <c r="KF9" s="3562"/>
      <c r="KG9" s="3562"/>
      <c r="KH9" s="3562"/>
      <c r="KI9" s="3562"/>
      <c r="KJ9" s="3562"/>
      <c r="KK9" s="3562"/>
      <c r="KL9" s="3562"/>
      <c r="KM9" s="3562"/>
      <c r="KN9" s="3562"/>
      <c r="KO9" s="3562"/>
      <c r="KP9" s="3562"/>
      <c r="KQ9" s="3562"/>
      <c r="KR9" s="3562"/>
      <c r="KS9" s="3562"/>
      <c r="KT9" s="3562"/>
      <c r="KU9" s="3562"/>
      <c r="KV9" s="3562"/>
      <c r="KW9" s="3562"/>
      <c r="KX9" s="3562"/>
      <c r="KY9" s="3562"/>
      <c r="KZ9" s="3562"/>
      <c r="LA9" s="3562"/>
      <c r="LB9" s="3562"/>
      <c r="LC9" s="3562"/>
      <c r="LD9" s="3562"/>
      <c r="LE9" s="3562"/>
      <c r="LF9" s="3562"/>
      <c r="LG9" s="3562"/>
      <c r="LH9" s="3562"/>
      <c r="LI9" s="3562"/>
      <c r="LJ9" s="3562"/>
      <c r="LK9" s="3562"/>
      <c r="LL9" s="3562"/>
      <c r="LM9" s="3562"/>
      <c r="LN9" s="3562"/>
      <c r="LO9" s="3562"/>
      <c r="LP9" s="3562"/>
      <c r="LQ9" s="3562"/>
      <c r="LR9" s="3562"/>
      <c r="LS9" s="3562"/>
      <c r="LT9" s="3562"/>
      <c r="LU9" s="3562"/>
      <c r="LV9" s="3562"/>
      <c r="LW9" s="3562"/>
      <c r="LX9" s="3562"/>
      <c r="LY9" s="3562"/>
      <c r="LZ9" s="3562"/>
      <c r="MA9" s="3562"/>
      <c r="MB9" s="3562"/>
      <c r="MC9" s="3562"/>
      <c r="MD9" s="3562"/>
      <c r="ME9" s="3562"/>
      <c r="MF9" s="3562"/>
      <c r="MG9" s="3562"/>
      <c r="MH9" s="3562"/>
      <c r="MI9" s="3562"/>
      <c r="MJ9" s="3562"/>
      <c r="MK9" s="3562"/>
      <c r="ML9" s="3562"/>
      <c r="MM9" s="3562"/>
      <c r="MN9" s="3562"/>
      <c r="MO9" s="3562"/>
      <c r="MP9" s="3562"/>
      <c r="MQ9" s="3562"/>
      <c r="MR9" s="3562"/>
      <c r="MS9" s="3562"/>
      <c r="MT9" s="3562"/>
      <c r="MU9" s="3574"/>
      <c r="MV9" s="3574"/>
      <c r="MW9" s="3574"/>
      <c r="MX9" s="3574"/>
      <c r="MY9" s="3574"/>
      <c r="MZ9" s="3562"/>
      <c r="NA9" s="3562"/>
      <c r="NB9" s="3562"/>
      <c r="NC9" s="3562"/>
      <c r="ND9" s="3562"/>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8" customHeight="1">
      <c r="A10" s="111" t="str">
        <f>IF(AND(E10&gt;0,OR(B10="",C10="",D10="",F10="",G10="", H10="",I10="",N10="",O10="",P10="",Q10="")),1,"")</f>
        <v/>
      </c>
      <c r="B10" s="1650" t="s">
        <v>4125</v>
      </c>
      <c r="C10" s="167"/>
      <c r="D10" s="168"/>
      <c r="E10" s="169"/>
      <c r="F10" s="169"/>
      <c r="G10" s="169"/>
      <c r="H10" s="169"/>
      <c r="I10" s="2315"/>
      <c r="J10" s="2317"/>
      <c r="K10" s="930"/>
      <c r="L10" s="666">
        <f t="shared" ref="L10:L47" si="0">MAX(0,H10-I10-J10)</f>
        <v>0</v>
      </c>
      <c r="M10" s="666">
        <f t="shared" ref="M10:M47" si="1">MAX(0,E10*L10)</f>
        <v>0</v>
      </c>
      <c r="N10" s="1012"/>
      <c r="O10" s="1012"/>
      <c r="P10" s="1012"/>
      <c r="Q10" s="170"/>
      <c r="R10" s="1067"/>
      <c r="S10" s="1068"/>
      <c r="T10" s="3586"/>
      <c r="U10" s="3587"/>
      <c r="V10" s="3587"/>
      <c r="W10" s="3588"/>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79" t="str">
        <f t="shared" ref="HZ10:HZ47" si="212">IF(AND($C10="Efficiency", NOT(OR($O10="SF Detached",$O10="Mfd Home",$O10="Duplex",$O10="Townhome"))),$E10,"")</f>
        <v/>
      </c>
      <c r="IA10" s="2479" t="str">
        <f t="shared" ref="IA10:IA47" si="213">IF(AND($C10=1, NOT(OR($O10="SF Detached",$O10="Mfd Home",$O10="Duplex",$O10="Townhome"))),$E10,"")</f>
        <v/>
      </c>
      <c r="IB10" s="2479" t="str">
        <f t="shared" ref="IB10:IB47" si="214">IF(AND($C10=2, NOT(OR($O10="SF Detached",$O10="Mfd Home",$O10="Duplex",$O10="Townhome"))),$E10,"")</f>
        <v/>
      </c>
      <c r="IC10" s="2479" t="str">
        <f t="shared" ref="IC10:IC47" si="215">IF(AND($C10=3, NOT(OR($O10="SF Detached",$O10="Mfd Home",$O10="Duplex",$O10="Townhome"))),$E10,"")</f>
        <v/>
      </c>
      <c r="ID10" s="2479" t="str">
        <f t="shared" ref="ID10:ID47" si="216">IF(AND($C10=4, NOT(OR($O10="SF Detached",$O10="Mfd Home",$O10="Duplex",$O10="Townhome"))),$E10,"")</f>
        <v/>
      </c>
      <c r="IE10" s="2479" t="str">
        <f t="shared" ref="IE10:IE47" si="217">IF(AND($C10="Efficiency", $O10="SF Detached",NOT($Q10="Yes")),$E10,"")</f>
        <v/>
      </c>
      <c r="IF10" s="2479" t="str">
        <f t="shared" ref="IF10:IF47" si="218">IF(AND($C10=1, $O10="SF Detached",NOT($Q10="Yes")),$E10,"")</f>
        <v/>
      </c>
      <c r="IG10" s="2479" t="str">
        <f t="shared" ref="IG10:IG47" si="219">IF(AND($C10=2, $O10="SF Detached",NOT($Q10="Yes")),$E10,"")</f>
        <v/>
      </c>
      <c r="IH10" s="2479" t="str">
        <f t="shared" ref="IH10:IH47" si="220">IF(AND($C10=3, $O10="SF Detached",NOT($Q10="Yes")),$E10,"")</f>
        <v/>
      </c>
      <c r="II10" s="2479" t="str">
        <f t="shared" ref="II10:II47" si="221">IF(AND($C10=4, $O10="SF Detached",NOT($Q10="Yes")),$E10,"")</f>
        <v/>
      </c>
      <c r="IJ10" s="2479" t="str">
        <f t="shared" ref="IJ10:IJ47" si="222">IF(AND($C10="Efficiency", $O10="SF Detached",$Q10="Yes"),$E10,"")</f>
        <v/>
      </c>
      <c r="IK10" s="2479" t="str">
        <f t="shared" ref="IK10:IK47" si="223">IF(AND($C10=1, $O10="SF Detached",$Q10="Yes"),$E10,"")</f>
        <v/>
      </c>
      <c r="IL10" s="2479" t="str">
        <f t="shared" ref="IL10:IL47" si="224">IF(AND($C10=2, $O10="SF Detached",$Q10="Yes"),$E10,"")</f>
        <v/>
      </c>
      <c r="IM10" s="2479" t="str">
        <f t="shared" ref="IM10:IM47" si="225">IF(AND($C10=3, $O10="SF Detached",$Q10="Yes"),$E10,"")</f>
        <v/>
      </c>
      <c r="IN10" s="2479" t="str">
        <f t="shared" ref="IN10:IN47" si="226">IF(AND($C10=4, $O10="SF Detached",$Q10="Yes"),$E10,"")</f>
        <v/>
      </c>
      <c r="IO10" s="2479" t="str">
        <f t="shared" ref="IO10:IO47" si="227">IF(AND($C10="Efficiency", $O10="Mfd Home",NOT($Q10="Yes")),$E10,"")</f>
        <v/>
      </c>
      <c r="IP10" s="2479" t="str">
        <f t="shared" ref="IP10:IP47" si="228">IF(AND($C10=1, $O10="Mfd Home",NOT($Q10="Yes")),$E10,"")</f>
        <v/>
      </c>
      <c r="IQ10" s="2479" t="str">
        <f t="shared" ref="IQ10:IQ47" si="229">IF(AND($C10=2, $O10="Mfd Home",NOT($Q10="Yes")),$E10,"")</f>
        <v/>
      </c>
      <c r="IR10" s="2479" t="str">
        <f t="shared" ref="IR10:IR47" si="230">IF(AND($C10=3, $O10="Mfd Home",NOT($Q10="Yes")),$E10,"")</f>
        <v/>
      </c>
      <c r="IS10" s="2479" t="str">
        <f t="shared" ref="IS10:IS47" si="231">IF(AND($C10=4, $O10="Mfd Home",NOT($Q10="Yes")),$E10,"")</f>
        <v/>
      </c>
      <c r="IT10" s="2479" t="str">
        <f t="shared" ref="IT10:IT47" si="232">IF(AND($C10="Efficiency", $O10="Mfd Home",$Q10="Yes"),$E10,"")</f>
        <v/>
      </c>
      <c r="IU10" s="2479" t="str">
        <f t="shared" ref="IU10:IU47" si="233">IF(AND($C10=1, $O10="Mfd Home",$Q10="Yes"),$E10,"")</f>
        <v/>
      </c>
      <c r="IV10" s="2479" t="str">
        <f t="shared" ref="IV10:IV47" si="234">IF(AND($C10=2, $O10="Mfd Home",$Q10="Yes"),$E10,"")</f>
        <v/>
      </c>
      <c r="IW10" s="2479" t="str">
        <f t="shared" ref="IW10:IW47" si="235">IF(AND($C10=3, $O10="Mfd Home",$Q10="Yes"),$E10,"")</f>
        <v/>
      </c>
      <c r="IX10" s="2479" t="str">
        <f t="shared" ref="IX10:IX47" si="236">IF(AND($C10=4, $O10="Mfd Home",$Q10="Yes"),$E10,"")</f>
        <v/>
      </c>
      <c r="IY10" s="2479" t="str">
        <f t="shared" ref="IY10:IY47" si="237">IF(AND($C10="Efficiency", $O10="Duplex",NOT($Q10="Yes")),$E10,"")</f>
        <v/>
      </c>
      <c r="IZ10" s="2479" t="str">
        <f t="shared" ref="IZ10:IZ47" si="238">IF(AND($C10=1, $O10="Duplex",NOT($Q10="Yes")),$E10,"")</f>
        <v/>
      </c>
      <c r="JA10" s="2479" t="str">
        <f t="shared" ref="JA10:JA47" si="239">IF(AND($C10=2, $O10="Duplex",NOT($Q10="Yes")),$E10,"")</f>
        <v/>
      </c>
      <c r="JB10" s="2479" t="str">
        <f t="shared" ref="JB10:JB47" si="240">IF(AND($C10=3, $O10="Duplex",NOT($Q10="Yes")),$E10,"")</f>
        <v/>
      </c>
      <c r="JC10" s="2479" t="str">
        <f t="shared" ref="JC10:JC47" si="241">IF(AND($C10=4, $O10="Duplex",NOT($Q10="Yes")),$E10,"")</f>
        <v/>
      </c>
      <c r="JD10" s="2479" t="str">
        <f t="shared" ref="JD10:JD47" si="242">IF(AND($C10="Efficiency", $O10="Duplex",$Q10="Yes"),$E10,"")</f>
        <v/>
      </c>
      <c r="JE10" s="2479" t="str">
        <f t="shared" ref="JE10:JE47" si="243">IF(AND($C10=1, $O10="Duplex",$Q10="Yes"),$E10,"")</f>
        <v/>
      </c>
      <c r="JF10" s="2479" t="str">
        <f t="shared" ref="JF10:JF47" si="244">IF(AND($C10=2, $O10="Duplex",$Q10="Yes"),$E10,"")</f>
        <v/>
      </c>
      <c r="JG10" s="2479" t="str">
        <f t="shared" ref="JG10:JG47" si="245">IF(AND($C10=3, $O10="Duplex",$Q10="Yes"),$E10,"")</f>
        <v/>
      </c>
      <c r="JH10" s="2479" t="str">
        <f t="shared" ref="JH10:JH47" si="246">IF(AND($C10=4, $O10="Duplex",$Q10="Yes"),$E10,"")</f>
        <v/>
      </c>
      <c r="JI10" s="2479" t="str">
        <f t="shared" ref="JI10:JI47" si="247">IF(AND($C10="Efficiency", $O10="Townhome",NOT($Q10="Yes")),$E10,"")</f>
        <v/>
      </c>
      <c r="JJ10" s="2479" t="str">
        <f t="shared" ref="JJ10:JJ47" si="248">IF(AND($C10=1, $O10="Townhome",NOT($Q10="Yes")),$E10,"")</f>
        <v/>
      </c>
      <c r="JK10" s="2479" t="str">
        <f t="shared" ref="JK10:JK47" si="249">IF(AND($C10=2, $O10="Townhome",NOT($Q10="Yes")),$E10,"")</f>
        <v/>
      </c>
      <c r="JL10" s="2479" t="str">
        <f t="shared" ref="JL10:JL47" si="250">IF(AND($C10=3, $O10="Townhome",NOT($Q10="Yes")),$E10,"")</f>
        <v/>
      </c>
      <c r="JM10" s="2479" t="str">
        <f t="shared" ref="JM10:JM47" si="251">IF(AND($C10=4, $O10="Townhome",NOT($Q10="Yes")),$E10,"")</f>
        <v/>
      </c>
      <c r="JN10" s="2479" t="str">
        <f t="shared" ref="JN10:JN47" si="252">IF(AND($C10="Efficiency", $O10="Townhome",$Q10="Yes"),$E10,"")</f>
        <v/>
      </c>
      <c r="JO10" s="2479" t="str">
        <f t="shared" ref="JO10:JO47" si="253">IF(AND($C10=1, $O10="Townhome",$Q10="Yes"),$E10,"")</f>
        <v/>
      </c>
      <c r="JP10" s="2479" t="str">
        <f t="shared" ref="JP10:JP47" si="254">IF(AND($C10=2, $O10="Townhome",$Q10="Yes"),$E10,"")</f>
        <v/>
      </c>
      <c r="JQ10" s="2479" t="str">
        <f t="shared" ref="JQ10:JQ47" si="255">IF(AND($C10=3, $O10="Townhome",$Q10="Yes"),$E10,"")</f>
        <v/>
      </c>
      <c r="JR10" s="2479" t="str">
        <f t="shared" ref="JR10:JR47" si="256">IF(AND($C10=4, $O10="Townhome",$Q10="Yes"),$E10,"")</f>
        <v/>
      </c>
      <c r="JS10" s="2479" t="str">
        <f t="shared" ref="JS10:JS47" si="257">IF(AND($C10="Efficiency", $O10="1-Story",NOT($Q10="Yes")),$E10,"")</f>
        <v/>
      </c>
      <c r="JT10" s="2479" t="str">
        <f t="shared" ref="JT10:JT47" si="258">IF(AND($C10=1, $O10="1-Story",NOT($Q10="Yes")),$E10,"")</f>
        <v/>
      </c>
      <c r="JU10" s="2479" t="str">
        <f t="shared" ref="JU10:JU47" si="259">IF(AND($C10=2, $O10="1-Story",NOT($Q10="Yes")),$E10,"")</f>
        <v/>
      </c>
      <c r="JV10" s="2479" t="str">
        <f t="shared" ref="JV10:JV47" si="260">IF(AND($C10=3, $O10="1-Story",NOT($Q10="Yes")),$E10,"")</f>
        <v/>
      </c>
      <c r="JW10" s="2479" t="str">
        <f t="shared" ref="JW10:JW47" si="261">IF(AND($C10=4, $O10="1-Story",NOT($Q10="Yes")),$E10,"")</f>
        <v/>
      </c>
      <c r="JX10" s="2479" t="str">
        <f t="shared" ref="JX10:JX47" si="262">IF(AND($C10="Efficiency", $O10="1-Story",$Q10="Yes"),$E10,"")</f>
        <v/>
      </c>
      <c r="JY10" s="2479" t="str">
        <f t="shared" ref="JY10:JY47" si="263">IF(AND($C10=1, $O10="1-Story",$Q10="Yes"),$E10,"")</f>
        <v/>
      </c>
      <c r="JZ10" s="2479" t="str">
        <f t="shared" ref="JZ10:JZ47" si="264">IF(AND($C10=2, $O10="1-Story",$Q10="Yes"),$E10,"")</f>
        <v/>
      </c>
      <c r="KA10" s="2479" t="str">
        <f t="shared" ref="KA10:KA47" si="265">IF(AND($C10=3, $O10="1-Story",$Q10="Yes"),$E10,"")</f>
        <v/>
      </c>
      <c r="KB10" s="2479" t="str">
        <f t="shared" ref="KB10:KB47" si="266">IF(AND($C10=4, $O10="1-Story",$Q10="Yes"),$E10,"")</f>
        <v/>
      </c>
      <c r="KC10" s="2479" t="str">
        <f t="shared" ref="KC10:KC47" si="267">IF(AND($C10="Efficiency", $O10="2-Story",NOT($Q10="Yes")),$E10,"")</f>
        <v/>
      </c>
      <c r="KD10" s="2479" t="str">
        <f t="shared" ref="KD10:KD47" si="268">IF(AND($C10=1, $O10="2-Story",NOT($Q10="Yes")),$E10,"")</f>
        <v/>
      </c>
      <c r="KE10" s="2479" t="str">
        <f t="shared" ref="KE10:KE47" si="269">IF(AND($C10=2, $O10="2-Story",NOT($Q10="Yes")),$E10,"")</f>
        <v/>
      </c>
      <c r="KF10" s="2479" t="str">
        <f t="shared" ref="KF10:KF47" si="270">IF(AND($C10=3, $O10="2-Story",NOT($Q10="Yes")),$E10,"")</f>
        <v/>
      </c>
      <c r="KG10" s="2479" t="str">
        <f t="shared" ref="KG10:KG47" si="271">IF(AND($C10=4, $O10="2-Story",NOT($Q10="Yes")),$E10,"")</f>
        <v/>
      </c>
      <c r="KH10" s="2479" t="str">
        <f t="shared" ref="KH10:KH47" si="272">IF(AND($C10="Efficiency", $O10="2-Story",$Q10="Yes"),$E10,"")</f>
        <v/>
      </c>
      <c r="KI10" s="2479" t="str">
        <f t="shared" ref="KI10:KI47" si="273">IF(AND($C10=1, $O10="2-Story",$Q10="Yes"),$E10,"")</f>
        <v/>
      </c>
      <c r="KJ10" s="2479" t="str">
        <f t="shared" ref="KJ10:KJ47" si="274">IF(AND($C10=2, $O10="2-Story",$Q10="Yes"),$E10,"")</f>
        <v/>
      </c>
      <c r="KK10" s="2479" t="str">
        <f t="shared" ref="KK10:KK47" si="275">IF(AND($C10=3, $O10="2-Story",$Q10="Yes"),$E10,"")</f>
        <v/>
      </c>
      <c r="KL10" s="2479" t="str">
        <f t="shared" ref="KL10:KL47" si="276">IF(AND($C10=4, $O10="2-Story",$Q10="Yes"),$E10,"")</f>
        <v/>
      </c>
      <c r="KM10" s="2479" t="str">
        <f t="shared" ref="KM10:KM47" si="277">IF(AND($C10="Efficiency", $O10="2-Story Walkup",NOT($Q10="Yes")),$E10,"")</f>
        <v/>
      </c>
      <c r="KN10" s="2479" t="str">
        <f t="shared" ref="KN10:KN47" si="278">IF(AND($C10=1, $O10="2-Story Walkup",NOT($Q10="Yes")),$E10,"")</f>
        <v/>
      </c>
      <c r="KO10" s="2479" t="str">
        <f t="shared" ref="KO10:KO47" si="279">IF(AND($C10=2, $O10="2-Story Walkup",NOT($Q10="Yes")),$E10,"")</f>
        <v/>
      </c>
      <c r="KP10" s="2479" t="str">
        <f t="shared" ref="KP10:KP47" si="280">IF(AND($C10=3, $O10="2-Story Walkup",NOT($Q10="Yes")),$E10,"")</f>
        <v/>
      </c>
      <c r="KQ10" s="2479" t="str">
        <f t="shared" ref="KQ10:KQ47" si="281">IF(AND($C10=4, $O10="2-Story Walkup",NOT($Q10="Yes")),$E10,"")</f>
        <v/>
      </c>
      <c r="KR10" s="2479" t="str">
        <f t="shared" ref="KR10:KR47" si="282">IF(AND($C10="Efficiency", $O10="2-Story Walkup",$Q10="Yes"),$E10,"")</f>
        <v/>
      </c>
      <c r="KS10" s="2479" t="str">
        <f t="shared" ref="KS10:KS47" si="283">IF(AND($C10=1, $O10="2-Story Walkup",$Q10="Yes"),$E10,"")</f>
        <v/>
      </c>
      <c r="KT10" s="2479" t="str">
        <f t="shared" ref="KT10:KT47" si="284">IF(AND($C10=2, $O10="2-Story Walkup",$Q10="Yes"),$E10,"")</f>
        <v/>
      </c>
      <c r="KU10" s="2479" t="str">
        <f t="shared" ref="KU10:KU47" si="285">IF(AND($C10=3, $O10="2-Story Walkup",$Q10="Yes"),$E10,"")</f>
        <v/>
      </c>
      <c r="KV10" s="2479" t="str">
        <f t="shared" ref="KV10:KV47" si="286">IF(AND($C10=4, $O10="2-Story Walkup",$Q10="Yes"),$E10,"")</f>
        <v/>
      </c>
      <c r="KW10" s="2479" t="str">
        <f t="shared" ref="KW10:KW47" si="287">IF(AND($C10="Efficiency", $O10="3+ Story",NOT($Q10="Yes")),$E10,"")</f>
        <v/>
      </c>
      <c r="KX10" s="2479" t="str">
        <f t="shared" ref="KX10:KX47" si="288">IF(AND($C10=1, $O10="3+ Story",NOT($Q10="Yes")),$E10,"")</f>
        <v/>
      </c>
      <c r="KY10" s="2479" t="str">
        <f t="shared" ref="KY10:KY47" si="289">IF(AND($C10=2, $O10="3+ Story",NOT($Q10="Yes")),$E10,"")</f>
        <v/>
      </c>
      <c r="KZ10" s="2479" t="str">
        <f t="shared" ref="KZ10:KZ47" si="290">IF(AND($C10=3, $O10="3+ Story",NOT($Q10="Yes")),$E10,"")</f>
        <v/>
      </c>
      <c r="LA10" s="2479" t="str">
        <f t="shared" ref="LA10:LA47" si="291">IF(AND($C10=4, $O10="3+ Story",NOT($Q10="Yes")),$E10,"")</f>
        <v/>
      </c>
      <c r="LB10" s="2479" t="str">
        <f t="shared" ref="LB10:LB47" si="292">IF(AND($C10="Efficiency", $O10="3+ Story",$Q10="Yes"),$E10,"")</f>
        <v/>
      </c>
      <c r="LC10" s="2479" t="str">
        <f t="shared" ref="LC10:LC47" si="293">IF(AND($C10=1, $O10="3+ Story",$Q10="Yes"),$E10,"")</f>
        <v/>
      </c>
      <c r="LD10" s="2479" t="str">
        <f t="shared" ref="LD10:LD47" si="294">IF(AND($C10=2, $O10="3+ Story",$Q10="Yes"),$E10,"")</f>
        <v/>
      </c>
      <c r="LE10" s="2479" t="str">
        <f t="shared" ref="LE10:LE47" si="295">IF(AND($C10=3, $O10="3+ Story",$Q10="Yes"),$E10,"")</f>
        <v/>
      </c>
      <c r="LF10" s="2479" t="str">
        <f t="shared" ref="LF10:LF47" si="296">IF(AND($C10=4, $O10="3+ Story",$Q10="Yes"),$E10,"")</f>
        <v/>
      </c>
      <c r="LG10" s="2479" t="str">
        <f t="shared" ref="LG10:LG47" si="297">IF(AND($C10="Efficiency", $O10="3+ Story Elevator",NOT($Q10="Yes")),$E10,"")</f>
        <v/>
      </c>
      <c r="LH10" s="2479" t="str">
        <f t="shared" ref="LH10:LH47" si="298">IF(AND($C10=1, $O10="3+ Story Elevator",NOT($Q10="Yes")),$E10,"")</f>
        <v/>
      </c>
      <c r="LI10" s="2479" t="str">
        <f t="shared" ref="LI10:LI47" si="299">IF(AND($C10=2, $O10="3+ Story Elevator",NOT($Q10="Yes")),$E10,"")</f>
        <v/>
      </c>
      <c r="LJ10" s="2479" t="str">
        <f t="shared" ref="LJ10:LJ47" si="300">IF(AND($C10=3, $O10="3+ Story Elevator",NOT($Q10="Yes")),$E10,"")</f>
        <v/>
      </c>
      <c r="LK10" s="2479" t="str">
        <f t="shared" ref="LK10:LK47" si="301">IF(AND($C10=4, $O10="3+ Story Elevator",NOT($Q10="Yes")),$E10,"")</f>
        <v/>
      </c>
      <c r="LL10" s="2479" t="str">
        <f t="shared" ref="LL10:LL47" si="302">IF(AND($C10="Efficiency", $O10="3+ Story Elevator",$Q10="Yes"),$E10,"")</f>
        <v/>
      </c>
      <c r="LM10" s="2479" t="str">
        <f t="shared" ref="LM10:LM47" si="303">IF(AND($C10=1, $O10="3+ Story Elevator",$Q10="Yes"),$E10,"")</f>
        <v/>
      </c>
      <c r="LN10" s="2479" t="str">
        <f t="shared" ref="LN10:LN47" si="304">IF(AND($C10=2, $O10="3+ Story Elevator",$Q10="Yes"),$E10,"")</f>
        <v/>
      </c>
      <c r="LO10" s="2479" t="str">
        <f t="shared" ref="LO10:LO47" si="305">IF(AND($C10=3, $O10="3+ Story Elevator",$Q10="Yes"),$E10,"")</f>
        <v/>
      </c>
      <c r="LP10" s="2479" t="str">
        <f t="shared" ref="LP10:LP47" si="306">IF(AND($C10=4, $O10="3+ Story Elevator",$Q10="Yes"),$E10,"")</f>
        <v/>
      </c>
      <c r="LQ10" s="2480" t="str">
        <f t="shared" ref="LQ10:LQ47" si="307">IF(AND($B10="NSP 120% AMI",$C10="Efficiency", NOT($N10="Common Space")),$E10,"")</f>
        <v/>
      </c>
      <c r="LR10" s="2480" t="str">
        <f t="shared" ref="LR10:LR47" si="308">IF(AND($B10="NSP 120% AMI",$C10=1,NOT($N10="Common Space")),$E10,"")</f>
        <v/>
      </c>
      <c r="LS10" s="2480" t="str">
        <f t="shared" ref="LS10:LS47" si="309">IF(AND($B10="NSP 120% AMI",$C10=2,NOT($N10="Common Space")),$E10,"")</f>
        <v/>
      </c>
      <c r="LT10" s="2480" t="str">
        <f t="shared" ref="LT10:LT47" si="310">IF(AND($B10="NSP 120% AMI",$C10=3,NOT($N10="Common Space")),$E10,"")</f>
        <v/>
      </c>
      <c r="LU10" s="2480"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78">
        <f>IF(AND($C10="Efficiency",$E10&gt;0,OR($O10="1-Story",$O10="2-Story",$O10="3+ Story",$O10="3+ Story Elevator",$O10="2-Story Walkup",$O10="Townhome"),OR($P10="Acquisition/Rehab",$P10="Rehabilitation"),NOT($Q10="Yes")),$E10,0)</f>
        <v>0</v>
      </c>
      <c r="MQ10" s="2478">
        <f>IF(AND($C10=1,$E10&gt;0,OR($O10="1-Story",$O10="2-Story",$O10="3+ Story",$O10="3+ Story Elevator",$O10="2-Story Walkup",$O10="Townhome"),OR($P10="Acquisition/Rehab",$P10="Rehabilitation"),NOT($Q10="Yes")),$E10,0)</f>
        <v>0</v>
      </c>
      <c r="MR10" s="2478">
        <f>IF(AND($C10=2,$E10&gt;0,OR($O10="1-Story",$O10="2-Story",$O10="3+ Story",$O10="3+ Story Elevator",$O10="2-Story Walkup",$O10="Townhome"),OR($P10="Acquisition/Rehab",$P10="Rehabilitation"),NOT($Q10="Yes")),$E10,0)</f>
        <v>0</v>
      </c>
      <c r="MS10" s="2478">
        <f>IF(AND($C10=3,$E10&gt;0,OR($O10="1-Story",$O10="2-Story",$O10="3+ Story",$O10="3+ Story Elevator",$O10="2-Story Walkup",$O10="Townhome"),OR($P10="Acquisition/Rehab",$P10="Rehabilitation"),NOT($Q10="Yes")),$E10,0)</f>
        <v>0</v>
      </c>
      <c r="MT10" s="2478">
        <f>IF(AND($C10=4,$E10&gt;0,OR($O10="1-Story",$O10="2-Story",$O10="3+ Story",$O10="3+ Story Elevator",$O10="2-Story Walkup",$O10="Townhome"),OR($P10="Acquisition/Rehab",$P10="Rehabilitation"),NOT($Q10="Yes")),$E10,0)</f>
        <v>0</v>
      </c>
      <c r="MU10" s="2478">
        <f>IF(AND($C10="Efficiency",$E10&gt;0,OR($O10="1-Story",$O10="2-Story",$O10="3+ Story",$O10="3+ Story Elevator",$O10="2-Story Walkup",$O10="Townhome"),$P10="New Construction"),$E10,0)</f>
        <v>0</v>
      </c>
      <c r="MV10" s="2478">
        <f>IF(AND($C10=1,$E10&gt;0,OR($O10="1-Story",$O10="2-Story",$O10="3+ Story",$O10="3+ Story Elevator",$O10="2-Story Walkup",$O10="Townhome"),$P10="New Construction"),$E10,0)</f>
        <v>0</v>
      </c>
      <c r="MW10" s="2478">
        <f>IF(AND($C10=2,$E10&gt;0,OR($O10="1-Story",$O10="2-Story",$O10="3+ Story",$O10="3+ Story Elevator",$O10="2-Story Walkup",$O10="Townhome"),$P10="New Construction"),$E10,0)</f>
        <v>0</v>
      </c>
      <c r="MX10" s="2478">
        <f>IF(AND($C10=3,$E10&gt;0,OR($O10="1-Story",$O10="2-Story",$O10="3+ Story",$O10="3+ Story Elevator",$O10="2-Story Walkup",$O10="Townhome"),$P10="New Construction"),$E10,0)</f>
        <v>0</v>
      </c>
      <c r="MY10" s="2478">
        <f>IF(AND($C10=4,$E10&gt;0,OR($O10="1-Story",$O10="2-Story",$O10="3+ Story",$O10="3+ Story Elevator",$O10="2-Story Walkup",$O10="Townhome"),$P10="New Construction"),$E10,0)</f>
        <v>0</v>
      </c>
      <c r="MZ10" s="2478">
        <f t="shared" ref="MZ10:MZ47" si="332">IF(AND($C10="Efficiency",$E10&gt;0,OR($O10="SF Detached",$O10="Duplex",$O10="Mfd Home"),NOT($Q10="Yes")),$E10,0)</f>
        <v>0</v>
      </c>
      <c r="NA10" s="2478">
        <f t="shared" ref="NA10:NA47" si="333">IF(AND($C10=1,$E10&gt;0,OR($O10="SF Detached",$O10="Duplex",$O10="Mfd Home"),NOT($Q10="Yes")),$E10,0)</f>
        <v>0</v>
      </c>
      <c r="NB10" s="2478">
        <f t="shared" ref="NB10:NB47" si="334">IF(AND($C10=2,$E10&gt;0,OR($O10="SF Detached",$O10="Duplex",$O10="Mfd Home"),NOT($Q10="Yes")),$E10,0)</f>
        <v>0</v>
      </c>
      <c r="NC10" s="2478">
        <f t="shared" ref="NC10:NC47" si="335">IF(AND($C10=3,$E10&gt;0,OR($O10="SF Detached",$O10="Duplex",$O10="Mfd Home"),NOT($Q10="Yes")),$E10,0)</f>
        <v>0</v>
      </c>
      <c r="ND10" s="2478">
        <f t="shared" ref="ND10:ND47" si="336">IF(AND($C10=4,$E10&gt;0,OR($O10="SF Detached",$O10="Duplex",$O10="Mfd Home"),NOT($Q10="Yes")),$E10,0)</f>
        <v>0</v>
      </c>
    </row>
    <row r="11" spans="1:503" ht="13.8" customHeight="1">
      <c r="A11" s="111" t="str">
        <f t="shared" ref="A11:A47" si="337">IF(AND(E11&gt;0,OR(B11="",C11="",D11="",F11="",G11="", H11="",I11="",N11="",O11="",P11="",Q11="")),1,"")</f>
        <v/>
      </c>
      <c r="B11" s="1651" t="s">
        <v>4125</v>
      </c>
      <c r="C11" s="171"/>
      <c r="D11" s="172"/>
      <c r="E11" s="173"/>
      <c r="F11" s="173"/>
      <c r="G11" s="173"/>
      <c r="H11" s="173"/>
      <c r="I11" s="173"/>
      <c r="J11" s="2318"/>
      <c r="K11" s="931"/>
      <c r="L11" s="667">
        <f t="shared" si="0"/>
        <v>0</v>
      </c>
      <c r="M11" s="667">
        <f t="shared" si="1"/>
        <v>0</v>
      </c>
      <c r="N11" s="1013"/>
      <c r="O11" s="1013"/>
      <c r="P11" s="1013"/>
      <c r="Q11" s="174"/>
      <c r="R11" s="1069"/>
      <c r="S11" s="1070"/>
      <c r="T11" s="3503"/>
      <c r="U11" s="3504"/>
      <c r="V11" s="3504"/>
      <c r="W11" s="3505"/>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79" t="str">
        <f t="shared" si="212"/>
        <v/>
      </c>
      <c r="IA11" s="2479" t="str">
        <f t="shared" si="213"/>
        <v/>
      </c>
      <c r="IB11" s="2479" t="str">
        <f t="shared" si="214"/>
        <v/>
      </c>
      <c r="IC11" s="2479" t="str">
        <f t="shared" si="215"/>
        <v/>
      </c>
      <c r="ID11" s="2479" t="str">
        <f t="shared" si="216"/>
        <v/>
      </c>
      <c r="IE11" s="2479" t="str">
        <f t="shared" si="217"/>
        <v/>
      </c>
      <c r="IF11" s="2479" t="str">
        <f t="shared" si="218"/>
        <v/>
      </c>
      <c r="IG11" s="2479" t="str">
        <f t="shared" si="219"/>
        <v/>
      </c>
      <c r="IH11" s="2479" t="str">
        <f t="shared" si="220"/>
        <v/>
      </c>
      <c r="II11" s="2479" t="str">
        <f t="shared" si="221"/>
        <v/>
      </c>
      <c r="IJ11" s="2479" t="str">
        <f t="shared" si="222"/>
        <v/>
      </c>
      <c r="IK11" s="2479" t="str">
        <f t="shared" si="223"/>
        <v/>
      </c>
      <c r="IL11" s="2479" t="str">
        <f t="shared" si="224"/>
        <v/>
      </c>
      <c r="IM11" s="2479" t="str">
        <f t="shared" si="225"/>
        <v/>
      </c>
      <c r="IN11" s="2479" t="str">
        <f t="shared" si="226"/>
        <v/>
      </c>
      <c r="IO11" s="2479" t="str">
        <f t="shared" si="227"/>
        <v/>
      </c>
      <c r="IP11" s="2479" t="str">
        <f t="shared" si="228"/>
        <v/>
      </c>
      <c r="IQ11" s="2479" t="str">
        <f t="shared" si="229"/>
        <v/>
      </c>
      <c r="IR11" s="2479" t="str">
        <f t="shared" si="230"/>
        <v/>
      </c>
      <c r="IS11" s="2479" t="str">
        <f t="shared" si="231"/>
        <v/>
      </c>
      <c r="IT11" s="2479" t="str">
        <f t="shared" si="232"/>
        <v/>
      </c>
      <c r="IU11" s="2479" t="str">
        <f t="shared" si="233"/>
        <v/>
      </c>
      <c r="IV11" s="2479" t="str">
        <f t="shared" si="234"/>
        <v/>
      </c>
      <c r="IW11" s="2479" t="str">
        <f t="shared" si="235"/>
        <v/>
      </c>
      <c r="IX11" s="2479" t="str">
        <f t="shared" si="236"/>
        <v/>
      </c>
      <c r="IY11" s="2479" t="str">
        <f t="shared" si="237"/>
        <v/>
      </c>
      <c r="IZ11" s="2479" t="str">
        <f t="shared" si="238"/>
        <v/>
      </c>
      <c r="JA11" s="2479" t="str">
        <f t="shared" si="239"/>
        <v/>
      </c>
      <c r="JB11" s="2479" t="str">
        <f t="shared" si="240"/>
        <v/>
      </c>
      <c r="JC11" s="2479" t="str">
        <f t="shared" si="241"/>
        <v/>
      </c>
      <c r="JD11" s="2479" t="str">
        <f t="shared" si="242"/>
        <v/>
      </c>
      <c r="JE11" s="2479" t="str">
        <f t="shared" si="243"/>
        <v/>
      </c>
      <c r="JF11" s="2479" t="str">
        <f t="shared" si="244"/>
        <v/>
      </c>
      <c r="JG11" s="2479" t="str">
        <f t="shared" si="245"/>
        <v/>
      </c>
      <c r="JH11" s="2479" t="str">
        <f t="shared" si="246"/>
        <v/>
      </c>
      <c r="JI11" s="2479" t="str">
        <f t="shared" si="247"/>
        <v/>
      </c>
      <c r="JJ11" s="2479" t="str">
        <f t="shared" si="248"/>
        <v/>
      </c>
      <c r="JK11" s="2479" t="str">
        <f t="shared" si="249"/>
        <v/>
      </c>
      <c r="JL11" s="2479" t="str">
        <f t="shared" si="250"/>
        <v/>
      </c>
      <c r="JM11" s="2479" t="str">
        <f t="shared" si="251"/>
        <v/>
      </c>
      <c r="JN11" s="2479" t="str">
        <f t="shared" si="252"/>
        <v/>
      </c>
      <c r="JO11" s="2479" t="str">
        <f t="shared" si="253"/>
        <v/>
      </c>
      <c r="JP11" s="2479" t="str">
        <f t="shared" si="254"/>
        <v/>
      </c>
      <c r="JQ11" s="2479" t="str">
        <f t="shared" si="255"/>
        <v/>
      </c>
      <c r="JR11" s="2479" t="str">
        <f t="shared" si="256"/>
        <v/>
      </c>
      <c r="JS11" s="2479" t="str">
        <f t="shared" si="257"/>
        <v/>
      </c>
      <c r="JT11" s="2479" t="str">
        <f t="shared" si="258"/>
        <v/>
      </c>
      <c r="JU11" s="2479" t="str">
        <f t="shared" si="259"/>
        <v/>
      </c>
      <c r="JV11" s="2479" t="str">
        <f t="shared" si="260"/>
        <v/>
      </c>
      <c r="JW11" s="2479" t="str">
        <f t="shared" si="261"/>
        <v/>
      </c>
      <c r="JX11" s="2479" t="str">
        <f t="shared" si="262"/>
        <v/>
      </c>
      <c r="JY11" s="2479" t="str">
        <f t="shared" si="263"/>
        <v/>
      </c>
      <c r="JZ11" s="2479" t="str">
        <f t="shared" si="264"/>
        <v/>
      </c>
      <c r="KA11" s="2479" t="str">
        <f t="shared" si="265"/>
        <v/>
      </c>
      <c r="KB11" s="2479" t="str">
        <f t="shared" si="266"/>
        <v/>
      </c>
      <c r="KC11" s="2479" t="str">
        <f t="shared" si="267"/>
        <v/>
      </c>
      <c r="KD11" s="2479" t="str">
        <f t="shared" si="268"/>
        <v/>
      </c>
      <c r="KE11" s="2479" t="str">
        <f t="shared" si="269"/>
        <v/>
      </c>
      <c r="KF11" s="2479" t="str">
        <f t="shared" si="270"/>
        <v/>
      </c>
      <c r="KG11" s="2479" t="str">
        <f t="shared" si="271"/>
        <v/>
      </c>
      <c r="KH11" s="2479" t="str">
        <f t="shared" si="272"/>
        <v/>
      </c>
      <c r="KI11" s="2479" t="str">
        <f t="shared" si="273"/>
        <v/>
      </c>
      <c r="KJ11" s="2479" t="str">
        <f t="shared" si="274"/>
        <v/>
      </c>
      <c r="KK11" s="2479" t="str">
        <f t="shared" si="275"/>
        <v/>
      </c>
      <c r="KL11" s="2479" t="str">
        <f t="shared" si="276"/>
        <v/>
      </c>
      <c r="KM11" s="2479" t="str">
        <f t="shared" si="277"/>
        <v/>
      </c>
      <c r="KN11" s="2479" t="str">
        <f t="shared" si="278"/>
        <v/>
      </c>
      <c r="KO11" s="2479" t="str">
        <f t="shared" si="279"/>
        <v/>
      </c>
      <c r="KP11" s="2479" t="str">
        <f t="shared" si="280"/>
        <v/>
      </c>
      <c r="KQ11" s="2479" t="str">
        <f t="shared" si="281"/>
        <v/>
      </c>
      <c r="KR11" s="2479" t="str">
        <f t="shared" si="282"/>
        <v/>
      </c>
      <c r="KS11" s="2479" t="str">
        <f t="shared" si="283"/>
        <v/>
      </c>
      <c r="KT11" s="2479" t="str">
        <f t="shared" si="284"/>
        <v/>
      </c>
      <c r="KU11" s="2479" t="str">
        <f t="shared" si="285"/>
        <v/>
      </c>
      <c r="KV11" s="2479" t="str">
        <f t="shared" si="286"/>
        <v/>
      </c>
      <c r="KW11" s="2479" t="str">
        <f t="shared" si="287"/>
        <v/>
      </c>
      <c r="KX11" s="2479" t="str">
        <f t="shared" si="288"/>
        <v/>
      </c>
      <c r="KY11" s="2479" t="str">
        <f t="shared" si="289"/>
        <v/>
      </c>
      <c r="KZ11" s="2479" t="str">
        <f t="shared" si="290"/>
        <v/>
      </c>
      <c r="LA11" s="2479" t="str">
        <f t="shared" si="291"/>
        <v/>
      </c>
      <c r="LB11" s="2479" t="str">
        <f t="shared" si="292"/>
        <v/>
      </c>
      <c r="LC11" s="2479" t="str">
        <f t="shared" si="293"/>
        <v/>
      </c>
      <c r="LD11" s="2479" t="str">
        <f t="shared" si="294"/>
        <v/>
      </c>
      <c r="LE11" s="2479" t="str">
        <f t="shared" si="295"/>
        <v/>
      </c>
      <c r="LF11" s="2479" t="str">
        <f t="shared" si="296"/>
        <v/>
      </c>
      <c r="LG11" s="2479" t="str">
        <f t="shared" si="297"/>
        <v/>
      </c>
      <c r="LH11" s="2479" t="str">
        <f t="shared" si="298"/>
        <v/>
      </c>
      <c r="LI11" s="2479" t="str">
        <f t="shared" si="299"/>
        <v/>
      </c>
      <c r="LJ11" s="2479" t="str">
        <f t="shared" si="300"/>
        <v/>
      </c>
      <c r="LK11" s="2479" t="str">
        <f t="shared" si="301"/>
        <v/>
      </c>
      <c r="LL11" s="2479" t="str">
        <f t="shared" si="302"/>
        <v/>
      </c>
      <c r="LM11" s="2479" t="str">
        <f t="shared" si="303"/>
        <v/>
      </c>
      <c r="LN11" s="2479" t="str">
        <f t="shared" si="304"/>
        <v/>
      </c>
      <c r="LO11" s="2479" t="str">
        <f t="shared" si="305"/>
        <v/>
      </c>
      <c r="LP11" s="2479" t="str">
        <f t="shared" si="306"/>
        <v/>
      </c>
      <c r="LQ11" s="2480" t="str">
        <f t="shared" si="307"/>
        <v/>
      </c>
      <c r="LR11" s="2480" t="str">
        <f t="shared" si="308"/>
        <v/>
      </c>
      <c r="LS11" s="2480" t="str">
        <f t="shared" si="309"/>
        <v/>
      </c>
      <c r="LT11" s="2480" t="str">
        <f t="shared" si="310"/>
        <v/>
      </c>
      <c r="LU11" s="2480"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78">
        <f t="shared" ref="MP11:MP47" si="338">IF(AND($C11="Efficiency",$E11&gt;0,OR($O11="1-Story",$O11="2-Story",$O11="3+ Story",$O11="3+ Story Elevator",$O11="2-Story Walkup",$O11="Townhome"),OR($P11="Acquisition/Rehab",$P11="Rehabilitation"),NOT($Q11="Yes")),$E11,0)</f>
        <v>0</v>
      </c>
      <c r="MQ11" s="2478">
        <f t="shared" ref="MQ11:MQ47" si="339">IF(AND($C11=1,$E11&gt;0,OR($O11="1-Story",$O11="2-Story",$O11="3+ Story",$O11="3+ Story Elevator",$O11="2-Story Walkup",$O11="Townhome"),OR($P11="Acquisition/Rehab",$P11="Rehabilitation"),NOT($Q11="Yes")),$E11,0)</f>
        <v>0</v>
      </c>
      <c r="MR11" s="2478">
        <f t="shared" ref="MR11:MR47" si="340">IF(AND($C11=2,$E11&gt;0,OR($O11="1-Story",$O11="2-Story",$O11="3+ Story",$O11="3+ Story Elevator",$O11="2-Story Walkup",$O11="Townhome"),OR($P11="Acquisition/Rehab",$P11="Rehabilitation"),NOT($Q11="Yes")),$E11,0)</f>
        <v>0</v>
      </c>
      <c r="MS11" s="2478">
        <f t="shared" ref="MS11:MS47" si="341">IF(AND($C11=3,$E11&gt;0,OR($O11="1-Story",$O11="2-Story",$O11="3+ Story",$O11="3+ Story Elevator",$O11="2-Story Walkup",$O11="Townhome"),OR($P11="Acquisition/Rehab",$P11="Rehabilitation"),NOT($Q11="Yes")),$E11,0)</f>
        <v>0</v>
      </c>
      <c r="MT11" s="2478">
        <f t="shared" ref="MT11:MT47" si="342">IF(AND($C11=4,$E11&gt;0,OR($O11="1-Story",$O11="2-Story",$O11="3+ Story",$O11="3+ Story Elevator",$O11="2-Story Walkup",$O11="Townhome"),OR($P11="Acquisition/Rehab",$P11="Rehabilitation"),NOT($Q11="Yes")),$E11,0)</f>
        <v>0</v>
      </c>
      <c r="MU11" s="2478">
        <f t="shared" ref="MU11:MU47" si="343">IF(AND($C11="Efficiency",$E11&gt;0,OR($O11="1-Story",$O11="2-Story",$O11="3+ Story",$O11="3+ Story Elevator",$O11="2-Story Walkup",$O11="Townhome"),$P11="New Construction"),$E11,0)</f>
        <v>0</v>
      </c>
      <c r="MV11" s="2478">
        <f t="shared" ref="MV11:MV47" si="344">IF(AND($C11=1,$E11&gt;0,OR($O11="1-Story",$O11="2-Story",$O11="3+ Story",$O11="3+ Story Elevator",$O11="2-Story Walkup",$O11="Townhome"),$P11="New Construction"),$E11,0)</f>
        <v>0</v>
      </c>
      <c r="MW11" s="2478">
        <f t="shared" ref="MW11:MW47" si="345">IF(AND($C11=2,$E11&gt;0,OR($O11="1-Story",$O11="2-Story",$O11="3+ Story",$O11="3+ Story Elevator",$O11="2-Story Walkup",$O11="Townhome"),$P11="New Construction"),$E11,0)</f>
        <v>0</v>
      </c>
      <c r="MX11" s="2478">
        <f t="shared" ref="MX11:MX47" si="346">IF(AND($C11=3,$E11&gt;0,OR($O11="1-Story",$O11="2-Story",$O11="3+ Story",$O11="3+ Story Elevator",$O11="2-Story Walkup",$O11="Townhome"),$P11="New Construction"),$E11,0)</f>
        <v>0</v>
      </c>
      <c r="MY11" s="2478">
        <f t="shared" ref="MY11:MY47" si="347">IF(AND($C11=4,$E11&gt;0,OR($O11="1-Story",$O11="2-Story",$O11="3+ Story",$O11="3+ Story Elevator",$O11="2-Story Walkup",$O11="Townhome"),$P11="New Construction"),$E11,0)</f>
        <v>0</v>
      </c>
      <c r="MZ11" s="2478">
        <f t="shared" si="332"/>
        <v>0</v>
      </c>
      <c r="NA11" s="2478">
        <f t="shared" si="333"/>
        <v>0</v>
      </c>
      <c r="NB11" s="2478">
        <f t="shared" si="334"/>
        <v>0</v>
      </c>
      <c r="NC11" s="2478">
        <f t="shared" si="335"/>
        <v>0</v>
      </c>
      <c r="ND11" s="2478">
        <f t="shared" si="336"/>
        <v>0</v>
      </c>
    </row>
    <row r="12" spans="1:503" ht="13.8" customHeight="1">
      <c r="A12" s="111" t="str">
        <f t="shared" si="337"/>
        <v/>
      </c>
      <c r="B12" s="1651" t="s">
        <v>298</v>
      </c>
      <c r="C12" s="171"/>
      <c r="D12" s="172"/>
      <c r="E12" s="173"/>
      <c r="F12" s="173"/>
      <c r="G12" s="173"/>
      <c r="H12" s="173"/>
      <c r="I12" s="173"/>
      <c r="J12" s="2318"/>
      <c r="K12" s="931"/>
      <c r="L12" s="667">
        <f t="shared" si="0"/>
        <v>0</v>
      </c>
      <c r="M12" s="667">
        <f t="shared" si="1"/>
        <v>0</v>
      </c>
      <c r="N12" s="1013"/>
      <c r="O12" s="1013"/>
      <c r="P12" s="1013"/>
      <c r="Q12" s="174"/>
      <c r="R12" s="1069"/>
      <c r="S12" s="1070"/>
      <c r="T12" s="3503"/>
      <c r="U12" s="3504"/>
      <c r="V12" s="3504"/>
      <c r="W12" s="3505"/>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79" t="str">
        <f t="shared" si="212"/>
        <v/>
      </c>
      <c r="IA12" s="2479" t="str">
        <f t="shared" si="213"/>
        <v/>
      </c>
      <c r="IB12" s="2479" t="str">
        <f t="shared" si="214"/>
        <v/>
      </c>
      <c r="IC12" s="2479" t="str">
        <f t="shared" si="215"/>
        <v/>
      </c>
      <c r="ID12" s="2479" t="str">
        <f t="shared" si="216"/>
        <v/>
      </c>
      <c r="IE12" s="2479" t="str">
        <f t="shared" si="217"/>
        <v/>
      </c>
      <c r="IF12" s="2479" t="str">
        <f t="shared" si="218"/>
        <v/>
      </c>
      <c r="IG12" s="2479" t="str">
        <f t="shared" si="219"/>
        <v/>
      </c>
      <c r="IH12" s="2479" t="str">
        <f t="shared" si="220"/>
        <v/>
      </c>
      <c r="II12" s="2479" t="str">
        <f t="shared" si="221"/>
        <v/>
      </c>
      <c r="IJ12" s="2479" t="str">
        <f t="shared" si="222"/>
        <v/>
      </c>
      <c r="IK12" s="2479" t="str">
        <f t="shared" si="223"/>
        <v/>
      </c>
      <c r="IL12" s="2479" t="str">
        <f t="shared" si="224"/>
        <v/>
      </c>
      <c r="IM12" s="2479" t="str">
        <f t="shared" si="225"/>
        <v/>
      </c>
      <c r="IN12" s="2479" t="str">
        <f t="shared" si="226"/>
        <v/>
      </c>
      <c r="IO12" s="2479" t="str">
        <f t="shared" si="227"/>
        <v/>
      </c>
      <c r="IP12" s="2479" t="str">
        <f t="shared" si="228"/>
        <v/>
      </c>
      <c r="IQ12" s="2479" t="str">
        <f t="shared" si="229"/>
        <v/>
      </c>
      <c r="IR12" s="2479" t="str">
        <f t="shared" si="230"/>
        <v/>
      </c>
      <c r="IS12" s="2479" t="str">
        <f t="shared" si="231"/>
        <v/>
      </c>
      <c r="IT12" s="2479" t="str">
        <f t="shared" si="232"/>
        <v/>
      </c>
      <c r="IU12" s="2479" t="str">
        <f t="shared" si="233"/>
        <v/>
      </c>
      <c r="IV12" s="2479" t="str">
        <f t="shared" si="234"/>
        <v/>
      </c>
      <c r="IW12" s="2479" t="str">
        <f t="shared" si="235"/>
        <v/>
      </c>
      <c r="IX12" s="2479" t="str">
        <f t="shared" si="236"/>
        <v/>
      </c>
      <c r="IY12" s="2479" t="str">
        <f t="shared" si="237"/>
        <v/>
      </c>
      <c r="IZ12" s="2479" t="str">
        <f t="shared" si="238"/>
        <v/>
      </c>
      <c r="JA12" s="2479" t="str">
        <f t="shared" si="239"/>
        <v/>
      </c>
      <c r="JB12" s="2479" t="str">
        <f t="shared" si="240"/>
        <v/>
      </c>
      <c r="JC12" s="2479" t="str">
        <f t="shared" si="241"/>
        <v/>
      </c>
      <c r="JD12" s="2479" t="str">
        <f t="shared" si="242"/>
        <v/>
      </c>
      <c r="JE12" s="2479" t="str">
        <f t="shared" si="243"/>
        <v/>
      </c>
      <c r="JF12" s="2479" t="str">
        <f t="shared" si="244"/>
        <v/>
      </c>
      <c r="JG12" s="2479" t="str">
        <f t="shared" si="245"/>
        <v/>
      </c>
      <c r="JH12" s="2479" t="str">
        <f t="shared" si="246"/>
        <v/>
      </c>
      <c r="JI12" s="2479" t="str">
        <f t="shared" si="247"/>
        <v/>
      </c>
      <c r="JJ12" s="2479" t="str">
        <f t="shared" si="248"/>
        <v/>
      </c>
      <c r="JK12" s="2479" t="str">
        <f t="shared" si="249"/>
        <v/>
      </c>
      <c r="JL12" s="2479" t="str">
        <f t="shared" si="250"/>
        <v/>
      </c>
      <c r="JM12" s="2479" t="str">
        <f t="shared" si="251"/>
        <v/>
      </c>
      <c r="JN12" s="2479" t="str">
        <f t="shared" si="252"/>
        <v/>
      </c>
      <c r="JO12" s="2479" t="str">
        <f t="shared" si="253"/>
        <v/>
      </c>
      <c r="JP12" s="2479" t="str">
        <f t="shared" si="254"/>
        <v/>
      </c>
      <c r="JQ12" s="2479" t="str">
        <f t="shared" si="255"/>
        <v/>
      </c>
      <c r="JR12" s="2479" t="str">
        <f t="shared" si="256"/>
        <v/>
      </c>
      <c r="JS12" s="2479" t="str">
        <f t="shared" si="257"/>
        <v/>
      </c>
      <c r="JT12" s="2479" t="str">
        <f t="shared" si="258"/>
        <v/>
      </c>
      <c r="JU12" s="2479" t="str">
        <f t="shared" si="259"/>
        <v/>
      </c>
      <c r="JV12" s="2479" t="str">
        <f t="shared" si="260"/>
        <v/>
      </c>
      <c r="JW12" s="2479" t="str">
        <f t="shared" si="261"/>
        <v/>
      </c>
      <c r="JX12" s="2479" t="str">
        <f t="shared" si="262"/>
        <v/>
      </c>
      <c r="JY12" s="2479" t="str">
        <f t="shared" si="263"/>
        <v/>
      </c>
      <c r="JZ12" s="2479" t="str">
        <f t="shared" si="264"/>
        <v/>
      </c>
      <c r="KA12" s="2479" t="str">
        <f t="shared" si="265"/>
        <v/>
      </c>
      <c r="KB12" s="2479" t="str">
        <f t="shared" si="266"/>
        <v/>
      </c>
      <c r="KC12" s="2479" t="str">
        <f t="shared" si="267"/>
        <v/>
      </c>
      <c r="KD12" s="2479" t="str">
        <f t="shared" si="268"/>
        <v/>
      </c>
      <c r="KE12" s="2479" t="str">
        <f t="shared" si="269"/>
        <v/>
      </c>
      <c r="KF12" s="2479" t="str">
        <f t="shared" si="270"/>
        <v/>
      </c>
      <c r="KG12" s="2479" t="str">
        <f t="shared" si="271"/>
        <v/>
      </c>
      <c r="KH12" s="2479" t="str">
        <f t="shared" si="272"/>
        <v/>
      </c>
      <c r="KI12" s="2479" t="str">
        <f t="shared" si="273"/>
        <v/>
      </c>
      <c r="KJ12" s="2479" t="str">
        <f t="shared" si="274"/>
        <v/>
      </c>
      <c r="KK12" s="2479" t="str">
        <f t="shared" si="275"/>
        <v/>
      </c>
      <c r="KL12" s="2479" t="str">
        <f t="shared" si="276"/>
        <v/>
      </c>
      <c r="KM12" s="2479" t="str">
        <f t="shared" si="277"/>
        <v/>
      </c>
      <c r="KN12" s="2479" t="str">
        <f t="shared" si="278"/>
        <v/>
      </c>
      <c r="KO12" s="2479" t="str">
        <f t="shared" si="279"/>
        <v/>
      </c>
      <c r="KP12" s="2479" t="str">
        <f t="shared" si="280"/>
        <v/>
      </c>
      <c r="KQ12" s="2479" t="str">
        <f t="shared" si="281"/>
        <v/>
      </c>
      <c r="KR12" s="2479" t="str">
        <f t="shared" si="282"/>
        <v/>
      </c>
      <c r="KS12" s="2479" t="str">
        <f t="shared" si="283"/>
        <v/>
      </c>
      <c r="KT12" s="2479" t="str">
        <f t="shared" si="284"/>
        <v/>
      </c>
      <c r="KU12" s="2479" t="str">
        <f t="shared" si="285"/>
        <v/>
      </c>
      <c r="KV12" s="2479" t="str">
        <f t="shared" si="286"/>
        <v/>
      </c>
      <c r="KW12" s="2479" t="str">
        <f t="shared" si="287"/>
        <v/>
      </c>
      <c r="KX12" s="2479" t="str">
        <f t="shared" si="288"/>
        <v/>
      </c>
      <c r="KY12" s="2479" t="str">
        <f t="shared" si="289"/>
        <v/>
      </c>
      <c r="KZ12" s="2479" t="str">
        <f t="shared" si="290"/>
        <v/>
      </c>
      <c r="LA12" s="2479" t="str">
        <f t="shared" si="291"/>
        <v/>
      </c>
      <c r="LB12" s="2479" t="str">
        <f t="shared" si="292"/>
        <v/>
      </c>
      <c r="LC12" s="2479" t="str">
        <f t="shared" si="293"/>
        <v/>
      </c>
      <c r="LD12" s="2479" t="str">
        <f t="shared" si="294"/>
        <v/>
      </c>
      <c r="LE12" s="2479" t="str">
        <f t="shared" si="295"/>
        <v/>
      </c>
      <c r="LF12" s="2479" t="str">
        <f t="shared" si="296"/>
        <v/>
      </c>
      <c r="LG12" s="2479" t="str">
        <f t="shared" si="297"/>
        <v/>
      </c>
      <c r="LH12" s="2479" t="str">
        <f t="shared" si="298"/>
        <v/>
      </c>
      <c r="LI12" s="2479" t="str">
        <f t="shared" si="299"/>
        <v/>
      </c>
      <c r="LJ12" s="2479" t="str">
        <f t="shared" si="300"/>
        <v/>
      </c>
      <c r="LK12" s="2479" t="str">
        <f t="shared" si="301"/>
        <v/>
      </c>
      <c r="LL12" s="2479" t="str">
        <f t="shared" si="302"/>
        <v/>
      </c>
      <c r="LM12" s="2479" t="str">
        <f t="shared" si="303"/>
        <v/>
      </c>
      <c r="LN12" s="2479" t="str">
        <f t="shared" si="304"/>
        <v/>
      </c>
      <c r="LO12" s="2479" t="str">
        <f t="shared" si="305"/>
        <v/>
      </c>
      <c r="LP12" s="2479" t="str">
        <f t="shared" si="306"/>
        <v/>
      </c>
      <c r="LQ12" s="2480" t="str">
        <f t="shared" si="307"/>
        <v/>
      </c>
      <c r="LR12" s="2480" t="str">
        <f t="shared" si="308"/>
        <v/>
      </c>
      <c r="LS12" s="2480" t="str">
        <f t="shared" si="309"/>
        <v/>
      </c>
      <c r="LT12" s="2480" t="str">
        <f t="shared" si="310"/>
        <v/>
      </c>
      <c r="LU12" s="2480"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78">
        <f t="shared" si="338"/>
        <v>0</v>
      </c>
      <c r="MQ12" s="2478">
        <f t="shared" si="339"/>
        <v>0</v>
      </c>
      <c r="MR12" s="2478">
        <f t="shared" si="340"/>
        <v>0</v>
      </c>
      <c r="MS12" s="2478">
        <f t="shared" si="341"/>
        <v>0</v>
      </c>
      <c r="MT12" s="2478">
        <f t="shared" si="342"/>
        <v>0</v>
      </c>
      <c r="MU12" s="2478">
        <f t="shared" si="343"/>
        <v>0</v>
      </c>
      <c r="MV12" s="2478">
        <f t="shared" si="344"/>
        <v>0</v>
      </c>
      <c r="MW12" s="2478">
        <f t="shared" si="345"/>
        <v>0</v>
      </c>
      <c r="MX12" s="2478">
        <f t="shared" si="346"/>
        <v>0</v>
      </c>
      <c r="MY12" s="2478">
        <f t="shared" si="347"/>
        <v>0</v>
      </c>
      <c r="MZ12" s="2478">
        <f t="shared" si="332"/>
        <v>0</v>
      </c>
      <c r="NA12" s="2478">
        <f t="shared" si="333"/>
        <v>0</v>
      </c>
      <c r="NB12" s="2478">
        <f t="shared" si="334"/>
        <v>0</v>
      </c>
      <c r="NC12" s="2478">
        <f t="shared" si="335"/>
        <v>0</v>
      </c>
      <c r="ND12" s="2478">
        <f t="shared" si="336"/>
        <v>0</v>
      </c>
    </row>
    <row r="13" spans="1:503" ht="13.8" customHeight="1">
      <c r="A13" s="111" t="str">
        <f t="shared" si="337"/>
        <v/>
      </c>
      <c r="B13" s="1651" t="s">
        <v>298</v>
      </c>
      <c r="C13" s="171"/>
      <c r="D13" s="172"/>
      <c r="E13" s="173"/>
      <c r="F13" s="173"/>
      <c r="G13" s="173"/>
      <c r="H13" s="173"/>
      <c r="I13" s="173"/>
      <c r="J13" s="2318"/>
      <c r="K13" s="931"/>
      <c r="L13" s="667">
        <f t="shared" si="0"/>
        <v>0</v>
      </c>
      <c r="M13" s="667">
        <f t="shared" si="1"/>
        <v>0</v>
      </c>
      <c r="N13" s="1013"/>
      <c r="O13" s="1013"/>
      <c r="P13" s="1013"/>
      <c r="Q13" s="174"/>
      <c r="R13" s="1069"/>
      <c r="S13" s="1070"/>
      <c r="T13" s="3503"/>
      <c r="U13" s="3504"/>
      <c r="V13" s="3504"/>
      <c r="W13" s="3505"/>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79" t="str">
        <f t="shared" si="212"/>
        <v/>
      </c>
      <c r="IA13" s="2479" t="str">
        <f t="shared" si="213"/>
        <v/>
      </c>
      <c r="IB13" s="2479" t="str">
        <f t="shared" si="214"/>
        <v/>
      </c>
      <c r="IC13" s="2479" t="str">
        <f t="shared" si="215"/>
        <v/>
      </c>
      <c r="ID13" s="2479" t="str">
        <f t="shared" si="216"/>
        <v/>
      </c>
      <c r="IE13" s="2479" t="str">
        <f t="shared" si="217"/>
        <v/>
      </c>
      <c r="IF13" s="2479" t="str">
        <f t="shared" si="218"/>
        <v/>
      </c>
      <c r="IG13" s="2479" t="str">
        <f t="shared" si="219"/>
        <v/>
      </c>
      <c r="IH13" s="2479" t="str">
        <f t="shared" si="220"/>
        <v/>
      </c>
      <c r="II13" s="2479" t="str">
        <f t="shared" si="221"/>
        <v/>
      </c>
      <c r="IJ13" s="2479" t="str">
        <f t="shared" si="222"/>
        <v/>
      </c>
      <c r="IK13" s="2479" t="str">
        <f t="shared" si="223"/>
        <v/>
      </c>
      <c r="IL13" s="2479" t="str">
        <f t="shared" si="224"/>
        <v/>
      </c>
      <c r="IM13" s="2479" t="str">
        <f t="shared" si="225"/>
        <v/>
      </c>
      <c r="IN13" s="2479" t="str">
        <f t="shared" si="226"/>
        <v/>
      </c>
      <c r="IO13" s="2479" t="str">
        <f t="shared" si="227"/>
        <v/>
      </c>
      <c r="IP13" s="2479" t="str">
        <f t="shared" si="228"/>
        <v/>
      </c>
      <c r="IQ13" s="2479" t="str">
        <f t="shared" si="229"/>
        <v/>
      </c>
      <c r="IR13" s="2479" t="str">
        <f t="shared" si="230"/>
        <v/>
      </c>
      <c r="IS13" s="2479" t="str">
        <f t="shared" si="231"/>
        <v/>
      </c>
      <c r="IT13" s="2479" t="str">
        <f t="shared" si="232"/>
        <v/>
      </c>
      <c r="IU13" s="2479" t="str">
        <f t="shared" si="233"/>
        <v/>
      </c>
      <c r="IV13" s="2479" t="str">
        <f t="shared" si="234"/>
        <v/>
      </c>
      <c r="IW13" s="2479" t="str">
        <f t="shared" si="235"/>
        <v/>
      </c>
      <c r="IX13" s="2479" t="str">
        <f t="shared" si="236"/>
        <v/>
      </c>
      <c r="IY13" s="2479" t="str">
        <f t="shared" si="237"/>
        <v/>
      </c>
      <c r="IZ13" s="2479" t="str">
        <f t="shared" si="238"/>
        <v/>
      </c>
      <c r="JA13" s="2479" t="str">
        <f t="shared" si="239"/>
        <v/>
      </c>
      <c r="JB13" s="2479" t="str">
        <f t="shared" si="240"/>
        <v/>
      </c>
      <c r="JC13" s="2479" t="str">
        <f t="shared" si="241"/>
        <v/>
      </c>
      <c r="JD13" s="2479" t="str">
        <f t="shared" si="242"/>
        <v/>
      </c>
      <c r="JE13" s="2479" t="str">
        <f t="shared" si="243"/>
        <v/>
      </c>
      <c r="JF13" s="2479" t="str">
        <f t="shared" si="244"/>
        <v/>
      </c>
      <c r="JG13" s="2479" t="str">
        <f t="shared" si="245"/>
        <v/>
      </c>
      <c r="JH13" s="2479" t="str">
        <f t="shared" si="246"/>
        <v/>
      </c>
      <c r="JI13" s="2479" t="str">
        <f t="shared" si="247"/>
        <v/>
      </c>
      <c r="JJ13" s="2479" t="str">
        <f t="shared" si="248"/>
        <v/>
      </c>
      <c r="JK13" s="2479" t="str">
        <f t="shared" si="249"/>
        <v/>
      </c>
      <c r="JL13" s="2479" t="str">
        <f t="shared" si="250"/>
        <v/>
      </c>
      <c r="JM13" s="2479" t="str">
        <f t="shared" si="251"/>
        <v/>
      </c>
      <c r="JN13" s="2479" t="str">
        <f t="shared" si="252"/>
        <v/>
      </c>
      <c r="JO13" s="2479" t="str">
        <f t="shared" si="253"/>
        <v/>
      </c>
      <c r="JP13" s="2479" t="str">
        <f t="shared" si="254"/>
        <v/>
      </c>
      <c r="JQ13" s="2479" t="str">
        <f t="shared" si="255"/>
        <v/>
      </c>
      <c r="JR13" s="2479" t="str">
        <f t="shared" si="256"/>
        <v/>
      </c>
      <c r="JS13" s="2479" t="str">
        <f t="shared" si="257"/>
        <v/>
      </c>
      <c r="JT13" s="2479" t="str">
        <f t="shared" si="258"/>
        <v/>
      </c>
      <c r="JU13" s="2479" t="str">
        <f t="shared" si="259"/>
        <v/>
      </c>
      <c r="JV13" s="2479" t="str">
        <f t="shared" si="260"/>
        <v/>
      </c>
      <c r="JW13" s="2479" t="str">
        <f t="shared" si="261"/>
        <v/>
      </c>
      <c r="JX13" s="2479" t="str">
        <f t="shared" si="262"/>
        <v/>
      </c>
      <c r="JY13" s="2479" t="str">
        <f t="shared" si="263"/>
        <v/>
      </c>
      <c r="JZ13" s="2479" t="str">
        <f t="shared" si="264"/>
        <v/>
      </c>
      <c r="KA13" s="2479" t="str">
        <f t="shared" si="265"/>
        <v/>
      </c>
      <c r="KB13" s="2479" t="str">
        <f t="shared" si="266"/>
        <v/>
      </c>
      <c r="KC13" s="2479" t="str">
        <f t="shared" si="267"/>
        <v/>
      </c>
      <c r="KD13" s="2479" t="str">
        <f t="shared" si="268"/>
        <v/>
      </c>
      <c r="KE13" s="2479" t="str">
        <f t="shared" si="269"/>
        <v/>
      </c>
      <c r="KF13" s="2479" t="str">
        <f t="shared" si="270"/>
        <v/>
      </c>
      <c r="KG13" s="2479" t="str">
        <f t="shared" si="271"/>
        <v/>
      </c>
      <c r="KH13" s="2479" t="str">
        <f t="shared" si="272"/>
        <v/>
      </c>
      <c r="KI13" s="2479" t="str">
        <f t="shared" si="273"/>
        <v/>
      </c>
      <c r="KJ13" s="2479" t="str">
        <f t="shared" si="274"/>
        <v/>
      </c>
      <c r="KK13" s="2479" t="str">
        <f t="shared" si="275"/>
        <v/>
      </c>
      <c r="KL13" s="2479" t="str">
        <f t="shared" si="276"/>
        <v/>
      </c>
      <c r="KM13" s="2479" t="str">
        <f t="shared" si="277"/>
        <v/>
      </c>
      <c r="KN13" s="2479" t="str">
        <f t="shared" si="278"/>
        <v/>
      </c>
      <c r="KO13" s="2479" t="str">
        <f t="shared" si="279"/>
        <v/>
      </c>
      <c r="KP13" s="2479" t="str">
        <f t="shared" si="280"/>
        <v/>
      </c>
      <c r="KQ13" s="2479" t="str">
        <f t="shared" si="281"/>
        <v/>
      </c>
      <c r="KR13" s="2479" t="str">
        <f t="shared" si="282"/>
        <v/>
      </c>
      <c r="KS13" s="2479" t="str">
        <f t="shared" si="283"/>
        <v/>
      </c>
      <c r="KT13" s="2479" t="str">
        <f t="shared" si="284"/>
        <v/>
      </c>
      <c r="KU13" s="2479" t="str">
        <f t="shared" si="285"/>
        <v/>
      </c>
      <c r="KV13" s="2479" t="str">
        <f t="shared" si="286"/>
        <v/>
      </c>
      <c r="KW13" s="2479" t="str">
        <f t="shared" si="287"/>
        <v/>
      </c>
      <c r="KX13" s="2479" t="str">
        <f t="shared" si="288"/>
        <v/>
      </c>
      <c r="KY13" s="2479" t="str">
        <f t="shared" si="289"/>
        <v/>
      </c>
      <c r="KZ13" s="2479" t="str">
        <f t="shared" si="290"/>
        <v/>
      </c>
      <c r="LA13" s="2479" t="str">
        <f t="shared" si="291"/>
        <v/>
      </c>
      <c r="LB13" s="2479" t="str">
        <f t="shared" si="292"/>
        <v/>
      </c>
      <c r="LC13" s="2479" t="str">
        <f t="shared" si="293"/>
        <v/>
      </c>
      <c r="LD13" s="2479" t="str">
        <f t="shared" si="294"/>
        <v/>
      </c>
      <c r="LE13" s="2479" t="str">
        <f t="shared" si="295"/>
        <v/>
      </c>
      <c r="LF13" s="2479" t="str">
        <f t="shared" si="296"/>
        <v/>
      </c>
      <c r="LG13" s="2479" t="str">
        <f t="shared" si="297"/>
        <v/>
      </c>
      <c r="LH13" s="2479" t="str">
        <f t="shared" si="298"/>
        <v/>
      </c>
      <c r="LI13" s="2479" t="str">
        <f t="shared" si="299"/>
        <v/>
      </c>
      <c r="LJ13" s="2479" t="str">
        <f t="shared" si="300"/>
        <v/>
      </c>
      <c r="LK13" s="2479" t="str">
        <f t="shared" si="301"/>
        <v/>
      </c>
      <c r="LL13" s="2479" t="str">
        <f t="shared" si="302"/>
        <v/>
      </c>
      <c r="LM13" s="2479" t="str">
        <f t="shared" si="303"/>
        <v/>
      </c>
      <c r="LN13" s="2479" t="str">
        <f t="shared" si="304"/>
        <v/>
      </c>
      <c r="LO13" s="2479" t="str">
        <f t="shared" si="305"/>
        <v/>
      </c>
      <c r="LP13" s="2479" t="str">
        <f t="shared" si="306"/>
        <v/>
      </c>
      <c r="LQ13" s="2480" t="str">
        <f t="shared" si="307"/>
        <v/>
      </c>
      <c r="LR13" s="2480" t="str">
        <f t="shared" si="308"/>
        <v/>
      </c>
      <c r="LS13" s="2480" t="str">
        <f t="shared" si="309"/>
        <v/>
      </c>
      <c r="LT13" s="2480" t="str">
        <f t="shared" si="310"/>
        <v/>
      </c>
      <c r="LU13" s="2480"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78">
        <f t="shared" si="338"/>
        <v>0</v>
      </c>
      <c r="MQ13" s="2478">
        <f t="shared" si="339"/>
        <v>0</v>
      </c>
      <c r="MR13" s="2478">
        <f t="shared" si="340"/>
        <v>0</v>
      </c>
      <c r="MS13" s="2478">
        <f t="shared" si="341"/>
        <v>0</v>
      </c>
      <c r="MT13" s="2478">
        <f t="shared" si="342"/>
        <v>0</v>
      </c>
      <c r="MU13" s="2478">
        <f t="shared" si="343"/>
        <v>0</v>
      </c>
      <c r="MV13" s="2478">
        <f t="shared" si="344"/>
        <v>0</v>
      </c>
      <c r="MW13" s="2478">
        <f t="shared" si="345"/>
        <v>0</v>
      </c>
      <c r="MX13" s="2478">
        <f t="shared" si="346"/>
        <v>0</v>
      </c>
      <c r="MY13" s="2478">
        <f t="shared" si="347"/>
        <v>0</v>
      </c>
      <c r="MZ13" s="2478">
        <f t="shared" si="332"/>
        <v>0</v>
      </c>
      <c r="NA13" s="2478">
        <f t="shared" si="333"/>
        <v>0</v>
      </c>
      <c r="NB13" s="2478">
        <f t="shared" si="334"/>
        <v>0</v>
      </c>
      <c r="NC13" s="2478">
        <f t="shared" si="335"/>
        <v>0</v>
      </c>
      <c r="ND13" s="2478">
        <f t="shared" si="336"/>
        <v>0</v>
      </c>
    </row>
    <row r="14" spans="1:503" ht="13.8" customHeight="1">
      <c r="A14" s="111" t="str">
        <f t="shared" si="337"/>
        <v/>
      </c>
      <c r="B14" s="1651" t="s">
        <v>298</v>
      </c>
      <c r="C14" s="171"/>
      <c r="D14" s="172"/>
      <c r="E14" s="173"/>
      <c r="F14" s="173"/>
      <c r="G14" s="173"/>
      <c r="H14" s="173"/>
      <c r="I14" s="173"/>
      <c r="J14" s="2318"/>
      <c r="K14" s="931"/>
      <c r="L14" s="667">
        <f t="shared" si="0"/>
        <v>0</v>
      </c>
      <c r="M14" s="667">
        <f t="shared" si="1"/>
        <v>0</v>
      </c>
      <c r="N14" s="1013"/>
      <c r="O14" s="1013"/>
      <c r="P14" s="1013"/>
      <c r="Q14" s="174"/>
      <c r="R14" s="1069"/>
      <c r="S14" s="1070"/>
      <c r="T14" s="3503"/>
      <c r="U14" s="3504"/>
      <c r="V14" s="3504"/>
      <c r="W14" s="3505"/>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79" t="str">
        <f t="shared" si="212"/>
        <v/>
      </c>
      <c r="IA14" s="2479" t="str">
        <f t="shared" si="213"/>
        <v/>
      </c>
      <c r="IB14" s="2479" t="str">
        <f t="shared" si="214"/>
        <v/>
      </c>
      <c r="IC14" s="2479" t="str">
        <f t="shared" si="215"/>
        <v/>
      </c>
      <c r="ID14" s="2479" t="str">
        <f t="shared" si="216"/>
        <v/>
      </c>
      <c r="IE14" s="2479" t="str">
        <f t="shared" si="217"/>
        <v/>
      </c>
      <c r="IF14" s="2479" t="str">
        <f t="shared" si="218"/>
        <v/>
      </c>
      <c r="IG14" s="2479" t="str">
        <f t="shared" si="219"/>
        <v/>
      </c>
      <c r="IH14" s="2479" t="str">
        <f t="shared" si="220"/>
        <v/>
      </c>
      <c r="II14" s="2479" t="str">
        <f t="shared" si="221"/>
        <v/>
      </c>
      <c r="IJ14" s="2479" t="str">
        <f t="shared" si="222"/>
        <v/>
      </c>
      <c r="IK14" s="2479" t="str">
        <f t="shared" si="223"/>
        <v/>
      </c>
      <c r="IL14" s="2479" t="str">
        <f t="shared" si="224"/>
        <v/>
      </c>
      <c r="IM14" s="2479" t="str">
        <f t="shared" si="225"/>
        <v/>
      </c>
      <c r="IN14" s="2479" t="str">
        <f t="shared" si="226"/>
        <v/>
      </c>
      <c r="IO14" s="2479" t="str">
        <f t="shared" si="227"/>
        <v/>
      </c>
      <c r="IP14" s="2479" t="str">
        <f t="shared" si="228"/>
        <v/>
      </c>
      <c r="IQ14" s="2479" t="str">
        <f t="shared" si="229"/>
        <v/>
      </c>
      <c r="IR14" s="2479" t="str">
        <f t="shared" si="230"/>
        <v/>
      </c>
      <c r="IS14" s="2479" t="str">
        <f t="shared" si="231"/>
        <v/>
      </c>
      <c r="IT14" s="2479" t="str">
        <f t="shared" si="232"/>
        <v/>
      </c>
      <c r="IU14" s="2479" t="str">
        <f t="shared" si="233"/>
        <v/>
      </c>
      <c r="IV14" s="2479" t="str">
        <f t="shared" si="234"/>
        <v/>
      </c>
      <c r="IW14" s="2479" t="str">
        <f t="shared" si="235"/>
        <v/>
      </c>
      <c r="IX14" s="2479" t="str">
        <f t="shared" si="236"/>
        <v/>
      </c>
      <c r="IY14" s="2479" t="str">
        <f t="shared" si="237"/>
        <v/>
      </c>
      <c r="IZ14" s="2479" t="str">
        <f t="shared" si="238"/>
        <v/>
      </c>
      <c r="JA14" s="2479" t="str">
        <f t="shared" si="239"/>
        <v/>
      </c>
      <c r="JB14" s="2479" t="str">
        <f t="shared" si="240"/>
        <v/>
      </c>
      <c r="JC14" s="2479" t="str">
        <f t="shared" si="241"/>
        <v/>
      </c>
      <c r="JD14" s="2479" t="str">
        <f t="shared" si="242"/>
        <v/>
      </c>
      <c r="JE14" s="2479" t="str">
        <f t="shared" si="243"/>
        <v/>
      </c>
      <c r="JF14" s="2479" t="str">
        <f t="shared" si="244"/>
        <v/>
      </c>
      <c r="JG14" s="2479" t="str">
        <f t="shared" si="245"/>
        <v/>
      </c>
      <c r="JH14" s="2479" t="str">
        <f t="shared" si="246"/>
        <v/>
      </c>
      <c r="JI14" s="2479" t="str">
        <f t="shared" si="247"/>
        <v/>
      </c>
      <c r="JJ14" s="2479" t="str">
        <f t="shared" si="248"/>
        <v/>
      </c>
      <c r="JK14" s="2479" t="str">
        <f t="shared" si="249"/>
        <v/>
      </c>
      <c r="JL14" s="2479" t="str">
        <f t="shared" si="250"/>
        <v/>
      </c>
      <c r="JM14" s="2479" t="str">
        <f t="shared" si="251"/>
        <v/>
      </c>
      <c r="JN14" s="2479" t="str">
        <f t="shared" si="252"/>
        <v/>
      </c>
      <c r="JO14" s="2479" t="str">
        <f t="shared" si="253"/>
        <v/>
      </c>
      <c r="JP14" s="2479" t="str">
        <f t="shared" si="254"/>
        <v/>
      </c>
      <c r="JQ14" s="2479" t="str">
        <f t="shared" si="255"/>
        <v/>
      </c>
      <c r="JR14" s="2479" t="str">
        <f t="shared" si="256"/>
        <v/>
      </c>
      <c r="JS14" s="2479" t="str">
        <f t="shared" si="257"/>
        <v/>
      </c>
      <c r="JT14" s="2479" t="str">
        <f t="shared" si="258"/>
        <v/>
      </c>
      <c r="JU14" s="2479" t="str">
        <f t="shared" si="259"/>
        <v/>
      </c>
      <c r="JV14" s="2479" t="str">
        <f t="shared" si="260"/>
        <v/>
      </c>
      <c r="JW14" s="2479" t="str">
        <f t="shared" si="261"/>
        <v/>
      </c>
      <c r="JX14" s="2479" t="str">
        <f t="shared" si="262"/>
        <v/>
      </c>
      <c r="JY14" s="2479" t="str">
        <f t="shared" si="263"/>
        <v/>
      </c>
      <c r="JZ14" s="2479" t="str">
        <f t="shared" si="264"/>
        <v/>
      </c>
      <c r="KA14" s="2479" t="str">
        <f t="shared" si="265"/>
        <v/>
      </c>
      <c r="KB14" s="2479" t="str">
        <f t="shared" si="266"/>
        <v/>
      </c>
      <c r="KC14" s="2479" t="str">
        <f t="shared" si="267"/>
        <v/>
      </c>
      <c r="KD14" s="2479" t="str">
        <f t="shared" si="268"/>
        <v/>
      </c>
      <c r="KE14" s="2479" t="str">
        <f t="shared" si="269"/>
        <v/>
      </c>
      <c r="KF14" s="2479" t="str">
        <f t="shared" si="270"/>
        <v/>
      </c>
      <c r="KG14" s="2479" t="str">
        <f t="shared" si="271"/>
        <v/>
      </c>
      <c r="KH14" s="2479" t="str">
        <f t="shared" si="272"/>
        <v/>
      </c>
      <c r="KI14" s="2479" t="str">
        <f t="shared" si="273"/>
        <v/>
      </c>
      <c r="KJ14" s="2479" t="str">
        <f t="shared" si="274"/>
        <v/>
      </c>
      <c r="KK14" s="2479" t="str">
        <f t="shared" si="275"/>
        <v/>
      </c>
      <c r="KL14" s="2479" t="str">
        <f t="shared" si="276"/>
        <v/>
      </c>
      <c r="KM14" s="2479" t="str">
        <f t="shared" si="277"/>
        <v/>
      </c>
      <c r="KN14" s="2479" t="str">
        <f t="shared" si="278"/>
        <v/>
      </c>
      <c r="KO14" s="2479" t="str">
        <f t="shared" si="279"/>
        <v/>
      </c>
      <c r="KP14" s="2479" t="str">
        <f t="shared" si="280"/>
        <v/>
      </c>
      <c r="KQ14" s="2479" t="str">
        <f t="shared" si="281"/>
        <v/>
      </c>
      <c r="KR14" s="2479" t="str">
        <f t="shared" si="282"/>
        <v/>
      </c>
      <c r="KS14" s="2479" t="str">
        <f t="shared" si="283"/>
        <v/>
      </c>
      <c r="KT14" s="2479" t="str">
        <f t="shared" si="284"/>
        <v/>
      </c>
      <c r="KU14" s="2479" t="str">
        <f t="shared" si="285"/>
        <v/>
      </c>
      <c r="KV14" s="2479" t="str">
        <f t="shared" si="286"/>
        <v/>
      </c>
      <c r="KW14" s="2479" t="str">
        <f t="shared" si="287"/>
        <v/>
      </c>
      <c r="KX14" s="2479" t="str">
        <f t="shared" si="288"/>
        <v/>
      </c>
      <c r="KY14" s="2479" t="str">
        <f t="shared" si="289"/>
        <v/>
      </c>
      <c r="KZ14" s="2479" t="str">
        <f t="shared" si="290"/>
        <v/>
      </c>
      <c r="LA14" s="2479" t="str">
        <f t="shared" si="291"/>
        <v/>
      </c>
      <c r="LB14" s="2479" t="str">
        <f t="shared" si="292"/>
        <v/>
      </c>
      <c r="LC14" s="2479" t="str">
        <f t="shared" si="293"/>
        <v/>
      </c>
      <c r="LD14" s="2479" t="str">
        <f t="shared" si="294"/>
        <v/>
      </c>
      <c r="LE14" s="2479" t="str">
        <f t="shared" si="295"/>
        <v/>
      </c>
      <c r="LF14" s="2479" t="str">
        <f t="shared" si="296"/>
        <v/>
      </c>
      <c r="LG14" s="2479" t="str">
        <f t="shared" si="297"/>
        <v/>
      </c>
      <c r="LH14" s="2479" t="str">
        <f t="shared" si="298"/>
        <v/>
      </c>
      <c r="LI14" s="2479" t="str">
        <f t="shared" si="299"/>
        <v/>
      </c>
      <c r="LJ14" s="2479" t="str">
        <f t="shared" si="300"/>
        <v/>
      </c>
      <c r="LK14" s="2479" t="str">
        <f t="shared" si="301"/>
        <v/>
      </c>
      <c r="LL14" s="2479" t="str">
        <f t="shared" si="302"/>
        <v/>
      </c>
      <c r="LM14" s="2479" t="str">
        <f t="shared" si="303"/>
        <v/>
      </c>
      <c r="LN14" s="2479" t="str">
        <f t="shared" si="304"/>
        <v/>
      </c>
      <c r="LO14" s="2479" t="str">
        <f t="shared" si="305"/>
        <v/>
      </c>
      <c r="LP14" s="2479" t="str">
        <f t="shared" si="306"/>
        <v/>
      </c>
      <c r="LQ14" s="2480" t="str">
        <f t="shared" si="307"/>
        <v/>
      </c>
      <c r="LR14" s="2480" t="str">
        <f t="shared" si="308"/>
        <v/>
      </c>
      <c r="LS14" s="2480" t="str">
        <f t="shared" si="309"/>
        <v/>
      </c>
      <c r="LT14" s="2480" t="str">
        <f t="shared" si="310"/>
        <v/>
      </c>
      <c r="LU14" s="2480"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78">
        <f t="shared" si="338"/>
        <v>0</v>
      </c>
      <c r="MQ14" s="2478">
        <f t="shared" si="339"/>
        <v>0</v>
      </c>
      <c r="MR14" s="2478">
        <f t="shared" si="340"/>
        <v>0</v>
      </c>
      <c r="MS14" s="2478">
        <f t="shared" si="341"/>
        <v>0</v>
      </c>
      <c r="MT14" s="2478">
        <f t="shared" si="342"/>
        <v>0</v>
      </c>
      <c r="MU14" s="2478">
        <f t="shared" si="343"/>
        <v>0</v>
      </c>
      <c r="MV14" s="2478">
        <f t="shared" si="344"/>
        <v>0</v>
      </c>
      <c r="MW14" s="2478">
        <f t="shared" si="345"/>
        <v>0</v>
      </c>
      <c r="MX14" s="2478">
        <f t="shared" si="346"/>
        <v>0</v>
      </c>
      <c r="MY14" s="2478">
        <f t="shared" si="347"/>
        <v>0</v>
      </c>
      <c r="MZ14" s="2478">
        <f t="shared" si="332"/>
        <v>0</v>
      </c>
      <c r="NA14" s="2478">
        <f t="shared" si="333"/>
        <v>0</v>
      </c>
      <c r="NB14" s="2478">
        <f t="shared" si="334"/>
        <v>0</v>
      </c>
      <c r="NC14" s="2478">
        <f t="shared" si="335"/>
        <v>0</v>
      </c>
      <c r="ND14" s="2478">
        <f t="shared" si="336"/>
        <v>0</v>
      </c>
    </row>
    <row r="15" spans="1:503" ht="13.8" customHeight="1">
      <c r="A15" s="111" t="str">
        <f t="shared" si="337"/>
        <v/>
      </c>
      <c r="B15" s="1651" t="s">
        <v>298</v>
      </c>
      <c r="C15" s="171"/>
      <c r="D15" s="172"/>
      <c r="E15" s="173"/>
      <c r="F15" s="173"/>
      <c r="G15" s="173"/>
      <c r="H15" s="173"/>
      <c r="I15" s="173"/>
      <c r="J15" s="2318"/>
      <c r="K15" s="931"/>
      <c r="L15" s="667">
        <f t="shared" si="0"/>
        <v>0</v>
      </c>
      <c r="M15" s="667">
        <f t="shared" si="1"/>
        <v>0</v>
      </c>
      <c r="N15" s="1013"/>
      <c r="O15" s="1013"/>
      <c r="P15" s="1013"/>
      <c r="Q15" s="174"/>
      <c r="R15" s="1069"/>
      <c r="S15" s="1070"/>
      <c r="T15" s="3503"/>
      <c r="U15" s="3504"/>
      <c r="V15" s="3504"/>
      <c r="W15" s="3505"/>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79" t="str">
        <f t="shared" si="212"/>
        <v/>
      </c>
      <c r="IA15" s="2479" t="str">
        <f t="shared" si="213"/>
        <v/>
      </c>
      <c r="IB15" s="2479" t="str">
        <f t="shared" si="214"/>
        <v/>
      </c>
      <c r="IC15" s="2479" t="str">
        <f t="shared" si="215"/>
        <v/>
      </c>
      <c r="ID15" s="2479" t="str">
        <f t="shared" si="216"/>
        <v/>
      </c>
      <c r="IE15" s="2479" t="str">
        <f t="shared" si="217"/>
        <v/>
      </c>
      <c r="IF15" s="2479" t="str">
        <f t="shared" si="218"/>
        <v/>
      </c>
      <c r="IG15" s="2479" t="str">
        <f t="shared" si="219"/>
        <v/>
      </c>
      <c r="IH15" s="2479" t="str">
        <f t="shared" si="220"/>
        <v/>
      </c>
      <c r="II15" s="2479" t="str">
        <f t="shared" si="221"/>
        <v/>
      </c>
      <c r="IJ15" s="2479" t="str">
        <f t="shared" si="222"/>
        <v/>
      </c>
      <c r="IK15" s="2479" t="str">
        <f t="shared" si="223"/>
        <v/>
      </c>
      <c r="IL15" s="2479" t="str">
        <f t="shared" si="224"/>
        <v/>
      </c>
      <c r="IM15" s="2479" t="str">
        <f t="shared" si="225"/>
        <v/>
      </c>
      <c r="IN15" s="2479" t="str">
        <f t="shared" si="226"/>
        <v/>
      </c>
      <c r="IO15" s="2479" t="str">
        <f t="shared" si="227"/>
        <v/>
      </c>
      <c r="IP15" s="2479" t="str">
        <f t="shared" si="228"/>
        <v/>
      </c>
      <c r="IQ15" s="2479" t="str">
        <f t="shared" si="229"/>
        <v/>
      </c>
      <c r="IR15" s="2479" t="str">
        <f t="shared" si="230"/>
        <v/>
      </c>
      <c r="IS15" s="2479" t="str">
        <f t="shared" si="231"/>
        <v/>
      </c>
      <c r="IT15" s="2479" t="str">
        <f t="shared" si="232"/>
        <v/>
      </c>
      <c r="IU15" s="2479" t="str">
        <f t="shared" si="233"/>
        <v/>
      </c>
      <c r="IV15" s="2479" t="str">
        <f t="shared" si="234"/>
        <v/>
      </c>
      <c r="IW15" s="2479" t="str">
        <f t="shared" si="235"/>
        <v/>
      </c>
      <c r="IX15" s="2479" t="str">
        <f t="shared" si="236"/>
        <v/>
      </c>
      <c r="IY15" s="2479" t="str">
        <f t="shared" si="237"/>
        <v/>
      </c>
      <c r="IZ15" s="2479" t="str">
        <f t="shared" si="238"/>
        <v/>
      </c>
      <c r="JA15" s="2479" t="str">
        <f t="shared" si="239"/>
        <v/>
      </c>
      <c r="JB15" s="2479" t="str">
        <f t="shared" si="240"/>
        <v/>
      </c>
      <c r="JC15" s="2479" t="str">
        <f t="shared" si="241"/>
        <v/>
      </c>
      <c r="JD15" s="2479" t="str">
        <f t="shared" si="242"/>
        <v/>
      </c>
      <c r="JE15" s="2479" t="str">
        <f t="shared" si="243"/>
        <v/>
      </c>
      <c r="JF15" s="2479" t="str">
        <f t="shared" si="244"/>
        <v/>
      </c>
      <c r="JG15" s="2479" t="str">
        <f t="shared" si="245"/>
        <v/>
      </c>
      <c r="JH15" s="2479" t="str">
        <f t="shared" si="246"/>
        <v/>
      </c>
      <c r="JI15" s="2479" t="str">
        <f t="shared" si="247"/>
        <v/>
      </c>
      <c r="JJ15" s="2479" t="str">
        <f t="shared" si="248"/>
        <v/>
      </c>
      <c r="JK15" s="2479" t="str">
        <f t="shared" si="249"/>
        <v/>
      </c>
      <c r="JL15" s="2479" t="str">
        <f t="shared" si="250"/>
        <v/>
      </c>
      <c r="JM15" s="2479" t="str">
        <f t="shared" si="251"/>
        <v/>
      </c>
      <c r="JN15" s="2479" t="str">
        <f t="shared" si="252"/>
        <v/>
      </c>
      <c r="JO15" s="2479" t="str">
        <f t="shared" si="253"/>
        <v/>
      </c>
      <c r="JP15" s="2479" t="str">
        <f t="shared" si="254"/>
        <v/>
      </c>
      <c r="JQ15" s="2479" t="str">
        <f t="shared" si="255"/>
        <v/>
      </c>
      <c r="JR15" s="2479" t="str">
        <f t="shared" si="256"/>
        <v/>
      </c>
      <c r="JS15" s="2479" t="str">
        <f t="shared" si="257"/>
        <v/>
      </c>
      <c r="JT15" s="2479" t="str">
        <f t="shared" si="258"/>
        <v/>
      </c>
      <c r="JU15" s="2479" t="str">
        <f t="shared" si="259"/>
        <v/>
      </c>
      <c r="JV15" s="2479" t="str">
        <f t="shared" si="260"/>
        <v/>
      </c>
      <c r="JW15" s="2479" t="str">
        <f t="shared" si="261"/>
        <v/>
      </c>
      <c r="JX15" s="2479" t="str">
        <f t="shared" si="262"/>
        <v/>
      </c>
      <c r="JY15" s="2479" t="str">
        <f t="shared" si="263"/>
        <v/>
      </c>
      <c r="JZ15" s="2479" t="str">
        <f t="shared" si="264"/>
        <v/>
      </c>
      <c r="KA15" s="2479" t="str">
        <f t="shared" si="265"/>
        <v/>
      </c>
      <c r="KB15" s="2479" t="str">
        <f t="shared" si="266"/>
        <v/>
      </c>
      <c r="KC15" s="2479" t="str">
        <f t="shared" si="267"/>
        <v/>
      </c>
      <c r="KD15" s="2479" t="str">
        <f t="shared" si="268"/>
        <v/>
      </c>
      <c r="KE15" s="2479" t="str">
        <f t="shared" si="269"/>
        <v/>
      </c>
      <c r="KF15" s="2479" t="str">
        <f t="shared" si="270"/>
        <v/>
      </c>
      <c r="KG15" s="2479" t="str">
        <f t="shared" si="271"/>
        <v/>
      </c>
      <c r="KH15" s="2479" t="str">
        <f t="shared" si="272"/>
        <v/>
      </c>
      <c r="KI15" s="2479" t="str">
        <f t="shared" si="273"/>
        <v/>
      </c>
      <c r="KJ15" s="2479" t="str">
        <f t="shared" si="274"/>
        <v/>
      </c>
      <c r="KK15" s="2479" t="str">
        <f t="shared" si="275"/>
        <v/>
      </c>
      <c r="KL15" s="2479" t="str">
        <f t="shared" si="276"/>
        <v/>
      </c>
      <c r="KM15" s="2479" t="str">
        <f t="shared" si="277"/>
        <v/>
      </c>
      <c r="KN15" s="2479" t="str">
        <f t="shared" si="278"/>
        <v/>
      </c>
      <c r="KO15" s="2479" t="str">
        <f t="shared" si="279"/>
        <v/>
      </c>
      <c r="KP15" s="2479" t="str">
        <f t="shared" si="280"/>
        <v/>
      </c>
      <c r="KQ15" s="2479" t="str">
        <f t="shared" si="281"/>
        <v/>
      </c>
      <c r="KR15" s="2479" t="str">
        <f t="shared" si="282"/>
        <v/>
      </c>
      <c r="KS15" s="2479" t="str">
        <f t="shared" si="283"/>
        <v/>
      </c>
      <c r="KT15" s="2479" t="str">
        <f t="shared" si="284"/>
        <v/>
      </c>
      <c r="KU15" s="2479" t="str">
        <f t="shared" si="285"/>
        <v/>
      </c>
      <c r="KV15" s="2479" t="str">
        <f t="shared" si="286"/>
        <v/>
      </c>
      <c r="KW15" s="2479" t="str">
        <f t="shared" si="287"/>
        <v/>
      </c>
      <c r="KX15" s="2479" t="str">
        <f t="shared" si="288"/>
        <v/>
      </c>
      <c r="KY15" s="2479" t="str">
        <f t="shared" si="289"/>
        <v/>
      </c>
      <c r="KZ15" s="2479" t="str">
        <f t="shared" si="290"/>
        <v/>
      </c>
      <c r="LA15" s="2479" t="str">
        <f t="shared" si="291"/>
        <v/>
      </c>
      <c r="LB15" s="2479" t="str">
        <f t="shared" si="292"/>
        <v/>
      </c>
      <c r="LC15" s="2479" t="str">
        <f t="shared" si="293"/>
        <v/>
      </c>
      <c r="LD15" s="2479" t="str">
        <f t="shared" si="294"/>
        <v/>
      </c>
      <c r="LE15" s="2479" t="str">
        <f t="shared" si="295"/>
        <v/>
      </c>
      <c r="LF15" s="2479" t="str">
        <f t="shared" si="296"/>
        <v/>
      </c>
      <c r="LG15" s="2479" t="str">
        <f t="shared" si="297"/>
        <v/>
      </c>
      <c r="LH15" s="2479" t="str">
        <f t="shared" si="298"/>
        <v/>
      </c>
      <c r="LI15" s="2479" t="str">
        <f t="shared" si="299"/>
        <v/>
      </c>
      <c r="LJ15" s="2479" t="str">
        <f t="shared" si="300"/>
        <v/>
      </c>
      <c r="LK15" s="2479" t="str">
        <f t="shared" si="301"/>
        <v/>
      </c>
      <c r="LL15" s="2479" t="str">
        <f t="shared" si="302"/>
        <v/>
      </c>
      <c r="LM15" s="2479" t="str">
        <f t="shared" si="303"/>
        <v/>
      </c>
      <c r="LN15" s="2479" t="str">
        <f t="shared" si="304"/>
        <v/>
      </c>
      <c r="LO15" s="2479" t="str">
        <f t="shared" si="305"/>
        <v/>
      </c>
      <c r="LP15" s="2479" t="str">
        <f t="shared" si="306"/>
        <v/>
      </c>
      <c r="LQ15" s="2480" t="str">
        <f t="shared" si="307"/>
        <v/>
      </c>
      <c r="LR15" s="2480" t="str">
        <f t="shared" si="308"/>
        <v/>
      </c>
      <c r="LS15" s="2480" t="str">
        <f t="shared" si="309"/>
        <v/>
      </c>
      <c r="LT15" s="2480" t="str">
        <f t="shared" si="310"/>
        <v/>
      </c>
      <c r="LU15" s="2480"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78">
        <f t="shared" si="338"/>
        <v>0</v>
      </c>
      <c r="MQ15" s="2478">
        <f t="shared" si="339"/>
        <v>0</v>
      </c>
      <c r="MR15" s="2478">
        <f t="shared" si="340"/>
        <v>0</v>
      </c>
      <c r="MS15" s="2478">
        <f t="shared" si="341"/>
        <v>0</v>
      </c>
      <c r="MT15" s="2478">
        <f t="shared" si="342"/>
        <v>0</v>
      </c>
      <c r="MU15" s="2478">
        <f t="shared" si="343"/>
        <v>0</v>
      </c>
      <c r="MV15" s="2478">
        <f t="shared" si="344"/>
        <v>0</v>
      </c>
      <c r="MW15" s="2478">
        <f t="shared" si="345"/>
        <v>0</v>
      </c>
      <c r="MX15" s="2478">
        <f t="shared" si="346"/>
        <v>0</v>
      </c>
      <c r="MY15" s="2478">
        <f t="shared" si="347"/>
        <v>0</v>
      </c>
      <c r="MZ15" s="2478">
        <f t="shared" si="332"/>
        <v>0</v>
      </c>
      <c r="NA15" s="2478">
        <f t="shared" si="333"/>
        <v>0</v>
      </c>
      <c r="NB15" s="2478">
        <f t="shared" si="334"/>
        <v>0</v>
      </c>
      <c r="NC15" s="2478">
        <f t="shared" si="335"/>
        <v>0</v>
      </c>
      <c r="ND15" s="2478">
        <f t="shared" si="336"/>
        <v>0</v>
      </c>
    </row>
    <row r="16" spans="1:503" ht="13.8" customHeight="1" thickBot="1">
      <c r="A16" s="111" t="str">
        <f t="shared" si="337"/>
        <v/>
      </c>
      <c r="B16" s="1652" t="s">
        <v>298</v>
      </c>
      <c r="C16" s="1656"/>
      <c r="D16" s="1657"/>
      <c r="E16" s="1658"/>
      <c r="F16" s="1658"/>
      <c r="G16" s="1658"/>
      <c r="H16" s="1658"/>
      <c r="I16" s="1658"/>
      <c r="J16" s="2319"/>
      <c r="K16" s="1679"/>
      <c r="L16" s="1680">
        <f t="shared" si="0"/>
        <v>0</v>
      </c>
      <c r="M16" s="1680">
        <f t="shared" si="1"/>
        <v>0</v>
      </c>
      <c r="N16" s="1681"/>
      <c r="O16" s="1681"/>
      <c r="P16" s="1681"/>
      <c r="Q16" s="1682"/>
      <c r="R16" s="1069"/>
      <c r="S16" s="1070"/>
      <c r="T16" s="3503"/>
      <c r="U16" s="3504"/>
      <c r="V16" s="3504"/>
      <c r="W16" s="3505"/>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79" t="str">
        <f t="shared" si="212"/>
        <v/>
      </c>
      <c r="IA16" s="2479" t="str">
        <f t="shared" si="213"/>
        <v/>
      </c>
      <c r="IB16" s="2479" t="str">
        <f t="shared" si="214"/>
        <v/>
      </c>
      <c r="IC16" s="2479" t="str">
        <f t="shared" si="215"/>
        <v/>
      </c>
      <c r="ID16" s="2479" t="str">
        <f t="shared" si="216"/>
        <v/>
      </c>
      <c r="IE16" s="2479" t="str">
        <f t="shared" si="217"/>
        <v/>
      </c>
      <c r="IF16" s="2479" t="str">
        <f t="shared" si="218"/>
        <v/>
      </c>
      <c r="IG16" s="2479" t="str">
        <f t="shared" si="219"/>
        <v/>
      </c>
      <c r="IH16" s="2479" t="str">
        <f t="shared" si="220"/>
        <v/>
      </c>
      <c r="II16" s="2479" t="str">
        <f t="shared" si="221"/>
        <v/>
      </c>
      <c r="IJ16" s="2479" t="str">
        <f t="shared" si="222"/>
        <v/>
      </c>
      <c r="IK16" s="2479" t="str">
        <f t="shared" si="223"/>
        <v/>
      </c>
      <c r="IL16" s="2479" t="str">
        <f t="shared" si="224"/>
        <v/>
      </c>
      <c r="IM16" s="2479" t="str">
        <f t="shared" si="225"/>
        <v/>
      </c>
      <c r="IN16" s="2479" t="str">
        <f t="shared" si="226"/>
        <v/>
      </c>
      <c r="IO16" s="2479" t="str">
        <f t="shared" si="227"/>
        <v/>
      </c>
      <c r="IP16" s="2479" t="str">
        <f t="shared" si="228"/>
        <v/>
      </c>
      <c r="IQ16" s="2479" t="str">
        <f t="shared" si="229"/>
        <v/>
      </c>
      <c r="IR16" s="2479" t="str">
        <f t="shared" si="230"/>
        <v/>
      </c>
      <c r="IS16" s="2479" t="str">
        <f t="shared" si="231"/>
        <v/>
      </c>
      <c r="IT16" s="2479" t="str">
        <f t="shared" si="232"/>
        <v/>
      </c>
      <c r="IU16" s="2479" t="str">
        <f t="shared" si="233"/>
        <v/>
      </c>
      <c r="IV16" s="2479" t="str">
        <f t="shared" si="234"/>
        <v/>
      </c>
      <c r="IW16" s="2479" t="str">
        <f t="shared" si="235"/>
        <v/>
      </c>
      <c r="IX16" s="2479" t="str">
        <f t="shared" si="236"/>
        <v/>
      </c>
      <c r="IY16" s="2479" t="str">
        <f t="shared" si="237"/>
        <v/>
      </c>
      <c r="IZ16" s="2479" t="str">
        <f t="shared" si="238"/>
        <v/>
      </c>
      <c r="JA16" s="2479" t="str">
        <f t="shared" si="239"/>
        <v/>
      </c>
      <c r="JB16" s="2479" t="str">
        <f t="shared" si="240"/>
        <v/>
      </c>
      <c r="JC16" s="2479" t="str">
        <f t="shared" si="241"/>
        <v/>
      </c>
      <c r="JD16" s="2479" t="str">
        <f t="shared" si="242"/>
        <v/>
      </c>
      <c r="JE16" s="2479" t="str">
        <f t="shared" si="243"/>
        <v/>
      </c>
      <c r="JF16" s="2479" t="str">
        <f t="shared" si="244"/>
        <v/>
      </c>
      <c r="JG16" s="2479" t="str">
        <f t="shared" si="245"/>
        <v/>
      </c>
      <c r="JH16" s="2479" t="str">
        <f t="shared" si="246"/>
        <v/>
      </c>
      <c r="JI16" s="2479" t="str">
        <f t="shared" si="247"/>
        <v/>
      </c>
      <c r="JJ16" s="2479" t="str">
        <f t="shared" si="248"/>
        <v/>
      </c>
      <c r="JK16" s="2479" t="str">
        <f t="shared" si="249"/>
        <v/>
      </c>
      <c r="JL16" s="2479" t="str">
        <f t="shared" si="250"/>
        <v/>
      </c>
      <c r="JM16" s="2479" t="str">
        <f t="shared" si="251"/>
        <v/>
      </c>
      <c r="JN16" s="2479" t="str">
        <f t="shared" si="252"/>
        <v/>
      </c>
      <c r="JO16" s="2479" t="str">
        <f t="shared" si="253"/>
        <v/>
      </c>
      <c r="JP16" s="2479" t="str">
        <f t="shared" si="254"/>
        <v/>
      </c>
      <c r="JQ16" s="2479" t="str">
        <f t="shared" si="255"/>
        <v/>
      </c>
      <c r="JR16" s="2479" t="str">
        <f t="shared" si="256"/>
        <v/>
      </c>
      <c r="JS16" s="2479" t="str">
        <f t="shared" si="257"/>
        <v/>
      </c>
      <c r="JT16" s="2479" t="str">
        <f t="shared" si="258"/>
        <v/>
      </c>
      <c r="JU16" s="2479" t="str">
        <f t="shared" si="259"/>
        <v/>
      </c>
      <c r="JV16" s="2479" t="str">
        <f t="shared" si="260"/>
        <v/>
      </c>
      <c r="JW16" s="2479" t="str">
        <f t="shared" si="261"/>
        <v/>
      </c>
      <c r="JX16" s="2479" t="str">
        <f t="shared" si="262"/>
        <v/>
      </c>
      <c r="JY16" s="2479" t="str">
        <f t="shared" si="263"/>
        <v/>
      </c>
      <c r="JZ16" s="2479" t="str">
        <f t="shared" si="264"/>
        <v/>
      </c>
      <c r="KA16" s="2479" t="str">
        <f t="shared" si="265"/>
        <v/>
      </c>
      <c r="KB16" s="2479" t="str">
        <f t="shared" si="266"/>
        <v/>
      </c>
      <c r="KC16" s="2479" t="str">
        <f t="shared" si="267"/>
        <v/>
      </c>
      <c r="KD16" s="2479" t="str">
        <f t="shared" si="268"/>
        <v/>
      </c>
      <c r="KE16" s="2479" t="str">
        <f t="shared" si="269"/>
        <v/>
      </c>
      <c r="KF16" s="2479" t="str">
        <f t="shared" si="270"/>
        <v/>
      </c>
      <c r="KG16" s="2479" t="str">
        <f t="shared" si="271"/>
        <v/>
      </c>
      <c r="KH16" s="2479" t="str">
        <f t="shared" si="272"/>
        <v/>
      </c>
      <c r="KI16" s="2479" t="str">
        <f t="shared" si="273"/>
        <v/>
      </c>
      <c r="KJ16" s="2479" t="str">
        <f t="shared" si="274"/>
        <v/>
      </c>
      <c r="KK16" s="2479" t="str">
        <f t="shared" si="275"/>
        <v/>
      </c>
      <c r="KL16" s="2479" t="str">
        <f t="shared" si="276"/>
        <v/>
      </c>
      <c r="KM16" s="2479" t="str">
        <f t="shared" si="277"/>
        <v/>
      </c>
      <c r="KN16" s="2479" t="str">
        <f t="shared" si="278"/>
        <v/>
      </c>
      <c r="KO16" s="2479" t="str">
        <f t="shared" si="279"/>
        <v/>
      </c>
      <c r="KP16" s="2479" t="str">
        <f t="shared" si="280"/>
        <v/>
      </c>
      <c r="KQ16" s="2479" t="str">
        <f t="shared" si="281"/>
        <v/>
      </c>
      <c r="KR16" s="2479" t="str">
        <f t="shared" si="282"/>
        <v/>
      </c>
      <c r="KS16" s="2479" t="str">
        <f t="shared" si="283"/>
        <v/>
      </c>
      <c r="KT16" s="2479" t="str">
        <f t="shared" si="284"/>
        <v/>
      </c>
      <c r="KU16" s="2479" t="str">
        <f t="shared" si="285"/>
        <v/>
      </c>
      <c r="KV16" s="2479" t="str">
        <f t="shared" si="286"/>
        <v/>
      </c>
      <c r="KW16" s="2479" t="str">
        <f t="shared" si="287"/>
        <v/>
      </c>
      <c r="KX16" s="2479" t="str">
        <f t="shared" si="288"/>
        <v/>
      </c>
      <c r="KY16" s="2479" t="str">
        <f t="shared" si="289"/>
        <v/>
      </c>
      <c r="KZ16" s="2479" t="str">
        <f t="shared" si="290"/>
        <v/>
      </c>
      <c r="LA16" s="2479" t="str">
        <f t="shared" si="291"/>
        <v/>
      </c>
      <c r="LB16" s="2479" t="str">
        <f t="shared" si="292"/>
        <v/>
      </c>
      <c r="LC16" s="2479" t="str">
        <f t="shared" si="293"/>
        <v/>
      </c>
      <c r="LD16" s="2479" t="str">
        <f t="shared" si="294"/>
        <v/>
      </c>
      <c r="LE16" s="2479" t="str">
        <f t="shared" si="295"/>
        <v/>
      </c>
      <c r="LF16" s="2479" t="str">
        <f t="shared" si="296"/>
        <v/>
      </c>
      <c r="LG16" s="2479" t="str">
        <f t="shared" si="297"/>
        <v/>
      </c>
      <c r="LH16" s="2479" t="str">
        <f t="shared" si="298"/>
        <v/>
      </c>
      <c r="LI16" s="2479" t="str">
        <f t="shared" si="299"/>
        <v/>
      </c>
      <c r="LJ16" s="2479" t="str">
        <f t="shared" si="300"/>
        <v/>
      </c>
      <c r="LK16" s="2479" t="str">
        <f t="shared" si="301"/>
        <v/>
      </c>
      <c r="LL16" s="2479" t="str">
        <f t="shared" si="302"/>
        <v/>
      </c>
      <c r="LM16" s="2479" t="str">
        <f t="shared" si="303"/>
        <v/>
      </c>
      <c r="LN16" s="2479" t="str">
        <f t="shared" si="304"/>
        <v/>
      </c>
      <c r="LO16" s="2479" t="str">
        <f t="shared" si="305"/>
        <v/>
      </c>
      <c r="LP16" s="2479" t="str">
        <f t="shared" si="306"/>
        <v/>
      </c>
      <c r="LQ16" s="2480" t="str">
        <f t="shared" si="307"/>
        <v/>
      </c>
      <c r="LR16" s="2480" t="str">
        <f t="shared" si="308"/>
        <v/>
      </c>
      <c r="LS16" s="2480" t="str">
        <f t="shared" si="309"/>
        <v/>
      </c>
      <c r="LT16" s="2480" t="str">
        <f t="shared" si="310"/>
        <v/>
      </c>
      <c r="LU16" s="2480"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78">
        <f t="shared" si="338"/>
        <v>0</v>
      </c>
      <c r="MQ16" s="2478">
        <f t="shared" si="339"/>
        <v>0</v>
      </c>
      <c r="MR16" s="2478">
        <f t="shared" si="340"/>
        <v>0</v>
      </c>
      <c r="MS16" s="2478">
        <f t="shared" si="341"/>
        <v>0</v>
      </c>
      <c r="MT16" s="2478">
        <f t="shared" si="342"/>
        <v>0</v>
      </c>
      <c r="MU16" s="2478">
        <f t="shared" si="343"/>
        <v>0</v>
      </c>
      <c r="MV16" s="2478">
        <f t="shared" si="344"/>
        <v>0</v>
      </c>
      <c r="MW16" s="2478">
        <f t="shared" si="345"/>
        <v>0</v>
      </c>
      <c r="MX16" s="2478">
        <f t="shared" si="346"/>
        <v>0</v>
      </c>
      <c r="MY16" s="2478">
        <f t="shared" si="347"/>
        <v>0</v>
      </c>
      <c r="MZ16" s="2478">
        <f t="shared" si="332"/>
        <v>0</v>
      </c>
      <c r="NA16" s="2478">
        <f t="shared" si="333"/>
        <v>0</v>
      </c>
      <c r="NB16" s="2478">
        <f t="shared" si="334"/>
        <v>0</v>
      </c>
      <c r="NC16" s="2478">
        <f t="shared" si="335"/>
        <v>0</v>
      </c>
      <c r="ND16" s="2478">
        <f t="shared" si="336"/>
        <v>0</v>
      </c>
    </row>
    <row r="17" spans="1:368" ht="13.8" customHeight="1">
      <c r="A17" s="111">
        <f t="shared" si="337"/>
        <v>1</v>
      </c>
      <c r="B17" s="1694">
        <v>60</v>
      </c>
      <c r="C17" s="1653">
        <v>1</v>
      </c>
      <c r="D17" s="1654">
        <v>1</v>
      </c>
      <c r="E17" s="1655">
        <v>18</v>
      </c>
      <c r="F17" s="1655">
        <v>780</v>
      </c>
      <c r="G17" s="1655">
        <v>777</v>
      </c>
      <c r="H17" s="1655">
        <v>777</v>
      </c>
      <c r="I17" s="1655"/>
      <c r="J17" s="1674">
        <f>IF(C17="",0,HLOOKUP(C17,'Part V-Utility Allowances'!$I$11:$M$22,12))</f>
        <v>113</v>
      </c>
      <c r="K17" s="1675"/>
      <c r="L17" s="1676">
        <f t="shared" si="0"/>
        <v>664</v>
      </c>
      <c r="M17" s="1676">
        <f t="shared" si="1"/>
        <v>11952</v>
      </c>
      <c r="N17" s="1677" t="s">
        <v>2889</v>
      </c>
      <c r="O17" s="1677" t="s">
        <v>7005</v>
      </c>
      <c r="P17" s="1677" t="s">
        <v>2237</v>
      </c>
      <c r="Q17" s="1678" t="s">
        <v>2889</v>
      </c>
      <c r="R17" s="1069"/>
      <c r="S17" s="1070"/>
      <c r="T17" s="3503"/>
      <c r="U17" s="3504"/>
      <c r="V17" s="3504"/>
      <c r="W17" s="3505"/>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f t="shared" si="13"/>
        <v>18</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f t="shared" si="128"/>
        <v>14040</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f t="shared" si="168"/>
        <v>18</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79" t="str">
        <f t="shared" si="212"/>
        <v/>
      </c>
      <c r="IA17" s="2479">
        <f t="shared" si="213"/>
        <v>18</v>
      </c>
      <c r="IB17" s="2479" t="str">
        <f t="shared" si="214"/>
        <v/>
      </c>
      <c r="IC17" s="2479" t="str">
        <f t="shared" si="215"/>
        <v/>
      </c>
      <c r="ID17" s="2479" t="str">
        <f t="shared" si="216"/>
        <v/>
      </c>
      <c r="IE17" s="2479" t="str">
        <f t="shared" si="217"/>
        <v/>
      </c>
      <c r="IF17" s="2479" t="str">
        <f t="shared" si="218"/>
        <v/>
      </c>
      <c r="IG17" s="2479" t="str">
        <f t="shared" si="219"/>
        <v/>
      </c>
      <c r="IH17" s="2479" t="str">
        <f t="shared" si="220"/>
        <v/>
      </c>
      <c r="II17" s="2479" t="str">
        <f t="shared" si="221"/>
        <v/>
      </c>
      <c r="IJ17" s="2479" t="str">
        <f t="shared" si="222"/>
        <v/>
      </c>
      <c r="IK17" s="2479" t="str">
        <f t="shared" si="223"/>
        <v/>
      </c>
      <c r="IL17" s="2479" t="str">
        <f t="shared" si="224"/>
        <v/>
      </c>
      <c r="IM17" s="2479" t="str">
        <f t="shared" si="225"/>
        <v/>
      </c>
      <c r="IN17" s="2479" t="str">
        <f t="shared" si="226"/>
        <v/>
      </c>
      <c r="IO17" s="2479" t="str">
        <f t="shared" si="227"/>
        <v/>
      </c>
      <c r="IP17" s="2479" t="str">
        <f t="shared" si="228"/>
        <v/>
      </c>
      <c r="IQ17" s="2479" t="str">
        <f t="shared" si="229"/>
        <v/>
      </c>
      <c r="IR17" s="2479" t="str">
        <f t="shared" si="230"/>
        <v/>
      </c>
      <c r="IS17" s="2479" t="str">
        <f t="shared" si="231"/>
        <v/>
      </c>
      <c r="IT17" s="2479" t="str">
        <f t="shared" si="232"/>
        <v/>
      </c>
      <c r="IU17" s="2479" t="str">
        <f t="shared" si="233"/>
        <v/>
      </c>
      <c r="IV17" s="2479" t="str">
        <f t="shared" si="234"/>
        <v/>
      </c>
      <c r="IW17" s="2479" t="str">
        <f t="shared" si="235"/>
        <v/>
      </c>
      <c r="IX17" s="2479" t="str">
        <f t="shared" si="236"/>
        <v/>
      </c>
      <c r="IY17" s="2479" t="str">
        <f t="shared" si="237"/>
        <v/>
      </c>
      <c r="IZ17" s="2479" t="str">
        <f t="shared" si="238"/>
        <v/>
      </c>
      <c r="JA17" s="2479" t="str">
        <f t="shared" si="239"/>
        <v/>
      </c>
      <c r="JB17" s="2479" t="str">
        <f t="shared" si="240"/>
        <v/>
      </c>
      <c r="JC17" s="2479" t="str">
        <f t="shared" si="241"/>
        <v/>
      </c>
      <c r="JD17" s="2479" t="str">
        <f t="shared" si="242"/>
        <v/>
      </c>
      <c r="JE17" s="2479" t="str">
        <f t="shared" si="243"/>
        <v/>
      </c>
      <c r="JF17" s="2479" t="str">
        <f t="shared" si="244"/>
        <v/>
      </c>
      <c r="JG17" s="2479" t="str">
        <f t="shared" si="245"/>
        <v/>
      </c>
      <c r="JH17" s="2479" t="str">
        <f t="shared" si="246"/>
        <v/>
      </c>
      <c r="JI17" s="2479" t="str">
        <f t="shared" si="247"/>
        <v/>
      </c>
      <c r="JJ17" s="2479" t="str">
        <f t="shared" si="248"/>
        <v/>
      </c>
      <c r="JK17" s="2479" t="str">
        <f t="shared" si="249"/>
        <v/>
      </c>
      <c r="JL17" s="2479" t="str">
        <f t="shared" si="250"/>
        <v/>
      </c>
      <c r="JM17" s="2479" t="str">
        <f t="shared" si="251"/>
        <v/>
      </c>
      <c r="JN17" s="2479" t="str">
        <f t="shared" si="252"/>
        <v/>
      </c>
      <c r="JO17" s="2479" t="str">
        <f t="shared" si="253"/>
        <v/>
      </c>
      <c r="JP17" s="2479" t="str">
        <f t="shared" si="254"/>
        <v/>
      </c>
      <c r="JQ17" s="2479" t="str">
        <f t="shared" si="255"/>
        <v/>
      </c>
      <c r="JR17" s="2479" t="str">
        <f t="shared" si="256"/>
        <v/>
      </c>
      <c r="JS17" s="2479" t="str">
        <f t="shared" si="257"/>
        <v/>
      </c>
      <c r="JT17" s="2479" t="str">
        <f t="shared" si="258"/>
        <v/>
      </c>
      <c r="JU17" s="2479" t="str">
        <f t="shared" si="259"/>
        <v/>
      </c>
      <c r="JV17" s="2479" t="str">
        <f t="shared" si="260"/>
        <v/>
      </c>
      <c r="JW17" s="2479" t="str">
        <f t="shared" si="261"/>
        <v/>
      </c>
      <c r="JX17" s="2479" t="str">
        <f t="shared" si="262"/>
        <v/>
      </c>
      <c r="JY17" s="2479" t="str">
        <f t="shared" si="263"/>
        <v/>
      </c>
      <c r="JZ17" s="2479" t="str">
        <f t="shared" si="264"/>
        <v/>
      </c>
      <c r="KA17" s="2479" t="str">
        <f t="shared" si="265"/>
        <v/>
      </c>
      <c r="KB17" s="2479" t="str">
        <f t="shared" si="266"/>
        <v/>
      </c>
      <c r="KC17" s="2479" t="str">
        <f t="shared" si="267"/>
        <v/>
      </c>
      <c r="KD17" s="2479" t="str">
        <f t="shared" si="268"/>
        <v/>
      </c>
      <c r="KE17" s="2479" t="str">
        <f t="shared" si="269"/>
        <v/>
      </c>
      <c r="KF17" s="2479" t="str">
        <f t="shared" si="270"/>
        <v/>
      </c>
      <c r="KG17" s="2479" t="str">
        <f t="shared" si="271"/>
        <v/>
      </c>
      <c r="KH17" s="2479" t="str">
        <f t="shared" si="272"/>
        <v/>
      </c>
      <c r="KI17" s="2479" t="str">
        <f t="shared" si="273"/>
        <v/>
      </c>
      <c r="KJ17" s="2479" t="str">
        <f t="shared" si="274"/>
        <v/>
      </c>
      <c r="KK17" s="2479" t="str">
        <f t="shared" si="275"/>
        <v/>
      </c>
      <c r="KL17" s="2479" t="str">
        <f t="shared" si="276"/>
        <v/>
      </c>
      <c r="KM17" s="2479" t="str">
        <f t="shared" si="277"/>
        <v/>
      </c>
      <c r="KN17" s="2479" t="str">
        <f t="shared" si="278"/>
        <v/>
      </c>
      <c r="KO17" s="2479" t="str">
        <f t="shared" si="279"/>
        <v/>
      </c>
      <c r="KP17" s="2479" t="str">
        <f t="shared" si="280"/>
        <v/>
      </c>
      <c r="KQ17" s="2479" t="str">
        <f t="shared" si="281"/>
        <v/>
      </c>
      <c r="KR17" s="2479" t="str">
        <f t="shared" si="282"/>
        <v/>
      </c>
      <c r="KS17" s="2479" t="str">
        <f t="shared" si="283"/>
        <v/>
      </c>
      <c r="KT17" s="2479" t="str">
        <f t="shared" si="284"/>
        <v/>
      </c>
      <c r="KU17" s="2479" t="str">
        <f t="shared" si="285"/>
        <v/>
      </c>
      <c r="KV17" s="2479" t="str">
        <f t="shared" si="286"/>
        <v/>
      </c>
      <c r="KW17" s="2479" t="str">
        <f t="shared" si="287"/>
        <v/>
      </c>
      <c r="KX17" s="2479">
        <f t="shared" si="288"/>
        <v>18</v>
      </c>
      <c r="KY17" s="2479" t="str">
        <f t="shared" si="289"/>
        <v/>
      </c>
      <c r="KZ17" s="2479" t="str">
        <f t="shared" si="290"/>
        <v/>
      </c>
      <c r="LA17" s="2479" t="str">
        <f t="shared" si="291"/>
        <v/>
      </c>
      <c r="LB17" s="2479" t="str">
        <f t="shared" si="292"/>
        <v/>
      </c>
      <c r="LC17" s="2479" t="str">
        <f t="shared" si="293"/>
        <v/>
      </c>
      <c r="LD17" s="2479" t="str">
        <f t="shared" si="294"/>
        <v/>
      </c>
      <c r="LE17" s="2479" t="str">
        <f t="shared" si="295"/>
        <v/>
      </c>
      <c r="LF17" s="2479" t="str">
        <f t="shared" si="296"/>
        <v/>
      </c>
      <c r="LG17" s="2479" t="str">
        <f t="shared" si="297"/>
        <v/>
      </c>
      <c r="LH17" s="2479" t="str">
        <f t="shared" si="298"/>
        <v/>
      </c>
      <c r="LI17" s="2479" t="str">
        <f t="shared" si="299"/>
        <v/>
      </c>
      <c r="LJ17" s="2479" t="str">
        <f t="shared" si="300"/>
        <v/>
      </c>
      <c r="LK17" s="2479" t="str">
        <f t="shared" si="301"/>
        <v/>
      </c>
      <c r="LL17" s="2479" t="str">
        <f t="shared" si="302"/>
        <v/>
      </c>
      <c r="LM17" s="2479" t="str">
        <f t="shared" si="303"/>
        <v/>
      </c>
      <c r="LN17" s="2479" t="str">
        <f t="shared" si="304"/>
        <v/>
      </c>
      <c r="LO17" s="2479" t="str">
        <f t="shared" si="305"/>
        <v/>
      </c>
      <c r="LP17" s="2479" t="str">
        <f t="shared" si="306"/>
        <v/>
      </c>
      <c r="LQ17" s="2480" t="str">
        <f t="shared" si="307"/>
        <v/>
      </c>
      <c r="LR17" s="2480" t="str">
        <f t="shared" si="308"/>
        <v/>
      </c>
      <c r="LS17" s="2480" t="str">
        <f t="shared" si="309"/>
        <v/>
      </c>
      <c r="LT17" s="2480" t="str">
        <f t="shared" si="310"/>
        <v/>
      </c>
      <c r="LU17" s="2480"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78">
        <f t="shared" si="338"/>
        <v>0</v>
      </c>
      <c r="MQ17" s="2478">
        <f t="shared" si="339"/>
        <v>0</v>
      </c>
      <c r="MR17" s="2478">
        <f t="shared" si="340"/>
        <v>0</v>
      </c>
      <c r="MS17" s="2478">
        <f t="shared" si="341"/>
        <v>0</v>
      </c>
      <c r="MT17" s="2478">
        <f t="shared" si="342"/>
        <v>0</v>
      </c>
      <c r="MU17" s="2478">
        <f t="shared" si="343"/>
        <v>0</v>
      </c>
      <c r="MV17" s="2478">
        <f t="shared" si="344"/>
        <v>18</v>
      </c>
      <c r="MW17" s="2478">
        <f t="shared" si="345"/>
        <v>0</v>
      </c>
      <c r="MX17" s="2478">
        <f t="shared" si="346"/>
        <v>0</v>
      </c>
      <c r="MY17" s="2478">
        <f t="shared" si="347"/>
        <v>0</v>
      </c>
      <c r="MZ17" s="2478">
        <f t="shared" si="332"/>
        <v>0</v>
      </c>
      <c r="NA17" s="2478">
        <f t="shared" si="333"/>
        <v>0</v>
      </c>
      <c r="NB17" s="2478">
        <f t="shared" si="334"/>
        <v>0</v>
      </c>
      <c r="NC17" s="2478">
        <f t="shared" si="335"/>
        <v>0</v>
      </c>
      <c r="ND17" s="2478">
        <f t="shared" si="336"/>
        <v>0</v>
      </c>
    </row>
    <row r="18" spans="1:368" ht="13.8" customHeight="1">
      <c r="A18" s="111">
        <f t="shared" si="337"/>
        <v>1</v>
      </c>
      <c r="B18" s="1695">
        <v>60</v>
      </c>
      <c r="C18" s="171">
        <v>2</v>
      </c>
      <c r="D18" s="172">
        <v>2</v>
      </c>
      <c r="E18" s="173">
        <v>106</v>
      </c>
      <c r="F18" s="173">
        <v>1075</v>
      </c>
      <c r="G18" s="173">
        <v>933</v>
      </c>
      <c r="H18" s="173">
        <v>933</v>
      </c>
      <c r="I18" s="173"/>
      <c r="J18" s="1092">
        <f>IF(C18="",0,HLOOKUP(C18,'Part V-Utility Allowances'!$I$11:$M$22,12))</f>
        <v>141</v>
      </c>
      <c r="K18" s="931"/>
      <c r="L18" s="667">
        <f t="shared" si="0"/>
        <v>792</v>
      </c>
      <c r="M18" s="667">
        <f t="shared" si="1"/>
        <v>83952</v>
      </c>
      <c r="N18" s="1013" t="s">
        <v>2889</v>
      </c>
      <c r="O18" s="1013" t="s">
        <v>7005</v>
      </c>
      <c r="P18" s="1013" t="s">
        <v>2237</v>
      </c>
      <c r="Q18" s="174" t="s">
        <v>2889</v>
      </c>
      <c r="R18" s="1069"/>
      <c r="S18" s="1070"/>
      <c r="T18" s="3503"/>
      <c r="U18" s="3504"/>
      <c r="V18" s="3504"/>
      <c r="W18" s="3505"/>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f t="shared" si="14"/>
        <v>106</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f t="shared" si="129"/>
        <v>113950</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f t="shared" si="169"/>
        <v>106</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79" t="str">
        <f t="shared" si="212"/>
        <v/>
      </c>
      <c r="IA18" s="2479" t="str">
        <f t="shared" si="213"/>
        <v/>
      </c>
      <c r="IB18" s="2479">
        <f t="shared" si="214"/>
        <v>106</v>
      </c>
      <c r="IC18" s="2479" t="str">
        <f t="shared" si="215"/>
        <v/>
      </c>
      <c r="ID18" s="2479" t="str">
        <f t="shared" si="216"/>
        <v/>
      </c>
      <c r="IE18" s="2479" t="str">
        <f t="shared" si="217"/>
        <v/>
      </c>
      <c r="IF18" s="2479" t="str">
        <f t="shared" si="218"/>
        <v/>
      </c>
      <c r="IG18" s="2479" t="str">
        <f t="shared" si="219"/>
        <v/>
      </c>
      <c r="IH18" s="2479" t="str">
        <f t="shared" si="220"/>
        <v/>
      </c>
      <c r="II18" s="2479" t="str">
        <f t="shared" si="221"/>
        <v/>
      </c>
      <c r="IJ18" s="2479" t="str">
        <f t="shared" si="222"/>
        <v/>
      </c>
      <c r="IK18" s="2479" t="str">
        <f t="shared" si="223"/>
        <v/>
      </c>
      <c r="IL18" s="2479" t="str">
        <f t="shared" si="224"/>
        <v/>
      </c>
      <c r="IM18" s="2479" t="str">
        <f t="shared" si="225"/>
        <v/>
      </c>
      <c r="IN18" s="2479" t="str">
        <f t="shared" si="226"/>
        <v/>
      </c>
      <c r="IO18" s="2479" t="str">
        <f t="shared" si="227"/>
        <v/>
      </c>
      <c r="IP18" s="2479" t="str">
        <f t="shared" si="228"/>
        <v/>
      </c>
      <c r="IQ18" s="2479" t="str">
        <f t="shared" si="229"/>
        <v/>
      </c>
      <c r="IR18" s="2479" t="str">
        <f t="shared" si="230"/>
        <v/>
      </c>
      <c r="IS18" s="2479" t="str">
        <f t="shared" si="231"/>
        <v/>
      </c>
      <c r="IT18" s="2479" t="str">
        <f t="shared" si="232"/>
        <v/>
      </c>
      <c r="IU18" s="2479" t="str">
        <f t="shared" si="233"/>
        <v/>
      </c>
      <c r="IV18" s="2479" t="str">
        <f t="shared" si="234"/>
        <v/>
      </c>
      <c r="IW18" s="2479" t="str">
        <f t="shared" si="235"/>
        <v/>
      </c>
      <c r="IX18" s="2479" t="str">
        <f t="shared" si="236"/>
        <v/>
      </c>
      <c r="IY18" s="2479" t="str">
        <f t="shared" si="237"/>
        <v/>
      </c>
      <c r="IZ18" s="2479" t="str">
        <f t="shared" si="238"/>
        <v/>
      </c>
      <c r="JA18" s="2479" t="str">
        <f t="shared" si="239"/>
        <v/>
      </c>
      <c r="JB18" s="2479" t="str">
        <f t="shared" si="240"/>
        <v/>
      </c>
      <c r="JC18" s="2479" t="str">
        <f t="shared" si="241"/>
        <v/>
      </c>
      <c r="JD18" s="2479" t="str">
        <f t="shared" si="242"/>
        <v/>
      </c>
      <c r="JE18" s="2479" t="str">
        <f t="shared" si="243"/>
        <v/>
      </c>
      <c r="JF18" s="2479" t="str">
        <f t="shared" si="244"/>
        <v/>
      </c>
      <c r="JG18" s="2479" t="str">
        <f t="shared" si="245"/>
        <v/>
      </c>
      <c r="JH18" s="2479" t="str">
        <f t="shared" si="246"/>
        <v/>
      </c>
      <c r="JI18" s="2479" t="str">
        <f t="shared" si="247"/>
        <v/>
      </c>
      <c r="JJ18" s="2479" t="str">
        <f t="shared" si="248"/>
        <v/>
      </c>
      <c r="JK18" s="2479" t="str">
        <f t="shared" si="249"/>
        <v/>
      </c>
      <c r="JL18" s="2479" t="str">
        <f t="shared" si="250"/>
        <v/>
      </c>
      <c r="JM18" s="2479" t="str">
        <f t="shared" si="251"/>
        <v/>
      </c>
      <c r="JN18" s="2479" t="str">
        <f t="shared" si="252"/>
        <v/>
      </c>
      <c r="JO18" s="2479" t="str">
        <f t="shared" si="253"/>
        <v/>
      </c>
      <c r="JP18" s="2479" t="str">
        <f t="shared" si="254"/>
        <v/>
      </c>
      <c r="JQ18" s="2479" t="str">
        <f t="shared" si="255"/>
        <v/>
      </c>
      <c r="JR18" s="2479" t="str">
        <f t="shared" si="256"/>
        <v/>
      </c>
      <c r="JS18" s="2479" t="str">
        <f t="shared" si="257"/>
        <v/>
      </c>
      <c r="JT18" s="2479" t="str">
        <f t="shared" si="258"/>
        <v/>
      </c>
      <c r="JU18" s="2479" t="str">
        <f t="shared" si="259"/>
        <v/>
      </c>
      <c r="JV18" s="2479" t="str">
        <f t="shared" si="260"/>
        <v/>
      </c>
      <c r="JW18" s="2479" t="str">
        <f t="shared" si="261"/>
        <v/>
      </c>
      <c r="JX18" s="2479" t="str">
        <f t="shared" si="262"/>
        <v/>
      </c>
      <c r="JY18" s="2479" t="str">
        <f t="shared" si="263"/>
        <v/>
      </c>
      <c r="JZ18" s="2479" t="str">
        <f t="shared" si="264"/>
        <v/>
      </c>
      <c r="KA18" s="2479" t="str">
        <f t="shared" si="265"/>
        <v/>
      </c>
      <c r="KB18" s="2479" t="str">
        <f t="shared" si="266"/>
        <v/>
      </c>
      <c r="KC18" s="2479" t="str">
        <f t="shared" si="267"/>
        <v/>
      </c>
      <c r="KD18" s="2479" t="str">
        <f t="shared" si="268"/>
        <v/>
      </c>
      <c r="KE18" s="2479" t="str">
        <f t="shared" si="269"/>
        <v/>
      </c>
      <c r="KF18" s="2479" t="str">
        <f t="shared" si="270"/>
        <v/>
      </c>
      <c r="KG18" s="2479" t="str">
        <f t="shared" si="271"/>
        <v/>
      </c>
      <c r="KH18" s="2479" t="str">
        <f t="shared" si="272"/>
        <v/>
      </c>
      <c r="KI18" s="2479" t="str">
        <f t="shared" si="273"/>
        <v/>
      </c>
      <c r="KJ18" s="2479" t="str">
        <f t="shared" si="274"/>
        <v/>
      </c>
      <c r="KK18" s="2479" t="str">
        <f t="shared" si="275"/>
        <v/>
      </c>
      <c r="KL18" s="2479" t="str">
        <f t="shared" si="276"/>
        <v/>
      </c>
      <c r="KM18" s="2479" t="str">
        <f t="shared" si="277"/>
        <v/>
      </c>
      <c r="KN18" s="2479" t="str">
        <f t="shared" si="278"/>
        <v/>
      </c>
      <c r="KO18" s="2479" t="str">
        <f t="shared" si="279"/>
        <v/>
      </c>
      <c r="KP18" s="2479" t="str">
        <f t="shared" si="280"/>
        <v/>
      </c>
      <c r="KQ18" s="2479" t="str">
        <f t="shared" si="281"/>
        <v/>
      </c>
      <c r="KR18" s="2479" t="str">
        <f t="shared" si="282"/>
        <v/>
      </c>
      <c r="KS18" s="2479" t="str">
        <f t="shared" si="283"/>
        <v/>
      </c>
      <c r="KT18" s="2479" t="str">
        <f t="shared" si="284"/>
        <v/>
      </c>
      <c r="KU18" s="2479" t="str">
        <f t="shared" si="285"/>
        <v/>
      </c>
      <c r="KV18" s="2479" t="str">
        <f t="shared" si="286"/>
        <v/>
      </c>
      <c r="KW18" s="2479" t="str">
        <f t="shared" si="287"/>
        <v/>
      </c>
      <c r="KX18" s="2479" t="str">
        <f t="shared" si="288"/>
        <v/>
      </c>
      <c r="KY18" s="2479">
        <f t="shared" si="289"/>
        <v>106</v>
      </c>
      <c r="KZ18" s="2479" t="str">
        <f t="shared" si="290"/>
        <v/>
      </c>
      <c r="LA18" s="2479" t="str">
        <f t="shared" si="291"/>
        <v/>
      </c>
      <c r="LB18" s="2479" t="str">
        <f t="shared" si="292"/>
        <v/>
      </c>
      <c r="LC18" s="2479" t="str">
        <f t="shared" si="293"/>
        <v/>
      </c>
      <c r="LD18" s="2479" t="str">
        <f t="shared" si="294"/>
        <v/>
      </c>
      <c r="LE18" s="2479" t="str">
        <f t="shared" si="295"/>
        <v/>
      </c>
      <c r="LF18" s="2479" t="str">
        <f t="shared" si="296"/>
        <v/>
      </c>
      <c r="LG18" s="2479" t="str">
        <f t="shared" si="297"/>
        <v/>
      </c>
      <c r="LH18" s="2479" t="str">
        <f t="shared" si="298"/>
        <v/>
      </c>
      <c r="LI18" s="2479" t="str">
        <f t="shared" si="299"/>
        <v/>
      </c>
      <c r="LJ18" s="2479" t="str">
        <f t="shared" si="300"/>
        <v/>
      </c>
      <c r="LK18" s="2479" t="str">
        <f t="shared" si="301"/>
        <v/>
      </c>
      <c r="LL18" s="2479" t="str">
        <f t="shared" si="302"/>
        <v/>
      </c>
      <c r="LM18" s="2479" t="str">
        <f t="shared" si="303"/>
        <v/>
      </c>
      <c r="LN18" s="2479" t="str">
        <f t="shared" si="304"/>
        <v/>
      </c>
      <c r="LO18" s="2479" t="str">
        <f t="shared" si="305"/>
        <v/>
      </c>
      <c r="LP18" s="2479" t="str">
        <f t="shared" si="306"/>
        <v/>
      </c>
      <c r="LQ18" s="2480" t="str">
        <f t="shared" si="307"/>
        <v/>
      </c>
      <c r="LR18" s="2480" t="str">
        <f t="shared" si="308"/>
        <v/>
      </c>
      <c r="LS18" s="2480" t="str">
        <f t="shared" si="309"/>
        <v/>
      </c>
      <c r="LT18" s="2480" t="str">
        <f t="shared" si="310"/>
        <v/>
      </c>
      <c r="LU18" s="2480"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78">
        <f t="shared" si="338"/>
        <v>0</v>
      </c>
      <c r="MQ18" s="2478">
        <f t="shared" si="339"/>
        <v>0</v>
      </c>
      <c r="MR18" s="2478">
        <f t="shared" si="340"/>
        <v>0</v>
      </c>
      <c r="MS18" s="2478">
        <f t="shared" si="341"/>
        <v>0</v>
      </c>
      <c r="MT18" s="2478">
        <f t="shared" si="342"/>
        <v>0</v>
      </c>
      <c r="MU18" s="2478">
        <f t="shared" si="343"/>
        <v>0</v>
      </c>
      <c r="MV18" s="2478">
        <f t="shared" si="344"/>
        <v>0</v>
      </c>
      <c r="MW18" s="2478">
        <f t="shared" si="345"/>
        <v>106</v>
      </c>
      <c r="MX18" s="2478">
        <f t="shared" si="346"/>
        <v>0</v>
      </c>
      <c r="MY18" s="2478">
        <f t="shared" si="347"/>
        <v>0</v>
      </c>
      <c r="MZ18" s="2478">
        <f t="shared" si="332"/>
        <v>0</v>
      </c>
      <c r="NA18" s="2478">
        <f t="shared" si="333"/>
        <v>0</v>
      </c>
      <c r="NB18" s="2478">
        <f t="shared" si="334"/>
        <v>0</v>
      </c>
      <c r="NC18" s="2478">
        <f t="shared" si="335"/>
        <v>0</v>
      </c>
      <c r="ND18" s="2478">
        <f t="shared" si="336"/>
        <v>0</v>
      </c>
    </row>
    <row r="19" spans="1:368" ht="13.8" customHeight="1">
      <c r="A19" s="111">
        <f t="shared" si="337"/>
        <v>1</v>
      </c>
      <c r="B19" s="1695">
        <v>60</v>
      </c>
      <c r="C19" s="171">
        <v>3</v>
      </c>
      <c r="D19" s="172">
        <v>2</v>
      </c>
      <c r="E19" s="173">
        <v>76</v>
      </c>
      <c r="F19" s="173">
        <v>1240</v>
      </c>
      <c r="G19" s="173">
        <v>1078</v>
      </c>
      <c r="H19" s="173">
        <v>1078</v>
      </c>
      <c r="I19" s="173"/>
      <c r="J19" s="1092">
        <f>IF(C19="",0,HLOOKUP(C19,'Part V-Utility Allowances'!$I$11:$M$22,12))</f>
        <v>182</v>
      </c>
      <c r="K19" s="931"/>
      <c r="L19" s="667">
        <f t="shared" si="0"/>
        <v>896</v>
      </c>
      <c r="M19" s="667">
        <f t="shared" si="1"/>
        <v>68096</v>
      </c>
      <c r="N19" s="1013" t="s">
        <v>2889</v>
      </c>
      <c r="O19" s="1013" t="s">
        <v>7005</v>
      </c>
      <c r="P19" s="1013" t="s">
        <v>2237</v>
      </c>
      <c r="Q19" s="174" t="s">
        <v>2889</v>
      </c>
      <c r="R19" s="1069"/>
      <c r="S19" s="1070"/>
      <c r="T19" s="3503"/>
      <c r="U19" s="3504"/>
      <c r="V19" s="3504"/>
      <c r="W19" s="3505"/>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f t="shared" si="15"/>
        <v>76</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f t="shared" si="130"/>
        <v>94240</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f t="shared" si="170"/>
        <v>76</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79" t="str">
        <f t="shared" si="212"/>
        <v/>
      </c>
      <c r="IA19" s="2479" t="str">
        <f t="shared" si="213"/>
        <v/>
      </c>
      <c r="IB19" s="2479" t="str">
        <f t="shared" si="214"/>
        <v/>
      </c>
      <c r="IC19" s="2479">
        <f t="shared" si="215"/>
        <v>76</v>
      </c>
      <c r="ID19" s="2479" t="str">
        <f t="shared" si="216"/>
        <v/>
      </c>
      <c r="IE19" s="2479" t="str">
        <f t="shared" si="217"/>
        <v/>
      </c>
      <c r="IF19" s="2479" t="str">
        <f t="shared" si="218"/>
        <v/>
      </c>
      <c r="IG19" s="2479" t="str">
        <f t="shared" si="219"/>
        <v/>
      </c>
      <c r="IH19" s="2479" t="str">
        <f t="shared" si="220"/>
        <v/>
      </c>
      <c r="II19" s="2479" t="str">
        <f t="shared" si="221"/>
        <v/>
      </c>
      <c r="IJ19" s="2479" t="str">
        <f t="shared" si="222"/>
        <v/>
      </c>
      <c r="IK19" s="2479" t="str">
        <f t="shared" si="223"/>
        <v/>
      </c>
      <c r="IL19" s="2479" t="str">
        <f t="shared" si="224"/>
        <v/>
      </c>
      <c r="IM19" s="2479" t="str">
        <f t="shared" si="225"/>
        <v/>
      </c>
      <c r="IN19" s="2479" t="str">
        <f t="shared" si="226"/>
        <v/>
      </c>
      <c r="IO19" s="2479" t="str">
        <f t="shared" si="227"/>
        <v/>
      </c>
      <c r="IP19" s="2479" t="str">
        <f t="shared" si="228"/>
        <v/>
      </c>
      <c r="IQ19" s="2479" t="str">
        <f t="shared" si="229"/>
        <v/>
      </c>
      <c r="IR19" s="2479" t="str">
        <f t="shared" si="230"/>
        <v/>
      </c>
      <c r="IS19" s="2479" t="str">
        <f t="shared" si="231"/>
        <v/>
      </c>
      <c r="IT19" s="2479" t="str">
        <f t="shared" si="232"/>
        <v/>
      </c>
      <c r="IU19" s="2479" t="str">
        <f t="shared" si="233"/>
        <v/>
      </c>
      <c r="IV19" s="2479" t="str">
        <f t="shared" si="234"/>
        <v/>
      </c>
      <c r="IW19" s="2479" t="str">
        <f t="shared" si="235"/>
        <v/>
      </c>
      <c r="IX19" s="2479" t="str">
        <f t="shared" si="236"/>
        <v/>
      </c>
      <c r="IY19" s="2479" t="str">
        <f t="shared" si="237"/>
        <v/>
      </c>
      <c r="IZ19" s="2479" t="str">
        <f t="shared" si="238"/>
        <v/>
      </c>
      <c r="JA19" s="2479" t="str">
        <f t="shared" si="239"/>
        <v/>
      </c>
      <c r="JB19" s="2479" t="str">
        <f t="shared" si="240"/>
        <v/>
      </c>
      <c r="JC19" s="2479" t="str">
        <f t="shared" si="241"/>
        <v/>
      </c>
      <c r="JD19" s="2479" t="str">
        <f t="shared" si="242"/>
        <v/>
      </c>
      <c r="JE19" s="2479" t="str">
        <f t="shared" si="243"/>
        <v/>
      </c>
      <c r="JF19" s="2479" t="str">
        <f t="shared" si="244"/>
        <v/>
      </c>
      <c r="JG19" s="2479" t="str">
        <f t="shared" si="245"/>
        <v/>
      </c>
      <c r="JH19" s="2479" t="str">
        <f t="shared" si="246"/>
        <v/>
      </c>
      <c r="JI19" s="2479" t="str">
        <f t="shared" si="247"/>
        <v/>
      </c>
      <c r="JJ19" s="2479" t="str">
        <f t="shared" si="248"/>
        <v/>
      </c>
      <c r="JK19" s="2479" t="str">
        <f t="shared" si="249"/>
        <v/>
      </c>
      <c r="JL19" s="2479" t="str">
        <f t="shared" si="250"/>
        <v/>
      </c>
      <c r="JM19" s="2479" t="str">
        <f t="shared" si="251"/>
        <v/>
      </c>
      <c r="JN19" s="2479" t="str">
        <f t="shared" si="252"/>
        <v/>
      </c>
      <c r="JO19" s="2479" t="str">
        <f t="shared" si="253"/>
        <v/>
      </c>
      <c r="JP19" s="2479" t="str">
        <f t="shared" si="254"/>
        <v/>
      </c>
      <c r="JQ19" s="2479" t="str">
        <f t="shared" si="255"/>
        <v/>
      </c>
      <c r="JR19" s="2479" t="str">
        <f t="shared" si="256"/>
        <v/>
      </c>
      <c r="JS19" s="2479" t="str">
        <f t="shared" si="257"/>
        <v/>
      </c>
      <c r="JT19" s="2479" t="str">
        <f t="shared" si="258"/>
        <v/>
      </c>
      <c r="JU19" s="2479" t="str">
        <f t="shared" si="259"/>
        <v/>
      </c>
      <c r="JV19" s="2479" t="str">
        <f t="shared" si="260"/>
        <v/>
      </c>
      <c r="JW19" s="2479" t="str">
        <f t="shared" si="261"/>
        <v/>
      </c>
      <c r="JX19" s="2479" t="str">
        <f t="shared" si="262"/>
        <v/>
      </c>
      <c r="JY19" s="2479" t="str">
        <f t="shared" si="263"/>
        <v/>
      </c>
      <c r="JZ19" s="2479" t="str">
        <f t="shared" si="264"/>
        <v/>
      </c>
      <c r="KA19" s="2479" t="str">
        <f t="shared" si="265"/>
        <v/>
      </c>
      <c r="KB19" s="2479" t="str">
        <f t="shared" si="266"/>
        <v/>
      </c>
      <c r="KC19" s="2479" t="str">
        <f t="shared" si="267"/>
        <v/>
      </c>
      <c r="KD19" s="2479" t="str">
        <f t="shared" si="268"/>
        <v/>
      </c>
      <c r="KE19" s="2479" t="str">
        <f t="shared" si="269"/>
        <v/>
      </c>
      <c r="KF19" s="2479" t="str">
        <f t="shared" si="270"/>
        <v/>
      </c>
      <c r="KG19" s="2479" t="str">
        <f t="shared" si="271"/>
        <v/>
      </c>
      <c r="KH19" s="2479" t="str">
        <f t="shared" si="272"/>
        <v/>
      </c>
      <c r="KI19" s="2479" t="str">
        <f t="shared" si="273"/>
        <v/>
      </c>
      <c r="KJ19" s="2479" t="str">
        <f t="shared" si="274"/>
        <v/>
      </c>
      <c r="KK19" s="2479" t="str">
        <f t="shared" si="275"/>
        <v/>
      </c>
      <c r="KL19" s="2479" t="str">
        <f t="shared" si="276"/>
        <v/>
      </c>
      <c r="KM19" s="2479" t="str">
        <f t="shared" si="277"/>
        <v/>
      </c>
      <c r="KN19" s="2479" t="str">
        <f t="shared" si="278"/>
        <v/>
      </c>
      <c r="KO19" s="2479" t="str">
        <f t="shared" si="279"/>
        <v/>
      </c>
      <c r="KP19" s="2479" t="str">
        <f t="shared" si="280"/>
        <v/>
      </c>
      <c r="KQ19" s="2479" t="str">
        <f t="shared" si="281"/>
        <v/>
      </c>
      <c r="KR19" s="2479" t="str">
        <f t="shared" si="282"/>
        <v/>
      </c>
      <c r="KS19" s="2479" t="str">
        <f t="shared" si="283"/>
        <v/>
      </c>
      <c r="KT19" s="2479" t="str">
        <f t="shared" si="284"/>
        <v/>
      </c>
      <c r="KU19" s="2479" t="str">
        <f t="shared" si="285"/>
        <v/>
      </c>
      <c r="KV19" s="2479" t="str">
        <f t="shared" si="286"/>
        <v/>
      </c>
      <c r="KW19" s="2479" t="str">
        <f t="shared" si="287"/>
        <v/>
      </c>
      <c r="KX19" s="2479" t="str">
        <f t="shared" si="288"/>
        <v/>
      </c>
      <c r="KY19" s="2479" t="str">
        <f t="shared" si="289"/>
        <v/>
      </c>
      <c r="KZ19" s="2479">
        <f t="shared" si="290"/>
        <v>76</v>
      </c>
      <c r="LA19" s="2479" t="str">
        <f t="shared" si="291"/>
        <v/>
      </c>
      <c r="LB19" s="2479" t="str">
        <f t="shared" si="292"/>
        <v/>
      </c>
      <c r="LC19" s="2479" t="str">
        <f t="shared" si="293"/>
        <v/>
      </c>
      <c r="LD19" s="2479" t="str">
        <f t="shared" si="294"/>
        <v/>
      </c>
      <c r="LE19" s="2479" t="str">
        <f t="shared" si="295"/>
        <v/>
      </c>
      <c r="LF19" s="2479" t="str">
        <f t="shared" si="296"/>
        <v/>
      </c>
      <c r="LG19" s="2479" t="str">
        <f t="shared" si="297"/>
        <v/>
      </c>
      <c r="LH19" s="2479" t="str">
        <f t="shared" si="298"/>
        <v/>
      </c>
      <c r="LI19" s="2479" t="str">
        <f t="shared" si="299"/>
        <v/>
      </c>
      <c r="LJ19" s="2479" t="str">
        <f t="shared" si="300"/>
        <v/>
      </c>
      <c r="LK19" s="2479" t="str">
        <f t="shared" si="301"/>
        <v/>
      </c>
      <c r="LL19" s="2479" t="str">
        <f t="shared" si="302"/>
        <v/>
      </c>
      <c r="LM19" s="2479" t="str">
        <f t="shared" si="303"/>
        <v/>
      </c>
      <c r="LN19" s="2479" t="str">
        <f t="shared" si="304"/>
        <v/>
      </c>
      <c r="LO19" s="2479" t="str">
        <f t="shared" si="305"/>
        <v/>
      </c>
      <c r="LP19" s="2479" t="str">
        <f t="shared" si="306"/>
        <v/>
      </c>
      <c r="LQ19" s="2480" t="str">
        <f t="shared" si="307"/>
        <v/>
      </c>
      <c r="LR19" s="2480" t="str">
        <f t="shared" si="308"/>
        <v/>
      </c>
      <c r="LS19" s="2480" t="str">
        <f t="shared" si="309"/>
        <v/>
      </c>
      <c r="LT19" s="2480" t="str">
        <f t="shared" si="310"/>
        <v/>
      </c>
      <c r="LU19" s="2480"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78">
        <f t="shared" si="338"/>
        <v>0</v>
      </c>
      <c r="MQ19" s="2478">
        <f t="shared" si="339"/>
        <v>0</v>
      </c>
      <c r="MR19" s="2478">
        <f t="shared" si="340"/>
        <v>0</v>
      </c>
      <c r="MS19" s="2478">
        <f t="shared" si="341"/>
        <v>0</v>
      </c>
      <c r="MT19" s="2478">
        <f t="shared" si="342"/>
        <v>0</v>
      </c>
      <c r="MU19" s="2478">
        <f t="shared" si="343"/>
        <v>0</v>
      </c>
      <c r="MV19" s="2478">
        <f t="shared" si="344"/>
        <v>0</v>
      </c>
      <c r="MW19" s="2478">
        <f t="shared" si="345"/>
        <v>0</v>
      </c>
      <c r="MX19" s="2478">
        <f t="shared" si="346"/>
        <v>76</v>
      </c>
      <c r="MY19" s="2478">
        <f t="shared" si="347"/>
        <v>0</v>
      </c>
      <c r="MZ19" s="2478">
        <f t="shared" si="332"/>
        <v>0</v>
      </c>
      <c r="NA19" s="2478">
        <f t="shared" si="333"/>
        <v>0</v>
      </c>
      <c r="NB19" s="2478">
        <f t="shared" si="334"/>
        <v>0</v>
      </c>
      <c r="NC19" s="2478">
        <f t="shared" si="335"/>
        <v>0</v>
      </c>
      <c r="ND19" s="2478">
        <f t="shared" si="336"/>
        <v>0</v>
      </c>
    </row>
    <row r="20" spans="1:368" ht="13.8" customHeight="1">
      <c r="A20" s="111" t="str">
        <f t="shared" si="337"/>
        <v/>
      </c>
      <c r="B20" s="1695">
        <v>50</v>
      </c>
      <c r="C20" s="171"/>
      <c r="D20" s="172"/>
      <c r="E20" s="173"/>
      <c r="F20" s="173"/>
      <c r="G20" s="173"/>
      <c r="H20" s="173"/>
      <c r="I20" s="173"/>
      <c r="J20" s="1092">
        <f>IF(C20="",0,HLOOKUP(C20,'Part V-Utility Allowances'!$I$11:$M$22,12))</f>
        <v>0</v>
      </c>
      <c r="K20" s="931"/>
      <c r="L20" s="667">
        <f t="shared" si="0"/>
        <v>0</v>
      </c>
      <c r="M20" s="667">
        <f t="shared" si="1"/>
        <v>0</v>
      </c>
      <c r="N20" s="1013"/>
      <c r="O20" s="1013"/>
      <c r="P20" s="1013"/>
      <c r="Q20" s="174"/>
      <c r="R20" s="1069"/>
      <c r="S20" s="1070"/>
      <c r="T20" s="3503"/>
      <c r="U20" s="3504"/>
      <c r="V20" s="3504"/>
      <c r="W20" s="3505"/>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t="str">
        <f t="shared" si="14"/>
        <v/>
      </c>
      <c r="AK20" s="506" t="str">
        <f t="shared" si="15"/>
        <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t="str">
        <f t="shared" si="129"/>
        <v/>
      </c>
      <c r="EV20" s="506" t="str">
        <f t="shared" si="130"/>
        <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t="str">
        <f t="shared" si="168"/>
        <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79" t="str">
        <f t="shared" si="212"/>
        <v/>
      </c>
      <c r="IA20" s="2479" t="str">
        <f t="shared" si="213"/>
        <v/>
      </c>
      <c r="IB20" s="2479" t="str">
        <f t="shared" si="214"/>
        <v/>
      </c>
      <c r="IC20" s="2479" t="str">
        <f t="shared" si="215"/>
        <v/>
      </c>
      <c r="ID20" s="2479" t="str">
        <f t="shared" si="216"/>
        <v/>
      </c>
      <c r="IE20" s="2479" t="str">
        <f t="shared" si="217"/>
        <v/>
      </c>
      <c r="IF20" s="2479" t="str">
        <f t="shared" si="218"/>
        <v/>
      </c>
      <c r="IG20" s="2479" t="str">
        <f t="shared" si="219"/>
        <v/>
      </c>
      <c r="IH20" s="2479" t="str">
        <f t="shared" si="220"/>
        <v/>
      </c>
      <c r="II20" s="2479" t="str">
        <f t="shared" si="221"/>
        <v/>
      </c>
      <c r="IJ20" s="2479" t="str">
        <f t="shared" si="222"/>
        <v/>
      </c>
      <c r="IK20" s="2479" t="str">
        <f t="shared" si="223"/>
        <v/>
      </c>
      <c r="IL20" s="2479" t="str">
        <f t="shared" si="224"/>
        <v/>
      </c>
      <c r="IM20" s="2479" t="str">
        <f t="shared" si="225"/>
        <v/>
      </c>
      <c r="IN20" s="2479" t="str">
        <f t="shared" si="226"/>
        <v/>
      </c>
      <c r="IO20" s="2479" t="str">
        <f t="shared" si="227"/>
        <v/>
      </c>
      <c r="IP20" s="2479" t="str">
        <f t="shared" si="228"/>
        <v/>
      </c>
      <c r="IQ20" s="2479" t="str">
        <f t="shared" si="229"/>
        <v/>
      </c>
      <c r="IR20" s="2479" t="str">
        <f t="shared" si="230"/>
        <v/>
      </c>
      <c r="IS20" s="2479" t="str">
        <f t="shared" si="231"/>
        <v/>
      </c>
      <c r="IT20" s="2479" t="str">
        <f t="shared" si="232"/>
        <v/>
      </c>
      <c r="IU20" s="2479" t="str">
        <f t="shared" si="233"/>
        <v/>
      </c>
      <c r="IV20" s="2479" t="str">
        <f t="shared" si="234"/>
        <v/>
      </c>
      <c r="IW20" s="2479" t="str">
        <f t="shared" si="235"/>
        <v/>
      </c>
      <c r="IX20" s="2479" t="str">
        <f t="shared" si="236"/>
        <v/>
      </c>
      <c r="IY20" s="2479" t="str">
        <f t="shared" si="237"/>
        <v/>
      </c>
      <c r="IZ20" s="2479" t="str">
        <f t="shared" si="238"/>
        <v/>
      </c>
      <c r="JA20" s="2479" t="str">
        <f t="shared" si="239"/>
        <v/>
      </c>
      <c r="JB20" s="2479" t="str">
        <f t="shared" si="240"/>
        <v/>
      </c>
      <c r="JC20" s="2479" t="str">
        <f t="shared" si="241"/>
        <v/>
      </c>
      <c r="JD20" s="2479" t="str">
        <f t="shared" si="242"/>
        <v/>
      </c>
      <c r="JE20" s="2479" t="str">
        <f t="shared" si="243"/>
        <v/>
      </c>
      <c r="JF20" s="2479" t="str">
        <f t="shared" si="244"/>
        <v/>
      </c>
      <c r="JG20" s="2479" t="str">
        <f t="shared" si="245"/>
        <v/>
      </c>
      <c r="JH20" s="2479" t="str">
        <f t="shared" si="246"/>
        <v/>
      </c>
      <c r="JI20" s="2479" t="str">
        <f t="shared" si="247"/>
        <v/>
      </c>
      <c r="JJ20" s="2479" t="str">
        <f t="shared" si="248"/>
        <v/>
      </c>
      <c r="JK20" s="2479" t="str">
        <f t="shared" si="249"/>
        <v/>
      </c>
      <c r="JL20" s="2479" t="str">
        <f t="shared" si="250"/>
        <v/>
      </c>
      <c r="JM20" s="2479" t="str">
        <f t="shared" si="251"/>
        <v/>
      </c>
      <c r="JN20" s="2479" t="str">
        <f t="shared" si="252"/>
        <v/>
      </c>
      <c r="JO20" s="2479" t="str">
        <f t="shared" si="253"/>
        <v/>
      </c>
      <c r="JP20" s="2479" t="str">
        <f t="shared" si="254"/>
        <v/>
      </c>
      <c r="JQ20" s="2479" t="str">
        <f t="shared" si="255"/>
        <v/>
      </c>
      <c r="JR20" s="2479" t="str">
        <f t="shared" si="256"/>
        <v/>
      </c>
      <c r="JS20" s="2479" t="str">
        <f t="shared" si="257"/>
        <v/>
      </c>
      <c r="JT20" s="2479" t="str">
        <f t="shared" si="258"/>
        <v/>
      </c>
      <c r="JU20" s="2479" t="str">
        <f t="shared" si="259"/>
        <v/>
      </c>
      <c r="JV20" s="2479" t="str">
        <f t="shared" si="260"/>
        <v/>
      </c>
      <c r="JW20" s="2479" t="str">
        <f t="shared" si="261"/>
        <v/>
      </c>
      <c r="JX20" s="2479" t="str">
        <f t="shared" si="262"/>
        <v/>
      </c>
      <c r="JY20" s="2479" t="str">
        <f t="shared" si="263"/>
        <v/>
      </c>
      <c r="JZ20" s="2479" t="str">
        <f t="shared" si="264"/>
        <v/>
      </c>
      <c r="KA20" s="2479" t="str">
        <f t="shared" si="265"/>
        <v/>
      </c>
      <c r="KB20" s="2479" t="str">
        <f t="shared" si="266"/>
        <v/>
      </c>
      <c r="KC20" s="2479" t="str">
        <f t="shared" si="267"/>
        <v/>
      </c>
      <c r="KD20" s="2479" t="str">
        <f t="shared" si="268"/>
        <v/>
      </c>
      <c r="KE20" s="2479" t="str">
        <f t="shared" si="269"/>
        <v/>
      </c>
      <c r="KF20" s="2479" t="str">
        <f t="shared" si="270"/>
        <v/>
      </c>
      <c r="KG20" s="2479" t="str">
        <f t="shared" si="271"/>
        <v/>
      </c>
      <c r="KH20" s="2479" t="str">
        <f t="shared" si="272"/>
        <v/>
      </c>
      <c r="KI20" s="2479" t="str">
        <f t="shared" si="273"/>
        <v/>
      </c>
      <c r="KJ20" s="2479" t="str">
        <f t="shared" si="274"/>
        <v/>
      </c>
      <c r="KK20" s="2479" t="str">
        <f t="shared" si="275"/>
        <v/>
      </c>
      <c r="KL20" s="2479" t="str">
        <f t="shared" si="276"/>
        <v/>
      </c>
      <c r="KM20" s="2479" t="str">
        <f t="shared" si="277"/>
        <v/>
      </c>
      <c r="KN20" s="2479" t="str">
        <f t="shared" si="278"/>
        <v/>
      </c>
      <c r="KO20" s="2479" t="str">
        <f t="shared" si="279"/>
        <v/>
      </c>
      <c r="KP20" s="2479" t="str">
        <f t="shared" si="280"/>
        <v/>
      </c>
      <c r="KQ20" s="2479" t="str">
        <f t="shared" si="281"/>
        <v/>
      </c>
      <c r="KR20" s="2479" t="str">
        <f t="shared" si="282"/>
        <v/>
      </c>
      <c r="KS20" s="2479" t="str">
        <f t="shared" si="283"/>
        <v/>
      </c>
      <c r="KT20" s="2479" t="str">
        <f t="shared" si="284"/>
        <v/>
      </c>
      <c r="KU20" s="2479" t="str">
        <f t="shared" si="285"/>
        <v/>
      </c>
      <c r="KV20" s="2479" t="str">
        <f t="shared" si="286"/>
        <v/>
      </c>
      <c r="KW20" s="2479" t="str">
        <f t="shared" si="287"/>
        <v/>
      </c>
      <c r="KX20" s="2479" t="str">
        <f t="shared" si="288"/>
        <v/>
      </c>
      <c r="KY20" s="2479" t="str">
        <f t="shared" si="289"/>
        <v/>
      </c>
      <c r="KZ20" s="2479" t="str">
        <f t="shared" si="290"/>
        <v/>
      </c>
      <c r="LA20" s="2479" t="str">
        <f t="shared" si="291"/>
        <v/>
      </c>
      <c r="LB20" s="2479" t="str">
        <f t="shared" si="292"/>
        <v/>
      </c>
      <c r="LC20" s="2479" t="str">
        <f t="shared" si="293"/>
        <v/>
      </c>
      <c r="LD20" s="2479" t="str">
        <f t="shared" si="294"/>
        <v/>
      </c>
      <c r="LE20" s="2479" t="str">
        <f t="shared" si="295"/>
        <v/>
      </c>
      <c r="LF20" s="2479" t="str">
        <f t="shared" si="296"/>
        <v/>
      </c>
      <c r="LG20" s="2479" t="str">
        <f t="shared" si="297"/>
        <v/>
      </c>
      <c r="LH20" s="2479" t="str">
        <f t="shared" si="298"/>
        <v/>
      </c>
      <c r="LI20" s="2479" t="str">
        <f t="shared" si="299"/>
        <v/>
      </c>
      <c r="LJ20" s="2479" t="str">
        <f t="shared" si="300"/>
        <v/>
      </c>
      <c r="LK20" s="2479" t="str">
        <f t="shared" si="301"/>
        <v/>
      </c>
      <c r="LL20" s="2479" t="str">
        <f t="shared" si="302"/>
        <v/>
      </c>
      <c r="LM20" s="2479" t="str">
        <f t="shared" si="303"/>
        <v/>
      </c>
      <c r="LN20" s="2479" t="str">
        <f t="shared" si="304"/>
        <v/>
      </c>
      <c r="LO20" s="2479" t="str">
        <f t="shared" si="305"/>
        <v/>
      </c>
      <c r="LP20" s="2479" t="str">
        <f t="shared" si="306"/>
        <v/>
      </c>
      <c r="LQ20" s="2480" t="str">
        <f t="shared" si="307"/>
        <v/>
      </c>
      <c r="LR20" s="2480" t="str">
        <f t="shared" si="308"/>
        <v/>
      </c>
      <c r="LS20" s="2480" t="str">
        <f t="shared" si="309"/>
        <v/>
      </c>
      <c r="LT20" s="2480" t="str">
        <f t="shared" si="310"/>
        <v/>
      </c>
      <c r="LU20" s="2480"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78">
        <f t="shared" si="338"/>
        <v>0</v>
      </c>
      <c r="MQ20" s="2478">
        <f t="shared" si="339"/>
        <v>0</v>
      </c>
      <c r="MR20" s="2478">
        <f t="shared" si="340"/>
        <v>0</v>
      </c>
      <c r="MS20" s="2478">
        <f t="shared" si="341"/>
        <v>0</v>
      </c>
      <c r="MT20" s="2478">
        <f t="shared" si="342"/>
        <v>0</v>
      </c>
      <c r="MU20" s="2478">
        <f t="shared" si="343"/>
        <v>0</v>
      </c>
      <c r="MV20" s="2478">
        <f t="shared" si="344"/>
        <v>0</v>
      </c>
      <c r="MW20" s="2478">
        <f t="shared" si="345"/>
        <v>0</v>
      </c>
      <c r="MX20" s="2478">
        <f t="shared" si="346"/>
        <v>0</v>
      </c>
      <c r="MY20" s="2478">
        <f t="shared" si="347"/>
        <v>0</v>
      </c>
      <c r="MZ20" s="2478">
        <f t="shared" si="332"/>
        <v>0</v>
      </c>
      <c r="NA20" s="2478">
        <f t="shared" si="333"/>
        <v>0</v>
      </c>
      <c r="NB20" s="2478">
        <f t="shared" si="334"/>
        <v>0</v>
      </c>
      <c r="NC20" s="2478">
        <f t="shared" si="335"/>
        <v>0</v>
      </c>
      <c r="ND20" s="2478">
        <f t="shared" si="336"/>
        <v>0</v>
      </c>
    </row>
    <row r="21" spans="1:368" ht="13.8" customHeight="1">
      <c r="A21" s="111" t="str">
        <f t="shared" si="337"/>
        <v/>
      </c>
      <c r="B21" s="1695">
        <v>60</v>
      </c>
      <c r="C21" s="171"/>
      <c r="D21" s="172"/>
      <c r="E21" s="173"/>
      <c r="F21" s="173"/>
      <c r="G21" s="173"/>
      <c r="H21" s="173"/>
      <c r="I21" s="173"/>
      <c r="J21" s="1092">
        <f>IF(C21="",0,HLOOKUP(C21,'Part V-Utility Allowances'!$I$11:$M$22,12))</f>
        <v>0</v>
      </c>
      <c r="K21" s="931"/>
      <c r="L21" s="667">
        <f t="shared" si="0"/>
        <v>0</v>
      </c>
      <c r="M21" s="667">
        <f t="shared" si="1"/>
        <v>0</v>
      </c>
      <c r="N21" s="1013"/>
      <c r="O21" s="1013"/>
      <c r="P21" s="1013"/>
      <c r="Q21" s="174"/>
      <c r="R21" s="1069"/>
      <c r="S21" s="1070"/>
      <c r="T21" s="3503"/>
      <c r="U21" s="3504"/>
      <c r="V21" s="3504"/>
      <c r="W21" s="3505"/>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t="str">
        <f t="shared" si="14"/>
        <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t="str">
        <f t="shared" si="129"/>
        <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t="str">
        <f t="shared" si="169"/>
        <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79" t="str">
        <f t="shared" si="212"/>
        <v/>
      </c>
      <c r="IA21" s="2479" t="str">
        <f t="shared" si="213"/>
        <v/>
      </c>
      <c r="IB21" s="2479" t="str">
        <f t="shared" si="214"/>
        <v/>
      </c>
      <c r="IC21" s="2479" t="str">
        <f t="shared" si="215"/>
        <v/>
      </c>
      <c r="ID21" s="2479" t="str">
        <f t="shared" si="216"/>
        <v/>
      </c>
      <c r="IE21" s="2479" t="str">
        <f t="shared" si="217"/>
        <v/>
      </c>
      <c r="IF21" s="2479" t="str">
        <f t="shared" si="218"/>
        <v/>
      </c>
      <c r="IG21" s="2479" t="str">
        <f t="shared" si="219"/>
        <v/>
      </c>
      <c r="IH21" s="2479" t="str">
        <f t="shared" si="220"/>
        <v/>
      </c>
      <c r="II21" s="2479" t="str">
        <f t="shared" si="221"/>
        <v/>
      </c>
      <c r="IJ21" s="2479" t="str">
        <f t="shared" si="222"/>
        <v/>
      </c>
      <c r="IK21" s="2479" t="str">
        <f t="shared" si="223"/>
        <v/>
      </c>
      <c r="IL21" s="2479" t="str">
        <f t="shared" si="224"/>
        <v/>
      </c>
      <c r="IM21" s="2479" t="str">
        <f t="shared" si="225"/>
        <v/>
      </c>
      <c r="IN21" s="2479" t="str">
        <f t="shared" si="226"/>
        <v/>
      </c>
      <c r="IO21" s="2479" t="str">
        <f t="shared" si="227"/>
        <v/>
      </c>
      <c r="IP21" s="2479" t="str">
        <f t="shared" si="228"/>
        <v/>
      </c>
      <c r="IQ21" s="2479" t="str">
        <f t="shared" si="229"/>
        <v/>
      </c>
      <c r="IR21" s="2479" t="str">
        <f t="shared" si="230"/>
        <v/>
      </c>
      <c r="IS21" s="2479" t="str">
        <f t="shared" si="231"/>
        <v/>
      </c>
      <c r="IT21" s="2479" t="str">
        <f t="shared" si="232"/>
        <v/>
      </c>
      <c r="IU21" s="2479" t="str">
        <f t="shared" si="233"/>
        <v/>
      </c>
      <c r="IV21" s="2479" t="str">
        <f t="shared" si="234"/>
        <v/>
      </c>
      <c r="IW21" s="2479" t="str">
        <f t="shared" si="235"/>
        <v/>
      </c>
      <c r="IX21" s="2479" t="str">
        <f t="shared" si="236"/>
        <v/>
      </c>
      <c r="IY21" s="2479" t="str">
        <f t="shared" si="237"/>
        <v/>
      </c>
      <c r="IZ21" s="2479" t="str">
        <f t="shared" si="238"/>
        <v/>
      </c>
      <c r="JA21" s="2479" t="str">
        <f t="shared" si="239"/>
        <v/>
      </c>
      <c r="JB21" s="2479" t="str">
        <f t="shared" si="240"/>
        <v/>
      </c>
      <c r="JC21" s="2479" t="str">
        <f t="shared" si="241"/>
        <v/>
      </c>
      <c r="JD21" s="2479" t="str">
        <f t="shared" si="242"/>
        <v/>
      </c>
      <c r="JE21" s="2479" t="str">
        <f t="shared" si="243"/>
        <v/>
      </c>
      <c r="JF21" s="2479" t="str">
        <f t="shared" si="244"/>
        <v/>
      </c>
      <c r="JG21" s="2479" t="str">
        <f t="shared" si="245"/>
        <v/>
      </c>
      <c r="JH21" s="2479" t="str">
        <f t="shared" si="246"/>
        <v/>
      </c>
      <c r="JI21" s="2479" t="str">
        <f t="shared" si="247"/>
        <v/>
      </c>
      <c r="JJ21" s="2479" t="str">
        <f t="shared" si="248"/>
        <v/>
      </c>
      <c r="JK21" s="2479" t="str">
        <f t="shared" si="249"/>
        <v/>
      </c>
      <c r="JL21" s="2479" t="str">
        <f t="shared" si="250"/>
        <v/>
      </c>
      <c r="JM21" s="2479" t="str">
        <f t="shared" si="251"/>
        <v/>
      </c>
      <c r="JN21" s="2479" t="str">
        <f t="shared" si="252"/>
        <v/>
      </c>
      <c r="JO21" s="2479" t="str">
        <f t="shared" si="253"/>
        <v/>
      </c>
      <c r="JP21" s="2479" t="str">
        <f t="shared" si="254"/>
        <v/>
      </c>
      <c r="JQ21" s="2479" t="str">
        <f t="shared" si="255"/>
        <v/>
      </c>
      <c r="JR21" s="2479" t="str">
        <f t="shared" si="256"/>
        <v/>
      </c>
      <c r="JS21" s="2479" t="str">
        <f t="shared" si="257"/>
        <v/>
      </c>
      <c r="JT21" s="2479" t="str">
        <f t="shared" si="258"/>
        <v/>
      </c>
      <c r="JU21" s="2479" t="str">
        <f t="shared" si="259"/>
        <v/>
      </c>
      <c r="JV21" s="2479" t="str">
        <f t="shared" si="260"/>
        <v/>
      </c>
      <c r="JW21" s="2479" t="str">
        <f t="shared" si="261"/>
        <v/>
      </c>
      <c r="JX21" s="2479" t="str">
        <f t="shared" si="262"/>
        <v/>
      </c>
      <c r="JY21" s="2479" t="str">
        <f t="shared" si="263"/>
        <v/>
      </c>
      <c r="JZ21" s="2479" t="str">
        <f t="shared" si="264"/>
        <v/>
      </c>
      <c r="KA21" s="2479" t="str">
        <f t="shared" si="265"/>
        <v/>
      </c>
      <c r="KB21" s="2479" t="str">
        <f t="shared" si="266"/>
        <v/>
      </c>
      <c r="KC21" s="2479" t="str">
        <f t="shared" si="267"/>
        <v/>
      </c>
      <c r="KD21" s="2479" t="str">
        <f t="shared" si="268"/>
        <v/>
      </c>
      <c r="KE21" s="2479" t="str">
        <f t="shared" si="269"/>
        <v/>
      </c>
      <c r="KF21" s="2479" t="str">
        <f t="shared" si="270"/>
        <v/>
      </c>
      <c r="KG21" s="2479" t="str">
        <f t="shared" si="271"/>
        <v/>
      </c>
      <c r="KH21" s="2479" t="str">
        <f t="shared" si="272"/>
        <v/>
      </c>
      <c r="KI21" s="2479" t="str">
        <f t="shared" si="273"/>
        <v/>
      </c>
      <c r="KJ21" s="2479" t="str">
        <f t="shared" si="274"/>
        <v/>
      </c>
      <c r="KK21" s="2479" t="str">
        <f t="shared" si="275"/>
        <v/>
      </c>
      <c r="KL21" s="2479" t="str">
        <f t="shared" si="276"/>
        <v/>
      </c>
      <c r="KM21" s="2479" t="str">
        <f t="shared" si="277"/>
        <v/>
      </c>
      <c r="KN21" s="2479" t="str">
        <f t="shared" si="278"/>
        <v/>
      </c>
      <c r="KO21" s="2479" t="str">
        <f t="shared" si="279"/>
        <v/>
      </c>
      <c r="KP21" s="2479" t="str">
        <f t="shared" si="280"/>
        <v/>
      </c>
      <c r="KQ21" s="2479" t="str">
        <f t="shared" si="281"/>
        <v/>
      </c>
      <c r="KR21" s="2479" t="str">
        <f t="shared" si="282"/>
        <v/>
      </c>
      <c r="KS21" s="2479" t="str">
        <f t="shared" si="283"/>
        <v/>
      </c>
      <c r="KT21" s="2479" t="str">
        <f t="shared" si="284"/>
        <v/>
      </c>
      <c r="KU21" s="2479" t="str">
        <f t="shared" si="285"/>
        <v/>
      </c>
      <c r="KV21" s="2479" t="str">
        <f t="shared" si="286"/>
        <v/>
      </c>
      <c r="KW21" s="2479" t="str">
        <f t="shared" si="287"/>
        <v/>
      </c>
      <c r="KX21" s="2479" t="str">
        <f t="shared" si="288"/>
        <v/>
      </c>
      <c r="KY21" s="2479" t="str">
        <f t="shared" si="289"/>
        <v/>
      </c>
      <c r="KZ21" s="2479" t="str">
        <f t="shared" si="290"/>
        <v/>
      </c>
      <c r="LA21" s="2479" t="str">
        <f t="shared" si="291"/>
        <v/>
      </c>
      <c r="LB21" s="2479" t="str">
        <f t="shared" si="292"/>
        <v/>
      </c>
      <c r="LC21" s="2479" t="str">
        <f t="shared" si="293"/>
        <v/>
      </c>
      <c r="LD21" s="2479" t="str">
        <f t="shared" si="294"/>
        <v/>
      </c>
      <c r="LE21" s="2479" t="str">
        <f t="shared" si="295"/>
        <v/>
      </c>
      <c r="LF21" s="2479" t="str">
        <f t="shared" si="296"/>
        <v/>
      </c>
      <c r="LG21" s="2479" t="str">
        <f t="shared" si="297"/>
        <v/>
      </c>
      <c r="LH21" s="2479" t="str">
        <f t="shared" si="298"/>
        <v/>
      </c>
      <c r="LI21" s="2479" t="str">
        <f t="shared" si="299"/>
        <v/>
      </c>
      <c r="LJ21" s="2479" t="str">
        <f t="shared" si="300"/>
        <v/>
      </c>
      <c r="LK21" s="2479" t="str">
        <f t="shared" si="301"/>
        <v/>
      </c>
      <c r="LL21" s="2479" t="str">
        <f t="shared" si="302"/>
        <v/>
      </c>
      <c r="LM21" s="2479" t="str">
        <f t="shared" si="303"/>
        <v/>
      </c>
      <c r="LN21" s="2479" t="str">
        <f t="shared" si="304"/>
        <v/>
      </c>
      <c r="LO21" s="2479" t="str">
        <f t="shared" si="305"/>
        <v/>
      </c>
      <c r="LP21" s="2479" t="str">
        <f t="shared" si="306"/>
        <v/>
      </c>
      <c r="LQ21" s="2480" t="str">
        <f t="shared" si="307"/>
        <v/>
      </c>
      <c r="LR21" s="2480" t="str">
        <f t="shared" si="308"/>
        <v/>
      </c>
      <c r="LS21" s="2480" t="str">
        <f t="shared" si="309"/>
        <v/>
      </c>
      <c r="LT21" s="2480" t="str">
        <f t="shared" si="310"/>
        <v/>
      </c>
      <c r="LU21" s="2480"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78">
        <f t="shared" si="338"/>
        <v>0</v>
      </c>
      <c r="MQ21" s="2478">
        <f t="shared" si="339"/>
        <v>0</v>
      </c>
      <c r="MR21" s="2478">
        <f t="shared" si="340"/>
        <v>0</v>
      </c>
      <c r="MS21" s="2478">
        <f t="shared" si="341"/>
        <v>0</v>
      </c>
      <c r="MT21" s="2478">
        <f t="shared" si="342"/>
        <v>0</v>
      </c>
      <c r="MU21" s="2478">
        <f t="shared" si="343"/>
        <v>0</v>
      </c>
      <c r="MV21" s="2478">
        <f t="shared" si="344"/>
        <v>0</v>
      </c>
      <c r="MW21" s="2478">
        <f t="shared" si="345"/>
        <v>0</v>
      </c>
      <c r="MX21" s="2478">
        <f t="shared" si="346"/>
        <v>0</v>
      </c>
      <c r="MY21" s="2478">
        <f t="shared" si="347"/>
        <v>0</v>
      </c>
      <c r="MZ21" s="2478">
        <f t="shared" si="332"/>
        <v>0</v>
      </c>
      <c r="NA21" s="2478">
        <f t="shared" si="333"/>
        <v>0</v>
      </c>
      <c r="NB21" s="2478">
        <f t="shared" si="334"/>
        <v>0</v>
      </c>
      <c r="NC21" s="2478">
        <f t="shared" si="335"/>
        <v>0</v>
      </c>
      <c r="ND21" s="2478">
        <f t="shared" si="336"/>
        <v>0</v>
      </c>
    </row>
    <row r="22" spans="1:368" ht="13.8" customHeight="1">
      <c r="A22" s="111" t="str">
        <f t="shared" si="337"/>
        <v/>
      </c>
      <c r="B22" s="1695">
        <v>70</v>
      </c>
      <c r="C22" s="171"/>
      <c r="D22" s="172"/>
      <c r="E22" s="173"/>
      <c r="F22" s="173"/>
      <c r="G22" s="173"/>
      <c r="H22" s="173"/>
      <c r="I22" s="173"/>
      <c r="J22" s="1092">
        <f>IF(C22="",0,HLOOKUP(C22,'Part V-Utility Allowances'!$I$11:$M$22,12))</f>
        <v>0</v>
      </c>
      <c r="K22" s="931"/>
      <c r="L22" s="667">
        <f t="shared" si="0"/>
        <v>0</v>
      </c>
      <c r="M22" s="667">
        <f t="shared" si="1"/>
        <v>0</v>
      </c>
      <c r="N22" s="1013"/>
      <c r="O22" s="1013"/>
      <c r="P22" s="1013"/>
      <c r="Q22" s="174"/>
      <c r="R22" s="1069"/>
      <c r="S22" s="1070"/>
      <c r="T22" s="3503"/>
      <c r="U22" s="3504"/>
      <c r="V22" s="3504"/>
      <c r="W22" s="3505"/>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79" t="str">
        <f t="shared" si="212"/>
        <v/>
      </c>
      <c r="IA22" s="2479" t="str">
        <f t="shared" si="213"/>
        <v/>
      </c>
      <c r="IB22" s="2479" t="str">
        <f t="shared" si="214"/>
        <v/>
      </c>
      <c r="IC22" s="2479" t="str">
        <f t="shared" si="215"/>
        <v/>
      </c>
      <c r="ID22" s="2479" t="str">
        <f t="shared" si="216"/>
        <v/>
      </c>
      <c r="IE22" s="2479" t="str">
        <f t="shared" si="217"/>
        <v/>
      </c>
      <c r="IF22" s="2479" t="str">
        <f t="shared" si="218"/>
        <v/>
      </c>
      <c r="IG22" s="2479" t="str">
        <f t="shared" si="219"/>
        <v/>
      </c>
      <c r="IH22" s="2479" t="str">
        <f t="shared" si="220"/>
        <v/>
      </c>
      <c r="II22" s="2479" t="str">
        <f t="shared" si="221"/>
        <v/>
      </c>
      <c r="IJ22" s="2479" t="str">
        <f t="shared" si="222"/>
        <v/>
      </c>
      <c r="IK22" s="2479" t="str">
        <f t="shared" si="223"/>
        <v/>
      </c>
      <c r="IL22" s="2479" t="str">
        <f t="shared" si="224"/>
        <v/>
      </c>
      <c r="IM22" s="2479" t="str">
        <f t="shared" si="225"/>
        <v/>
      </c>
      <c r="IN22" s="2479" t="str">
        <f t="shared" si="226"/>
        <v/>
      </c>
      <c r="IO22" s="2479" t="str">
        <f t="shared" si="227"/>
        <v/>
      </c>
      <c r="IP22" s="2479" t="str">
        <f t="shared" si="228"/>
        <v/>
      </c>
      <c r="IQ22" s="2479" t="str">
        <f t="shared" si="229"/>
        <v/>
      </c>
      <c r="IR22" s="2479" t="str">
        <f t="shared" si="230"/>
        <v/>
      </c>
      <c r="IS22" s="2479" t="str">
        <f t="shared" si="231"/>
        <v/>
      </c>
      <c r="IT22" s="2479" t="str">
        <f t="shared" si="232"/>
        <v/>
      </c>
      <c r="IU22" s="2479" t="str">
        <f t="shared" si="233"/>
        <v/>
      </c>
      <c r="IV22" s="2479" t="str">
        <f t="shared" si="234"/>
        <v/>
      </c>
      <c r="IW22" s="2479" t="str">
        <f t="shared" si="235"/>
        <v/>
      </c>
      <c r="IX22" s="2479" t="str">
        <f t="shared" si="236"/>
        <v/>
      </c>
      <c r="IY22" s="2479" t="str">
        <f t="shared" si="237"/>
        <v/>
      </c>
      <c r="IZ22" s="2479" t="str">
        <f t="shared" si="238"/>
        <v/>
      </c>
      <c r="JA22" s="2479" t="str">
        <f t="shared" si="239"/>
        <v/>
      </c>
      <c r="JB22" s="2479" t="str">
        <f t="shared" si="240"/>
        <v/>
      </c>
      <c r="JC22" s="2479" t="str">
        <f t="shared" si="241"/>
        <v/>
      </c>
      <c r="JD22" s="2479" t="str">
        <f t="shared" si="242"/>
        <v/>
      </c>
      <c r="JE22" s="2479" t="str">
        <f t="shared" si="243"/>
        <v/>
      </c>
      <c r="JF22" s="2479" t="str">
        <f t="shared" si="244"/>
        <v/>
      </c>
      <c r="JG22" s="2479" t="str">
        <f t="shared" si="245"/>
        <v/>
      </c>
      <c r="JH22" s="2479" t="str">
        <f t="shared" si="246"/>
        <v/>
      </c>
      <c r="JI22" s="2479" t="str">
        <f t="shared" si="247"/>
        <v/>
      </c>
      <c r="JJ22" s="2479" t="str">
        <f t="shared" si="248"/>
        <v/>
      </c>
      <c r="JK22" s="2479" t="str">
        <f t="shared" si="249"/>
        <v/>
      </c>
      <c r="JL22" s="2479" t="str">
        <f t="shared" si="250"/>
        <v/>
      </c>
      <c r="JM22" s="2479" t="str">
        <f t="shared" si="251"/>
        <v/>
      </c>
      <c r="JN22" s="2479" t="str">
        <f t="shared" si="252"/>
        <v/>
      </c>
      <c r="JO22" s="2479" t="str">
        <f t="shared" si="253"/>
        <v/>
      </c>
      <c r="JP22" s="2479" t="str">
        <f t="shared" si="254"/>
        <v/>
      </c>
      <c r="JQ22" s="2479" t="str">
        <f t="shared" si="255"/>
        <v/>
      </c>
      <c r="JR22" s="2479" t="str">
        <f t="shared" si="256"/>
        <v/>
      </c>
      <c r="JS22" s="2479" t="str">
        <f t="shared" si="257"/>
        <v/>
      </c>
      <c r="JT22" s="2479" t="str">
        <f t="shared" si="258"/>
        <v/>
      </c>
      <c r="JU22" s="2479" t="str">
        <f t="shared" si="259"/>
        <v/>
      </c>
      <c r="JV22" s="2479" t="str">
        <f t="shared" si="260"/>
        <v/>
      </c>
      <c r="JW22" s="2479" t="str">
        <f t="shared" si="261"/>
        <v/>
      </c>
      <c r="JX22" s="2479" t="str">
        <f t="shared" si="262"/>
        <v/>
      </c>
      <c r="JY22" s="2479" t="str">
        <f t="shared" si="263"/>
        <v/>
      </c>
      <c r="JZ22" s="2479" t="str">
        <f t="shared" si="264"/>
        <v/>
      </c>
      <c r="KA22" s="2479" t="str">
        <f t="shared" si="265"/>
        <v/>
      </c>
      <c r="KB22" s="2479" t="str">
        <f t="shared" si="266"/>
        <v/>
      </c>
      <c r="KC22" s="2479" t="str">
        <f t="shared" si="267"/>
        <v/>
      </c>
      <c r="KD22" s="2479" t="str">
        <f t="shared" si="268"/>
        <v/>
      </c>
      <c r="KE22" s="2479" t="str">
        <f t="shared" si="269"/>
        <v/>
      </c>
      <c r="KF22" s="2479" t="str">
        <f t="shared" si="270"/>
        <v/>
      </c>
      <c r="KG22" s="2479" t="str">
        <f t="shared" si="271"/>
        <v/>
      </c>
      <c r="KH22" s="2479" t="str">
        <f t="shared" si="272"/>
        <v/>
      </c>
      <c r="KI22" s="2479" t="str">
        <f t="shared" si="273"/>
        <v/>
      </c>
      <c r="KJ22" s="2479" t="str">
        <f t="shared" si="274"/>
        <v/>
      </c>
      <c r="KK22" s="2479" t="str">
        <f t="shared" si="275"/>
        <v/>
      </c>
      <c r="KL22" s="2479" t="str">
        <f t="shared" si="276"/>
        <v/>
      </c>
      <c r="KM22" s="2479" t="str">
        <f t="shared" si="277"/>
        <v/>
      </c>
      <c r="KN22" s="2479" t="str">
        <f t="shared" si="278"/>
        <v/>
      </c>
      <c r="KO22" s="2479" t="str">
        <f t="shared" si="279"/>
        <v/>
      </c>
      <c r="KP22" s="2479" t="str">
        <f t="shared" si="280"/>
        <v/>
      </c>
      <c r="KQ22" s="2479" t="str">
        <f t="shared" si="281"/>
        <v/>
      </c>
      <c r="KR22" s="2479" t="str">
        <f t="shared" si="282"/>
        <v/>
      </c>
      <c r="KS22" s="2479" t="str">
        <f t="shared" si="283"/>
        <v/>
      </c>
      <c r="KT22" s="2479" t="str">
        <f t="shared" si="284"/>
        <v/>
      </c>
      <c r="KU22" s="2479" t="str">
        <f t="shared" si="285"/>
        <v/>
      </c>
      <c r="KV22" s="2479" t="str">
        <f t="shared" si="286"/>
        <v/>
      </c>
      <c r="KW22" s="2479" t="str">
        <f t="shared" si="287"/>
        <v/>
      </c>
      <c r="KX22" s="2479" t="str">
        <f t="shared" si="288"/>
        <v/>
      </c>
      <c r="KY22" s="2479" t="str">
        <f t="shared" si="289"/>
        <v/>
      </c>
      <c r="KZ22" s="2479" t="str">
        <f t="shared" si="290"/>
        <v/>
      </c>
      <c r="LA22" s="2479" t="str">
        <f t="shared" si="291"/>
        <v/>
      </c>
      <c r="LB22" s="2479" t="str">
        <f t="shared" si="292"/>
        <v/>
      </c>
      <c r="LC22" s="2479" t="str">
        <f t="shared" si="293"/>
        <v/>
      </c>
      <c r="LD22" s="2479" t="str">
        <f t="shared" si="294"/>
        <v/>
      </c>
      <c r="LE22" s="2479" t="str">
        <f t="shared" si="295"/>
        <v/>
      </c>
      <c r="LF22" s="2479" t="str">
        <f t="shared" si="296"/>
        <v/>
      </c>
      <c r="LG22" s="2479" t="str">
        <f t="shared" si="297"/>
        <v/>
      </c>
      <c r="LH22" s="2479" t="str">
        <f t="shared" si="298"/>
        <v/>
      </c>
      <c r="LI22" s="2479" t="str">
        <f t="shared" si="299"/>
        <v/>
      </c>
      <c r="LJ22" s="2479" t="str">
        <f t="shared" si="300"/>
        <v/>
      </c>
      <c r="LK22" s="2479" t="str">
        <f t="shared" si="301"/>
        <v/>
      </c>
      <c r="LL22" s="2479" t="str">
        <f t="shared" si="302"/>
        <v/>
      </c>
      <c r="LM22" s="2479" t="str">
        <f t="shared" si="303"/>
        <v/>
      </c>
      <c r="LN22" s="2479" t="str">
        <f t="shared" si="304"/>
        <v/>
      </c>
      <c r="LO22" s="2479" t="str">
        <f t="shared" si="305"/>
        <v/>
      </c>
      <c r="LP22" s="2479" t="str">
        <f t="shared" si="306"/>
        <v/>
      </c>
      <c r="LQ22" s="2480" t="str">
        <f t="shared" si="307"/>
        <v/>
      </c>
      <c r="LR22" s="2480" t="str">
        <f t="shared" si="308"/>
        <v/>
      </c>
      <c r="LS22" s="2480" t="str">
        <f t="shared" si="309"/>
        <v/>
      </c>
      <c r="LT22" s="2480" t="str">
        <f t="shared" si="310"/>
        <v/>
      </c>
      <c r="LU22" s="2480"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78">
        <f t="shared" si="338"/>
        <v>0</v>
      </c>
      <c r="MQ22" s="2478">
        <f t="shared" si="339"/>
        <v>0</v>
      </c>
      <c r="MR22" s="2478">
        <f t="shared" si="340"/>
        <v>0</v>
      </c>
      <c r="MS22" s="2478">
        <f t="shared" si="341"/>
        <v>0</v>
      </c>
      <c r="MT22" s="2478">
        <f t="shared" si="342"/>
        <v>0</v>
      </c>
      <c r="MU22" s="2478">
        <f t="shared" si="343"/>
        <v>0</v>
      </c>
      <c r="MV22" s="2478">
        <f t="shared" si="344"/>
        <v>0</v>
      </c>
      <c r="MW22" s="2478">
        <f t="shared" si="345"/>
        <v>0</v>
      </c>
      <c r="MX22" s="2478">
        <f t="shared" si="346"/>
        <v>0</v>
      </c>
      <c r="MY22" s="2478">
        <f t="shared" si="347"/>
        <v>0</v>
      </c>
      <c r="MZ22" s="2478">
        <f t="shared" si="332"/>
        <v>0</v>
      </c>
      <c r="NA22" s="2478">
        <f t="shared" si="333"/>
        <v>0</v>
      </c>
      <c r="NB22" s="2478">
        <f t="shared" si="334"/>
        <v>0</v>
      </c>
      <c r="NC22" s="2478">
        <f t="shared" si="335"/>
        <v>0</v>
      </c>
      <c r="ND22" s="2478">
        <f t="shared" si="336"/>
        <v>0</v>
      </c>
    </row>
    <row r="23" spans="1:368" ht="13.8" customHeight="1">
      <c r="A23" s="111" t="str">
        <f t="shared" si="337"/>
        <v/>
      </c>
      <c r="B23" s="1695">
        <v>80</v>
      </c>
      <c r="C23" s="171"/>
      <c r="D23" s="172"/>
      <c r="E23" s="173"/>
      <c r="F23" s="173"/>
      <c r="G23" s="173"/>
      <c r="H23" s="173"/>
      <c r="I23" s="173"/>
      <c r="J23" s="1092">
        <f>IF(C23="",0,HLOOKUP(C23,'Part V-Utility Allowances'!$I$11:$M$22,12))</f>
        <v>0</v>
      </c>
      <c r="K23" s="931"/>
      <c r="L23" s="667">
        <f t="shared" si="0"/>
        <v>0</v>
      </c>
      <c r="M23" s="667">
        <f t="shared" si="1"/>
        <v>0</v>
      </c>
      <c r="N23" s="1013"/>
      <c r="O23" s="1013"/>
      <c r="P23" s="1013"/>
      <c r="Q23" s="174"/>
      <c r="R23" s="1069"/>
      <c r="S23" s="1070"/>
      <c r="T23" s="3503"/>
      <c r="U23" s="3504"/>
      <c r="V23" s="3504"/>
      <c r="W23" s="3505"/>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79" t="str">
        <f t="shared" si="212"/>
        <v/>
      </c>
      <c r="IA23" s="2479" t="str">
        <f t="shared" si="213"/>
        <v/>
      </c>
      <c r="IB23" s="2479" t="str">
        <f t="shared" si="214"/>
        <v/>
      </c>
      <c r="IC23" s="2479" t="str">
        <f t="shared" si="215"/>
        <v/>
      </c>
      <c r="ID23" s="2479" t="str">
        <f t="shared" si="216"/>
        <v/>
      </c>
      <c r="IE23" s="2479" t="str">
        <f t="shared" si="217"/>
        <v/>
      </c>
      <c r="IF23" s="2479" t="str">
        <f t="shared" si="218"/>
        <v/>
      </c>
      <c r="IG23" s="2479" t="str">
        <f t="shared" si="219"/>
        <v/>
      </c>
      <c r="IH23" s="2479" t="str">
        <f t="shared" si="220"/>
        <v/>
      </c>
      <c r="II23" s="2479" t="str">
        <f t="shared" si="221"/>
        <v/>
      </c>
      <c r="IJ23" s="2479" t="str">
        <f t="shared" si="222"/>
        <v/>
      </c>
      <c r="IK23" s="2479" t="str">
        <f t="shared" si="223"/>
        <v/>
      </c>
      <c r="IL23" s="2479" t="str">
        <f t="shared" si="224"/>
        <v/>
      </c>
      <c r="IM23" s="2479" t="str">
        <f t="shared" si="225"/>
        <v/>
      </c>
      <c r="IN23" s="2479" t="str">
        <f t="shared" si="226"/>
        <v/>
      </c>
      <c r="IO23" s="2479" t="str">
        <f t="shared" si="227"/>
        <v/>
      </c>
      <c r="IP23" s="2479" t="str">
        <f t="shared" si="228"/>
        <v/>
      </c>
      <c r="IQ23" s="2479" t="str">
        <f t="shared" si="229"/>
        <v/>
      </c>
      <c r="IR23" s="2479" t="str">
        <f t="shared" si="230"/>
        <v/>
      </c>
      <c r="IS23" s="2479" t="str">
        <f t="shared" si="231"/>
        <v/>
      </c>
      <c r="IT23" s="2479" t="str">
        <f t="shared" si="232"/>
        <v/>
      </c>
      <c r="IU23" s="2479" t="str">
        <f t="shared" si="233"/>
        <v/>
      </c>
      <c r="IV23" s="2479" t="str">
        <f t="shared" si="234"/>
        <v/>
      </c>
      <c r="IW23" s="2479" t="str">
        <f t="shared" si="235"/>
        <v/>
      </c>
      <c r="IX23" s="2479" t="str">
        <f t="shared" si="236"/>
        <v/>
      </c>
      <c r="IY23" s="2479" t="str">
        <f t="shared" si="237"/>
        <v/>
      </c>
      <c r="IZ23" s="2479" t="str">
        <f t="shared" si="238"/>
        <v/>
      </c>
      <c r="JA23" s="2479" t="str">
        <f t="shared" si="239"/>
        <v/>
      </c>
      <c r="JB23" s="2479" t="str">
        <f t="shared" si="240"/>
        <v/>
      </c>
      <c r="JC23" s="2479" t="str">
        <f t="shared" si="241"/>
        <v/>
      </c>
      <c r="JD23" s="2479" t="str">
        <f t="shared" si="242"/>
        <v/>
      </c>
      <c r="JE23" s="2479" t="str">
        <f t="shared" si="243"/>
        <v/>
      </c>
      <c r="JF23" s="2479" t="str">
        <f t="shared" si="244"/>
        <v/>
      </c>
      <c r="JG23" s="2479" t="str">
        <f t="shared" si="245"/>
        <v/>
      </c>
      <c r="JH23" s="2479" t="str">
        <f t="shared" si="246"/>
        <v/>
      </c>
      <c r="JI23" s="2479" t="str">
        <f t="shared" si="247"/>
        <v/>
      </c>
      <c r="JJ23" s="2479" t="str">
        <f t="shared" si="248"/>
        <v/>
      </c>
      <c r="JK23" s="2479" t="str">
        <f t="shared" si="249"/>
        <v/>
      </c>
      <c r="JL23" s="2479" t="str">
        <f t="shared" si="250"/>
        <v/>
      </c>
      <c r="JM23" s="2479" t="str">
        <f t="shared" si="251"/>
        <v/>
      </c>
      <c r="JN23" s="2479" t="str">
        <f t="shared" si="252"/>
        <v/>
      </c>
      <c r="JO23" s="2479" t="str">
        <f t="shared" si="253"/>
        <v/>
      </c>
      <c r="JP23" s="2479" t="str">
        <f t="shared" si="254"/>
        <v/>
      </c>
      <c r="JQ23" s="2479" t="str">
        <f t="shared" si="255"/>
        <v/>
      </c>
      <c r="JR23" s="2479" t="str">
        <f t="shared" si="256"/>
        <v/>
      </c>
      <c r="JS23" s="2479" t="str">
        <f t="shared" si="257"/>
        <v/>
      </c>
      <c r="JT23" s="2479" t="str">
        <f t="shared" si="258"/>
        <v/>
      </c>
      <c r="JU23" s="2479" t="str">
        <f t="shared" si="259"/>
        <v/>
      </c>
      <c r="JV23" s="2479" t="str">
        <f t="shared" si="260"/>
        <v/>
      </c>
      <c r="JW23" s="2479" t="str">
        <f t="shared" si="261"/>
        <v/>
      </c>
      <c r="JX23" s="2479" t="str">
        <f t="shared" si="262"/>
        <v/>
      </c>
      <c r="JY23" s="2479" t="str">
        <f t="shared" si="263"/>
        <v/>
      </c>
      <c r="JZ23" s="2479" t="str">
        <f t="shared" si="264"/>
        <v/>
      </c>
      <c r="KA23" s="2479" t="str">
        <f t="shared" si="265"/>
        <v/>
      </c>
      <c r="KB23" s="2479" t="str">
        <f t="shared" si="266"/>
        <v/>
      </c>
      <c r="KC23" s="2479" t="str">
        <f t="shared" si="267"/>
        <v/>
      </c>
      <c r="KD23" s="2479" t="str">
        <f t="shared" si="268"/>
        <v/>
      </c>
      <c r="KE23" s="2479" t="str">
        <f t="shared" si="269"/>
        <v/>
      </c>
      <c r="KF23" s="2479" t="str">
        <f t="shared" si="270"/>
        <v/>
      </c>
      <c r="KG23" s="2479" t="str">
        <f t="shared" si="271"/>
        <v/>
      </c>
      <c r="KH23" s="2479" t="str">
        <f t="shared" si="272"/>
        <v/>
      </c>
      <c r="KI23" s="2479" t="str">
        <f t="shared" si="273"/>
        <v/>
      </c>
      <c r="KJ23" s="2479" t="str">
        <f t="shared" si="274"/>
        <v/>
      </c>
      <c r="KK23" s="2479" t="str">
        <f t="shared" si="275"/>
        <v/>
      </c>
      <c r="KL23" s="2479" t="str">
        <f t="shared" si="276"/>
        <v/>
      </c>
      <c r="KM23" s="2479" t="str">
        <f t="shared" si="277"/>
        <v/>
      </c>
      <c r="KN23" s="2479" t="str">
        <f t="shared" si="278"/>
        <v/>
      </c>
      <c r="KO23" s="2479" t="str">
        <f t="shared" si="279"/>
        <v/>
      </c>
      <c r="KP23" s="2479" t="str">
        <f t="shared" si="280"/>
        <v/>
      </c>
      <c r="KQ23" s="2479" t="str">
        <f t="shared" si="281"/>
        <v/>
      </c>
      <c r="KR23" s="2479" t="str">
        <f t="shared" si="282"/>
        <v/>
      </c>
      <c r="KS23" s="2479" t="str">
        <f t="shared" si="283"/>
        <v/>
      </c>
      <c r="KT23" s="2479" t="str">
        <f t="shared" si="284"/>
        <v/>
      </c>
      <c r="KU23" s="2479" t="str">
        <f t="shared" si="285"/>
        <v/>
      </c>
      <c r="KV23" s="2479" t="str">
        <f t="shared" si="286"/>
        <v/>
      </c>
      <c r="KW23" s="2479" t="str">
        <f t="shared" si="287"/>
        <v/>
      </c>
      <c r="KX23" s="2479" t="str">
        <f t="shared" si="288"/>
        <v/>
      </c>
      <c r="KY23" s="2479" t="str">
        <f t="shared" si="289"/>
        <v/>
      </c>
      <c r="KZ23" s="2479" t="str">
        <f t="shared" si="290"/>
        <v/>
      </c>
      <c r="LA23" s="2479" t="str">
        <f t="shared" si="291"/>
        <v/>
      </c>
      <c r="LB23" s="2479" t="str">
        <f t="shared" si="292"/>
        <v/>
      </c>
      <c r="LC23" s="2479" t="str">
        <f t="shared" si="293"/>
        <v/>
      </c>
      <c r="LD23" s="2479" t="str">
        <f t="shared" si="294"/>
        <v/>
      </c>
      <c r="LE23" s="2479" t="str">
        <f t="shared" si="295"/>
        <v/>
      </c>
      <c r="LF23" s="2479" t="str">
        <f t="shared" si="296"/>
        <v/>
      </c>
      <c r="LG23" s="2479" t="str">
        <f t="shared" si="297"/>
        <v/>
      </c>
      <c r="LH23" s="2479" t="str">
        <f t="shared" si="298"/>
        <v/>
      </c>
      <c r="LI23" s="2479" t="str">
        <f t="shared" si="299"/>
        <v/>
      </c>
      <c r="LJ23" s="2479" t="str">
        <f t="shared" si="300"/>
        <v/>
      </c>
      <c r="LK23" s="2479" t="str">
        <f t="shared" si="301"/>
        <v/>
      </c>
      <c r="LL23" s="2479" t="str">
        <f t="shared" si="302"/>
        <v/>
      </c>
      <c r="LM23" s="2479" t="str">
        <f t="shared" si="303"/>
        <v/>
      </c>
      <c r="LN23" s="2479" t="str">
        <f t="shared" si="304"/>
        <v/>
      </c>
      <c r="LO23" s="2479" t="str">
        <f t="shared" si="305"/>
        <v/>
      </c>
      <c r="LP23" s="2479" t="str">
        <f t="shared" si="306"/>
        <v/>
      </c>
      <c r="LQ23" s="2480" t="str">
        <f t="shared" si="307"/>
        <v/>
      </c>
      <c r="LR23" s="2480" t="str">
        <f t="shared" si="308"/>
        <v/>
      </c>
      <c r="LS23" s="2480" t="str">
        <f t="shared" si="309"/>
        <v/>
      </c>
      <c r="LT23" s="2480" t="str">
        <f t="shared" si="310"/>
        <v/>
      </c>
      <c r="LU23" s="2480"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78">
        <f t="shared" si="338"/>
        <v>0</v>
      </c>
      <c r="MQ23" s="2478">
        <f t="shared" si="339"/>
        <v>0</v>
      </c>
      <c r="MR23" s="2478">
        <f t="shared" si="340"/>
        <v>0</v>
      </c>
      <c r="MS23" s="2478">
        <f t="shared" si="341"/>
        <v>0</v>
      </c>
      <c r="MT23" s="2478">
        <f t="shared" si="342"/>
        <v>0</v>
      </c>
      <c r="MU23" s="2478">
        <f t="shared" si="343"/>
        <v>0</v>
      </c>
      <c r="MV23" s="2478">
        <f t="shared" si="344"/>
        <v>0</v>
      </c>
      <c r="MW23" s="2478">
        <f t="shared" si="345"/>
        <v>0</v>
      </c>
      <c r="MX23" s="2478">
        <f t="shared" si="346"/>
        <v>0</v>
      </c>
      <c r="MY23" s="2478">
        <f t="shared" si="347"/>
        <v>0</v>
      </c>
      <c r="MZ23" s="2478">
        <f t="shared" si="332"/>
        <v>0</v>
      </c>
      <c r="NA23" s="2478">
        <f t="shared" si="333"/>
        <v>0</v>
      </c>
      <c r="NB23" s="2478">
        <f t="shared" si="334"/>
        <v>0</v>
      </c>
      <c r="NC23" s="2478">
        <f t="shared" si="335"/>
        <v>0</v>
      </c>
      <c r="ND23" s="2478">
        <f t="shared" si="336"/>
        <v>0</v>
      </c>
    </row>
    <row r="24" spans="1:368" ht="13.8" customHeight="1">
      <c r="A24" s="111" t="str">
        <f t="shared" si="337"/>
        <v/>
      </c>
      <c r="B24" s="1695">
        <v>80</v>
      </c>
      <c r="C24" s="171"/>
      <c r="D24" s="172"/>
      <c r="E24" s="173"/>
      <c r="F24" s="173"/>
      <c r="G24" s="173"/>
      <c r="H24" s="173"/>
      <c r="I24" s="173"/>
      <c r="J24" s="1092">
        <f>IF(C24="",0,HLOOKUP(C24,'Part V-Utility Allowances'!$I$11:$M$22,12))</f>
        <v>0</v>
      </c>
      <c r="K24" s="931"/>
      <c r="L24" s="667">
        <f t="shared" si="0"/>
        <v>0</v>
      </c>
      <c r="M24" s="667">
        <f t="shared" si="1"/>
        <v>0</v>
      </c>
      <c r="N24" s="1013"/>
      <c r="O24" s="1013"/>
      <c r="P24" s="1013"/>
      <c r="Q24" s="174"/>
      <c r="R24" s="1069"/>
      <c r="S24" s="1070"/>
      <c r="T24" s="3503"/>
      <c r="U24" s="3504"/>
      <c r="V24" s="3504"/>
      <c r="W24" s="3505"/>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79" t="str">
        <f t="shared" si="212"/>
        <v/>
      </c>
      <c r="IA24" s="2479" t="str">
        <f t="shared" si="213"/>
        <v/>
      </c>
      <c r="IB24" s="2479" t="str">
        <f t="shared" si="214"/>
        <v/>
      </c>
      <c r="IC24" s="2479" t="str">
        <f t="shared" si="215"/>
        <v/>
      </c>
      <c r="ID24" s="2479" t="str">
        <f t="shared" si="216"/>
        <v/>
      </c>
      <c r="IE24" s="2479" t="str">
        <f t="shared" si="217"/>
        <v/>
      </c>
      <c r="IF24" s="2479" t="str">
        <f t="shared" si="218"/>
        <v/>
      </c>
      <c r="IG24" s="2479" t="str">
        <f t="shared" si="219"/>
        <v/>
      </c>
      <c r="IH24" s="2479" t="str">
        <f t="shared" si="220"/>
        <v/>
      </c>
      <c r="II24" s="2479" t="str">
        <f t="shared" si="221"/>
        <v/>
      </c>
      <c r="IJ24" s="2479" t="str">
        <f t="shared" si="222"/>
        <v/>
      </c>
      <c r="IK24" s="2479" t="str">
        <f t="shared" si="223"/>
        <v/>
      </c>
      <c r="IL24" s="2479" t="str">
        <f t="shared" si="224"/>
        <v/>
      </c>
      <c r="IM24" s="2479" t="str">
        <f t="shared" si="225"/>
        <v/>
      </c>
      <c r="IN24" s="2479" t="str">
        <f t="shared" si="226"/>
        <v/>
      </c>
      <c r="IO24" s="2479" t="str">
        <f t="shared" si="227"/>
        <v/>
      </c>
      <c r="IP24" s="2479" t="str">
        <f t="shared" si="228"/>
        <v/>
      </c>
      <c r="IQ24" s="2479" t="str">
        <f t="shared" si="229"/>
        <v/>
      </c>
      <c r="IR24" s="2479" t="str">
        <f t="shared" si="230"/>
        <v/>
      </c>
      <c r="IS24" s="2479" t="str">
        <f t="shared" si="231"/>
        <v/>
      </c>
      <c r="IT24" s="2479" t="str">
        <f t="shared" si="232"/>
        <v/>
      </c>
      <c r="IU24" s="2479" t="str">
        <f t="shared" si="233"/>
        <v/>
      </c>
      <c r="IV24" s="2479" t="str">
        <f t="shared" si="234"/>
        <v/>
      </c>
      <c r="IW24" s="2479" t="str">
        <f t="shared" si="235"/>
        <v/>
      </c>
      <c r="IX24" s="2479" t="str">
        <f t="shared" si="236"/>
        <v/>
      </c>
      <c r="IY24" s="2479" t="str">
        <f t="shared" si="237"/>
        <v/>
      </c>
      <c r="IZ24" s="2479" t="str">
        <f t="shared" si="238"/>
        <v/>
      </c>
      <c r="JA24" s="2479" t="str">
        <f t="shared" si="239"/>
        <v/>
      </c>
      <c r="JB24" s="2479" t="str">
        <f t="shared" si="240"/>
        <v/>
      </c>
      <c r="JC24" s="2479" t="str">
        <f t="shared" si="241"/>
        <v/>
      </c>
      <c r="JD24" s="2479" t="str">
        <f t="shared" si="242"/>
        <v/>
      </c>
      <c r="JE24" s="2479" t="str">
        <f t="shared" si="243"/>
        <v/>
      </c>
      <c r="JF24" s="2479" t="str">
        <f t="shared" si="244"/>
        <v/>
      </c>
      <c r="JG24" s="2479" t="str">
        <f t="shared" si="245"/>
        <v/>
      </c>
      <c r="JH24" s="2479" t="str">
        <f t="shared" si="246"/>
        <v/>
      </c>
      <c r="JI24" s="2479" t="str">
        <f t="shared" si="247"/>
        <v/>
      </c>
      <c r="JJ24" s="2479" t="str">
        <f t="shared" si="248"/>
        <v/>
      </c>
      <c r="JK24" s="2479" t="str">
        <f t="shared" si="249"/>
        <v/>
      </c>
      <c r="JL24" s="2479" t="str">
        <f t="shared" si="250"/>
        <v/>
      </c>
      <c r="JM24" s="2479" t="str">
        <f t="shared" si="251"/>
        <v/>
      </c>
      <c r="JN24" s="2479" t="str">
        <f t="shared" si="252"/>
        <v/>
      </c>
      <c r="JO24" s="2479" t="str">
        <f t="shared" si="253"/>
        <v/>
      </c>
      <c r="JP24" s="2479" t="str">
        <f t="shared" si="254"/>
        <v/>
      </c>
      <c r="JQ24" s="2479" t="str">
        <f t="shared" si="255"/>
        <v/>
      </c>
      <c r="JR24" s="2479" t="str">
        <f t="shared" si="256"/>
        <v/>
      </c>
      <c r="JS24" s="2479" t="str">
        <f t="shared" si="257"/>
        <v/>
      </c>
      <c r="JT24" s="2479" t="str">
        <f t="shared" si="258"/>
        <v/>
      </c>
      <c r="JU24" s="2479" t="str">
        <f t="shared" si="259"/>
        <v/>
      </c>
      <c r="JV24" s="2479" t="str">
        <f t="shared" si="260"/>
        <v/>
      </c>
      <c r="JW24" s="2479" t="str">
        <f t="shared" si="261"/>
        <v/>
      </c>
      <c r="JX24" s="2479" t="str">
        <f t="shared" si="262"/>
        <v/>
      </c>
      <c r="JY24" s="2479" t="str">
        <f t="shared" si="263"/>
        <v/>
      </c>
      <c r="JZ24" s="2479" t="str">
        <f t="shared" si="264"/>
        <v/>
      </c>
      <c r="KA24" s="2479" t="str">
        <f t="shared" si="265"/>
        <v/>
      </c>
      <c r="KB24" s="2479" t="str">
        <f t="shared" si="266"/>
        <v/>
      </c>
      <c r="KC24" s="2479" t="str">
        <f t="shared" si="267"/>
        <v/>
      </c>
      <c r="KD24" s="2479" t="str">
        <f t="shared" si="268"/>
        <v/>
      </c>
      <c r="KE24" s="2479" t="str">
        <f t="shared" si="269"/>
        <v/>
      </c>
      <c r="KF24" s="2479" t="str">
        <f t="shared" si="270"/>
        <v/>
      </c>
      <c r="KG24" s="2479" t="str">
        <f t="shared" si="271"/>
        <v/>
      </c>
      <c r="KH24" s="2479" t="str">
        <f t="shared" si="272"/>
        <v/>
      </c>
      <c r="KI24" s="2479" t="str">
        <f t="shared" si="273"/>
        <v/>
      </c>
      <c r="KJ24" s="2479" t="str">
        <f t="shared" si="274"/>
        <v/>
      </c>
      <c r="KK24" s="2479" t="str">
        <f t="shared" si="275"/>
        <v/>
      </c>
      <c r="KL24" s="2479" t="str">
        <f t="shared" si="276"/>
        <v/>
      </c>
      <c r="KM24" s="2479" t="str">
        <f t="shared" si="277"/>
        <v/>
      </c>
      <c r="KN24" s="2479" t="str">
        <f t="shared" si="278"/>
        <v/>
      </c>
      <c r="KO24" s="2479" t="str">
        <f t="shared" si="279"/>
        <v/>
      </c>
      <c r="KP24" s="2479" t="str">
        <f t="shared" si="280"/>
        <v/>
      </c>
      <c r="KQ24" s="2479" t="str">
        <f t="shared" si="281"/>
        <v/>
      </c>
      <c r="KR24" s="2479" t="str">
        <f t="shared" si="282"/>
        <v/>
      </c>
      <c r="KS24" s="2479" t="str">
        <f t="shared" si="283"/>
        <v/>
      </c>
      <c r="KT24" s="2479" t="str">
        <f t="shared" si="284"/>
        <v/>
      </c>
      <c r="KU24" s="2479" t="str">
        <f t="shared" si="285"/>
        <v/>
      </c>
      <c r="KV24" s="2479" t="str">
        <f t="shared" si="286"/>
        <v/>
      </c>
      <c r="KW24" s="2479" t="str">
        <f t="shared" si="287"/>
        <v/>
      </c>
      <c r="KX24" s="2479" t="str">
        <f t="shared" si="288"/>
        <v/>
      </c>
      <c r="KY24" s="2479" t="str">
        <f t="shared" si="289"/>
        <v/>
      </c>
      <c r="KZ24" s="2479" t="str">
        <f t="shared" si="290"/>
        <v/>
      </c>
      <c r="LA24" s="2479" t="str">
        <f t="shared" si="291"/>
        <v/>
      </c>
      <c r="LB24" s="2479" t="str">
        <f t="shared" si="292"/>
        <v/>
      </c>
      <c r="LC24" s="2479" t="str">
        <f t="shared" si="293"/>
        <v/>
      </c>
      <c r="LD24" s="2479" t="str">
        <f t="shared" si="294"/>
        <v/>
      </c>
      <c r="LE24" s="2479" t="str">
        <f t="shared" si="295"/>
        <v/>
      </c>
      <c r="LF24" s="2479" t="str">
        <f t="shared" si="296"/>
        <v/>
      </c>
      <c r="LG24" s="2479" t="str">
        <f t="shared" si="297"/>
        <v/>
      </c>
      <c r="LH24" s="2479" t="str">
        <f t="shared" si="298"/>
        <v/>
      </c>
      <c r="LI24" s="2479" t="str">
        <f t="shared" si="299"/>
        <v/>
      </c>
      <c r="LJ24" s="2479" t="str">
        <f t="shared" si="300"/>
        <v/>
      </c>
      <c r="LK24" s="2479" t="str">
        <f t="shared" si="301"/>
        <v/>
      </c>
      <c r="LL24" s="2479" t="str">
        <f t="shared" si="302"/>
        <v/>
      </c>
      <c r="LM24" s="2479" t="str">
        <f t="shared" si="303"/>
        <v/>
      </c>
      <c r="LN24" s="2479" t="str">
        <f t="shared" si="304"/>
        <v/>
      </c>
      <c r="LO24" s="2479" t="str">
        <f t="shared" si="305"/>
        <v/>
      </c>
      <c r="LP24" s="2479" t="str">
        <f t="shared" si="306"/>
        <v/>
      </c>
      <c r="LQ24" s="2480" t="str">
        <f t="shared" si="307"/>
        <v/>
      </c>
      <c r="LR24" s="2480" t="str">
        <f t="shared" si="308"/>
        <v/>
      </c>
      <c r="LS24" s="2480" t="str">
        <f t="shared" si="309"/>
        <v/>
      </c>
      <c r="LT24" s="2480" t="str">
        <f t="shared" si="310"/>
        <v/>
      </c>
      <c r="LU24" s="2480"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78">
        <f t="shared" si="338"/>
        <v>0</v>
      </c>
      <c r="MQ24" s="2478">
        <f t="shared" si="339"/>
        <v>0</v>
      </c>
      <c r="MR24" s="2478">
        <f t="shared" si="340"/>
        <v>0</v>
      </c>
      <c r="MS24" s="2478">
        <f t="shared" si="341"/>
        <v>0</v>
      </c>
      <c r="MT24" s="2478">
        <f t="shared" si="342"/>
        <v>0</v>
      </c>
      <c r="MU24" s="2478">
        <f t="shared" si="343"/>
        <v>0</v>
      </c>
      <c r="MV24" s="2478">
        <f t="shared" si="344"/>
        <v>0</v>
      </c>
      <c r="MW24" s="2478">
        <f t="shared" si="345"/>
        <v>0</v>
      </c>
      <c r="MX24" s="2478">
        <f t="shared" si="346"/>
        <v>0</v>
      </c>
      <c r="MY24" s="2478">
        <f t="shared" si="347"/>
        <v>0</v>
      </c>
      <c r="MZ24" s="2478">
        <f t="shared" si="332"/>
        <v>0</v>
      </c>
      <c r="NA24" s="2478">
        <f t="shared" si="333"/>
        <v>0</v>
      </c>
      <c r="NB24" s="2478">
        <f t="shared" si="334"/>
        <v>0</v>
      </c>
      <c r="NC24" s="2478">
        <f t="shared" si="335"/>
        <v>0</v>
      </c>
      <c r="ND24" s="2478">
        <f t="shared" si="336"/>
        <v>0</v>
      </c>
    </row>
    <row r="25" spans="1:368" ht="13.8" customHeight="1">
      <c r="A25" s="111" t="str">
        <f t="shared" si="337"/>
        <v/>
      </c>
      <c r="B25" s="1695"/>
      <c r="C25" s="171"/>
      <c r="D25" s="172"/>
      <c r="E25" s="173"/>
      <c r="F25" s="173"/>
      <c r="G25" s="173"/>
      <c r="H25" s="173"/>
      <c r="I25" s="173"/>
      <c r="J25" s="1092">
        <f>IF(C25="",0,HLOOKUP(C25,'Part V-Utility Allowances'!$I$11:$M$22,12))</f>
        <v>0</v>
      </c>
      <c r="K25" s="931"/>
      <c r="L25" s="667">
        <f t="shared" si="0"/>
        <v>0</v>
      </c>
      <c r="M25" s="667">
        <f t="shared" si="1"/>
        <v>0</v>
      </c>
      <c r="N25" s="1013"/>
      <c r="O25" s="1013"/>
      <c r="P25" s="1013"/>
      <c r="Q25" s="174"/>
      <c r="R25" s="1069"/>
      <c r="S25" s="1070"/>
      <c r="T25" s="3503"/>
      <c r="U25" s="3504"/>
      <c r="V25" s="3504"/>
      <c r="W25" s="3505"/>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79" t="str">
        <f t="shared" si="212"/>
        <v/>
      </c>
      <c r="IA25" s="2479" t="str">
        <f t="shared" si="213"/>
        <v/>
      </c>
      <c r="IB25" s="2479" t="str">
        <f t="shared" si="214"/>
        <v/>
      </c>
      <c r="IC25" s="2479" t="str">
        <f t="shared" si="215"/>
        <v/>
      </c>
      <c r="ID25" s="2479" t="str">
        <f t="shared" si="216"/>
        <v/>
      </c>
      <c r="IE25" s="2479" t="str">
        <f t="shared" si="217"/>
        <v/>
      </c>
      <c r="IF25" s="2479" t="str">
        <f t="shared" si="218"/>
        <v/>
      </c>
      <c r="IG25" s="2479" t="str">
        <f t="shared" si="219"/>
        <v/>
      </c>
      <c r="IH25" s="2479" t="str">
        <f t="shared" si="220"/>
        <v/>
      </c>
      <c r="II25" s="2479" t="str">
        <f t="shared" si="221"/>
        <v/>
      </c>
      <c r="IJ25" s="2479" t="str">
        <f t="shared" si="222"/>
        <v/>
      </c>
      <c r="IK25" s="2479" t="str">
        <f t="shared" si="223"/>
        <v/>
      </c>
      <c r="IL25" s="2479" t="str">
        <f t="shared" si="224"/>
        <v/>
      </c>
      <c r="IM25" s="2479" t="str">
        <f t="shared" si="225"/>
        <v/>
      </c>
      <c r="IN25" s="2479" t="str">
        <f t="shared" si="226"/>
        <v/>
      </c>
      <c r="IO25" s="2479" t="str">
        <f t="shared" si="227"/>
        <v/>
      </c>
      <c r="IP25" s="2479" t="str">
        <f t="shared" si="228"/>
        <v/>
      </c>
      <c r="IQ25" s="2479" t="str">
        <f t="shared" si="229"/>
        <v/>
      </c>
      <c r="IR25" s="2479" t="str">
        <f t="shared" si="230"/>
        <v/>
      </c>
      <c r="IS25" s="2479" t="str">
        <f t="shared" si="231"/>
        <v/>
      </c>
      <c r="IT25" s="2479" t="str">
        <f t="shared" si="232"/>
        <v/>
      </c>
      <c r="IU25" s="2479" t="str">
        <f t="shared" si="233"/>
        <v/>
      </c>
      <c r="IV25" s="2479" t="str">
        <f t="shared" si="234"/>
        <v/>
      </c>
      <c r="IW25" s="2479" t="str">
        <f t="shared" si="235"/>
        <v/>
      </c>
      <c r="IX25" s="2479" t="str">
        <f t="shared" si="236"/>
        <v/>
      </c>
      <c r="IY25" s="2479" t="str">
        <f t="shared" si="237"/>
        <v/>
      </c>
      <c r="IZ25" s="2479" t="str">
        <f t="shared" si="238"/>
        <v/>
      </c>
      <c r="JA25" s="2479" t="str">
        <f t="shared" si="239"/>
        <v/>
      </c>
      <c r="JB25" s="2479" t="str">
        <f t="shared" si="240"/>
        <v/>
      </c>
      <c r="JC25" s="2479" t="str">
        <f t="shared" si="241"/>
        <v/>
      </c>
      <c r="JD25" s="2479" t="str">
        <f t="shared" si="242"/>
        <v/>
      </c>
      <c r="JE25" s="2479" t="str">
        <f t="shared" si="243"/>
        <v/>
      </c>
      <c r="JF25" s="2479" t="str">
        <f t="shared" si="244"/>
        <v/>
      </c>
      <c r="JG25" s="2479" t="str">
        <f t="shared" si="245"/>
        <v/>
      </c>
      <c r="JH25" s="2479" t="str">
        <f t="shared" si="246"/>
        <v/>
      </c>
      <c r="JI25" s="2479" t="str">
        <f t="shared" si="247"/>
        <v/>
      </c>
      <c r="JJ25" s="2479" t="str">
        <f t="shared" si="248"/>
        <v/>
      </c>
      <c r="JK25" s="2479" t="str">
        <f t="shared" si="249"/>
        <v/>
      </c>
      <c r="JL25" s="2479" t="str">
        <f t="shared" si="250"/>
        <v/>
      </c>
      <c r="JM25" s="2479" t="str">
        <f t="shared" si="251"/>
        <v/>
      </c>
      <c r="JN25" s="2479" t="str">
        <f t="shared" si="252"/>
        <v/>
      </c>
      <c r="JO25" s="2479" t="str">
        <f t="shared" si="253"/>
        <v/>
      </c>
      <c r="JP25" s="2479" t="str">
        <f t="shared" si="254"/>
        <v/>
      </c>
      <c r="JQ25" s="2479" t="str">
        <f t="shared" si="255"/>
        <v/>
      </c>
      <c r="JR25" s="2479" t="str">
        <f t="shared" si="256"/>
        <v/>
      </c>
      <c r="JS25" s="2479" t="str">
        <f t="shared" si="257"/>
        <v/>
      </c>
      <c r="JT25" s="2479" t="str">
        <f t="shared" si="258"/>
        <v/>
      </c>
      <c r="JU25" s="2479" t="str">
        <f t="shared" si="259"/>
        <v/>
      </c>
      <c r="JV25" s="2479" t="str">
        <f t="shared" si="260"/>
        <v/>
      </c>
      <c r="JW25" s="2479" t="str">
        <f t="shared" si="261"/>
        <v/>
      </c>
      <c r="JX25" s="2479" t="str">
        <f t="shared" si="262"/>
        <v/>
      </c>
      <c r="JY25" s="2479" t="str">
        <f t="shared" si="263"/>
        <v/>
      </c>
      <c r="JZ25" s="2479" t="str">
        <f t="shared" si="264"/>
        <v/>
      </c>
      <c r="KA25" s="2479" t="str">
        <f t="shared" si="265"/>
        <v/>
      </c>
      <c r="KB25" s="2479" t="str">
        <f t="shared" si="266"/>
        <v/>
      </c>
      <c r="KC25" s="2479" t="str">
        <f t="shared" si="267"/>
        <v/>
      </c>
      <c r="KD25" s="2479" t="str">
        <f t="shared" si="268"/>
        <v/>
      </c>
      <c r="KE25" s="2479" t="str">
        <f t="shared" si="269"/>
        <v/>
      </c>
      <c r="KF25" s="2479" t="str">
        <f t="shared" si="270"/>
        <v/>
      </c>
      <c r="KG25" s="2479" t="str">
        <f t="shared" si="271"/>
        <v/>
      </c>
      <c r="KH25" s="2479" t="str">
        <f t="shared" si="272"/>
        <v/>
      </c>
      <c r="KI25" s="2479" t="str">
        <f t="shared" si="273"/>
        <v/>
      </c>
      <c r="KJ25" s="2479" t="str">
        <f t="shared" si="274"/>
        <v/>
      </c>
      <c r="KK25" s="2479" t="str">
        <f t="shared" si="275"/>
        <v/>
      </c>
      <c r="KL25" s="2479" t="str">
        <f t="shared" si="276"/>
        <v/>
      </c>
      <c r="KM25" s="2479" t="str">
        <f t="shared" si="277"/>
        <v/>
      </c>
      <c r="KN25" s="2479" t="str">
        <f t="shared" si="278"/>
        <v/>
      </c>
      <c r="KO25" s="2479" t="str">
        <f t="shared" si="279"/>
        <v/>
      </c>
      <c r="KP25" s="2479" t="str">
        <f t="shared" si="280"/>
        <v/>
      </c>
      <c r="KQ25" s="2479" t="str">
        <f t="shared" si="281"/>
        <v/>
      </c>
      <c r="KR25" s="2479" t="str">
        <f t="shared" si="282"/>
        <v/>
      </c>
      <c r="KS25" s="2479" t="str">
        <f t="shared" si="283"/>
        <v/>
      </c>
      <c r="KT25" s="2479" t="str">
        <f t="shared" si="284"/>
        <v/>
      </c>
      <c r="KU25" s="2479" t="str">
        <f t="shared" si="285"/>
        <v/>
      </c>
      <c r="KV25" s="2479" t="str">
        <f t="shared" si="286"/>
        <v/>
      </c>
      <c r="KW25" s="2479" t="str">
        <f t="shared" si="287"/>
        <v/>
      </c>
      <c r="KX25" s="2479" t="str">
        <f t="shared" si="288"/>
        <v/>
      </c>
      <c r="KY25" s="2479" t="str">
        <f t="shared" si="289"/>
        <v/>
      </c>
      <c r="KZ25" s="2479" t="str">
        <f t="shared" si="290"/>
        <v/>
      </c>
      <c r="LA25" s="2479" t="str">
        <f t="shared" si="291"/>
        <v/>
      </c>
      <c r="LB25" s="2479" t="str">
        <f t="shared" si="292"/>
        <v/>
      </c>
      <c r="LC25" s="2479" t="str">
        <f t="shared" si="293"/>
        <v/>
      </c>
      <c r="LD25" s="2479" t="str">
        <f t="shared" si="294"/>
        <v/>
      </c>
      <c r="LE25" s="2479" t="str">
        <f t="shared" si="295"/>
        <v/>
      </c>
      <c r="LF25" s="2479" t="str">
        <f t="shared" si="296"/>
        <v/>
      </c>
      <c r="LG25" s="2479" t="str">
        <f t="shared" si="297"/>
        <v/>
      </c>
      <c r="LH25" s="2479" t="str">
        <f t="shared" si="298"/>
        <v/>
      </c>
      <c r="LI25" s="2479" t="str">
        <f t="shared" si="299"/>
        <v/>
      </c>
      <c r="LJ25" s="2479" t="str">
        <f t="shared" si="300"/>
        <v/>
      </c>
      <c r="LK25" s="2479" t="str">
        <f t="shared" si="301"/>
        <v/>
      </c>
      <c r="LL25" s="2479" t="str">
        <f t="shared" si="302"/>
        <v/>
      </c>
      <c r="LM25" s="2479" t="str">
        <f t="shared" si="303"/>
        <v/>
      </c>
      <c r="LN25" s="2479" t="str">
        <f t="shared" si="304"/>
        <v/>
      </c>
      <c r="LO25" s="2479" t="str">
        <f t="shared" si="305"/>
        <v/>
      </c>
      <c r="LP25" s="2479" t="str">
        <f t="shared" si="306"/>
        <v/>
      </c>
      <c r="LQ25" s="2480" t="str">
        <f t="shared" si="307"/>
        <v/>
      </c>
      <c r="LR25" s="2480" t="str">
        <f t="shared" si="308"/>
        <v/>
      </c>
      <c r="LS25" s="2480" t="str">
        <f t="shared" si="309"/>
        <v/>
      </c>
      <c r="LT25" s="2480" t="str">
        <f t="shared" si="310"/>
        <v/>
      </c>
      <c r="LU25" s="2480"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78">
        <f t="shared" si="338"/>
        <v>0</v>
      </c>
      <c r="MQ25" s="2478">
        <f t="shared" si="339"/>
        <v>0</v>
      </c>
      <c r="MR25" s="2478">
        <f t="shared" si="340"/>
        <v>0</v>
      </c>
      <c r="MS25" s="2478">
        <f t="shared" si="341"/>
        <v>0</v>
      </c>
      <c r="MT25" s="2478">
        <f t="shared" si="342"/>
        <v>0</v>
      </c>
      <c r="MU25" s="2478">
        <f t="shared" si="343"/>
        <v>0</v>
      </c>
      <c r="MV25" s="2478">
        <f t="shared" si="344"/>
        <v>0</v>
      </c>
      <c r="MW25" s="2478">
        <f t="shared" si="345"/>
        <v>0</v>
      </c>
      <c r="MX25" s="2478">
        <f t="shared" si="346"/>
        <v>0</v>
      </c>
      <c r="MY25" s="2478">
        <f t="shared" si="347"/>
        <v>0</v>
      </c>
      <c r="MZ25" s="2478">
        <f t="shared" si="332"/>
        <v>0</v>
      </c>
      <c r="NA25" s="2478">
        <f t="shared" si="333"/>
        <v>0</v>
      </c>
      <c r="NB25" s="2478">
        <f t="shared" si="334"/>
        <v>0</v>
      </c>
      <c r="NC25" s="2478">
        <f t="shared" si="335"/>
        <v>0</v>
      </c>
      <c r="ND25" s="2478">
        <f t="shared" si="336"/>
        <v>0</v>
      </c>
    </row>
    <row r="26" spans="1:368" ht="13.8" customHeight="1">
      <c r="A26" s="111" t="str">
        <f t="shared" si="337"/>
        <v/>
      </c>
      <c r="B26" s="1695"/>
      <c r="C26" s="171"/>
      <c r="D26" s="172"/>
      <c r="E26" s="173"/>
      <c r="F26" s="173"/>
      <c r="G26" s="173"/>
      <c r="H26" s="173"/>
      <c r="I26" s="173"/>
      <c r="J26" s="1092">
        <f>IF(C26="",0,HLOOKUP(C26,'Part V-Utility Allowances'!$I$11:$M$22,12))</f>
        <v>0</v>
      </c>
      <c r="K26" s="931"/>
      <c r="L26" s="667">
        <f t="shared" si="0"/>
        <v>0</v>
      </c>
      <c r="M26" s="667">
        <f t="shared" si="1"/>
        <v>0</v>
      </c>
      <c r="N26" s="1013"/>
      <c r="O26" s="1013"/>
      <c r="P26" s="1013"/>
      <c r="Q26" s="174"/>
      <c r="R26" s="1069"/>
      <c r="S26" s="1070"/>
      <c r="T26" s="3503"/>
      <c r="U26" s="3504"/>
      <c r="V26" s="3504"/>
      <c r="W26" s="3505"/>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79" t="str">
        <f t="shared" si="212"/>
        <v/>
      </c>
      <c r="IA26" s="2479" t="str">
        <f t="shared" si="213"/>
        <v/>
      </c>
      <c r="IB26" s="2479" t="str">
        <f t="shared" si="214"/>
        <v/>
      </c>
      <c r="IC26" s="2479" t="str">
        <f t="shared" si="215"/>
        <v/>
      </c>
      <c r="ID26" s="2479" t="str">
        <f t="shared" si="216"/>
        <v/>
      </c>
      <c r="IE26" s="2479" t="str">
        <f t="shared" si="217"/>
        <v/>
      </c>
      <c r="IF26" s="2479" t="str">
        <f t="shared" si="218"/>
        <v/>
      </c>
      <c r="IG26" s="2479" t="str">
        <f t="shared" si="219"/>
        <v/>
      </c>
      <c r="IH26" s="2479" t="str">
        <f t="shared" si="220"/>
        <v/>
      </c>
      <c r="II26" s="2479" t="str">
        <f t="shared" si="221"/>
        <v/>
      </c>
      <c r="IJ26" s="2479" t="str">
        <f t="shared" si="222"/>
        <v/>
      </c>
      <c r="IK26" s="2479" t="str">
        <f t="shared" si="223"/>
        <v/>
      </c>
      <c r="IL26" s="2479" t="str">
        <f t="shared" si="224"/>
        <v/>
      </c>
      <c r="IM26" s="2479" t="str">
        <f t="shared" si="225"/>
        <v/>
      </c>
      <c r="IN26" s="2479" t="str">
        <f t="shared" si="226"/>
        <v/>
      </c>
      <c r="IO26" s="2479" t="str">
        <f t="shared" si="227"/>
        <v/>
      </c>
      <c r="IP26" s="2479" t="str">
        <f t="shared" si="228"/>
        <v/>
      </c>
      <c r="IQ26" s="2479" t="str">
        <f t="shared" si="229"/>
        <v/>
      </c>
      <c r="IR26" s="2479" t="str">
        <f t="shared" si="230"/>
        <v/>
      </c>
      <c r="IS26" s="2479" t="str">
        <f t="shared" si="231"/>
        <v/>
      </c>
      <c r="IT26" s="2479" t="str">
        <f t="shared" si="232"/>
        <v/>
      </c>
      <c r="IU26" s="2479" t="str">
        <f t="shared" si="233"/>
        <v/>
      </c>
      <c r="IV26" s="2479" t="str">
        <f t="shared" si="234"/>
        <v/>
      </c>
      <c r="IW26" s="2479" t="str">
        <f t="shared" si="235"/>
        <v/>
      </c>
      <c r="IX26" s="2479" t="str">
        <f t="shared" si="236"/>
        <v/>
      </c>
      <c r="IY26" s="2479" t="str">
        <f t="shared" si="237"/>
        <v/>
      </c>
      <c r="IZ26" s="2479" t="str">
        <f t="shared" si="238"/>
        <v/>
      </c>
      <c r="JA26" s="2479" t="str">
        <f t="shared" si="239"/>
        <v/>
      </c>
      <c r="JB26" s="2479" t="str">
        <f t="shared" si="240"/>
        <v/>
      </c>
      <c r="JC26" s="2479" t="str">
        <f t="shared" si="241"/>
        <v/>
      </c>
      <c r="JD26" s="2479" t="str">
        <f t="shared" si="242"/>
        <v/>
      </c>
      <c r="JE26" s="2479" t="str">
        <f t="shared" si="243"/>
        <v/>
      </c>
      <c r="JF26" s="2479" t="str">
        <f t="shared" si="244"/>
        <v/>
      </c>
      <c r="JG26" s="2479" t="str">
        <f t="shared" si="245"/>
        <v/>
      </c>
      <c r="JH26" s="2479" t="str">
        <f t="shared" si="246"/>
        <v/>
      </c>
      <c r="JI26" s="2479" t="str">
        <f t="shared" si="247"/>
        <v/>
      </c>
      <c r="JJ26" s="2479" t="str">
        <f t="shared" si="248"/>
        <v/>
      </c>
      <c r="JK26" s="2479" t="str">
        <f t="shared" si="249"/>
        <v/>
      </c>
      <c r="JL26" s="2479" t="str">
        <f t="shared" si="250"/>
        <v/>
      </c>
      <c r="JM26" s="2479" t="str">
        <f t="shared" si="251"/>
        <v/>
      </c>
      <c r="JN26" s="2479" t="str">
        <f t="shared" si="252"/>
        <v/>
      </c>
      <c r="JO26" s="2479" t="str">
        <f t="shared" si="253"/>
        <v/>
      </c>
      <c r="JP26" s="2479" t="str">
        <f t="shared" si="254"/>
        <v/>
      </c>
      <c r="JQ26" s="2479" t="str">
        <f t="shared" si="255"/>
        <v/>
      </c>
      <c r="JR26" s="2479" t="str">
        <f t="shared" si="256"/>
        <v/>
      </c>
      <c r="JS26" s="2479" t="str">
        <f t="shared" si="257"/>
        <v/>
      </c>
      <c r="JT26" s="2479" t="str">
        <f t="shared" si="258"/>
        <v/>
      </c>
      <c r="JU26" s="2479" t="str">
        <f t="shared" si="259"/>
        <v/>
      </c>
      <c r="JV26" s="2479" t="str">
        <f t="shared" si="260"/>
        <v/>
      </c>
      <c r="JW26" s="2479" t="str">
        <f t="shared" si="261"/>
        <v/>
      </c>
      <c r="JX26" s="2479" t="str">
        <f t="shared" si="262"/>
        <v/>
      </c>
      <c r="JY26" s="2479" t="str">
        <f t="shared" si="263"/>
        <v/>
      </c>
      <c r="JZ26" s="2479" t="str">
        <f t="shared" si="264"/>
        <v/>
      </c>
      <c r="KA26" s="2479" t="str">
        <f t="shared" si="265"/>
        <v/>
      </c>
      <c r="KB26" s="2479" t="str">
        <f t="shared" si="266"/>
        <v/>
      </c>
      <c r="KC26" s="2479" t="str">
        <f t="shared" si="267"/>
        <v/>
      </c>
      <c r="KD26" s="2479" t="str">
        <f t="shared" si="268"/>
        <v/>
      </c>
      <c r="KE26" s="2479" t="str">
        <f t="shared" si="269"/>
        <v/>
      </c>
      <c r="KF26" s="2479" t="str">
        <f t="shared" si="270"/>
        <v/>
      </c>
      <c r="KG26" s="2479" t="str">
        <f t="shared" si="271"/>
        <v/>
      </c>
      <c r="KH26" s="2479" t="str">
        <f t="shared" si="272"/>
        <v/>
      </c>
      <c r="KI26" s="2479" t="str">
        <f t="shared" si="273"/>
        <v/>
      </c>
      <c r="KJ26" s="2479" t="str">
        <f t="shared" si="274"/>
        <v/>
      </c>
      <c r="KK26" s="2479" t="str">
        <f t="shared" si="275"/>
        <v/>
      </c>
      <c r="KL26" s="2479" t="str">
        <f t="shared" si="276"/>
        <v/>
      </c>
      <c r="KM26" s="2479" t="str">
        <f t="shared" si="277"/>
        <v/>
      </c>
      <c r="KN26" s="2479" t="str">
        <f t="shared" si="278"/>
        <v/>
      </c>
      <c r="KO26" s="2479" t="str">
        <f t="shared" si="279"/>
        <v/>
      </c>
      <c r="KP26" s="2479" t="str">
        <f t="shared" si="280"/>
        <v/>
      </c>
      <c r="KQ26" s="2479" t="str">
        <f t="shared" si="281"/>
        <v/>
      </c>
      <c r="KR26" s="2479" t="str">
        <f t="shared" si="282"/>
        <v/>
      </c>
      <c r="KS26" s="2479" t="str">
        <f t="shared" si="283"/>
        <v/>
      </c>
      <c r="KT26" s="2479" t="str">
        <f t="shared" si="284"/>
        <v/>
      </c>
      <c r="KU26" s="2479" t="str">
        <f t="shared" si="285"/>
        <v/>
      </c>
      <c r="KV26" s="2479" t="str">
        <f t="shared" si="286"/>
        <v/>
      </c>
      <c r="KW26" s="2479" t="str">
        <f t="shared" si="287"/>
        <v/>
      </c>
      <c r="KX26" s="2479" t="str">
        <f t="shared" si="288"/>
        <v/>
      </c>
      <c r="KY26" s="2479" t="str">
        <f t="shared" si="289"/>
        <v/>
      </c>
      <c r="KZ26" s="2479" t="str">
        <f t="shared" si="290"/>
        <v/>
      </c>
      <c r="LA26" s="2479" t="str">
        <f t="shared" si="291"/>
        <v/>
      </c>
      <c r="LB26" s="2479" t="str">
        <f t="shared" si="292"/>
        <v/>
      </c>
      <c r="LC26" s="2479" t="str">
        <f t="shared" si="293"/>
        <v/>
      </c>
      <c r="LD26" s="2479" t="str">
        <f t="shared" si="294"/>
        <v/>
      </c>
      <c r="LE26" s="2479" t="str">
        <f t="shared" si="295"/>
        <v/>
      </c>
      <c r="LF26" s="2479" t="str">
        <f t="shared" si="296"/>
        <v/>
      </c>
      <c r="LG26" s="2479" t="str">
        <f t="shared" si="297"/>
        <v/>
      </c>
      <c r="LH26" s="2479" t="str">
        <f t="shared" si="298"/>
        <v/>
      </c>
      <c r="LI26" s="2479" t="str">
        <f t="shared" si="299"/>
        <v/>
      </c>
      <c r="LJ26" s="2479" t="str">
        <f t="shared" si="300"/>
        <v/>
      </c>
      <c r="LK26" s="2479" t="str">
        <f t="shared" si="301"/>
        <v/>
      </c>
      <c r="LL26" s="2479" t="str">
        <f t="shared" si="302"/>
        <v/>
      </c>
      <c r="LM26" s="2479" t="str">
        <f t="shared" si="303"/>
        <v/>
      </c>
      <c r="LN26" s="2479" t="str">
        <f t="shared" si="304"/>
        <v/>
      </c>
      <c r="LO26" s="2479" t="str">
        <f t="shared" si="305"/>
        <v/>
      </c>
      <c r="LP26" s="2479" t="str">
        <f t="shared" si="306"/>
        <v/>
      </c>
      <c r="LQ26" s="2480" t="str">
        <f t="shared" si="307"/>
        <v/>
      </c>
      <c r="LR26" s="2480" t="str">
        <f t="shared" si="308"/>
        <v/>
      </c>
      <c r="LS26" s="2480" t="str">
        <f t="shared" si="309"/>
        <v/>
      </c>
      <c r="LT26" s="2480" t="str">
        <f t="shared" si="310"/>
        <v/>
      </c>
      <c r="LU26" s="2480"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78">
        <f t="shared" si="338"/>
        <v>0</v>
      </c>
      <c r="MQ26" s="2478">
        <f t="shared" si="339"/>
        <v>0</v>
      </c>
      <c r="MR26" s="2478">
        <f t="shared" si="340"/>
        <v>0</v>
      </c>
      <c r="MS26" s="2478">
        <f t="shared" si="341"/>
        <v>0</v>
      </c>
      <c r="MT26" s="2478">
        <f t="shared" si="342"/>
        <v>0</v>
      </c>
      <c r="MU26" s="2478">
        <f t="shared" si="343"/>
        <v>0</v>
      </c>
      <c r="MV26" s="2478">
        <f t="shared" si="344"/>
        <v>0</v>
      </c>
      <c r="MW26" s="2478">
        <f t="shared" si="345"/>
        <v>0</v>
      </c>
      <c r="MX26" s="2478">
        <f t="shared" si="346"/>
        <v>0</v>
      </c>
      <c r="MY26" s="2478">
        <f t="shared" si="347"/>
        <v>0</v>
      </c>
      <c r="MZ26" s="2478">
        <f t="shared" si="332"/>
        <v>0</v>
      </c>
      <c r="NA26" s="2478">
        <f t="shared" si="333"/>
        <v>0</v>
      </c>
      <c r="NB26" s="2478">
        <f t="shared" si="334"/>
        <v>0</v>
      </c>
      <c r="NC26" s="2478">
        <f t="shared" si="335"/>
        <v>0</v>
      </c>
      <c r="ND26" s="2478">
        <f t="shared" si="336"/>
        <v>0</v>
      </c>
    </row>
    <row r="27" spans="1:368" ht="13.8" customHeight="1">
      <c r="A27" s="111" t="str">
        <f t="shared" si="337"/>
        <v/>
      </c>
      <c r="B27" s="1695"/>
      <c r="C27" s="171"/>
      <c r="D27" s="172"/>
      <c r="E27" s="173"/>
      <c r="F27" s="173"/>
      <c r="G27" s="173"/>
      <c r="H27" s="173"/>
      <c r="I27" s="173"/>
      <c r="J27" s="1092">
        <f>IF(C27="",0,HLOOKUP(C27,'Part V-Utility Allowances'!$I$11:$M$22,12))</f>
        <v>0</v>
      </c>
      <c r="K27" s="931"/>
      <c r="L27" s="667">
        <f t="shared" si="0"/>
        <v>0</v>
      </c>
      <c r="M27" s="667">
        <f t="shared" si="1"/>
        <v>0</v>
      </c>
      <c r="N27" s="1013"/>
      <c r="O27" s="1013"/>
      <c r="P27" s="1013"/>
      <c r="Q27" s="174"/>
      <c r="R27" s="1069"/>
      <c r="S27" s="1070"/>
      <c r="T27" s="3503"/>
      <c r="U27" s="3504"/>
      <c r="V27" s="3504"/>
      <c r="W27" s="3505"/>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79" t="str">
        <f t="shared" si="212"/>
        <v/>
      </c>
      <c r="IA27" s="2479" t="str">
        <f t="shared" si="213"/>
        <v/>
      </c>
      <c r="IB27" s="2479" t="str">
        <f t="shared" si="214"/>
        <v/>
      </c>
      <c r="IC27" s="2479" t="str">
        <f t="shared" si="215"/>
        <v/>
      </c>
      <c r="ID27" s="2479" t="str">
        <f t="shared" si="216"/>
        <v/>
      </c>
      <c r="IE27" s="2479" t="str">
        <f t="shared" si="217"/>
        <v/>
      </c>
      <c r="IF27" s="2479" t="str">
        <f t="shared" si="218"/>
        <v/>
      </c>
      <c r="IG27" s="2479" t="str">
        <f t="shared" si="219"/>
        <v/>
      </c>
      <c r="IH27" s="2479" t="str">
        <f t="shared" si="220"/>
        <v/>
      </c>
      <c r="II27" s="2479" t="str">
        <f t="shared" si="221"/>
        <v/>
      </c>
      <c r="IJ27" s="2479" t="str">
        <f t="shared" si="222"/>
        <v/>
      </c>
      <c r="IK27" s="2479" t="str">
        <f t="shared" si="223"/>
        <v/>
      </c>
      <c r="IL27" s="2479" t="str">
        <f t="shared" si="224"/>
        <v/>
      </c>
      <c r="IM27" s="2479" t="str">
        <f t="shared" si="225"/>
        <v/>
      </c>
      <c r="IN27" s="2479" t="str">
        <f t="shared" si="226"/>
        <v/>
      </c>
      <c r="IO27" s="2479" t="str">
        <f t="shared" si="227"/>
        <v/>
      </c>
      <c r="IP27" s="2479" t="str">
        <f t="shared" si="228"/>
        <v/>
      </c>
      <c r="IQ27" s="2479" t="str">
        <f t="shared" si="229"/>
        <v/>
      </c>
      <c r="IR27" s="2479" t="str">
        <f t="shared" si="230"/>
        <v/>
      </c>
      <c r="IS27" s="2479" t="str">
        <f t="shared" si="231"/>
        <v/>
      </c>
      <c r="IT27" s="2479" t="str">
        <f t="shared" si="232"/>
        <v/>
      </c>
      <c r="IU27" s="2479" t="str">
        <f t="shared" si="233"/>
        <v/>
      </c>
      <c r="IV27" s="2479" t="str">
        <f t="shared" si="234"/>
        <v/>
      </c>
      <c r="IW27" s="2479" t="str">
        <f t="shared" si="235"/>
        <v/>
      </c>
      <c r="IX27" s="2479" t="str">
        <f t="shared" si="236"/>
        <v/>
      </c>
      <c r="IY27" s="2479" t="str">
        <f t="shared" si="237"/>
        <v/>
      </c>
      <c r="IZ27" s="2479" t="str">
        <f t="shared" si="238"/>
        <v/>
      </c>
      <c r="JA27" s="2479" t="str">
        <f t="shared" si="239"/>
        <v/>
      </c>
      <c r="JB27" s="2479" t="str">
        <f t="shared" si="240"/>
        <v/>
      </c>
      <c r="JC27" s="2479" t="str">
        <f t="shared" si="241"/>
        <v/>
      </c>
      <c r="JD27" s="2479" t="str">
        <f t="shared" si="242"/>
        <v/>
      </c>
      <c r="JE27" s="2479" t="str">
        <f t="shared" si="243"/>
        <v/>
      </c>
      <c r="JF27" s="2479" t="str">
        <f t="shared" si="244"/>
        <v/>
      </c>
      <c r="JG27" s="2479" t="str">
        <f t="shared" si="245"/>
        <v/>
      </c>
      <c r="JH27" s="2479" t="str">
        <f t="shared" si="246"/>
        <v/>
      </c>
      <c r="JI27" s="2479" t="str">
        <f t="shared" si="247"/>
        <v/>
      </c>
      <c r="JJ27" s="2479" t="str">
        <f t="shared" si="248"/>
        <v/>
      </c>
      <c r="JK27" s="2479" t="str">
        <f t="shared" si="249"/>
        <v/>
      </c>
      <c r="JL27" s="2479" t="str">
        <f t="shared" si="250"/>
        <v/>
      </c>
      <c r="JM27" s="2479" t="str">
        <f t="shared" si="251"/>
        <v/>
      </c>
      <c r="JN27" s="2479" t="str">
        <f t="shared" si="252"/>
        <v/>
      </c>
      <c r="JO27" s="2479" t="str">
        <f t="shared" si="253"/>
        <v/>
      </c>
      <c r="JP27" s="2479" t="str">
        <f t="shared" si="254"/>
        <v/>
      </c>
      <c r="JQ27" s="2479" t="str">
        <f t="shared" si="255"/>
        <v/>
      </c>
      <c r="JR27" s="2479" t="str">
        <f t="shared" si="256"/>
        <v/>
      </c>
      <c r="JS27" s="2479" t="str">
        <f t="shared" si="257"/>
        <v/>
      </c>
      <c r="JT27" s="2479" t="str">
        <f t="shared" si="258"/>
        <v/>
      </c>
      <c r="JU27" s="2479" t="str">
        <f t="shared" si="259"/>
        <v/>
      </c>
      <c r="JV27" s="2479" t="str">
        <f t="shared" si="260"/>
        <v/>
      </c>
      <c r="JW27" s="2479" t="str">
        <f t="shared" si="261"/>
        <v/>
      </c>
      <c r="JX27" s="2479" t="str">
        <f t="shared" si="262"/>
        <v/>
      </c>
      <c r="JY27" s="2479" t="str">
        <f t="shared" si="263"/>
        <v/>
      </c>
      <c r="JZ27" s="2479" t="str">
        <f t="shared" si="264"/>
        <v/>
      </c>
      <c r="KA27" s="2479" t="str">
        <f t="shared" si="265"/>
        <v/>
      </c>
      <c r="KB27" s="2479" t="str">
        <f t="shared" si="266"/>
        <v/>
      </c>
      <c r="KC27" s="2479" t="str">
        <f t="shared" si="267"/>
        <v/>
      </c>
      <c r="KD27" s="2479" t="str">
        <f t="shared" si="268"/>
        <v/>
      </c>
      <c r="KE27" s="2479" t="str">
        <f t="shared" si="269"/>
        <v/>
      </c>
      <c r="KF27" s="2479" t="str">
        <f t="shared" si="270"/>
        <v/>
      </c>
      <c r="KG27" s="2479" t="str">
        <f t="shared" si="271"/>
        <v/>
      </c>
      <c r="KH27" s="2479" t="str">
        <f t="shared" si="272"/>
        <v/>
      </c>
      <c r="KI27" s="2479" t="str">
        <f t="shared" si="273"/>
        <v/>
      </c>
      <c r="KJ27" s="2479" t="str">
        <f t="shared" si="274"/>
        <v/>
      </c>
      <c r="KK27" s="2479" t="str">
        <f t="shared" si="275"/>
        <v/>
      </c>
      <c r="KL27" s="2479" t="str">
        <f t="shared" si="276"/>
        <v/>
      </c>
      <c r="KM27" s="2479" t="str">
        <f t="shared" si="277"/>
        <v/>
      </c>
      <c r="KN27" s="2479" t="str">
        <f t="shared" si="278"/>
        <v/>
      </c>
      <c r="KO27" s="2479" t="str">
        <f t="shared" si="279"/>
        <v/>
      </c>
      <c r="KP27" s="2479" t="str">
        <f t="shared" si="280"/>
        <v/>
      </c>
      <c r="KQ27" s="2479" t="str">
        <f t="shared" si="281"/>
        <v/>
      </c>
      <c r="KR27" s="2479" t="str">
        <f t="shared" si="282"/>
        <v/>
      </c>
      <c r="KS27" s="2479" t="str">
        <f t="shared" si="283"/>
        <v/>
      </c>
      <c r="KT27" s="2479" t="str">
        <f t="shared" si="284"/>
        <v/>
      </c>
      <c r="KU27" s="2479" t="str">
        <f t="shared" si="285"/>
        <v/>
      </c>
      <c r="KV27" s="2479" t="str">
        <f t="shared" si="286"/>
        <v/>
      </c>
      <c r="KW27" s="2479" t="str">
        <f t="shared" si="287"/>
        <v/>
      </c>
      <c r="KX27" s="2479" t="str">
        <f t="shared" si="288"/>
        <v/>
      </c>
      <c r="KY27" s="2479" t="str">
        <f t="shared" si="289"/>
        <v/>
      </c>
      <c r="KZ27" s="2479" t="str">
        <f t="shared" si="290"/>
        <v/>
      </c>
      <c r="LA27" s="2479" t="str">
        <f t="shared" si="291"/>
        <v/>
      </c>
      <c r="LB27" s="2479" t="str">
        <f t="shared" si="292"/>
        <v/>
      </c>
      <c r="LC27" s="2479" t="str">
        <f t="shared" si="293"/>
        <v/>
      </c>
      <c r="LD27" s="2479" t="str">
        <f t="shared" si="294"/>
        <v/>
      </c>
      <c r="LE27" s="2479" t="str">
        <f t="shared" si="295"/>
        <v/>
      </c>
      <c r="LF27" s="2479" t="str">
        <f t="shared" si="296"/>
        <v/>
      </c>
      <c r="LG27" s="2479" t="str">
        <f t="shared" si="297"/>
        <v/>
      </c>
      <c r="LH27" s="2479" t="str">
        <f t="shared" si="298"/>
        <v/>
      </c>
      <c r="LI27" s="2479" t="str">
        <f t="shared" si="299"/>
        <v/>
      </c>
      <c r="LJ27" s="2479" t="str">
        <f t="shared" si="300"/>
        <v/>
      </c>
      <c r="LK27" s="2479" t="str">
        <f t="shared" si="301"/>
        <v/>
      </c>
      <c r="LL27" s="2479" t="str">
        <f t="shared" si="302"/>
        <v/>
      </c>
      <c r="LM27" s="2479" t="str">
        <f t="shared" si="303"/>
        <v/>
      </c>
      <c r="LN27" s="2479" t="str">
        <f t="shared" si="304"/>
        <v/>
      </c>
      <c r="LO27" s="2479" t="str">
        <f t="shared" si="305"/>
        <v/>
      </c>
      <c r="LP27" s="2479" t="str">
        <f t="shared" si="306"/>
        <v/>
      </c>
      <c r="LQ27" s="2480" t="str">
        <f t="shared" si="307"/>
        <v/>
      </c>
      <c r="LR27" s="2480" t="str">
        <f t="shared" si="308"/>
        <v/>
      </c>
      <c r="LS27" s="2480" t="str">
        <f t="shared" si="309"/>
        <v/>
      </c>
      <c r="LT27" s="2480" t="str">
        <f t="shared" si="310"/>
        <v/>
      </c>
      <c r="LU27" s="2480"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78">
        <f t="shared" si="338"/>
        <v>0</v>
      </c>
      <c r="MQ27" s="2478">
        <f t="shared" si="339"/>
        <v>0</v>
      </c>
      <c r="MR27" s="2478">
        <f t="shared" si="340"/>
        <v>0</v>
      </c>
      <c r="MS27" s="2478">
        <f t="shared" si="341"/>
        <v>0</v>
      </c>
      <c r="MT27" s="2478">
        <f t="shared" si="342"/>
        <v>0</v>
      </c>
      <c r="MU27" s="2478">
        <f t="shared" si="343"/>
        <v>0</v>
      </c>
      <c r="MV27" s="2478">
        <f t="shared" si="344"/>
        <v>0</v>
      </c>
      <c r="MW27" s="2478">
        <f t="shared" si="345"/>
        <v>0</v>
      </c>
      <c r="MX27" s="2478">
        <f t="shared" si="346"/>
        <v>0</v>
      </c>
      <c r="MY27" s="2478">
        <f t="shared" si="347"/>
        <v>0</v>
      </c>
      <c r="MZ27" s="2478">
        <f t="shared" si="332"/>
        <v>0</v>
      </c>
      <c r="NA27" s="2478">
        <f t="shared" si="333"/>
        <v>0</v>
      </c>
      <c r="NB27" s="2478">
        <f t="shared" si="334"/>
        <v>0</v>
      </c>
      <c r="NC27" s="2478">
        <f t="shared" si="335"/>
        <v>0</v>
      </c>
      <c r="ND27" s="2478">
        <f t="shared" si="336"/>
        <v>0</v>
      </c>
    </row>
    <row r="28" spans="1:368" ht="13.8" customHeight="1">
      <c r="A28" s="111" t="str">
        <f t="shared" si="337"/>
        <v/>
      </c>
      <c r="B28" s="1695"/>
      <c r="C28" s="171"/>
      <c r="D28" s="172"/>
      <c r="E28" s="173"/>
      <c r="F28" s="173"/>
      <c r="G28" s="173"/>
      <c r="H28" s="173"/>
      <c r="I28" s="173"/>
      <c r="J28" s="1092">
        <f>IF(C28="",0,HLOOKUP(C28,'Part V-Utility Allowances'!$I$11:$M$22,12))</f>
        <v>0</v>
      </c>
      <c r="K28" s="931"/>
      <c r="L28" s="667">
        <f t="shared" si="0"/>
        <v>0</v>
      </c>
      <c r="M28" s="667">
        <f t="shared" si="1"/>
        <v>0</v>
      </c>
      <c r="N28" s="1013"/>
      <c r="O28" s="1013"/>
      <c r="P28" s="1013"/>
      <c r="Q28" s="174"/>
      <c r="R28" s="1069"/>
      <c r="S28" s="1070"/>
      <c r="T28" s="3503"/>
      <c r="U28" s="3504"/>
      <c r="V28" s="3504"/>
      <c r="W28" s="3505"/>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79" t="str">
        <f t="shared" si="212"/>
        <v/>
      </c>
      <c r="IA28" s="2479" t="str">
        <f t="shared" si="213"/>
        <v/>
      </c>
      <c r="IB28" s="2479" t="str">
        <f t="shared" si="214"/>
        <v/>
      </c>
      <c r="IC28" s="2479" t="str">
        <f t="shared" si="215"/>
        <v/>
      </c>
      <c r="ID28" s="2479" t="str">
        <f t="shared" si="216"/>
        <v/>
      </c>
      <c r="IE28" s="2479" t="str">
        <f t="shared" si="217"/>
        <v/>
      </c>
      <c r="IF28" s="2479" t="str">
        <f t="shared" si="218"/>
        <v/>
      </c>
      <c r="IG28" s="2479" t="str">
        <f t="shared" si="219"/>
        <v/>
      </c>
      <c r="IH28" s="2479" t="str">
        <f t="shared" si="220"/>
        <v/>
      </c>
      <c r="II28" s="2479" t="str">
        <f t="shared" si="221"/>
        <v/>
      </c>
      <c r="IJ28" s="2479" t="str">
        <f t="shared" si="222"/>
        <v/>
      </c>
      <c r="IK28" s="2479" t="str">
        <f t="shared" si="223"/>
        <v/>
      </c>
      <c r="IL28" s="2479" t="str">
        <f t="shared" si="224"/>
        <v/>
      </c>
      <c r="IM28" s="2479" t="str">
        <f t="shared" si="225"/>
        <v/>
      </c>
      <c r="IN28" s="2479" t="str">
        <f t="shared" si="226"/>
        <v/>
      </c>
      <c r="IO28" s="2479" t="str">
        <f t="shared" si="227"/>
        <v/>
      </c>
      <c r="IP28" s="2479" t="str">
        <f t="shared" si="228"/>
        <v/>
      </c>
      <c r="IQ28" s="2479" t="str">
        <f t="shared" si="229"/>
        <v/>
      </c>
      <c r="IR28" s="2479" t="str">
        <f t="shared" si="230"/>
        <v/>
      </c>
      <c r="IS28" s="2479" t="str">
        <f t="shared" si="231"/>
        <v/>
      </c>
      <c r="IT28" s="2479" t="str">
        <f t="shared" si="232"/>
        <v/>
      </c>
      <c r="IU28" s="2479" t="str">
        <f t="shared" si="233"/>
        <v/>
      </c>
      <c r="IV28" s="2479" t="str">
        <f t="shared" si="234"/>
        <v/>
      </c>
      <c r="IW28" s="2479" t="str">
        <f t="shared" si="235"/>
        <v/>
      </c>
      <c r="IX28" s="2479" t="str">
        <f t="shared" si="236"/>
        <v/>
      </c>
      <c r="IY28" s="2479" t="str">
        <f t="shared" si="237"/>
        <v/>
      </c>
      <c r="IZ28" s="2479" t="str">
        <f t="shared" si="238"/>
        <v/>
      </c>
      <c r="JA28" s="2479" t="str">
        <f t="shared" si="239"/>
        <v/>
      </c>
      <c r="JB28" s="2479" t="str">
        <f t="shared" si="240"/>
        <v/>
      </c>
      <c r="JC28" s="2479" t="str">
        <f t="shared" si="241"/>
        <v/>
      </c>
      <c r="JD28" s="2479" t="str">
        <f t="shared" si="242"/>
        <v/>
      </c>
      <c r="JE28" s="2479" t="str">
        <f t="shared" si="243"/>
        <v/>
      </c>
      <c r="JF28" s="2479" t="str">
        <f t="shared" si="244"/>
        <v/>
      </c>
      <c r="JG28" s="2479" t="str">
        <f t="shared" si="245"/>
        <v/>
      </c>
      <c r="JH28" s="2479" t="str">
        <f t="shared" si="246"/>
        <v/>
      </c>
      <c r="JI28" s="2479" t="str">
        <f t="shared" si="247"/>
        <v/>
      </c>
      <c r="JJ28" s="2479" t="str">
        <f t="shared" si="248"/>
        <v/>
      </c>
      <c r="JK28" s="2479" t="str">
        <f t="shared" si="249"/>
        <v/>
      </c>
      <c r="JL28" s="2479" t="str">
        <f t="shared" si="250"/>
        <v/>
      </c>
      <c r="JM28" s="2479" t="str">
        <f t="shared" si="251"/>
        <v/>
      </c>
      <c r="JN28" s="2479" t="str">
        <f t="shared" si="252"/>
        <v/>
      </c>
      <c r="JO28" s="2479" t="str">
        <f t="shared" si="253"/>
        <v/>
      </c>
      <c r="JP28" s="2479" t="str">
        <f t="shared" si="254"/>
        <v/>
      </c>
      <c r="JQ28" s="2479" t="str">
        <f t="shared" si="255"/>
        <v/>
      </c>
      <c r="JR28" s="2479" t="str">
        <f t="shared" si="256"/>
        <v/>
      </c>
      <c r="JS28" s="2479" t="str">
        <f t="shared" si="257"/>
        <v/>
      </c>
      <c r="JT28" s="2479" t="str">
        <f t="shared" si="258"/>
        <v/>
      </c>
      <c r="JU28" s="2479" t="str">
        <f t="shared" si="259"/>
        <v/>
      </c>
      <c r="JV28" s="2479" t="str">
        <f t="shared" si="260"/>
        <v/>
      </c>
      <c r="JW28" s="2479" t="str">
        <f t="shared" si="261"/>
        <v/>
      </c>
      <c r="JX28" s="2479" t="str">
        <f t="shared" si="262"/>
        <v/>
      </c>
      <c r="JY28" s="2479" t="str">
        <f t="shared" si="263"/>
        <v/>
      </c>
      <c r="JZ28" s="2479" t="str">
        <f t="shared" si="264"/>
        <v/>
      </c>
      <c r="KA28" s="2479" t="str">
        <f t="shared" si="265"/>
        <v/>
      </c>
      <c r="KB28" s="2479" t="str">
        <f t="shared" si="266"/>
        <v/>
      </c>
      <c r="KC28" s="2479" t="str">
        <f t="shared" si="267"/>
        <v/>
      </c>
      <c r="KD28" s="2479" t="str">
        <f t="shared" si="268"/>
        <v/>
      </c>
      <c r="KE28" s="2479" t="str">
        <f t="shared" si="269"/>
        <v/>
      </c>
      <c r="KF28" s="2479" t="str">
        <f t="shared" si="270"/>
        <v/>
      </c>
      <c r="KG28" s="2479" t="str">
        <f t="shared" si="271"/>
        <v/>
      </c>
      <c r="KH28" s="2479" t="str">
        <f t="shared" si="272"/>
        <v/>
      </c>
      <c r="KI28" s="2479" t="str">
        <f t="shared" si="273"/>
        <v/>
      </c>
      <c r="KJ28" s="2479" t="str">
        <f t="shared" si="274"/>
        <v/>
      </c>
      <c r="KK28" s="2479" t="str">
        <f t="shared" si="275"/>
        <v/>
      </c>
      <c r="KL28" s="2479" t="str">
        <f t="shared" si="276"/>
        <v/>
      </c>
      <c r="KM28" s="2479" t="str">
        <f t="shared" si="277"/>
        <v/>
      </c>
      <c r="KN28" s="2479" t="str">
        <f t="shared" si="278"/>
        <v/>
      </c>
      <c r="KO28" s="2479" t="str">
        <f t="shared" si="279"/>
        <v/>
      </c>
      <c r="KP28" s="2479" t="str">
        <f t="shared" si="280"/>
        <v/>
      </c>
      <c r="KQ28" s="2479" t="str">
        <f t="shared" si="281"/>
        <v/>
      </c>
      <c r="KR28" s="2479" t="str">
        <f t="shared" si="282"/>
        <v/>
      </c>
      <c r="KS28" s="2479" t="str">
        <f t="shared" si="283"/>
        <v/>
      </c>
      <c r="KT28" s="2479" t="str">
        <f t="shared" si="284"/>
        <v/>
      </c>
      <c r="KU28" s="2479" t="str">
        <f t="shared" si="285"/>
        <v/>
      </c>
      <c r="KV28" s="2479" t="str">
        <f t="shared" si="286"/>
        <v/>
      </c>
      <c r="KW28" s="2479" t="str">
        <f t="shared" si="287"/>
        <v/>
      </c>
      <c r="KX28" s="2479" t="str">
        <f t="shared" si="288"/>
        <v/>
      </c>
      <c r="KY28" s="2479" t="str">
        <f t="shared" si="289"/>
        <v/>
      </c>
      <c r="KZ28" s="2479" t="str">
        <f t="shared" si="290"/>
        <v/>
      </c>
      <c r="LA28" s="2479" t="str">
        <f t="shared" si="291"/>
        <v/>
      </c>
      <c r="LB28" s="2479" t="str">
        <f t="shared" si="292"/>
        <v/>
      </c>
      <c r="LC28" s="2479" t="str">
        <f t="shared" si="293"/>
        <v/>
      </c>
      <c r="LD28" s="2479" t="str">
        <f t="shared" si="294"/>
        <v/>
      </c>
      <c r="LE28" s="2479" t="str">
        <f t="shared" si="295"/>
        <v/>
      </c>
      <c r="LF28" s="2479" t="str">
        <f t="shared" si="296"/>
        <v/>
      </c>
      <c r="LG28" s="2479" t="str">
        <f t="shared" si="297"/>
        <v/>
      </c>
      <c r="LH28" s="2479" t="str">
        <f t="shared" si="298"/>
        <v/>
      </c>
      <c r="LI28" s="2479" t="str">
        <f t="shared" si="299"/>
        <v/>
      </c>
      <c r="LJ28" s="2479" t="str">
        <f t="shared" si="300"/>
        <v/>
      </c>
      <c r="LK28" s="2479" t="str">
        <f t="shared" si="301"/>
        <v/>
      </c>
      <c r="LL28" s="2479" t="str">
        <f t="shared" si="302"/>
        <v/>
      </c>
      <c r="LM28" s="2479" t="str">
        <f t="shared" si="303"/>
        <v/>
      </c>
      <c r="LN28" s="2479" t="str">
        <f t="shared" si="304"/>
        <v/>
      </c>
      <c r="LO28" s="2479" t="str">
        <f t="shared" si="305"/>
        <v/>
      </c>
      <c r="LP28" s="2479" t="str">
        <f t="shared" si="306"/>
        <v/>
      </c>
      <c r="LQ28" s="2480" t="str">
        <f t="shared" si="307"/>
        <v/>
      </c>
      <c r="LR28" s="2480" t="str">
        <f t="shared" si="308"/>
        <v/>
      </c>
      <c r="LS28" s="2480" t="str">
        <f t="shared" si="309"/>
        <v/>
      </c>
      <c r="LT28" s="2480" t="str">
        <f t="shared" si="310"/>
        <v/>
      </c>
      <c r="LU28" s="2480"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78">
        <f t="shared" si="338"/>
        <v>0</v>
      </c>
      <c r="MQ28" s="2478">
        <f t="shared" si="339"/>
        <v>0</v>
      </c>
      <c r="MR28" s="2478">
        <f t="shared" si="340"/>
        <v>0</v>
      </c>
      <c r="MS28" s="2478">
        <f t="shared" si="341"/>
        <v>0</v>
      </c>
      <c r="MT28" s="2478">
        <f t="shared" si="342"/>
        <v>0</v>
      </c>
      <c r="MU28" s="2478">
        <f t="shared" si="343"/>
        <v>0</v>
      </c>
      <c r="MV28" s="2478">
        <f t="shared" si="344"/>
        <v>0</v>
      </c>
      <c r="MW28" s="2478">
        <f t="shared" si="345"/>
        <v>0</v>
      </c>
      <c r="MX28" s="2478">
        <f t="shared" si="346"/>
        <v>0</v>
      </c>
      <c r="MY28" s="2478">
        <f t="shared" si="347"/>
        <v>0</v>
      </c>
      <c r="MZ28" s="2478">
        <f t="shared" si="332"/>
        <v>0</v>
      </c>
      <c r="NA28" s="2478">
        <f t="shared" si="333"/>
        <v>0</v>
      </c>
      <c r="NB28" s="2478">
        <f t="shared" si="334"/>
        <v>0</v>
      </c>
      <c r="NC28" s="2478">
        <f t="shared" si="335"/>
        <v>0</v>
      </c>
      <c r="ND28" s="2478">
        <f t="shared" si="336"/>
        <v>0</v>
      </c>
    </row>
    <row r="29" spans="1:368" ht="13.8" customHeight="1">
      <c r="A29" s="111" t="str">
        <f t="shared" si="337"/>
        <v/>
      </c>
      <c r="B29" s="1695"/>
      <c r="C29" s="171"/>
      <c r="D29" s="172"/>
      <c r="E29" s="173"/>
      <c r="F29" s="173"/>
      <c r="G29" s="173"/>
      <c r="H29" s="173"/>
      <c r="I29" s="173"/>
      <c r="J29" s="1092">
        <f>IF(C29="",0,HLOOKUP(C29,'Part V-Utility Allowances'!$I$11:$M$22,12))</f>
        <v>0</v>
      </c>
      <c r="K29" s="931"/>
      <c r="L29" s="667">
        <f t="shared" si="0"/>
        <v>0</v>
      </c>
      <c r="M29" s="667">
        <f t="shared" si="1"/>
        <v>0</v>
      </c>
      <c r="N29" s="1013"/>
      <c r="O29" s="1013"/>
      <c r="P29" s="1013"/>
      <c r="Q29" s="174"/>
      <c r="R29" s="1069"/>
      <c r="S29" s="1070"/>
      <c r="T29" s="3503"/>
      <c r="U29" s="3504"/>
      <c r="V29" s="3504"/>
      <c r="W29" s="3505"/>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79" t="str">
        <f t="shared" si="212"/>
        <v/>
      </c>
      <c r="IA29" s="2479" t="str">
        <f t="shared" si="213"/>
        <v/>
      </c>
      <c r="IB29" s="2479" t="str">
        <f t="shared" si="214"/>
        <v/>
      </c>
      <c r="IC29" s="2479" t="str">
        <f t="shared" si="215"/>
        <v/>
      </c>
      <c r="ID29" s="2479" t="str">
        <f t="shared" si="216"/>
        <v/>
      </c>
      <c r="IE29" s="2479" t="str">
        <f t="shared" si="217"/>
        <v/>
      </c>
      <c r="IF29" s="2479" t="str">
        <f t="shared" si="218"/>
        <v/>
      </c>
      <c r="IG29" s="2479" t="str">
        <f t="shared" si="219"/>
        <v/>
      </c>
      <c r="IH29" s="2479" t="str">
        <f t="shared" si="220"/>
        <v/>
      </c>
      <c r="II29" s="2479" t="str">
        <f t="shared" si="221"/>
        <v/>
      </c>
      <c r="IJ29" s="2479" t="str">
        <f t="shared" si="222"/>
        <v/>
      </c>
      <c r="IK29" s="2479" t="str">
        <f t="shared" si="223"/>
        <v/>
      </c>
      <c r="IL29" s="2479" t="str">
        <f t="shared" si="224"/>
        <v/>
      </c>
      <c r="IM29" s="2479" t="str">
        <f t="shared" si="225"/>
        <v/>
      </c>
      <c r="IN29" s="2479" t="str">
        <f t="shared" si="226"/>
        <v/>
      </c>
      <c r="IO29" s="2479" t="str">
        <f t="shared" si="227"/>
        <v/>
      </c>
      <c r="IP29" s="2479" t="str">
        <f t="shared" si="228"/>
        <v/>
      </c>
      <c r="IQ29" s="2479" t="str">
        <f t="shared" si="229"/>
        <v/>
      </c>
      <c r="IR29" s="2479" t="str">
        <f t="shared" si="230"/>
        <v/>
      </c>
      <c r="IS29" s="2479" t="str">
        <f t="shared" si="231"/>
        <v/>
      </c>
      <c r="IT29" s="2479" t="str">
        <f t="shared" si="232"/>
        <v/>
      </c>
      <c r="IU29" s="2479" t="str">
        <f t="shared" si="233"/>
        <v/>
      </c>
      <c r="IV29" s="2479" t="str">
        <f t="shared" si="234"/>
        <v/>
      </c>
      <c r="IW29" s="2479" t="str">
        <f t="shared" si="235"/>
        <v/>
      </c>
      <c r="IX29" s="2479" t="str">
        <f t="shared" si="236"/>
        <v/>
      </c>
      <c r="IY29" s="2479" t="str">
        <f t="shared" si="237"/>
        <v/>
      </c>
      <c r="IZ29" s="2479" t="str">
        <f t="shared" si="238"/>
        <v/>
      </c>
      <c r="JA29" s="2479" t="str">
        <f t="shared" si="239"/>
        <v/>
      </c>
      <c r="JB29" s="2479" t="str">
        <f t="shared" si="240"/>
        <v/>
      </c>
      <c r="JC29" s="2479" t="str">
        <f t="shared" si="241"/>
        <v/>
      </c>
      <c r="JD29" s="2479" t="str">
        <f t="shared" si="242"/>
        <v/>
      </c>
      <c r="JE29" s="2479" t="str">
        <f t="shared" si="243"/>
        <v/>
      </c>
      <c r="JF29" s="2479" t="str">
        <f t="shared" si="244"/>
        <v/>
      </c>
      <c r="JG29" s="2479" t="str">
        <f t="shared" si="245"/>
        <v/>
      </c>
      <c r="JH29" s="2479" t="str">
        <f t="shared" si="246"/>
        <v/>
      </c>
      <c r="JI29" s="2479" t="str">
        <f t="shared" si="247"/>
        <v/>
      </c>
      <c r="JJ29" s="2479" t="str">
        <f t="shared" si="248"/>
        <v/>
      </c>
      <c r="JK29" s="2479" t="str">
        <f t="shared" si="249"/>
        <v/>
      </c>
      <c r="JL29" s="2479" t="str">
        <f t="shared" si="250"/>
        <v/>
      </c>
      <c r="JM29" s="2479" t="str">
        <f t="shared" si="251"/>
        <v/>
      </c>
      <c r="JN29" s="2479" t="str">
        <f t="shared" si="252"/>
        <v/>
      </c>
      <c r="JO29" s="2479" t="str">
        <f t="shared" si="253"/>
        <v/>
      </c>
      <c r="JP29" s="2479" t="str">
        <f t="shared" si="254"/>
        <v/>
      </c>
      <c r="JQ29" s="2479" t="str">
        <f t="shared" si="255"/>
        <v/>
      </c>
      <c r="JR29" s="2479" t="str">
        <f t="shared" si="256"/>
        <v/>
      </c>
      <c r="JS29" s="2479" t="str">
        <f t="shared" si="257"/>
        <v/>
      </c>
      <c r="JT29" s="2479" t="str">
        <f t="shared" si="258"/>
        <v/>
      </c>
      <c r="JU29" s="2479" t="str">
        <f t="shared" si="259"/>
        <v/>
      </c>
      <c r="JV29" s="2479" t="str">
        <f t="shared" si="260"/>
        <v/>
      </c>
      <c r="JW29" s="2479" t="str">
        <f t="shared" si="261"/>
        <v/>
      </c>
      <c r="JX29" s="2479" t="str">
        <f t="shared" si="262"/>
        <v/>
      </c>
      <c r="JY29" s="2479" t="str">
        <f t="shared" si="263"/>
        <v/>
      </c>
      <c r="JZ29" s="2479" t="str">
        <f t="shared" si="264"/>
        <v/>
      </c>
      <c r="KA29" s="2479" t="str">
        <f t="shared" si="265"/>
        <v/>
      </c>
      <c r="KB29" s="2479" t="str">
        <f t="shared" si="266"/>
        <v/>
      </c>
      <c r="KC29" s="2479" t="str">
        <f t="shared" si="267"/>
        <v/>
      </c>
      <c r="KD29" s="2479" t="str">
        <f t="shared" si="268"/>
        <v/>
      </c>
      <c r="KE29" s="2479" t="str">
        <f t="shared" si="269"/>
        <v/>
      </c>
      <c r="KF29" s="2479" t="str">
        <f t="shared" si="270"/>
        <v/>
      </c>
      <c r="KG29" s="2479" t="str">
        <f t="shared" si="271"/>
        <v/>
      </c>
      <c r="KH29" s="2479" t="str">
        <f t="shared" si="272"/>
        <v/>
      </c>
      <c r="KI29" s="2479" t="str">
        <f t="shared" si="273"/>
        <v/>
      </c>
      <c r="KJ29" s="2479" t="str">
        <f t="shared" si="274"/>
        <v/>
      </c>
      <c r="KK29" s="2479" t="str">
        <f t="shared" si="275"/>
        <v/>
      </c>
      <c r="KL29" s="2479" t="str">
        <f t="shared" si="276"/>
        <v/>
      </c>
      <c r="KM29" s="2479" t="str">
        <f t="shared" si="277"/>
        <v/>
      </c>
      <c r="KN29" s="2479" t="str">
        <f t="shared" si="278"/>
        <v/>
      </c>
      <c r="KO29" s="2479" t="str">
        <f t="shared" si="279"/>
        <v/>
      </c>
      <c r="KP29" s="2479" t="str">
        <f t="shared" si="280"/>
        <v/>
      </c>
      <c r="KQ29" s="2479" t="str">
        <f t="shared" si="281"/>
        <v/>
      </c>
      <c r="KR29" s="2479" t="str">
        <f t="shared" si="282"/>
        <v/>
      </c>
      <c r="KS29" s="2479" t="str">
        <f t="shared" si="283"/>
        <v/>
      </c>
      <c r="KT29" s="2479" t="str">
        <f t="shared" si="284"/>
        <v/>
      </c>
      <c r="KU29" s="2479" t="str">
        <f t="shared" si="285"/>
        <v/>
      </c>
      <c r="KV29" s="2479" t="str">
        <f t="shared" si="286"/>
        <v/>
      </c>
      <c r="KW29" s="2479" t="str">
        <f t="shared" si="287"/>
        <v/>
      </c>
      <c r="KX29" s="2479" t="str">
        <f t="shared" si="288"/>
        <v/>
      </c>
      <c r="KY29" s="2479" t="str">
        <f t="shared" si="289"/>
        <v/>
      </c>
      <c r="KZ29" s="2479" t="str">
        <f t="shared" si="290"/>
        <v/>
      </c>
      <c r="LA29" s="2479" t="str">
        <f t="shared" si="291"/>
        <v/>
      </c>
      <c r="LB29" s="2479" t="str">
        <f t="shared" si="292"/>
        <v/>
      </c>
      <c r="LC29" s="2479" t="str">
        <f t="shared" si="293"/>
        <v/>
      </c>
      <c r="LD29" s="2479" t="str">
        <f t="shared" si="294"/>
        <v/>
      </c>
      <c r="LE29" s="2479" t="str">
        <f t="shared" si="295"/>
        <v/>
      </c>
      <c r="LF29" s="2479" t="str">
        <f t="shared" si="296"/>
        <v/>
      </c>
      <c r="LG29" s="2479" t="str">
        <f t="shared" si="297"/>
        <v/>
      </c>
      <c r="LH29" s="2479" t="str">
        <f t="shared" si="298"/>
        <v/>
      </c>
      <c r="LI29" s="2479" t="str">
        <f t="shared" si="299"/>
        <v/>
      </c>
      <c r="LJ29" s="2479" t="str">
        <f t="shared" si="300"/>
        <v/>
      </c>
      <c r="LK29" s="2479" t="str">
        <f t="shared" si="301"/>
        <v/>
      </c>
      <c r="LL29" s="2479" t="str">
        <f t="shared" si="302"/>
        <v/>
      </c>
      <c r="LM29" s="2479" t="str">
        <f t="shared" si="303"/>
        <v/>
      </c>
      <c r="LN29" s="2479" t="str">
        <f t="shared" si="304"/>
        <v/>
      </c>
      <c r="LO29" s="2479" t="str">
        <f t="shared" si="305"/>
        <v/>
      </c>
      <c r="LP29" s="2479" t="str">
        <f t="shared" si="306"/>
        <v/>
      </c>
      <c r="LQ29" s="2480" t="str">
        <f t="shared" si="307"/>
        <v/>
      </c>
      <c r="LR29" s="2480" t="str">
        <f t="shared" si="308"/>
        <v/>
      </c>
      <c r="LS29" s="2480" t="str">
        <f t="shared" si="309"/>
        <v/>
      </c>
      <c r="LT29" s="2480" t="str">
        <f t="shared" si="310"/>
        <v/>
      </c>
      <c r="LU29" s="2480"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78">
        <f t="shared" si="338"/>
        <v>0</v>
      </c>
      <c r="MQ29" s="2478">
        <f t="shared" si="339"/>
        <v>0</v>
      </c>
      <c r="MR29" s="2478">
        <f t="shared" si="340"/>
        <v>0</v>
      </c>
      <c r="MS29" s="2478">
        <f t="shared" si="341"/>
        <v>0</v>
      </c>
      <c r="MT29" s="2478">
        <f t="shared" si="342"/>
        <v>0</v>
      </c>
      <c r="MU29" s="2478">
        <f t="shared" si="343"/>
        <v>0</v>
      </c>
      <c r="MV29" s="2478">
        <f t="shared" si="344"/>
        <v>0</v>
      </c>
      <c r="MW29" s="2478">
        <f t="shared" si="345"/>
        <v>0</v>
      </c>
      <c r="MX29" s="2478">
        <f t="shared" si="346"/>
        <v>0</v>
      </c>
      <c r="MY29" s="2478">
        <f t="shared" si="347"/>
        <v>0</v>
      </c>
      <c r="MZ29" s="2478">
        <f t="shared" si="332"/>
        <v>0</v>
      </c>
      <c r="NA29" s="2478">
        <f t="shared" si="333"/>
        <v>0</v>
      </c>
      <c r="NB29" s="2478">
        <f t="shared" si="334"/>
        <v>0</v>
      </c>
      <c r="NC29" s="2478">
        <f t="shared" si="335"/>
        <v>0</v>
      </c>
      <c r="ND29" s="2478">
        <f t="shared" si="336"/>
        <v>0</v>
      </c>
    </row>
    <row r="30" spans="1:368" ht="13.8" customHeight="1">
      <c r="A30" s="111" t="str">
        <f t="shared" si="337"/>
        <v/>
      </c>
      <c r="B30" s="1695"/>
      <c r="C30" s="171"/>
      <c r="D30" s="172"/>
      <c r="E30" s="173"/>
      <c r="F30" s="173"/>
      <c r="G30" s="173"/>
      <c r="H30" s="173"/>
      <c r="I30" s="173"/>
      <c r="J30" s="1092">
        <f>IF(C30="",0,HLOOKUP(C30,'Part V-Utility Allowances'!$I$11:$M$22,12))</f>
        <v>0</v>
      </c>
      <c r="K30" s="931"/>
      <c r="L30" s="667">
        <f t="shared" si="0"/>
        <v>0</v>
      </c>
      <c r="M30" s="667">
        <f t="shared" si="1"/>
        <v>0</v>
      </c>
      <c r="N30" s="1013"/>
      <c r="O30" s="1013"/>
      <c r="P30" s="1013"/>
      <c r="Q30" s="174"/>
      <c r="R30" s="1069"/>
      <c r="S30" s="1070"/>
      <c r="T30" s="3503"/>
      <c r="U30" s="3504"/>
      <c r="V30" s="3504"/>
      <c r="W30" s="3505"/>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79" t="str">
        <f t="shared" si="212"/>
        <v/>
      </c>
      <c r="IA30" s="2479" t="str">
        <f t="shared" si="213"/>
        <v/>
      </c>
      <c r="IB30" s="2479" t="str">
        <f t="shared" si="214"/>
        <v/>
      </c>
      <c r="IC30" s="2479" t="str">
        <f t="shared" si="215"/>
        <v/>
      </c>
      <c r="ID30" s="2479" t="str">
        <f t="shared" si="216"/>
        <v/>
      </c>
      <c r="IE30" s="2479" t="str">
        <f t="shared" si="217"/>
        <v/>
      </c>
      <c r="IF30" s="2479" t="str">
        <f t="shared" si="218"/>
        <v/>
      </c>
      <c r="IG30" s="2479" t="str">
        <f t="shared" si="219"/>
        <v/>
      </c>
      <c r="IH30" s="2479" t="str">
        <f t="shared" si="220"/>
        <v/>
      </c>
      <c r="II30" s="2479" t="str">
        <f t="shared" si="221"/>
        <v/>
      </c>
      <c r="IJ30" s="2479" t="str">
        <f t="shared" si="222"/>
        <v/>
      </c>
      <c r="IK30" s="2479" t="str">
        <f t="shared" si="223"/>
        <v/>
      </c>
      <c r="IL30" s="2479" t="str">
        <f t="shared" si="224"/>
        <v/>
      </c>
      <c r="IM30" s="2479" t="str">
        <f t="shared" si="225"/>
        <v/>
      </c>
      <c r="IN30" s="2479" t="str">
        <f t="shared" si="226"/>
        <v/>
      </c>
      <c r="IO30" s="2479" t="str">
        <f t="shared" si="227"/>
        <v/>
      </c>
      <c r="IP30" s="2479" t="str">
        <f t="shared" si="228"/>
        <v/>
      </c>
      <c r="IQ30" s="2479" t="str">
        <f t="shared" si="229"/>
        <v/>
      </c>
      <c r="IR30" s="2479" t="str">
        <f t="shared" si="230"/>
        <v/>
      </c>
      <c r="IS30" s="2479" t="str">
        <f t="shared" si="231"/>
        <v/>
      </c>
      <c r="IT30" s="2479" t="str">
        <f t="shared" si="232"/>
        <v/>
      </c>
      <c r="IU30" s="2479" t="str">
        <f t="shared" si="233"/>
        <v/>
      </c>
      <c r="IV30" s="2479" t="str">
        <f t="shared" si="234"/>
        <v/>
      </c>
      <c r="IW30" s="2479" t="str">
        <f t="shared" si="235"/>
        <v/>
      </c>
      <c r="IX30" s="2479" t="str">
        <f t="shared" si="236"/>
        <v/>
      </c>
      <c r="IY30" s="2479" t="str">
        <f t="shared" si="237"/>
        <v/>
      </c>
      <c r="IZ30" s="2479" t="str">
        <f t="shared" si="238"/>
        <v/>
      </c>
      <c r="JA30" s="2479" t="str">
        <f t="shared" si="239"/>
        <v/>
      </c>
      <c r="JB30" s="2479" t="str">
        <f t="shared" si="240"/>
        <v/>
      </c>
      <c r="JC30" s="2479" t="str">
        <f t="shared" si="241"/>
        <v/>
      </c>
      <c r="JD30" s="2479" t="str">
        <f t="shared" si="242"/>
        <v/>
      </c>
      <c r="JE30" s="2479" t="str">
        <f t="shared" si="243"/>
        <v/>
      </c>
      <c r="JF30" s="2479" t="str">
        <f t="shared" si="244"/>
        <v/>
      </c>
      <c r="JG30" s="2479" t="str">
        <f t="shared" si="245"/>
        <v/>
      </c>
      <c r="JH30" s="2479" t="str">
        <f t="shared" si="246"/>
        <v/>
      </c>
      <c r="JI30" s="2479" t="str">
        <f t="shared" si="247"/>
        <v/>
      </c>
      <c r="JJ30" s="2479" t="str">
        <f t="shared" si="248"/>
        <v/>
      </c>
      <c r="JK30" s="2479" t="str">
        <f t="shared" si="249"/>
        <v/>
      </c>
      <c r="JL30" s="2479" t="str">
        <f t="shared" si="250"/>
        <v/>
      </c>
      <c r="JM30" s="2479" t="str">
        <f t="shared" si="251"/>
        <v/>
      </c>
      <c r="JN30" s="2479" t="str">
        <f t="shared" si="252"/>
        <v/>
      </c>
      <c r="JO30" s="2479" t="str">
        <f t="shared" si="253"/>
        <v/>
      </c>
      <c r="JP30" s="2479" t="str">
        <f t="shared" si="254"/>
        <v/>
      </c>
      <c r="JQ30" s="2479" t="str">
        <f t="shared" si="255"/>
        <v/>
      </c>
      <c r="JR30" s="2479" t="str">
        <f t="shared" si="256"/>
        <v/>
      </c>
      <c r="JS30" s="2479" t="str">
        <f t="shared" si="257"/>
        <v/>
      </c>
      <c r="JT30" s="2479" t="str">
        <f t="shared" si="258"/>
        <v/>
      </c>
      <c r="JU30" s="2479" t="str">
        <f t="shared" si="259"/>
        <v/>
      </c>
      <c r="JV30" s="2479" t="str">
        <f t="shared" si="260"/>
        <v/>
      </c>
      <c r="JW30" s="2479" t="str">
        <f t="shared" si="261"/>
        <v/>
      </c>
      <c r="JX30" s="2479" t="str">
        <f t="shared" si="262"/>
        <v/>
      </c>
      <c r="JY30" s="2479" t="str">
        <f t="shared" si="263"/>
        <v/>
      </c>
      <c r="JZ30" s="2479" t="str">
        <f t="shared" si="264"/>
        <v/>
      </c>
      <c r="KA30" s="2479" t="str">
        <f t="shared" si="265"/>
        <v/>
      </c>
      <c r="KB30" s="2479" t="str">
        <f t="shared" si="266"/>
        <v/>
      </c>
      <c r="KC30" s="2479" t="str">
        <f t="shared" si="267"/>
        <v/>
      </c>
      <c r="KD30" s="2479" t="str">
        <f t="shared" si="268"/>
        <v/>
      </c>
      <c r="KE30" s="2479" t="str">
        <f t="shared" si="269"/>
        <v/>
      </c>
      <c r="KF30" s="2479" t="str">
        <f t="shared" si="270"/>
        <v/>
      </c>
      <c r="KG30" s="2479" t="str">
        <f t="shared" si="271"/>
        <v/>
      </c>
      <c r="KH30" s="2479" t="str">
        <f t="shared" si="272"/>
        <v/>
      </c>
      <c r="KI30" s="2479" t="str">
        <f t="shared" si="273"/>
        <v/>
      </c>
      <c r="KJ30" s="2479" t="str">
        <f t="shared" si="274"/>
        <v/>
      </c>
      <c r="KK30" s="2479" t="str">
        <f t="shared" si="275"/>
        <v/>
      </c>
      <c r="KL30" s="2479" t="str">
        <f t="shared" si="276"/>
        <v/>
      </c>
      <c r="KM30" s="2479" t="str">
        <f t="shared" si="277"/>
        <v/>
      </c>
      <c r="KN30" s="2479" t="str">
        <f t="shared" si="278"/>
        <v/>
      </c>
      <c r="KO30" s="2479" t="str">
        <f t="shared" si="279"/>
        <v/>
      </c>
      <c r="KP30" s="2479" t="str">
        <f t="shared" si="280"/>
        <v/>
      </c>
      <c r="KQ30" s="2479" t="str">
        <f t="shared" si="281"/>
        <v/>
      </c>
      <c r="KR30" s="2479" t="str">
        <f t="shared" si="282"/>
        <v/>
      </c>
      <c r="KS30" s="2479" t="str">
        <f t="shared" si="283"/>
        <v/>
      </c>
      <c r="KT30" s="2479" t="str">
        <f t="shared" si="284"/>
        <v/>
      </c>
      <c r="KU30" s="2479" t="str">
        <f t="shared" si="285"/>
        <v/>
      </c>
      <c r="KV30" s="2479" t="str">
        <f t="shared" si="286"/>
        <v/>
      </c>
      <c r="KW30" s="2479" t="str">
        <f t="shared" si="287"/>
        <v/>
      </c>
      <c r="KX30" s="2479" t="str">
        <f t="shared" si="288"/>
        <v/>
      </c>
      <c r="KY30" s="2479" t="str">
        <f t="shared" si="289"/>
        <v/>
      </c>
      <c r="KZ30" s="2479" t="str">
        <f t="shared" si="290"/>
        <v/>
      </c>
      <c r="LA30" s="2479" t="str">
        <f t="shared" si="291"/>
        <v/>
      </c>
      <c r="LB30" s="2479" t="str">
        <f t="shared" si="292"/>
        <v/>
      </c>
      <c r="LC30" s="2479" t="str">
        <f t="shared" si="293"/>
        <v/>
      </c>
      <c r="LD30" s="2479" t="str">
        <f t="shared" si="294"/>
        <v/>
      </c>
      <c r="LE30" s="2479" t="str">
        <f t="shared" si="295"/>
        <v/>
      </c>
      <c r="LF30" s="2479" t="str">
        <f t="shared" si="296"/>
        <v/>
      </c>
      <c r="LG30" s="2479" t="str">
        <f t="shared" si="297"/>
        <v/>
      </c>
      <c r="LH30" s="2479" t="str">
        <f t="shared" si="298"/>
        <v/>
      </c>
      <c r="LI30" s="2479" t="str">
        <f t="shared" si="299"/>
        <v/>
      </c>
      <c r="LJ30" s="2479" t="str">
        <f t="shared" si="300"/>
        <v/>
      </c>
      <c r="LK30" s="2479" t="str">
        <f t="shared" si="301"/>
        <v/>
      </c>
      <c r="LL30" s="2479" t="str">
        <f t="shared" si="302"/>
        <v/>
      </c>
      <c r="LM30" s="2479" t="str">
        <f t="shared" si="303"/>
        <v/>
      </c>
      <c r="LN30" s="2479" t="str">
        <f t="shared" si="304"/>
        <v/>
      </c>
      <c r="LO30" s="2479" t="str">
        <f t="shared" si="305"/>
        <v/>
      </c>
      <c r="LP30" s="2479" t="str">
        <f t="shared" si="306"/>
        <v/>
      </c>
      <c r="LQ30" s="2480" t="str">
        <f t="shared" si="307"/>
        <v/>
      </c>
      <c r="LR30" s="2480" t="str">
        <f t="shared" si="308"/>
        <v/>
      </c>
      <c r="LS30" s="2480" t="str">
        <f t="shared" si="309"/>
        <v/>
      </c>
      <c r="LT30" s="2480" t="str">
        <f t="shared" si="310"/>
        <v/>
      </c>
      <c r="LU30" s="2480"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78">
        <f t="shared" si="338"/>
        <v>0</v>
      </c>
      <c r="MQ30" s="2478">
        <f t="shared" si="339"/>
        <v>0</v>
      </c>
      <c r="MR30" s="2478">
        <f t="shared" si="340"/>
        <v>0</v>
      </c>
      <c r="MS30" s="2478">
        <f t="shared" si="341"/>
        <v>0</v>
      </c>
      <c r="MT30" s="2478">
        <f t="shared" si="342"/>
        <v>0</v>
      </c>
      <c r="MU30" s="2478">
        <f t="shared" si="343"/>
        <v>0</v>
      </c>
      <c r="MV30" s="2478">
        <f t="shared" si="344"/>
        <v>0</v>
      </c>
      <c r="MW30" s="2478">
        <f t="shared" si="345"/>
        <v>0</v>
      </c>
      <c r="MX30" s="2478">
        <f t="shared" si="346"/>
        <v>0</v>
      </c>
      <c r="MY30" s="2478">
        <f t="shared" si="347"/>
        <v>0</v>
      </c>
      <c r="MZ30" s="2478">
        <f t="shared" si="332"/>
        <v>0</v>
      </c>
      <c r="NA30" s="2478">
        <f t="shared" si="333"/>
        <v>0</v>
      </c>
      <c r="NB30" s="2478">
        <f t="shared" si="334"/>
        <v>0</v>
      </c>
      <c r="NC30" s="2478">
        <f t="shared" si="335"/>
        <v>0</v>
      </c>
      <c r="ND30" s="2478">
        <f t="shared" si="336"/>
        <v>0</v>
      </c>
    </row>
    <row r="31" spans="1:368" ht="13.8" customHeight="1">
      <c r="A31" s="111" t="str">
        <f t="shared" si="337"/>
        <v/>
      </c>
      <c r="B31" s="1695"/>
      <c r="C31" s="171"/>
      <c r="D31" s="172"/>
      <c r="E31" s="173"/>
      <c r="F31" s="173"/>
      <c r="G31" s="173"/>
      <c r="H31" s="173"/>
      <c r="I31" s="173"/>
      <c r="J31" s="1092">
        <f>IF(C31="",0,HLOOKUP(C31,'Part V-Utility Allowances'!$I$11:$M$22,12))</f>
        <v>0</v>
      </c>
      <c r="K31" s="931"/>
      <c r="L31" s="667">
        <f t="shared" si="0"/>
        <v>0</v>
      </c>
      <c r="M31" s="667">
        <f t="shared" si="1"/>
        <v>0</v>
      </c>
      <c r="N31" s="1013"/>
      <c r="O31" s="1013"/>
      <c r="P31" s="1013"/>
      <c r="Q31" s="174"/>
      <c r="R31" s="1069"/>
      <c r="S31" s="1070"/>
      <c r="T31" s="3503"/>
      <c r="U31" s="3504"/>
      <c r="V31" s="3504"/>
      <c r="W31" s="3505"/>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79" t="str">
        <f t="shared" si="212"/>
        <v/>
      </c>
      <c r="IA31" s="2479" t="str">
        <f t="shared" si="213"/>
        <v/>
      </c>
      <c r="IB31" s="2479" t="str">
        <f t="shared" si="214"/>
        <v/>
      </c>
      <c r="IC31" s="2479" t="str">
        <f t="shared" si="215"/>
        <v/>
      </c>
      <c r="ID31" s="2479" t="str">
        <f t="shared" si="216"/>
        <v/>
      </c>
      <c r="IE31" s="2479" t="str">
        <f t="shared" si="217"/>
        <v/>
      </c>
      <c r="IF31" s="2479" t="str">
        <f t="shared" si="218"/>
        <v/>
      </c>
      <c r="IG31" s="2479" t="str">
        <f t="shared" si="219"/>
        <v/>
      </c>
      <c r="IH31" s="2479" t="str">
        <f t="shared" si="220"/>
        <v/>
      </c>
      <c r="II31" s="2479" t="str">
        <f t="shared" si="221"/>
        <v/>
      </c>
      <c r="IJ31" s="2479" t="str">
        <f t="shared" si="222"/>
        <v/>
      </c>
      <c r="IK31" s="2479" t="str">
        <f t="shared" si="223"/>
        <v/>
      </c>
      <c r="IL31" s="2479" t="str">
        <f t="shared" si="224"/>
        <v/>
      </c>
      <c r="IM31" s="2479" t="str">
        <f t="shared" si="225"/>
        <v/>
      </c>
      <c r="IN31" s="2479" t="str">
        <f t="shared" si="226"/>
        <v/>
      </c>
      <c r="IO31" s="2479" t="str">
        <f t="shared" si="227"/>
        <v/>
      </c>
      <c r="IP31" s="2479" t="str">
        <f t="shared" si="228"/>
        <v/>
      </c>
      <c r="IQ31" s="2479" t="str">
        <f t="shared" si="229"/>
        <v/>
      </c>
      <c r="IR31" s="2479" t="str">
        <f t="shared" si="230"/>
        <v/>
      </c>
      <c r="IS31" s="2479" t="str">
        <f t="shared" si="231"/>
        <v/>
      </c>
      <c r="IT31" s="2479" t="str">
        <f t="shared" si="232"/>
        <v/>
      </c>
      <c r="IU31" s="2479" t="str">
        <f t="shared" si="233"/>
        <v/>
      </c>
      <c r="IV31" s="2479" t="str">
        <f t="shared" si="234"/>
        <v/>
      </c>
      <c r="IW31" s="2479" t="str">
        <f t="shared" si="235"/>
        <v/>
      </c>
      <c r="IX31" s="2479" t="str">
        <f t="shared" si="236"/>
        <v/>
      </c>
      <c r="IY31" s="2479" t="str">
        <f t="shared" si="237"/>
        <v/>
      </c>
      <c r="IZ31" s="2479" t="str">
        <f t="shared" si="238"/>
        <v/>
      </c>
      <c r="JA31" s="2479" t="str">
        <f t="shared" si="239"/>
        <v/>
      </c>
      <c r="JB31" s="2479" t="str">
        <f t="shared" si="240"/>
        <v/>
      </c>
      <c r="JC31" s="2479" t="str">
        <f t="shared" si="241"/>
        <v/>
      </c>
      <c r="JD31" s="2479" t="str">
        <f t="shared" si="242"/>
        <v/>
      </c>
      <c r="JE31" s="2479" t="str">
        <f t="shared" si="243"/>
        <v/>
      </c>
      <c r="JF31" s="2479" t="str">
        <f t="shared" si="244"/>
        <v/>
      </c>
      <c r="JG31" s="2479" t="str">
        <f t="shared" si="245"/>
        <v/>
      </c>
      <c r="JH31" s="2479" t="str">
        <f t="shared" si="246"/>
        <v/>
      </c>
      <c r="JI31" s="2479" t="str">
        <f t="shared" si="247"/>
        <v/>
      </c>
      <c r="JJ31" s="2479" t="str">
        <f t="shared" si="248"/>
        <v/>
      </c>
      <c r="JK31" s="2479" t="str">
        <f t="shared" si="249"/>
        <v/>
      </c>
      <c r="JL31" s="2479" t="str">
        <f t="shared" si="250"/>
        <v/>
      </c>
      <c r="JM31" s="2479" t="str">
        <f t="shared" si="251"/>
        <v/>
      </c>
      <c r="JN31" s="2479" t="str">
        <f t="shared" si="252"/>
        <v/>
      </c>
      <c r="JO31" s="2479" t="str">
        <f t="shared" si="253"/>
        <v/>
      </c>
      <c r="JP31" s="2479" t="str">
        <f t="shared" si="254"/>
        <v/>
      </c>
      <c r="JQ31" s="2479" t="str">
        <f t="shared" si="255"/>
        <v/>
      </c>
      <c r="JR31" s="2479" t="str">
        <f t="shared" si="256"/>
        <v/>
      </c>
      <c r="JS31" s="2479" t="str">
        <f t="shared" si="257"/>
        <v/>
      </c>
      <c r="JT31" s="2479" t="str">
        <f t="shared" si="258"/>
        <v/>
      </c>
      <c r="JU31" s="2479" t="str">
        <f t="shared" si="259"/>
        <v/>
      </c>
      <c r="JV31" s="2479" t="str">
        <f t="shared" si="260"/>
        <v/>
      </c>
      <c r="JW31" s="2479" t="str">
        <f t="shared" si="261"/>
        <v/>
      </c>
      <c r="JX31" s="2479" t="str">
        <f t="shared" si="262"/>
        <v/>
      </c>
      <c r="JY31" s="2479" t="str">
        <f t="shared" si="263"/>
        <v/>
      </c>
      <c r="JZ31" s="2479" t="str">
        <f t="shared" si="264"/>
        <v/>
      </c>
      <c r="KA31" s="2479" t="str">
        <f t="shared" si="265"/>
        <v/>
      </c>
      <c r="KB31" s="2479" t="str">
        <f t="shared" si="266"/>
        <v/>
      </c>
      <c r="KC31" s="2479" t="str">
        <f t="shared" si="267"/>
        <v/>
      </c>
      <c r="KD31" s="2479" t="str">
        <f t="shared" si="268"/>
        <v/>
      </c>
      <c r="KE31" s="2479" t="str">
        <f t="shared" si="269"/>
        <v/>
      </c>
      <c r="KF31" s="2479" t="str">
        <f t="shared" si="270"/>
        <v/>
      </c>
      <c r="KG31" s="2479" t="str">
        <f t="shared" si="271"/>
        <v/>
      </c>
      <c r="KH31" s="2479" t="str">
        <f t="shared" si="272"/>
        <v/>
      </c>
      <c r="KI31" s="2479" t="str">
        <f t="shared" si="273"/>
        <v/>
      </c>
      <c r="KJ31" s="2479" t="str">
        <f t="shared" si="274"/>
        <v/>
      </c>
      <c r="KK31" s="2479" t="str">
        <f t="shared" si="275"/>
        <v/>
      </c>
      <c r="KL31" s="2479" t="str">
        <f t="shared" si="276"/>
        <v/>
      </c>
      <c r="KM31" s="2479" t="str">
        <f t="shared" si="277"/>
        <v/>
      </c>
      <c r="KN31" s="2479" t="str">
        <f t="shared" si="278"/>
        <v/>
      </c>
      <c r="KO31" s="2479" t="str">
        <f t="shared" si="279"/>
        <v/>
      </c>
      <c r="KP31" s="2479" t="str">
        <f t="shared" si="280"/>
        <v/>
      </c>
      <c r="KQ31" s="2479" t="str">
        <f t="shared" si="281"/>
        <v/>
      </c>
      <c r="KR31" s="2479" t="str">
        <f t="shared" si="282"/>
        <v/>
      </c>
      <c r="KS31" s="2479" t="str">
        <f t="shared" si="283"/>
        <v/>
      </c>
      <c r="KT31" s="2479" t="str">
        <f t="shared" si="284"/>
        <v/>
      </c>
      <c r="KU31" s="2479" t="str">
        <f t="shared" si="285"/>
        <v/>
      </c>
      <c r="KV31" s="2479" t="str">
        <f t="shared" si="286"/>
        <v/>
      </c>
      <c r="KW31" s="2479" t="str">
        <f t="shared" si="287"/>
        <v/>
      </c>
      <c r="KX31" s="2479" t="str">
        <f t="shared" si="288"/>
        <v/>
      </c>
      <c r="KY31" s="2479" t="str">
        <f t="shared" si="289"/>
        <v/>
      </c>
      <c r="KZ31" s="2479" t="str">
        <f t="shared" si="290"/>
        <v/>
      </c>
      <c r="LA31" s="2479" t="str">
        <f t="shared" si="291"/>
        <v/>
      </c>
      <c r="LB31" s="2479" t="str">
        <f t="shared" si="292"/>
        <v/>
      </c>
      <c r="LC31" s="2479" t="str">
        <f t="shared" si="293"/>
        <v/>
      </c>
      <c r="LD31" s="2479" t="str">
        <f t="shared" si="294"/>
        <v/>
      </c>
      <c r="LE31" s="2479" t="str">
        <f t="shared" si="295"/>
        <v/>
      </c>
      <c r="LF31" s="2479" t="str">
        <f t="shared" si="296"/>
        <v/>
      </c>
      <c r="LG31" s="2479" t="str">
        <f t="shared" si="297"/>
        <v/>
      </c>
      <c r="LH31" s="2479" t="str">
        <f t="shared" si="298"/>
        <v/>
      </c>
      <c r="LI31" s="2479" t="str">
        <f t="shared" si="299"/>
        <v/>
      </c>
      <c r="LJ31" s="2479" t="str">
        <f t="shared" si="300"/>
        <v/>
      </c>
      <c r="LK31" s="2479" t="str">
        <f t="shared" si="301"/>
        <v/>
      </c>
      <c r="LL31" s="2479" t="str">
        <f t="shared" si="302"/>
        <v/>
      </c>
      <c r="LM31" s="2479" t="str">
        <f t="shared" si="303"/>
        <v/>
      </c>
      <c r="LN31" s="2479" t="str">
        <f t="shared" si="304"/>
        <v/>
      </c>
      <c r="LO31" s="2479" t="str">
        <f t="shared" si="305"/>
        <v/>
      </c>
      <c r="LP31" s="2479" t="str">
        <f t="shared" si="306"/>
        <v/>
      </c>
      <c r="LQ31" s="2480" t="str">
        <f t="shared" si="307"/>
        <v/>
      </c>
      <c r="LR31" s="2480" t="str">
        <f t="shared" si="308"/>
        <v/>
      </c>
      <c r="LS31" s="2480" t="str">
        <f t="shared" si="309"/>
        <v/>
      </c>
      <c r="LT31" s="2480" t="str">
        <f t="shared" si="310"/>
        <v/>
      </c>
      <c r="LU31" s="2480"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78">
        <f t="shared" si="338"/>
        <v>0</v>
      </c>
      <c r="MQ31" s="2478">
        <f t="shared" si="339"/>
        <v>0</v>
      </c>
      <c r="MR31" s="2478">
        <f t="shared" si="340"/>
        <v>0</v>
      </c>
      <c r="MS31" s="2478">
        <f t="shared" si="341"/>
        <v>0</v>
      </c>
      <c r="MT31" s="2478">
        <f t="shared" si="342"/>
        <v>0</v>
      </c>
      <c r="MU31" s="2478">
        <f t="shared" si="343"/>
        <v>0</v>
      </c>
      <c r="MV31" s="2478">
        <f t="shared" si="344"/>
        <v>0</v>
      </c>
      <c r="MW31" s="2478">
        <f t="shared" si="345"/>
        <v>0</v>
      </c>
      <c r="MX31" s="2478">
        <f t="shared" si="346"/>
        <v>0</v>
      </c>
      <c r="MY31" s="2478">
        <f t="shared" si="347"/>
        <v>0</v>
      </c>
      <c r="MZ31" s="2478">
        <f t="shared" si="332"/>
        <v>0</v>
      </c>
      <c r="NA31" s="2478">
        <f t="shared" si="333"/>
        <v>0</v>
      </c>
      <c r="NB31" s="2478">
        <f t="shared" si="334"/>
        <v>0</v>
      </c>
      <c r="NC31" s="2478">
        <f t="shared" si="335"/>
        <v>0</v>
      </c>
      <c r="ND31" s="2478">
        <f t="shared" si="336"/>
        <v>0</v>
      </c>
    </row>
    <row r="32" spans="1:368" ht="13.8" customHeight="1">
      <c r="A32" s="111" t="str">
        <f t="shared" si="337"/>
        <v/>
      </c>
      <c r="B32" s="1695"/>
      <c r="C32" s="171"/>
      <c r="D32" s="172"/>
      <c r="E32" s="173"/>
      <c r="F32" s="173"/>
      <c r="G32" s="173"/>
      <c r="H32" s="173"/>
      <c r="I32" s="173"/>
      <c r="J32" s="1092">
        <f>IF(C32="",0,HLOOKUP(C32,'Part V-Utility Allowances'!$I$11:$M$22,12))</f>
        <v>0</v>
      </c>
      <c r="K32" s="931"/>
      <c r="L32" s="667">
        <f t="shared" si="0"/>
        <v>0</v>
      </c>
      <c r="M32" s="667">
        <f t="shared" si="1"/>
        <v>0</v>
      </c>
      <c r="N32" s="1013"/>
      <c r="O32" s="1013"/>
      <c r="P32" s="1013"/>
      <c r="Q32" s="174"/>
      <c r="R32" s="1069"/>
      <c r="S32" s="1070"/>
      <c r="T32" s="3503"/>
      <c r="U32" s="3504"/>
      <c r="V32" s="3504"/>
      <c r="W32" s="3505"/>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79" t="str">
        <f t="shared" si="212"/>
        <v/>
      </c>
      <c r="IA32" s="2479" t="str">
        <f t="shared" si="213"/>
        <v/>
      </c>
      <c r="IB32" s="2479" t="str">
        <f t="shared" si="214"/>
        <v/>
      </c>
      <c r="IC32" s="2479" t="str">
        <f t="shared" si="215"/>
        <v/>
      </c>
      <c r="ID32" s="2479" t="str">
        <f t="shared" si="216"/>
        <v/>
      </c>
      <c r="IE32" s="2479" t="str">
        <f t="shared" si="217"/>
        <v/>
      </c>
      <c r="IF32" s="2479" t="str">
        <f t="shared" si="218"/>
        <v/>
      </c>
      <c r="IG32" s="2479" t="str">
        <f t="shared" si="219"/>
        <v/>
      </c>
      <c r="IH32" s="2479" t="str">
        <f t="shared" si="220"/>
        <v/>
      </c>
      <c r="II32" s="2479" t="str">
        <f t="shared" si="221"/>
        <v/>
      </c>
      <c r="IJ32" s="2479" t="str">
        <f t="shared" si="222"/>
        <v/>
      </c>
      <c r="IK32" s="2479" t="str">
        <f t="shared" si="223"/>
        <v/>
      </c>
      <c r="IL32" s="2479" t="str">
        <f t="shared" si="224"/>
        <v/>
      </c>
      <c r="IM32" s="2479" t="str">
        <f t="shared" si="225"/>
        <v/>
      </c>
      <c r="IN32" s="2479" t="str">
        <f t="shared" si="226"/>
        <v/>
      </c>
      <c r="IO32" s="2479" t="str">
        <f t="shared" si="227"/>
        <v/>
      </c>
      <c r="IP32" s="2479" t="str">
        <f t="shared" si="228"/>
        <v/>
      </c>
      <c r="IQ32" s="2479" t="str">
        <f t="shared" si="229"/>
        <v/>
      </c>
      <c r="IR32" s="2479" t="str">
        <f t="shared" si="230"/>
        <v/>
      </c>
      <c r="IS32" s="2479" t="str">
        <f t="shared" si="231"/>
        <v/>
      </c>
      <c r="IT32" s="2479" t="str">
        <f t="shared" si="232"/>
        <v/>
      </c>
      <c r="IU32" s="2479" t="str">
        <f t="shared" si="233"/>
        <v/>
      </c>
      <c r="IV32" s="2479" t="str">
        <f t="shared" si="234"/>
        <v/>
      </c>
      <c r="IW32" s="2479" t="str">
        <f t="shared" si="235"/>
        <v/>
      </c>
      <c r="IX32" s="2479" t="str">
        <f t="shared" si="236"/>
        <v/>
      </c>
      <c r="IY32" s="2479" t="str">
        <f t="shared" si="237"/>
        <v/>
      </c>
      <c r="IZ32" s="2479" t="str">
        <f t="shared" si="238"/>
        <v/>
      </c>
      <c r="JA32" s="2479" t="str">
        <f t="shared" si="239"/>
        <v/>
      </c>
      <c r="JB32" s="2479" t="str">
        <f t="shared" si="240"/>
        <v/>
      </c>
      <c r="JC32" s="2479" t="str">
        <f t="shared" si="241"/>
        <v/>
      </c>
      <c r="JD32" s="2479" t="str">
        <f t="shared" si="242"/>
        <v/>
      </c>
      <c r="JE32" s="2479" t="str">
        <f t="shared" si="243"/>
        <v/>
      </c>
      <c r="JF32" s="2479" t="str">
        <f t="shared" si="244"/>
        <v/>
      </c>
      <c r="JG32" s="2479" t="str">
        <f t="shared" si="245"/>
        <v/>
      </c>
      <c r="JH32" s="2479" t="str">
        <f t="shared" si="246"/>
        <v/>
      </c>
      <c r="JI32" s="2479" t="str">
        <f t="shared" si="247"/>
        <v/>
      </c>
      <c r="JJ32" s="2479" t="str">
        <f t="shared" si="248"/>
        <v/>
      </c>
      <c r="JK32" s="2479" t="str">
        <f t="shared" si="249"/>
        <v/>
      </c>
      <c r="JL32" s="2479" t="str">
        <f t="shared" si="250"/>
        <v/>
      </c>
      <c r="JM32" s="2479" t="str">
        <f t="shared" si="251"/>
        <v/>
      </c>
      <c r="JN32" s="2479" t="str">
        <f t="shared" si="252"/>
        <v/>
      </c>
      <c r="JO32" s="2479" t="str">
        <f t="shared" si="253"/>
        <v/>
      </c>
      <c r="JP32" s="2479" t="str">
        <f t="shared" si="254"/>
        <v/>
      </c>
      <c r="JQ32" s="2479" t="str">
        <f t="shared" si="255"/>
        <v/>
      </c>
      <c r="JR32" s="2479" t="str">
        <f t="shared" si="256"/>
        <v/>
      </c>
      <c r="JS32" s="2479" t="str">
        <f t="shared" si="257"/>
        <v/>
      </c>
      <c r="JT32" s="2479" t="str">
        <f t="shared" si="258"/>
        <v/>
      </c>
      <c r="JU32" s="2479" t="str">
        <f t="shared" si="259"/>
        <v/>
      </c>
      <c r="JV32" s="2479" t="str">
        <f t="shared" si="260"/>
        <v/>
      </c>
      <c r="JW32" s="2479" t="str">
        <f t="shared" si="261"/>
        <v/>
      </c>
      <c r="JX32" s="2479" t="str">
        <f t="shared" si="262"/>
        <v/>
      </c>
      <c r="JY32" s="2479" t="str">
        <f t="shared" si="263"/>
        <v/>
      </c>
      <c r="JZ32" s="2479" t="str">
        <f t="shared" si="264"/>
        <v/>
      </c>
      <c r="KA32" s="2479" t="str">
        <f t="shared" si="265"/>
        <v/>
      </c>
      <c r="KB32" s="2479" t="str">
        <f t="shared" si="266"/>
        <v/>
      </c>
      <c r="KC32" s="2479" t="str">
        <f t="shared" si="267"/>
        <v/>
      </c>
      <c r="KD32" s="2479" t="str">
        <f t="shared" si="268"/>
        <v/>
      </c>
      <c r="KE32" s="2479" t="str">
        <f t="shared" si="269"/>
        <v/>
      </c>
      <c r="KF32" s="2479" t="str">
        <f t="shared" si="270"/>
        <v/>
      </c>
      <c r="KG32" s="2479" t="str">
        <f t="shared" si="271"/>
        <v/>
      </c>
      <c r="KH32" s="2479" t="str">
        <f t="shared" si="272"/>
        <v/>
      </c>
      <c r="KI32" s="2479" t="str">
        <f t="shared" si="273"/>
        <v/>
      </c>
      <c r="KJ32" s="2479" t="str">
        <f t="shared" si="274"/>
        <v/>
      </c>
      <c r="KK32" s="2479" t="str">
        <f t="shared" si="275"/>
        <v/>
      </c>
      <c r="KL32" s="2479" t="str">
        <f t="shared" si="276"/>
        <v/>
      </c>
      <c r="KM32" s="2479" t="str">
        <f t="shared" si="277"/>
        <v/>
      </c>
      <c r="KN32" s="2479" t="str">
        <f t="shared" si="278"/>
        <v/>
      </c>
      <c r="KO32" s="2479" t="str">
        <f t="shared" si="279"/>
        <v/>
      </c>
      <c r="KP32" s="2479" t="str">
        <f t="shared" si="280"/>
        <v/>
      </c>
      <c r="KQ32" s="2479" t="str">
        <f t="shared" si="281"/>
        <v/>
      </c>
      <c r="KR32" s="2479" t="str">
        <f t="shared" si="282"/>
        <v/>
      </c>
      <c r="KS32" s="2479" t="str">
        <f t="shared" si="283"/>
        <v/>
      </c>
      <c r="KT32" s="2479" t="str">
        <f t="shared" si="284"/>
        <v/>
      </c>
      <c r="KU32" s="2479" t="str">
        <f t="shared" si="285"/>
        <v/>
      </c>
      <c r="KV32" s="2479" t="str">
        <f t="shared" si="286"/>
        <v/>
      </c>
      <c r="KW32" s="2479" t="str">
        <f t="shared" si="287"/>
        <v/>
      </c>
      <c r="KX32" s="2479" t="str">
        <f t="shared" si="288"/>
        <v/>
      </c>
      <c r="KY32" s="2479" t="str">
        <f t="shared" si="289"/>
        <v/>
      </c>
      <c r="KZ32" s="2479" t="str">
        <f t="shared" si="290"/>
        <v/>
      </c>
      <c r="LA32" s="2479" t="str">
        <f t="shared" si="291"/>
        <v/>
      </c>
      <c r="LB32" s="2479" t="str">
        <f t="shared" si="292"/>
        <v/>
      </c>
      <c r="LC32" s="2479" t="str">
        <f t="shared" si="293"/>
        <v/>
      </c>
      <c r="LD32" s="2479" t="str">
        <f t="shared" si="294"/>
        <v/>
      </c>
      <c r="LE32" s="2479" t="str">
        <f t="shared" si="295"/>
        <v/>
      </c>
      <c r="LF32" s="2479" t="str">
        <f t="shared" si="296"/>
        <v/>
      </c>
      <c r="LG32" s="2479" t="str">
        <f t="shared" si="297"/>
        <v/>
      </c>
      <c r="LH32" s="2479" t="str">
        <f t="shared" si="298"/>
        <v/>
      </c>
      <c r="LI32" s="2479" t="str">
        <f t="shared" si="299"/>
        <v/>
      </c>
      <c r="LJ32" s="2479" t="str">
        <f t="shared" si="300"/>
        <v/>
      </c>
      <c r="LK32" s="2479" t="str">
        <f t="shared" si="301"/>
        <v/>
      </c>
      <c r="LL32" s="2479" t="str">
        <f t="shared" si="302"/>
        <v/>
      </c>
      <c r="LM32" s="2479" t="str">
        <f t="shared" si="303"/>
        <v/>
      </c>
      <c r="LN32" s="2479" t="str">
        <f t="shared" si="304"/>
        <v/>
      </c>
      <c r="LO32" s="2479" t="str">
        <f t="shared" si="305"/>
        <v/>
      </c>
      <c r="LP32" s="2479" t="str">
        <f t="shared" si="306"/>
        <v/>
      </c>
      <c r="LQ32" s="2480" t="str">
        <f t="shared" si="307"/>
        <v/>
      </c>
      <c r="LR32" s="2480" t="str">
        <f t="shared" si="308"/>
        <v/>
      </c>
      <c r="LS32" s="2480" t="str">
        <f t="shared" si="309"/>
        <v/>
      </c>
      <c r="LT32" s="2480" t="str">
        <f t="shared" si="310"/>
        <v/>
      </c>
      <c r="LU32" s="2480"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78">
        <f t="shared" si="338"/>
        <v>0</v>
      </c>
      <c r="MQ32" s="2478">
        <f t="shared" si="339"/>
        <v>0</v>
      </c>
      <c r="MR32" s="2478">
        <f t="shared" si="340"/>
        <v>0</v>
      </c>
      <c r="MS32" s="2478">
        <f t="shared" si="341"/>
        <v>0</v>
      </c>
      <c r="MT32" s="2478">
        <f t="shared" si="342"/>
        <v>0</v>
      </c>
      <c r="MU32" s="2478">
        <f t="shared" si="343"/>
        <v>0</v>
      </c>
      <c r="MV32" s="2478">
        <f t="shared" si="344"/>
        <v>0</v>
      </c>
      <c r="MW32" s="2478">
        <f t="shared" si="345"/>
        <v>0</v>
      </c>
      <c r="MX32" s="2478">
        <f t="shared" si="346"/>
        <v>0</v>
      </c>
      <c r="MY32" s="2478">
        <f t="shared" si="347"/>
        <v>0</v>
      </c>
      <c r="MZ32" s="2478">
        <f t="shared" si="332"/>
        <v>0</v>
      </c>
      <c r="NA32" s="2478">
        <f t="shared" si="333"/>
        <v>0</v>
      </c>
      <c r="NB32" s="2478">
        <f t="shared" si="334"/>
        <v>0</v>
      </c>
      <c r="NC32" s="2478">
        <f t="shared" si="335"/>
        <v>0</v>
      </c>
      <c r="ND32" s="2478">
        <f t="shared" si="336"/>
        <v>0</v>
      </c>
    </row>
    <row r="33" spans="1:369" ht="13.8" customHeight="1">
      <c r="A33" s="111" t="str">
        <f t="shared" si="337"/>
        <v/>
      </c>
      <c r="B33" s="1695"/>
      <c r="C33" s="171"/>
      <c r="D33" s="172"/>
      <c r="E33" s="173"/>
      <c r="F33" s="173"/>
      <c r="G33" s="173"/>
      <c r="H33" s="173"/>
      <c r="I33" s="173"/>
      <c r="J33" s="1092">
        <f>IF(C33="",0,HLOOKUP(C33,'Part V-Utility Allowances'!$I$11:$M$22,12))</f>
        <v>0</v>
      </c>
      <c r="K33" s="931"/>
      <c r="L33" s="667">
        <f t="shared" si="0"/>
        <v>0</v>
      </c>
      <c r="M33" s="667">
        <f t="shared" si="1"/>
        <v>0</v>
      </c>
      <c r="N33" s="1013"/>
      <c r="O33" s="1013"/>
      <c r="P33" s="1013"/>
      <c r="Q33" s="174"/>
      <c r="R33" s="1069"/>
      <c r="S33" s="1070"/>
      <c r="T33" s="3503"/>
      <c r="U33" s="3504"/>
      <c r="V33" s="3504"/>
      <c r="W33" s="3505"/>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79" t="str">
        <f t="shared" si="212"/>
        <v/>
      </c>
      <c r="IA33" s="2479" t="str">
        <f t="shared" si="213"/>
        <v/>
      </c>
      <c r="IB33" s="2479" t="str">
        <f t="shared" si="214"/>
        <v/>
      </c>
      <c r="IC33" s="2479" t="str">
        <f t="shared" si="215"/>
        <v/>
      </c>
      <c r="ID33" s="2479" t="str">
        <f t="shared" si="216"/>
        <v/>
      </c>
      <c r="IE33" s="2479" t="str">
        <f t="shared" si="217"/>
        <v/>
      </c>
      <c r="IF33" s="2479" t="str">
        <f t="shared" si="218"/>
        <v/>
      </c>
      <c r="IG33" s="2479" t="str">
        <f t="shared" si="219"/>
        <v/>
      </c>
      <c r="IH33" s="2479" t="str">
        <f t="shared" si="220"/>
        <v/>
      </c>
      <c r="II33" s="2479" t="str">
        <f t="shared" si="221"/>
        <v/>
      </c>
      <c r="IJ33" s="2479" t="str">
        <f t="shared" si="222"/>
        <v/>
      </c>
      <c r="IK33" s="2479" t="str">
        <f t="shared" si="223"/>
        <v/>
      </c>
      <c r="IL33" s="2479" t="str">
        <f t="shared" si="224"/>
        <v/>
      </c>
      <c r="IM33" s="2479" t="str">
        <f t="shared" si="225"/>
        <v/>
      </c>
      <c r="IN33" s="2479" t="str">
        <f t="shared" si="226"/>
        <v/>
      </c>
      <c r="IO33" s="2479" t="str">
        <f t="shared" si="227"/>
        <v/>
      </c>
      <c r="IP33" s="2479" t="str">
        <f t="shared" si="228"/>
        <v/>
      </c>
      <c r="IQ33" s="2479" t="str">
        <f t="shared" si="229"/>
        <v/>
      </c>
      <c r="IR33" s="2479" t="str">
        <f t="shared" si="230"/>
        <v/>
      </c>
      <c r="IS33" s="2479" t="str">
        <f t="shared" si="231"/>
        <v/>
      </c>
      <c r="IT33" s="2479" t="str">
        <f t="shared" si="232"/>
        <v/>
      </c>
      <c r="IU33" s="2479" t="str">
        <f t="shared" si="233"/>
        <v/>
      </c>
      <c r="IV33" s="2479" t="str">
        <f t="shared" si="234"/>
        <v/>
      </c>
      <c r="IW33" s="2479" t="str">
        <f t="shared" si="235"/>
        <v/>
      </c>
      <c r="IX33" s="2479" t="str">
        <f t="shared" si="236"/>
        <v/>
      </c>
      <c r="IY33" s="2479" t="str">
        <f t="shared" si="237"/>
        <v/>
      </c>
      <c r="IZ33" s="2479" t="str">
        <f t="shared" si="238"/>
        <v/>
      </c>
      <c r="JA33" s="2479" t="str">
        <f t="shared" si="239"/>
        <v/>
      </c>
      <c r="JB33" s="2479" t="str">
        <f t="shared" si="240"/>
        <v/>
      </c>
      <c r="JC33" s="2479" t="str">
        <f t="shared" si="241"/>
        <v/>
      </c>
      <c r="JD33" s="2479" t="str">
        <f t="shared" si="242"/>
        <v/>
      </c>
      <c r="JE33" s="2479" t="str">
        <f t="shared" si="243"/>
        <v/>
      </c>
      <c r="JF33" s="2479" t="str">
        <f t="shared" si="244"/>
        <v/>
      </c>
      <c r="JG33" s="2479" t="str">
        <f t="shared" si="245"/>
        <v/>
      </c>
      <c r="JH33" s="2479" t="str">
        <f t="shared" si="246"/>
        <v/>
      </c>
      <c r="JI33" s="2479" t="str">
        <f t="shared" si="247"/>
        <v/>
      </c>
      <c r="JJ33" s="2479" t="str">
        <f t="shared" si="248"/>
        <v/>
      </c>
      <c r="JK33" s="2479" t="str">
        <f t="shared" si="249"/>
        <v/>
      </c>
      <c r="JL33" s="2479" t="str">
        <f t="shared" si="250"/>
        <v/>
      </c>
      <c r="JM33" s="2479" t="str">
        <f t="shared" si="251"/>
        <v/>
      </c>
      <c r="JN33" s="2479" t="str">
        <f t="shared" si="252"/>
        <v/>
      </c>
      <c r="JO33" s="2479" t="str">
        <f t="shared" si="253"/>
        <v/>
      </c>
      <c r="JP33" s="2479" t="str">
        <f t="shared" si="254"/>
        <v/>
      </c>
      <c r="JQ33" s="2479" t="str">
        <f t="shared" si="255"/>
        <v/>
      </c>
      <c r="JR33" s="2479" t="str">
        <f t="shared" si="256"/>
        <v/>
      </c>
      <c r="JS33" s="2479" t="str">
        <f t="shared" si="257"/>
        <v/>
      </c>
      <c r="JT33" s="2479" t="str">
        <f t="shared" si="258"/>
        <v/>
      </c>
      <c r="JU33" s="2479" t="str">
        <f t="shared" si="259"/>
        <v/>
      </c>
      <c r="JV33" s="2479" t="str">
        <f t="shared" si="260"/>
        <v/>
      </c>
      <c r="JW33" s="2479" t="str">
        <f t="shared" si="261"/>
        <v/>
      </c>
      <c r="JX33" s="2479" t="str">
        <f t="shared" si="262"/>
        <v/>
      </c>
      <c r="JY33" s="2479" t="str">
        <f t="shared" si="263"/>
        <v/>
      </c>
      <c r="JZ33" s="2479" t="str">
        <f t="shared" si="264"/>
        <v/>
      </c>
      <c r="KA33" s="2479" t="str">
        <f t="shared" si="265"/>
        <v/>
      </c>
      <c r="KB33" s="2479" t="str">
        <f t="shared" si="266"/>
        <v/>
      </c>
      <c r="KC33" s="2479" t="str">
        <f t="shared" si="267"/>
        <v/>
      </c>
      <c r="KD33" s="2479" t="str">
        <f t="shared" si="268"/>
        <v/>
      </c>
      <c r="KE33" s="2479" t="str">
        <f t="shared" si="269"/>
        <v/>
      </c>
      <c r="KF33" s="2479" t="str">
        <f t="shared" si="270"/>
        <v/>
      </c>
      <c r="KG33" s="2479" t="str">
        <f t="shared" si="271"/>
        <v/>
      </c>
      <c r="KH33" s="2479" t="str">
        <f t="shared" si="272"/>
        <v/>
      </c>
      <c r="KI33" s="2479" t="str">
        <f t="shared" si="273"/>
        <v/>
      </c>
      <c r="KJ33" s="2479" t="str">
        <f t="shared" si="274"/>
        <v/>
      </c>
      <c r="KK33" s="2479" t="str">
        <f t="shared" si="275"/>
        <v/>
      </c>
      <c r="KL33" s="2479" t="str">
        <f t="shared" si="276"/>
        <v/>
      </c>
      <c r="KM33" s="2479" t="str">
        <f t="shared" si="277"/>
        <v/>
      </c>
      <c r="KN33" s="2479" t="str">
        <f t="shared" si="278"/>
        <v/>
      </c>
      <c r="KO33" s="2479" t="str">
        <f t="shared" si="279"/>
        <v/>
      </c>
      <c r="KP33" s="2479" t="str">
        <f t="shared" si="280"/>
        <v/>
      </c>
      <c r="KQ33" s="2479" t="str">
        <f t="shared" si="281"/>
        <v/>
      </c>
      <c r="KR33" s="2479" t="str">
        <f t="shared" si="282"/>
        <v/>
      </c>
      <c r="KS33" s="2479" t="str">
        <f t="shared" si="283"/>
        <v/>
      </c>
      <c r="KT33" s="2479" t="str">
        <f t="shared" si="284"/>
        <v/>
      </c>
      <c r="KU33" s="2479" t="str">
        <f t="shared" si="285"/>
        <v/>
      </c>
      <c r="KV33" s="2479" t="str">
        <f t="shared" si="286"/>
        <v/>
      </c>
      <c r="KW33" s="2479" t="str">
        <f t="shared" si="287"/>
        <v/>
      </c>
      <c r="KX33" s="2479" t="str">
        <f t="shared" si="288"/>
        <v/>
      </c>
      <c r="KY33" s="2479" t="str">
        <f t="shared" si="289"/>
        <v/>
      </c>
      <c r="KZ33" s="2479" t="str">
        <f t="shared" si="290"/>
        <v/>
      </c>
      <c r="LA33" s="2479" t="str">
        <f t="shared" si="291"/>
        <v/>
      </c>
      <c r="LB33" s="2479" t="str">
        <f t="shared" si="292"/>
        <v/>
      </c>
      <c r="LC33" s="2479" t="str">
        <f t="shared" si="293"/>
        <v/>
      </c>
      <c r="LD33" s="2479" t="str">
        <f t="shared" si="294"/>
        <v/>
      </c>
      <c r="LE33" s="2479" t="str">
        <f t="shared" si="295"/>
        <v/>
      </c>
      <c r="LF33" s="2479" t="str">
        <f t="shared" si="296"/>
        <v/>
      </c>
      <c r="LG33" s="2479" t="str">
        <f t="shared" si="297"/>
        <v/>
      </c>
      <c r="LH33" s="2479" t="str">
        <f t="shared" si="298"/>
        <v/>
      </c>
      <c r="LI33" s="2479" t="str">
        <f t="shared" si="299"/>
        <v/>
      </c>
      <c r="LJ33" s="2479" t="str">
        <f t="shared" si="300"/>
        <v/>
      </c>
      <c r="LK33" s="2479" t="str">
        <f t="shared" si="301"/>
        <v/>
      </c>
      <c r="LL33" s="2479" t="str">
        <f t="shared" si="302"/>
        <v/>
      </c>
      <c r="LM33" s="2479" t="str">
        <f t="shared" si="303"/>
        <v/>
      </c>
      <c r="LN33" s="2479" t="str">
        <f t="shared" si="304"/>
        <v/>
      </c>
      <c r="LO33" s="2479" t="str">
        <f t="shared" si="305"/>
        <v/>
      </c>
      <c r="LP33" s="2479" t="str">
        <f t="shared" si="306"/>
        <v/>
      </c>
      <c r="LQ33" s="2480" t="str">
        <f t="shared" si="307"/>
        <v/>
      </c>
      <c r="LR33" s="2480" t="str">
        <f t="shared" si="308"/>
        <v/>
      </c>
      <c r="LS33" s="2480" t="str">
        <f t="shared" si="309"/>
        <v/>
      </c>
      <c r="LT33" s="2480" t="str">
        <f t="shared" si="310"/>
        <v/>
      </c>
      <c r="LU33" s="2480"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78">
        <f t="shared" si="338"/>
        <v>0</v>
      </c>
      <c r="MQ33" s="2478">
        <f t="shared" si="339"/>
        <v>0</v>
      </c>
      <c r="MR33" s="2478">
        <f t="shared" si="340"/>
        <v>0</v>
      </c>
      <c r="MS33" s="2478">
        <f t="shared" si="341"/>
        <v>0</v>
      </c>
      <c r="MT33" s="2478">
        <f t="shared" si="342"/>
        <v>0</v>
      </c>
      <c r="MU33" s="2478">
        <f t="shared" si="343"/>
        <v>0</v>
      </c>
      <c r="MV33" s="2478">
        <f t="shared" si="344"/>
        <v>0</v>
      </c>
      <c r="MW33" s="2478">
        <f t="shared" si="345"/>
        <v>0</v>
      </c>
      <c r="MX33" s="2478">
        <f t="shared" si="346"/>
        <v>0</v>
      </c>
      <c r="MY33" s="2478">
        <f t="shared" si="347"/>
        <v>0</v>
      </c>
      <c r="MZ33" s="2478">
        <f t="shared" si="332"/>
        <v>0</v>
      </c>
      <c r="NA33" s="2478">
        <f t="shared" si="333"/>
        <v>0</v>
      </c>
      <c r="NB33" s="2478">
        <f t="shared" si="334"/>
        <v>0</v>
      </c>
      <c r="NC33" s="2478">
        <f t="shared" si="335"/>
        <v>0</v>
      </c>
      <c r="ND33" s="2478">
        <f t="shared" si="336"/>
        <v>0</v>
      </c>
    </row>
    <row r="34" spans="1:369" ht="13.8" customHeight="1">
      <c r="A34" s="111" t="str">
        <f t="shared" si="337"/>
        <v/>
      </c>
      <c r="B34" s="1695"/>
      <c r="C34" s="171"/>
      <c r="D34" s="172"/>
      <c r="E34" s="173"/>
      <c r="F34" s="173"/>
      <c r="G34" s="173"/>
      <c r="H34" s="173"/>
      <c r="I34" s="173"/>
      <c r="J34" s="1092">
        <f>IF(C34="",0,HLOOKUP(C34,'Part V-Utility Allowances'!$I$11:$M$22,12))</f>
        <v>0</v>
      </c>
      <c r="K34" s="931"/>
      <c r="L34" s="667">
        <f t="shared" si="0"/>
        <v>0</v>
      </c>
      <c r="M34" s="667">
        <f t="shared" si="1"/>
        <v>0</v>
      </c>
      <c r="N34" s="1013"/>
      <c r="O34" s="1013"/>
      <c r="P34" s="1013"/>
      <c r="Q34" s="174"/>
      <c r="R34" s="1069"/>
      <c r="S34" s="1070"/>
      <c r="T34" s="3503"/>
      <c r="U34" s="3504"/>
      <c r="V34" s="3504"/>
      <c r="W34" s="3505"/>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79" t="str">
        <f t="shared" si="212"/>
        <v/>
      </c>
      <c r="IA34" s="2479" t="str">
        <f t="shared" si="213"/>
        <v/>
      </c>
      <c r="IB34" s="2479" t="str">
        <f t="shared" si="214"/>
        <v/>
      </c>
      <c r="IC34" s="2479" t="str">
        <f t="shared" si="215"/>
        <v/>
      </c>
      <c r="ID34" s="2479" t="str">
        <f t="shared" si="216"/>
        <v/>
      </c>
      <c r="IE34" s="2479" t="str">
        <f t="shared" si="217"/>
        <v/>
      </c>
      <c r="IF34" s="2479" t="str">
        <f t="shared" si="218"/>
        <v/>
      </c>
      <c r="IG34" s="2479" t="str">
        <f t="shared" si="219"/>
        <v/>
      </c>
      <c r="IH34" s="2479" t="str">
        <f t="shared" si="220"/>
        <v/>
      </c>
      <c r="II34" s="2479" t="str">
        <f t="shared" si="221"/>
        <v/>
      </c>
      <c r="IJ34" s="2479" t="str">
        <f t="shared" si="222"/>
        <v/>
      </c>
      <c r="IK34" s="2479" t="str">
        <f t="shared" si="223"/>
        <v/>
      </c>
      <c r="IL34" s="2479" t="str">
        <f t="shared" si="224"/>
        <v/>
      </c>
      <c r="IM34" s="2479" t="str">
        <f t="shared" si="225"/>
        <v/>
      </c>
      <c r="IN34" s="2479" t="str">
        <f t="shared" si="226"/>
        <v/>
      </c>
      <c r="IO34" s="2479" t="str">
        <f t="shared" si="227"/>
        <v/>
      </c>
      <c r="IP34" s="2479" t="str">
        <f t="shared" si="228"/>
        <v/>
      </c>
      <c r="IQ34" s="2479" t="str">
        <f t="shared" si="229"/>
        <v/>
      </c>
      <c r="IR34" s="2479" t="str">
        <f t="shared" si="230"/>
        <v/>
      </c>
      <c r="IS34" s="2479" t="str">
        <f t="shared" si="231"/>
        <v/>
      </c>
      <c r="IT34" s="2479" t="str">
        <f t="shared" si="232"/>
        <v/>
      </c>
      <c r="IU34" s="2479" t="str">
        <f t="shared" si="233"/>
        <v/>
      </c>
      <c r="IV34" s="2479" t="str">
        <f t="shared" si="234"/>
        <v/>
      </c>
      <c r="IW34" s="2479" t="str">
        <f t="shared" si="235"/>
        <v/>
      </c>
      <c r="IX34" s="2479" t="str">
        <f t="shared" si="236"/>
        <v/>
      </c>
      <c r="IY34" s="2479" t="str">
        <f t="shared" si="237"/>
        <v/>
      </c>
      <c r="IZ34" s="2479" t="str">
        <f t="shared" si="238"/>
        <v/>
      </c>
      <c r="JA34" s="2479" t="str">
        <f t="shared" si="239"/>
        <v/>
      </c>
      <c r="JB34" s="2479" t="str">
        <f t="shared" si="240"/>
        <v/>
      </c>
      <c r="JC34" s="2479" t="str">
        <f t="shared" si="241"/>
        <v/>
      </c>
      <c r="JD34" s="2479" t="str">
        <f t="shared" si="242"/>
        <v/>
      </c>
      <c r="JE34" s="2479" t="str">
        <f t="shared" si="243"/>
        <v/>
      </c>
      <c r="JF34" s="2479" t="str">
        <f t="shared" si="244"/>
        <v/>
      </c>
      <c r="JG34" s="2479" t="str">
        <f t="shared" si="245"/>
        <v/>
      </c>
      <c r="JH34" s="2479" t="str">
        <f t="shared" si="246"/>
        <v/>
      </c>
      <c r="JI34" s="2479" t="str">
        <f t="shared" si="247"/>
        <v/>
      </c>
      <c r="JJ34" s="2479" t="str">
        <f t="shared" si="248"/>
        <v/>
      </c>
      <c r="JK34" s="2479" t="str">
        <f t="shared" si="249"/>
        <v/>
      </c>
      <c r="JL34" s="2479" t="str">
        <f t="shared" si="250"/>
        <v/>
      </c>
      <c r="JM34" s="2479" t="str">
        <f t="shared" si="251"/>
        <v/>
      </c>
      <c r="JN34" s="2479" t="str">
        <f t="shared" si="252"/>
        <v/>
      </c>
      <c r="JO34" s="2479" t="str">
        <f t="shared" si="253"/>
        <v/>
      </c>
      <c r="JP34" s="2479" t="str">
        <f t="shared" si="254"/>
        <v/>
      </c>
      <c r="JQ34" s="2479" t="str">
        <f t="shared" si="255"/>
        <v/>
      </c>
      <c r="JR34" s="2479" t="str">
        <f t="shared" si="256"/>
        <v/>
      </c>
      <c r="JS34" s="2479" t="str">
        <f t="shared" si="257"/>
        <v/>
      </c>
      <c r="JT34" s="2479" t="str">
        <f t="shared" si="258"/>
        <v/>
      </c>
      <c r="JU34" s="2479" t="str">
        <f t="shared" si="259"/>
        <v/>
      </c>
      <c r="JV34" s="2479" t="str">
        <f t="shared" si="260"/>
        <v/>
      </c>
      <c r="JW34" s="2479" t="str">
        <f t="shared" si="261"/>
        <v/>
      </c>
      <c r="JX34" s="2479" t="str">
        <f t="shared" si="262"/>
        <v/>
      </c>
      <c r="JY34" s="2479" t="str">
        <f t="shared" si="263"/>
        <v/>
      </c>
      <c r="JZ34" s="2479" t="str">
        <f t="shared" si="264"/>
        <v/>
      </c>
      <c r="KA34" s="2479" t="str">
        <f t="shared" si="265"/>
        <v/>
      </c>
      <c r="KB34" s="2479" t="str">
        <f t="shared" si="266"/>
        <v/>
      </c>
      <c r="KC34" s="2479" t="str">
        <f t="shared" si="267"/>
        <v/>
      </c>
      <c r="KD34" s="2479" t="str">
        <f t="shared" si="268"/>
        <v/>
      </c>
      <c r="KE34" s="2479" t="str">
        <f t="shared" si="269"/>
        <v/>
      </c>
      <c r="KF34" s="2479" t="str">
        <f t="shared" si="270"/>
        <v/>
      </c>
      <c r="KG34" s="2479" t="str">
        <f t="shared" si="271"/>
        <v/>
      </c>
      <c r="KH34" s="2479" t="str">
        <f t="shared" si="272"/>
        <v/>
      </c>
      <c r="KI34" s="2479" t="str">
        <f t="shared" si="273"/>
        <v/>
      </c>
      <c r="KJ34" s="2479" t="str">
        <f t="shared" si="274"/>
        <v/>
      </c>
      <c r="KK34" s="2479" t="str">
        <f t="shared" si="275"/>
        <v/>
      </c>
      <c r="KL34" s="2479" t="str">
        <f t="shared" si="276"/>
        <v/>
      </c>
      <c r="KM34" s="2479" t="str">
        <f t="shared" si="277"/>
        <v/>
      </c>
      <c r="KN34" s="2479" t="str">
        <f t="shared" si="278"/>
        <v/>
      </c>
      <c r="KO34" s="2479" t="str">
        <f t="shared" si="279"/>
        <v/>
      </c>
      <c r="KP34" s="2479" t="str">
        <f t="shared" si="280"/>
        <v/>
      </c>
      <c r="KQ34" s="2479" t="str">
        <f t="shared" si="281"/>
        <v/>
      </c>
      <c r="KR34" s="2479" t="str">
        <f t="shared" si="282"/>
        <v/>
      </c>
      <c r="KS34" s="2479" t="str">
        <f t="shared" si="283"/>
        <v/>
      </c>
      <c r="KT34" s="2479" t="str">
        <f t="shared" si="284"/>
        <v/>
      </c>
      <c r="KU34" s="2479" t="str">
        <f t="shared" si="285"/>
        <v/>
      </c>
      <c r="KV34" s="2479" t="str">
        <f t="shared" si="286"/>
        <v/>
      </c>
      <c r="KW34" s="2479" t="str">
        <f t="shared" si="287"/>
        <v/>
      </c>
      <c r="KX34" s="2479" t="str">
        <f t="shared" si="288"/>
        <v/>
      </c>
      <c r="KY34" s="2479" t="str">
        <f t="shared" si="289"/>
        <v/>
      </c>
      <c r="KZ34" s="2479" t="str">
        <f t="shared" si="290"/>
        <v/>
      </c>
      <c r="LA34" s="2479" t="str">
        <f t="shared" si="291"/>
        <v/>
      </c>
      <c r="LB34" s="2479" t="str">
        <f t="shared" si="292"/>
        <v/>
      </c>
      <c r="LC34" s="2479" t="str">
        <f t="shared" si="293"/>
        <v/>
      </c>
      <c r="LD34" s="2479" t="str">
        <f t="shared" si="294"/>
        <v/>
      </c>
      <c r="LE34" s="2479" t="str">
        <f t="shared" si="295"/>
        <v/>
      </c>
      <c r="LF34" s="2479" t="str">
        <f t="shared" si="296"/>
        <v/>
      </c>
      <c r="LG34" s="2479" t="str">
        <f t="shared" si="297"/>
        <v/>
      </c>
      <c r="LH34" s="2479" t="str">
        <f t="shared" si="298"/>
        <v/>
      </c>
      <c r="LI34" s="2479" t="str">
        <f t="shared" si="299"/>
        <v/>
      </c>
      <c r="LJ34" s="2479" t="str">
        <f t="shared" si="300"/>
        <v/>
      </c>
      <c r="LK34" s="2479" t="str">
        <f t="shared" si="301"/>
        <v/>
      </c>
      <c r="LL34" s="2479" t="str">
        <f t="shared" si="302"/>
        <v/>
      </c>
      <c r="LM34" s="2479" t="str">
        <f t="shared" si="303"/>
        <v/>
      </c>
      <c r="LN34" s="2479" t="str">
        <f t="shared" si="304"/>
        <v/>
      </c>
      <c r="LO34" s="2479" t="str">
        <f t="shared" si="305"/>
        <v/>
      </c>
      <c r="LP34" s="2479" t="str">
        <f t="shared" si="306"/>
        <v/>
      </c>
      <c r="LQ34" s="2480" t="str">
        <f t="shared" si="307"/>
        <v/>
      </c>
      <c r="LR34" s="2480" t="str">
        <f t="shared" si="308"/>
        <v/>
      </c>
      <c r="LS34" s="2480" t="str">
        <f t="shared" si="309"/>
        <v/>
      </c>
      <c r="LT34" s="2480" t="str">
        <f t="shared" si="310"/>
        <v/>
      </c>
      <c r="LU34" s="2480"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78">
        <f t="shared" si="338"/>
        <v>0</v>
      </c>
      <c r="MQ34" s="2478">
        <f t="shared" si="339"/>
        <v>0</v>
      </c>
      <c r="MR34" s="2478">
        <f t="shared" si="340"/>
        <v>0</v>
      </c>
      <c r="MS34" s="2478">
        <f t="shared" si="341"/>
        <v>0</v>
      </c>
      <c r="MT34" s="2478">
        <f t="shared" si="342"/>
        <v>0</v>
      </c>
      <c r="MU34" s="2478">
        <f t="shared" si="343"/>
        <v>0</v>
      </c>
      <c r="MV34" s="2478">
        <f t="shared" si="344"/>
        <v>0</v>
      </c>
      <c r="MW34" s="2478">
        <f t="shared" si="345"/>
        <v>0</v>
      </c>
      <c r="MX34" s="2478">
        <f t="shared" si="346"/>
        <v>0</v>
      </c>
      <c r="MY34" s="2478">
        <f t="shared" si="347"/>
        <v>0</v>
      </c>
      <c r="MZ34" s="2478">
        <f t="shared" si="332"/>
        <v>0</v>
      </c>
      <c r="NA34" s="2478">
        <f t="shared" si="333"/>
        <v>0</v>
      </c>
      <c r="NB34" s="2478">
        <f t="shared" si="334"/>
        <v>0</v>
      </c>
      <c r="NC34" s="2478">
        <f t="shared" si="335"/>
        <v>0</v>
      </c>
      <c r="ND34" s="2478">
        <f t="shared" si="336"/>
        <v>0</v>
      </c>
    </row>
    <row r="35" spans="1:369" ht="13.8" customHeight="1">
      <c r="A35" s="111" t="str">
        <f t="shared" si="337"/>
        <v/>
      </c>
      <c r="B35" s="1695"/>
      <c r="C35" s="171"/>
      <c r="D35" s="172"/>
      <c r="E35" s="173"/>
      <c r="F35" s="173"/>
      <c r="G35" s="173"/>
      <c r="H35" s="173"/>
      <c r="I35" s="173"/>
      <c r="J35" s="1092">
        <f>IF(C35="",0,HLOOKUP(C35,'Part V-Utility Allowances'!$I$11:$M$22,12))</f>
        <v>0</v>
      </c>
      <c r="K35" s="931"/>
      <c r="L35" s="667">
        <f t="shared" si="0"/>
        <v>0</v>
      </c>
      <c r="M35" s="667">
        <f t="shared" si="1"/>
        <v>0</v>
      </c>
      <c r="N35" s="1013"/>
      <c r="O35" s="1013"/>
      <c r="P35" s="1013"/>
      <c r="Q35" s="174"/>
      <c r="R35" s="1069"/>
      <c r="S35" s="1070"/>
      <c r="T35" s="3503"/>
      <c r="U35" s="3504"/>
      <c r="V35" s="3504"/>
      <c r="W35" s="3505"/>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79" t="str">
        <f t="shared" si="212"/>
        <v/>
      </c>
      <c r="IA35" s="2479" t="str">
        <f t="shared" si="213"/>
        <v/>
      </c>
      <c r="IB35" s="2479" t="str">
        <f t="shared" si="214"/>
        <v/>
      </c>
      <c r="IC35" s="2479" t="str">
        <f t="shared" si="215"/>
        <v/>
      </c>
      <c r="ID35" s="2479" t="str">
        <f t="shared" si="216"/>
        <v/>
      </c>
      <c r="IE35" s="2479" t="str">
        <f t="shared" si="217"/>
        <v/>
      </c>
      <c r="IF35" s="2479" t="str">
        <f t="shared" si="218"/>
        <v/>
      </c>
      <c r="IG35" s="2479" t="str">
        <f t="shared" si="219"/>
        <v/>
      </c>
      <c r="IH35" s="2479" t="str">
        <f t="shared" si="220"/>
        <v/>
      </c>
      <c r="II35" s="2479" t="str">
        <f t="shared" si="221"/>
        <v/>
      </c>
      <c r="IJ35" s="2479" t="str">
        <f t="shared" si="222"/>
        <v/>
      </c>
      <c r="IK35" s="2479" t="str">
        <f t="shared" si="223"/>
        <v/>
      </c>
      <c r="IL35" s="2479" t="str">
        <f t="shared" si="224"/>
        <v/>
      </c>
      <c r="IM35" s="2479" t="str">
        <f t="shared" si="225"/>
        <v/>
      </c>
      <c r="IN35" s="2479" t="str">
        <f t="shared" si="226"/>
        <v/>
      </c>
      <c r="IO35" s="2479" t="str">
        <f t="shared" si="227"/>
        <v/>
      </c>
      <c r="IP35" s="2479" t="str">
        <f t="shared" si="228"/>
        <v/>
      </c>
      <c r="IQ35" s="2479" t="str">
        <f t="shared" si="229"/>
        <v/>
      </c>
      <c r="IR35" s="2479" t="str">
        <f t="shared" si="230"/>
        <v/>
      </c>
      <c r="IS35" s="2479" t="str">
        <f t="shared" si="231"/>
        <v/>
      </c>
      <c r="IT35" s="2479" t="str">
        <f t="shared" si="232"/>
        <v/>
      </c>
      <c r="IU35" s="2479" t="str">
        <f t="shared" si="233"/>
        <v/>
      </c>
      <c r="IV35" s="2479" t="str">
        <f t="shared" si="234"/>
        <v/>
      </c>
      <c r="IW35" s="2479" t="str">
        <f t="shared" si="235"/>
        <v/>
      </c>
      <c r="IX35" s="2479" t="str">
        <f t="shared" si="236"/>
        <v/>
      </c>
      <c r="IY35" s="2479" t="str">
        <f t="shared" si="237"/>
        <v/>
      </c>
      <c r="IZ35" s="2479" t="str">
        <f t="shared" si="238"/>
        <v/>
      </c>
      <c r="JA35" s="2479" t="str">
        <f t="shared" si="239"/>
        <v/>
      </c>
      <c r="JB35" s="2479" t="str">
        <f t="shared" si="240"/>
        <v/>
      </c>
      <c r="JC35" s="2479" t="str">
        <f t="shared" si="241"/>
        <v/>
      </c>
      <c r="JD35" s="2479" t="str">
        <f t="shared" si="242"/>
        <v/>
      </c>
      <c r="JE35" s="2479" t="str">
        <f t="shared" si="243"/>
        <v/>
      </c>
      <c r="JF35" s="2479" t="str">
        <f t="shared" si="244"/>
        <v/>
      </c>
      <c r="JG35" s="2479" t="str">
        <f t="shared" si="245"/>
        <v/>
      </c>
      <c r="JH35" s="2479" t="str">
        <f t="shared" si="246"/>
        <v/>
      </c>
      <c r="JI35" s="2479" t="str">
        <f t="shared" si="247"/>
        <v/>
      </c>
      <c r="JJ35" s="2479" t="str">
        <f t="shared" si="248"/>
        <v/>
      </c>
      <c r="JK35" s="2479" t="str">
        <f t="shared" si="249"/>
        <v/>
      </c>
      <c r="JL35" s="2479" t="str">
        <f t="shared" si="250"/>
        <v/>
      </c>
      <c r="JM35" s="2479" t="str">
        <f t="shared" si="251"/>
        <v/>
      </c>
      <c r="JN35" s="2479" t="str">
        <f t="shared" si="252"/>
        <v/>
      </c>
      <c r="JO35" s="2479" t="str">
        <f t="shared" si="253"/>
        <v/>
      </c>
      <c r="JP35" s="2479" t="str">
        <f t="shared" si="254"/>
        <v/>
      </c>
      <c r="JQ35" s="2479" t="str">
        <f t="shared" si="255"/>
        <v/>
      </c>
      <c r="JR35" s="2479" t="str">
        <f t="shared" si="256"/>
        <v/>
      </c>
      <c r="JS35" s="2479" t="str">
        <f t="shared" si="257"/>
        <v/>
      </c>
      <c r="JT35" s="2479" t="str">
        <f t="shared" si="258"/>
        <v/>
      </c>
      <c r="JU35" s="2479" t="str">
        <f t="shared" si="259"/>
        <v/>
      </c>
      <c r="JV35" s="2479" t="str">
        <f t="shared" si="260"/>
        <v/>
      </c>
      <c r="JW35" s="2479" t="str">
        <f t="shared" si="261"/>
        <v/>
      </c>
      <c r="JX35" s="2479" t="str">
        <f t="shared" si="262"/>
        <v/>
      </c>
      <c r="JY35" s="2479" t="str">
        <f t="shared" si="263"/>
        <v/>
      </c>
      <c r="JZ35" s="2479" t="str">
        <f t="shared" si="264"/>
        <v/>
      </c>
      <c r="KA35" s="2479" t="str">
        <f t="shared" si="265"/>
        <v/>
      </c>
      <c r="KB35" s="2479" t="str">
        <f t="shared" si="266"/>
        <v/>
      </c>
      <c r="KC35" s="2479" t="str">
        <f t="shared" si="267"/>
        <v/>
      </c>
      <c r="KD35" s="2479" t="str">
        <f t="shared" si="268"/>
        <v/>
      </c>
      <c r="KE35" s="2479" t="str">
        <f t="shared" si="269"/>
        <v/>
      </c>
      <c r="KF35" s="2479" t="str">
        <f t="shared" si="270"/>
        <v/>
      </c>
      <c r="KG35" s="2479" t="str">
        <f t="shared" si="271"/>
        <v/>
      </c>
      <c r="KH35" s="2479" t="str">
        <f t="shared" si="272"/>
        <v/>
      </c>
      <c r="KI35" s="2479" t="str">
        <f t="shared" si="273"/>
        <v/>
      </c>
      <c r="KJ35" s="2479" t="str">
        <f t="shared" si="274"/>
        <v/>
      </c>
      <c r="KK35" s="2479" t="str">
        <f t="shared" si="275"/>
        <v/>
      </c>
      <c r="KL35" s="2479" t="str">
        <f t="shared" si="276"/>
        <v/>
      </c>
      <c r="KM35" s="2479" t="str">
        <f t="shared" si="277"/>
        <v/>
      </c>
      <c r="KN35" s="2479" t="str">
        <f t="shared" si="278"/>
        <v/>
      </c>
      <c r="KO35" s="2479" t="str">
        <f t="shared" si="279"/>
        <v/>
      </c>
      <c r="KP35" s="2479" t="str">
        <f t="shared" si="280"/>
        <v/>
      </c>
      <c r="KQ35" s="2479" t="str">
        <f t="shared" si="281"/>
        <v/>
      </c>
      <c r="KR35" s="2479" t="str">
        <f t="shared" si="282"/>
        <v/>
      </c>
      <c r="KS35" s="2479" t="str">
        <f t="shared" si="283"/>
        <v/>
      </c>
      <c r="KT35" s="2479" t="str">
        <f t="shared" si="284"/>
        <v/>
      </c>
      <c r="KU35" s="2479" t="str">
        <f t="shared" si="285"/>
        <v/>
      </c>
      <c r="KV35" s="2479" t="str">
        <f t="shared" si="286"/>
        <v/>
      </c>
      <c r="KW35" s="2479" t="str">
        <f t="shared" si="287"/>
        <v/>
      </c>
      <c r="KX35" s="2479" t="str">
        <f t="shared" si="288"/>
        <v/>
      </c>
      <c r="KY35" s="2479" t="str">
        <f t="shared" si="289"/>
        <v/>
      </c>
      <c r="KZ35" s="2479" t="str">
        <f t="shared" si="290"/>
        <v/>
      </c>
      <c r="LA35" s="2479" t="str">
        <f t="shared" si="291"/>
        <v/>
      </c>
      <c r="LB35" s="2479" t="str">
        <f t="shared" si="292"/>
        <v/>
      </c>
      <c r="LC35" s="2479" t="str">
        <f t="shared" si="293"/>
        <v/>
      </c>
      <c r="LD35" s="2479" t="str">
        <f t="shared" si="294"/>
        <v/>
      </c>
      <c r="LE35" s="2479" t="str">
        <f t="shared" si="295"/>
        <v/>
      </c>
      <c r="LF35" s="2479" t="str">
        <f t="shared" si="296"/>
        <v/>
      </c>
      <c r="LG35" s="2479" t="str">
        <f t="shared" si="297"/>
        <v/>
      </c>
      <c r="LH35" s="2479" t="str">
        <f t="shared" si="298"/>
        <v/>
      </c>
      <c r="LI35" s="2479" t="str">
        <f t="shared" si="299"/>
        <v/>
      </c>
      <c r="LJ35" s="2479" t="str">
        <f t="shared" si="300"/>
        <v/>
      </c>
      <c r="LK35" s="2479" t="str">
        <f t="shared" si="301"/>
        <v/>
      </c>
      <c r="LL35" s="2479" t="str">
        <f t="shared" si="302"/>
        <v/>
      </c>
      <c r="LM35" s="2479" t="str">
        <f t="shared" si="303"/>
        <v/>
      </c>
      <c r="LN35" s="2479" t="str">
        <f t="shared" si="304"/>
        <v/>
      </c>
      <c r="LO35" s="2479" t="str">
        <f t="shared" si="305"/>
        <v/>
      </c>
      <c r="LP35" s="2479" t="str">
        <f t="shared" si="306"/>
        <v/>
      </c>
      <c r="LQ35" s="2480" t="str">
        <f t="shared" si="307"/>
        <v/>
      </c>
      <c r="LR35" s="2480" t="str">
        <f t="shared" si="308"/>
        <v/>
      </c>
      <c r="LS35" s="2480" t="str">
        <f t="shared" si="309"/>
        <v/>
      </c>
      <c r="LT35" s="2480" t="str">
        <f t="shared" si="310"/>
        <v/>
      </c>
      <c r="LU35" s="2480"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78">
        <f t="shared" si="338"/>
        <v>0</v>
      </c>
      <c r="MQ35" s="2478">
        <f t="shared" si="339"/>
        <v>0</v>
      </c>
      <c r="MR35" s="2478">
        <f t="shared" si="340"/>
        <v>0</v>
      </c>
      <c r="MS35" s="2478">
        <f t="shared" si="341"/>
        <v>0</v>
      </c>
      <c r="MT35" s="2478">
        <f t="shared" si="342"/>
        <v>0</v>
      </c>
      <c r="MU35" s="2478">
        <f t="shared" si="343"/>
        <v>0</v>
      </c>
      <c r="MV35" s="2478">
        <f t="shared" si="344"/>
        <v>0</v>
      </c>
      <c r="MW35" s="2478">
        <f t="shared" si="345"/>
        <v>0</v>
      </c>
      <c r="MX35" s="2478">
        <f t="shared" si="346"/>
        <v>0</v>
      </c>
      <c r="MY35" s="2478">
        <f t="shared" si="347"/>
        <v>0</v>
      </c>
      <c r="MZ35" s="2478">
        <f t="shared" si="332"/>
        <v>0</v>
      </c>
      <c r="NA35" s="2478">
        <f t="shared" si="333"/>
        <v>0</v>
      </c>
      <c r="NB35" s="2478">
        <f t="shared" si="334"/>
        <v>0</v>
      </c>
      <c r="NC35" s="2478">
        <f t="shared" si="335"/>
        <v>0</v>
      </c>
      <c r="ND35" s="2478">
        <f t="shared" si="336"/>
        <v>0</v>
      </c>
    </row>
    <row r="36" spans="1:369" ht="13.8" customHeight="1">
      <c r="A36" s="111" t="str">
        <f t="shared" si="337"/>
        <v/>
      </c>
      <c r="B36" s="1695"/>
      <c r="C36" s="171"/>
      <c r="D36" s="172"/>
      <c r="E36" s="173"/>
      <c r="F36" s="173"/>
      <c r="G36" s="173"/>
      <c r="H36" s="173"/>
      <c r="I36" s="173"/>
      <c r="J36" s="1092">
        <f>IF(C36="",0,HLOOKUP(C36,'Part V-Utility Allowances'!$I$11:$M$22,12))</f>
        <v>0</v>
      </c>
      <c r="K36" s="931"/>
      <c r="L36" s="667">
        <f t="shared" si="0"/>
        <v>0</v>
      </c>
      <c r="M36" s="667">
        <f t="shared" si="1"/>
        <v>0</v>
      </c>
      <c r="N36" s="1013"/>
      <c r="O36" s="1013"/>
      <c r="P36" s="1013"/>
      <c r="Q36" s="174"/>
      <c r="R36" s="1069"/>
      <c r="S36" s="1070"/>
      <c r="T36" s="3503"/>
      <c r="U36" s="3504"/>
      <c r="V36" s="3504"/>
      <c r="W36" s="3505"/>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79" t="str">
        <f t="shared" si="212"/>
        <v/>
      </c>
      <c r="IA36" s="2479" t="str">
        <f t="shared" si="213"/>
        <v/>
      </c>
      <c r="IB36" s="2479" t="str">
        <f t="shared" si="214"/>
        <v/>
      </c>
      <c r="IC36" s="2479" t="str">
        <f t="shared" si="215"/>
        <v/>
      </c>
      <c r="ID36" s="2479" t="str">
        <f t="shared" si="216"/>
        <v/>
      </c>
      <c r="IE36" s="2479" t="str">
        <f t="shared" si="217"/>
        <v/>
      </c>
      <c r="IF36" s="2479" t="str">
        <f t="shared" si="218"/>
        <v/>
      </c>
      <c r="IG36" s="2479" t="str">
        <f t="shared" si="219"/>
        <v/>
      </c>
      <c r="IH36" s="2479" t="str">
        <f t="shared" si="220"/>
        <v/>
      </c>
      <c r="II36" s="2479" t="str">
        <f t="shared" si="221"/>
        <v/>
      </c>
      <c r="IJ36" s="2479" t="str">
        <f t="shared" si="222"/>
        <v/>
      </c>
      <c r="IK36" s="2479" t="str">
        <f t="shared" si="223"/>
        <v/>
      </c>
      <c r="IL36" s="2479" t="str">
        <f t="shared" si="224"/>
        <v/>
      </c>
      <c r="IM36" s="2479" t="str">
        <f t="shared" si="225"/>
        <v/>
      </c>
      <c r="IN36" s="2479" t="str">
        <f t="shared" si="226"/>
        <v/>
      </c>
      <c r="IO36" s="2479" t="str">
        <f t="shared" si="227"/>
        <v/>
      </c>
      <c r="IP36" s="2479" t="str">
        <f t="shared" si="228"/>
        <v/>
      </c>
      <c r="IQ36" s="2479" t="str">
        <f t="shared" si="229"/>
        <v/>
      </c>
      <c r="IR36" s="2479" t="str">
        <f t="shared" si="230"/>
        <v/>
      </c>
      <c r="IS36" s="2479" t="str">
        <f t="shared" si="231"/>
        <v/>
      </c>
      <c r="IT36" s="2479" t="str">
        <f t="shared" si="232"/>
        <v/>
      </c>
      <c r="IU36" s="2479" t="str">
        <f t="shared" si="233"/>
        <v/>
      </c>
      <c r="IV36" s="2479" t="str">
        <f t="shared" si="234"/>
        <v/>
      </c>
      <c r="IW36" s="2479" t="str">
        <f t="shared" si="235"/>
        <v/>
      </c>
      <c r="IX36" s="2479" t="str">
        <f t="shared" si="236"/>
        <v/>
      </c>
      <c r="IY36" s="2479" t="str">
        <f t="shared" si="237"/>
        <v/>
      </c>
      <c r="IZ36" s="2479" t="str">
        <f t="shared" si="238"/>
        <v/>
      </c>
      <c r="JA36" s="2479" t="str">
        <f t="shared" si="239"/>
        <v/>
      </c>
      <c r="JB36" s="2479" t="str">
        <f t="shared" si="240"/>
        <v/>
      </c>
      <c r="JC36" s="2479" t="str">
        <f t="shared" si="241"/>
        <v/>
      </c>
      <c r="JD36" s="2479" t="str">
        <f t="shared" si="242"/>
        <v/>
      </c>
      <c r="JE36" s="2479" t="str">
        <f t="shared" si="243"/>
        <v/>
      </c>
      <c r="JF36" s="2479" t="str">
        <f t="shared" si="244"/>
        <v/>
      </c>
      <c r="JG36" s="2479" t="str">
        <f t="shared" si="245"/>
        <v/>
      </c>
      <c r="JH36" s="2479" t="str">
        <f t="shared" si="246"/>
        <v/>
      </c>
      <c r="JI36" s="2479" t="str">
        <f t="shared" si="247"/>
        <v/>
      </c>
      <c r="JJ36" s="2479" t="str">
        <f t="shared" si="248"/>
        <v/>
      </c>
      <c r="JK36" s="2479" t="str">
        <f t="shared" si="249"/>
        <v/>
      </c>
      <c r="JL36" s="2479" t="str">
        <f t="shared" si="250"/>
        <v/>
      </c>
      <c r="JM36" s="2479" t="str">
        <f t="shared" si="251"/>
        <v/>
      </c>
      <c r="JN36" s="2479" t="str">
        <f t="shared" si="252"/>
        <v/>
      </c>
      <c r="JO36" s="2479" t="str">
        <f t="shared" si="253"/>
        <v/>
      </c>
      <c r="JP36" s="2479" t="str">
        <f t="shared" si="254"/>
        <v/>
      </c>
      <c r="JQ36" s="2479" t="str">
        <f t="shared" si="255"/>
        <v/>
      </c>
      <c r="JR36" s="2479" t="str">
        <f t="shared" si="256"/>
        <v/>
      </c>
      <c r="JS36" s="2479" t="str">
        <f t="shared" si="257"/>
        <v/>
      </c>
      <c r="JT36" s="2479" t="str">
        <f t="shared" si="258"/>
        <v/>
      </c>
      <c r="JU36" s="2479" t="str">
        <f t="shared" si="259"/>
        <v/>
      </c>
      <c r="JV36" s="2479" t="str">
        <f t="shared" si="260"/>
        <v/>
      </c>
      <c r="JW36" s="2479" t="str">
        <f t="shared" si="261"/>
        <v/>
      </c>
      <c r="JX36" s="2479" t="str">
        <f t="shared" si="262"/>
        <v/>
      </c>
      <c r="JY36" s="2479" t="str">
        <f t="shared" si="263"/>
        <v/>
      </c>
      <c r="JZ36" s="2479" t="str">
        <f t="shared" si="264"/>
        <v/>
      </c>
      <c r="KA36" s="2479" t="str">
        <f t="shared" si="265"/>
        <v/>
      </c>
      <c r="KB36" s="2479" t="str">
        <f t="shared" si="266"/>
        <v/>
      </c>
      <c r="KC36" s="2479" t="str">
        <f t="shared" si="267"/>
        <v/>
      </c>
      <c r="KD36" s="2479" t="str">
        <f t="shared" si="268"/>
        <v/>
      </c>
      <c r="KE36" s="2479" t="str">
        <f t="shared" si="269"/>
        <v/>
      </c>
      <c r="KF36" s="2479" t="str">
        <f t="shared" si="270"/>
        <v/>
      </c>
      <c r="KG36" s="2479" t="str">
        <f t="shared" si="271"/>
        <v/>
      </c>
      <c r="KH36" s="2479" t="str">
        <f t="shared" si="272"/>
        <v/>
      </c>
      <c r="KI36" s="2479" t="str">
        <f t="shared" si="273"/>
        <v/>
      </c>
      <c r="KJ36" s="2479" t="str">
        <f t="shared" si="274"/>
        <v/>
      </c>
      <c r="KK36" s="2479" t="str">
        <f t="shared" si="275"/>
        <v/>
      </c>
      <c r="KL36" s="2479" t="str">
        <f t="shared" si="276"/>
        <v/>
      </c>
      <c r="KM36" s="2479" t="str">
        <f t="shared" si="277"/>
        <v/>
      </c>
      <c r="KN36" s="2479" t="str">
        <f t="shared" si="278"/>
        <v/>
      </c>
      <c r="KO36" s="2479" t="str">
        <f t="shared" si="279"/>
        <v/>
      </c>
      <c r="KP36" s="2479" t="str">
        <f t="shared" si="280"/>
        <v/>
      </c>
      <c r="KQ36" s="2479" t="str">
        <f t="shared" si="281"/>
        <v/>
      </c>
      <c r="KR36" s="2479" t="str">
        <f t="shared" si="282"/>
        <v/>
      </c>
      <c r="KS36" s="2479" t="str">
        <f t="shared" si="283"/>
        <v/>
      </c>
      <c r="KT36" s="2479" t="str">
        <f t="shared" si="284"/>
        <v/>
      </c>
      <c r="KU36" s="2479" t="str">
        <f t="shared" si="285"/>
        <v/>
      </c>
      <c r="KV36" s="2479" t="str">
        <f t="shared" si="286"/>
        <v/>
      </c>
      <c r="KW36" s="2479" t="str">
        <f t="shared" si="287"/>
        <v/>
      </c>
      <c r="KX36" s="2479" t="str">
        <f t="shared" si="288"/>
        <v/>
      </c>
      <c r="KY36" s="2479" t="str">
        <f t="shared" si="289"/>
        <v/>
      </c>
      <c r="KZ36" s="2479" t="str">
        <f t="shared" si="290"/>
        <v/>
      </c>
      <c r="LA36" s="2479" t="str">
        <f t="shared" si="291"/>
        <v/>
      </c>
      <c r="LB36" s="2479" t="str">
        <f t="shared" si="292"/>
        <v/>
      </c>
      <c r="LC36" s="2479" t="str">
        <f t="shared" si="293"/>
        <v/>
      </c>
      <c r="LD36" s="2479" t="str">
        <f t="shared" si="294"/>
        <v/>
      </c>
      <c r="LE36" s="2479" t="str">
        <f t="shared" si="295"/>
        <v/>
      </c>
      <c r="LF36" s="2479" t="str">
        <f t="shared" si="296"/>
        <v/>
      </c>
      <c r="LG36" s="2479" t="str">
        <f t="shared" si="297"/>
        <v/>
      </c>
      <c r="LH36" s="2479" t="str">
        <f t="shared" si="298"/>
        <v/>
      </c>
      <c r="LI36" s="2479" t="str">
        <f t="shared" si="299"/>
        <v/>
      </c>
      <c r="LJ36" s="2479" t="str">
        <f t="shared" si="300"/>
        <v/>
      </c>
      <c r="LK36" s="2479" t="str">
        <f t="shared" si="301"/>
        <v/>
      </c>
      <c r="LL36" s="2479" t="str">
        <f t="shared" si="302"/>
        <v/>
      </c>
      <c r="LM36" s="2479" t="str">
        <f t="shared" si="303"/>
        <v/>
      </c>
      <c r="LN36" s="2479" t="str">
        <f t="shared" si="304"/>
        <v/>
      </c>
      <c r="LO36" s="2479" t="str">
        <f t="shared" si="305"/>
        <v/>
      </c>
      <c r="LP36" s="2479" t="str">
        <f t="shared" si="306"/>
        <v/>
      </c>
      <c r="LQ36" s="2480" t="str">
        <f t="shared" si="307"/>
        <v/>
      </c>
      <c r="LR36" s="2480" t="str">
        <f t="shared" si="308"/>
        <v/>
      </c>
      <c r="LS36" s="2480" t="str">
        <f t="shared" si="309"/>
        <v/>
      </c>
      <c r="LT36" s="2480" t="str">
        <f t="shared" si="310"/>
        <v/>
      </c>
      <c r="LU36" s="2480"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78">
        <f t="shared" si="338"/>
        <v>0</v>
      </c>
      <c r="MQ36" s="2478">
        <f t="shared" si="339"/>
        <v>0</v>
      </c>
      <c r="MR36" s="2478">
        <f t="shared" si="340"/>
        <v>0</v>
      </c>
      <c r="MS36" s="2478">
        <f t="shared" si="341"/>
        <v>0</v>
      </c>
      <c r="MT36" s="2478">
        <f t="shared" si="342"/>
        <v>0</v>
      </c>
      <c r="MU36" s="2478">
        <f t="shared" si="343"/>
        <v>0</v>
      </c>
      <c r="MV36" s="2478">
        <f t="shared" si="344"/>
        <v>0</v>
      </c>
      <c r="MW36" s="2478">
        <f t="shared" si="345"/>
        <v>0</v>
      </c>
      <c r="MX36" s="2478">
        <f t="shared" si="346"/>
        <v>0</v>
      </c>
      <c r="MY36" s="2478">
        <f t="shared" si="347"/>
        <v>0</v>
      </c>
      <c r="MZ36" s="2478">
        <f t="shared" si="332"/>
        <v>0</v>
      </c>
      <c r="NA36" s="2478">
        <f t="shared" si="333"/>
        <v>0</v>
      </c>
      <c r="NB36" s="2478">
        <f t="shared" si="334"/>
        <v>0</v>
      </c>
      <c r="NC36" s="2478">
        <f t="shared" si="335"/>
        <v>0</v>
      </c>
      <c r="ND36" s="2478">
        <f t="shared" si="336"/>
        <v>0</v>
      </c>
    </row>
    <row r="37" spans="1:369" ht="13.8" customHeight="1">
      <c r="A37" s="111" t="str">
        <f t="shared" si="337"/>
        <v/>
      </c>
      <c r="B37" s="1695"/>
      <c r="C37" s="171"/>
      <c r="D37" s="172"/>
      <c r="E37" s="173"/>
      <c r="F37" s="173"/>
      <c r="G37" s="173"/>
      <c r="H37" s="173"/>
      <c r="I37" s="173"/>
      <c r="J37" s="1092">
        <f>IF(C37="",0,HLOOKUP(C37,'Part V-Utility Allowances'!$I$11:$M$22,12))</f>
        <v>0</v>
      </c>
      <c r="K37" s="931"/>
      <c r="L37" s="667">
        <f t="shared" si="0"/>
        <v>0</v>
      </c>
      <c r="M37" s="667">
        <f t="shared" si="1"/>
        <v>0</v>
      </c>
      <c r="N37" s="1013"/>
      <c r="O37" s="1013"/>
      <c r="P37" s="1013"/>
      <c r="Q37" s="174"/>
      <c r="R37" s="1069"/>
      <c r="S37" s="1070"/>
      <c r="T37" s="3503"/>
      <c r="U37" s="3504"/>
      <c r="V37" s="3504"/>
      <c r="W37" s="3505"/>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79" t="str">
        <f t="shared" si="212"/>
        <v/>
      </c>
      <c r="IA37" s="2479" t="str">
        <f t="shared" si="213"/>
        <v/>
      </c>
      <c r="IB37" s="2479" t="str">
        <f t="shared" si="214"/>
        <v/>
      </c>
      <c r="IC37" s="2479" t="str">
        <f t="shared" si="215"/>
        <v/>
      </c>
      <c r="ID37" s="2479" t="str">
        <f t="shared" si="216"/>
        <v/>
      </c>
      <c r="IE37" s="2479" t="str">
        <f t="shared" si="217"/>
        <v/>
      </c>
      <c r="IF37" s="2479" t="str">
        <f t="shared" si="218"/>
        <v/>
      </c>
      <c r="IG37" s="2479" t="str">
        <f t="shared" si="219"/>
        <v/>
      </c>
      <c r="IH37" s="2479" t="str">
        <f t="shared" si="220"/>
        <v/>
      </c>
      <c r="II37" s="2479" t="str">
        <f t="shared" si="221"/>
        <v/>
      </c>
      <c r="IJ37" s="2479" t="str">
        <f t="shared" si="222"/>
        <v/>
      </c>
      <c r="IK37" s="2479" t="str">
        <f t="shared" si="223"/>
        <v/>
      </c>
      <c r="IL37" s="2479" t="str">
        <f t="shared" si="224"/>
        <v/>
      </c>
      <c r="IM37" s="2479" t="str">
        <f t="shared" si="225"/>
        <v/>
      </c>
      <c r="IN37" s="2479" t="str">
        <f t="shared" si="226"/>
        <v/>
      </c>
      <c r="IO37" s="2479" t="str">
        <f t="shared" si="227"/>
        <v/>
      </c>
      <c r="IP37" s="2479" t="str">
        <f t="shared" si="228"/>
        <v/>
      </c>
      <c r="IQ37" s="2479" t="str">
        <f t="shared" si="229"/>
        <v/>
      </c>
      <c r="IR37" s="2479" t="str">
        <f t="shared" si="230"/>
        <v/>
      </c>
      <c r="IS37" s="2479" t="str">
        <f t="shared" si="231"/>
        <v/>
      </c>
      <c r="IT37" s="2479" t="str">
        <f t="shared" si="232"/>
        <v/>
      </c>
      <c r="IU37" s="2479" t="str">
        <f t="shared" si="233"/>
        <v/>
      </c>
      <c r="IV37" s="2479" t="str">
        <f t="shared" si="234"/>
        <v/>
      </c>
      <c r="IW37" s="2479" t="str">
        <f t="shared" si="235"/>
        <v/>
      </c>
      <c r="IX37" s="2479" t="str">
        <f t="shared" si="236"/>
        <v/>
      </c>
      <c r="IY37" s="2479" t="str">
        <f t="shared" si="237"/>
        <v/>
      </c>
      <c r="IZ37" s="2479" t="str">
        <f t="shared" si="238"/>
        <v/>
      </c>
      <c r="JA37" s="2479" t="str">
        <f t="shared" si="239"/>
        <v/>
      </c>
      <c r="JB37" s="2479" t="str">
        <f t="shared" si="240"/>
        <v/>
      </c>
      <c r="JC37" s="2479" t="str">
        <f t="shared" si="241"/>
        <v/>
      </c>
      <c r="JD37" s="2479" t="str">
        <f t="shared" si="242"/>
        <v/>
      </c>
      <c r="JE37" s="2479" t="str">
        <f t="shared" si="243"/>
        <v/>
      </c>
      <c r="JF37" s="2479" t="str">
        <f t="shared" si="244"/>
        <v/>
      </c>
      <c r="JG37" s="2479" t="str">
        <f t="shared" si="245"/>
        <v/>
      </c>
      <c r="JH37" s="2479" t="str">
        <f t="shared" si="246"/>
        <v/>
      </c>
      <c r="JI37" s="2479" t="str">
        <f t="shared" si="247"/>
        <v/>
      </c>
      <c r="JJ37" s="2479" t="str">
        <f t="shared" si="248"/>
        <v/>
      </c>
      <c r="JK37" s="2479" t="str">
        <f t="shared" si="249"/>
        <v/>
      </c>
      <c r="JL37" s="2479" t="str">
        <f t="shared" si="250"/>
        <v/>
      </c>
      <c r="JM37" s="2479" t="str">
        <f t="shared" si="251"/>
        <v/>
      </c>
      <c r="JN37" s="2479" t="str">
        <f t="shared" si="252"/>
        <v/>
      </c>
      <c r="JO37" s="2479" t="str">
        <f t="shared" si="253"/>
        <v/>
      </c>
      <c r="JP37" s="2479" t="str">
        <f t="shared" si="254"/>
        <v/>
      </c>
      <c r="JQ37" s="2479" t="str">
        <f t="shared" si="255"/>
        <v/>
      </c>
      <c r="JR37" s="2479" t="str">
        <f t="shared" si="256"/>
        <v/>
      </c>
      <c r="JS37" s="2479" t="str">
        <f t="shared" si="257"/>
        <v/>
      </c>
      <c r="JT37" s="2479" t="str">
        <f t="shared" si="258"/>
        <v/>
      </c>
      <c r="JU37" s="2479" t="str">
        <f t="shared" si="259"/>
        <v/>
      </c>
      <c r="JV37" s="2479" t="str">
        <f t="shared" si="260"/>
        <v/>
      </c>
      <c r="JW37" s="2479" t="str">
        <f t="shared" si="261"/>
        <v/>
      </c>
      <c r="JX37" s="2479" t="str">
        <f t="shared" si="262"/>
        <v/>
      </c>
      <c r="JY37" s="2479" t="str">
        <f t="shared" si="263"/>
        <v/>
      </c>
      <c r="JZ37" s="2479" t="str">
        <f t="shared" si="264"/>
        <v/>
      </c>
      <c r="KA37" s="2479" t="str">
        <f t="shared" si="265"/>
        <v/>
      </c>
      <c r="KB37" s="2479" t="str">
        <f t="shared" si="266"/>
        <v/>
      </c>
      <c r="KC37" s="2479" t="str">
        <f t="shared" si="267"/>
        <v/>
      </c>
      <c r="KD37" s="2479" t="str">
        <f t="shared" si="268"/>
        <v/>
      </c>
      <c r="KE37" s="2479" t="str">
        <f t="shared" si="269"/>
        <v/>
      </c>
      <c r="KF37" s="2479" t="str">
        <f t="shared" si="270"/>
        <v/>
      </c>
      <c r="KG37" s="2479" t="str">
        <f t="shared" si="271"/>
        <v/>
      </c>
      <c r="KH37" s="2479" t="str">
        <f t="shared" si="272"/>
        <v/>
      </c>
      <c r="KI37" s="2479" t="str">
        <f t="shared" si="273"/>
        <v/>
      </c>
      <c r="KJ37" s="2479" t="str">
        <f t="shared" si="274"/>
        <v/>
      </c>
      <c r="KK37" s="2479" t="str">
        <f t="shared" si="275"/>
        <v/>
      </c>
      <c r="KL37" s="2479" t="str">
        <f t="shared" si="276"/>
        <v/>
      </c>
      <c r="KM37" s="2479" t="str">
        <f t="shared" si="277"/>
        <v/>
      </c>
      <c r="KN37" s="2479" t="str">
        <f t="shared" si="278"/>
        <v/>
      </c>
      <c r="KO37" s="2479" t="str">
        <f t="shared" si="279"/>
        <v/>
      </c>
      <c r="KP37" s="2479" t="str">
        <f t="shared" si="280"/>
        <v/>
      </c>
      <c r="KQ37" s="2479" t="str">
        <f t="shared" si="281"/>
        <v/>
      </c>
      <c r="KR37" s="2479" t="str">
        <f t="shared" si="282"/>
        <v/>
      </c>
      <c r="KS37" s="2479" t="str">
        <f t="shared" si="283"/>
        <v/>
      </c>
      <c r="KT37" s="2479" t="str">
        <f t="shared" si="284"/>
        <v/>
      </c>
      <c r="KU37" s="2479" t="str">
        <f t="shared" si="285"/>
        <v/>
      </c>
      <c r="KV37" s="2479" t="str">
        <f t="shared" si="286"/>
        <v/>
      </c>
      <c r="KW37" s="2479" t="str">
        <f t="shared" si="287"/>
        <v/>
      </c>
      <c r="KX37" s="2479" t="str">
        <f t="shared" si="288"/>
        <v/>
      </c>
      <c r="KY37" s="2479" t="str">
        <f t="shared" si="289"/>
        <v/>
      </c>
      <c r="KZ37" s="2479" t="str">
        <f t="shared" si="290"/>
        <v/>
      </c>
      <c r="LA37" s="2479" t="str">
        <f t="shared" si="291"/>
        <v/>
      </c>
      <c r="LB37" s="2479" t="str">
        <f t="shared" si="292"/>
        <v/>
      </c>
      <c r="LC37" s="2479" t="str">
        <f t="shared" si="293"/>
        <v/>
      </c>
      <c r="LD37" s="2479" t="str">
        <f t="shared" si="294"/>
        <v/>
      </c>
      <c r="LE37" s="2479" t="str">
        <f t="shared" si="295"/>
        <v/>
      </c>
      <c r="LF37" s="2479" t="str">
        <f t="shared" si="296"/>
        <v/>
      </c>
      <c r="LG37" s="2479" t="str">
        <f t="shared" si="297"/>
        <v/>
      </c>
      <c r="LH37" s="2479" t="str">
        <f t="shared" si="298"/>
        <v/>
      </c>
      <c r="LI37" s="2479" t="str">
        <f t="shared" si="299"/>
        <v/>
      </c>
      <c r="LJ37" s="2479" t="str">
        <f t="shared" si="300"/>
        <v/>
      </c>
      <c r="LK37" s="2479" t="str">
        <f t="shared" si="301"/>
        <v/>
      </c>
      <c r="LL37" s="2479" t="str">
        <f t="shared" si="302"/>
        <v/>
      </c>
      <c r="LM37" s="2479" t="str">
        <f t="shared" si="303"/>
        <v/>
      </c>
      <c r="LN37" s="2479" t="str">
        <f t="shared" si="304"/>
        <v/>
      </c>
      <c r="LO37" s="2479" t="str">
        <f t="shared" si="305"/>
        <v/>
      </c>
      <c r="LP37" s="2479" t="str">
        <f t="shared" si="306"/>
        <v/>
      </c>
      <c r="LQ37" s="2480" t="str">
        <f t="shared" si="307"/>
        <v/>
      </c>
      <c r="LR37" s="2480" t="str">
        <f t="shared" si="308"/>
        <v/>
      </c>
      <c r="LS37" s="2480" t="str">
        <f t="shared" si="309"/>
        <v/>
      </c>
      <c r="LT37" s="2480" t="str">
        <f t="shared" si="310"/>
        <v/>
      </c>
      <c r="LU37" s="2480"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78">
        <f t="shared" si="338"/>
        <v>0</v>
      </c>
      <c r="MQ37" s="2478">
        <f t="shared" si="339"/>
        <v>0</v>
      </c>
      <c r="MR37" s="2478">
        <f t="shared" si="340"/>
        <v>0</v>
      </c>
      <c r="MS37" s="2478">
        <f t="shared" si="341"/>
        <v>0</v>
      </c>
      <c r="MT37" s="2478">
        <f t="shared" si="342"/>
        <v>0</v>
      </c>
      <c r="MU37" s="2478">
        <f t="shared" si="343"/>
        <v>0</v>
      </c>
      <c r="MV37" s="2478">
        <f t="shared" si="344"/>
        <v>0</v>
      </c>
      <c r="MW37" s="2478">
        <f t="shared" si="345"/>
        <v>0</v>
      </c>
      <c r="MX37" s="2478">
        <f t="shared" si="346"/>
        <v>0</v>
      </c>
      <c r="MY37" s="2478">
        <f t="shared" si="347"/>
        <v>0</v>
      </c>
      <c r="MZ37" s="2478">
        <f t="shared" si="332"/>
        <v>0</v>
      </c>
      <c r="NA37" s="2478">
        <f t="shared" si="333"/>
        <v>0</v>
      </c>
      <c r="NB37" s="2478">
        <f t="shared" si="334"/>
        <v>0</v>
      </c>
      <c r="NC37" s="2478">
        <f t="shared" si="335"/>
        <v>0</v>
      </c>
      <c r="ND37" s="2478">
        <f t="shared" si="336"/>
        <v>0</v>
      </c>
    </row>
    <row r="38" spans="1:369" ht="13.8" customHeight="1">
      <c r="A38" s="111" t="str">
        <f t="shared" si="337"/>
        <v/>
      </c>
      <c r="B38" s="1695"/>
      <c r="C38" s="171"/>
      <c r="D38" s="172"/>
      <c r="E38" s="173"/>
      <c r="F38" s="173"/>
      <c r="G38" s="173"/>
      <c r="H38" s="173"/>
      <c r="I38" s="173"/>
      <c r="J38" s="1092">
        <f>IF(C38="",0,HLOOKUP(C38,'Part V-Utility Allowances'!$I$11:$M$22,12))</f>
        <v>0</v>
      </c>
      <c r="K38" s="931"/>
      <c r="L38" s="667">
        <f t="shared" si="0"/>
        <v>0</v>
      </c>
      <c r="M38" s="667">
        <f t="shared" si="1"/>
        <v>0</v>
      </c>
      <c r="N38" s="1013"/>
      <c r="O38" s="1013"/>
      <c r="P38" s="1013"/>
      <c r="Q38" s="174"/>
      <c r="R38" s="1069"/>
      <c r="S38" s="1070"/>
      <c r="T38" s="3503"/>
      <c r="U38" s="3504"/>
      <c r="V38" s="3504"/>
      <c r="W38" s="3505"/>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79" t="str">
        <f t="shared" si="212"/>
        <v/>
      </c>
      <c r="IA38" s="2479" t="str">
        <f t="shared" si="213"/>
        <v/>
      </c>
      <c r="IB38" s="2479" t="str">
        <f t="shared" si="214"/>
        <v/>
      </c>
      <c r="IC38" s="2479" t="str">
        <f t="shared" si="215"/>
        <v/>
      </c>
      <c r="ID38" s="2479" t="str">
        <f t="shared" si="216"/>
        <v/>
      </c>
      <c r="IE38" s="2479" t="str">
        <f t="shared" si="217"/>
        <v/>
      </c>
      <c r="IF38" s="2479" t="str">
        <f t="shared" si="218"/>
        <v/>
      </c>
      <c r="IG38" s="2479" t="str">
        <f t="shared" si="219"/>
        <v/>
      </c>
      <c r="IH38" s="2479" t="str">
        <f t="shared" si="220"/>
        <v/>
      </c>
      <c r="II38" s="2479" t="str">
        <f t="shared" si="221"/>
        <v/>
      </c>
      <c r="IJ38" s="2479" t="str">
        <f t="shared" si="222"/>
        <v/>
      </c>
      <c r="IK38" s="2479" t="str">
        <f t="shared" si="223"/>
        <v/>
      </c>
      <c r="IL38" s="2479" t="str">
        <f t="shared" si="224"/>
        <v/>
      </c>
      <c r="IM38" s="2479" t="str">
        <f t="shared" si="225"/>
        <v/>
      </c>
      <c r="IN38" s="2479" t="str">
        <f t="shared" si="226"/>
        <v/>
      </c>
      <c r="IO38" s="2479" t="str">
        <f t="shared" si="227"/>
        <v/>
      </c>
      <c r="IP38" s="2479" t="str">
        <f t="shared" si="228"/>
        <v/>
      </c>
      <c r="IQ38" s="2479" t="str">
        <f t="shared" si="229"/>
        <v/>
      </c>
      <c r="IR38" s="2479" t="str">
        <f t="shared" si="230"/>
        <v/>
      </c>
      <c r="IS38" s="2479" t="str">
        <f t="shared" si="231"/>
        <v/>
      </c>
      <c r="IT38" s="2479" t="str">
        <f t="shared" si="232"/>
        <v/>
      </c>
      <c r="IU38" s="2479" t="str">
        <f t="shared" si="233"/>
        <v/>
      </c>
      <c r="IV38" s="2479" t="str">
        <f t="shared" si="234"/>
        <v/>
      </c>
      <c r="IW38" s="2479" t="str">
        <f t="shared" si="235"/>
        <v/>
      </c>
      <c r="IX38" s="2479" t="str">
        <f t="shared" si="236"/>
        <v/>
      </c>
      <c r="IY38" s="2479" t="str">
        <f t="shared" si="237"/>
        <v/>
      </c>
      <c r="IZ38" s="2479" t="str">
        <f t="shared" si="238"/>
        <v/>
      </c>
      <c r="JA38" s="2479" t="str">
        <f t="shared" si="239"/>
        <v/>
      </c>
      <c r="JB38" s="2479" t="str">
        <f t="shared" si="240"/>
        <v/>
      </c>
      <c r="JC38" s="2479" t="str">
        <f t="shared" si="241"/>
        <v/>
      </c>
      <c r="JD38" s="2479" t="str">
        <f t="shared" si="242"/>
        <v/>
      </c>
      <c r="JE38" s="2479" t="str">
        <f t="shared" si="243"/>
        <v/>
      </c>
      <c r="JF38" s="2479" t="str">
        <f t="shared" si="244"/>
        <v/>
      </c>
      <c r="JG38" s="2479" t="str">
        <f t="shared" si="245"/>
        <v/>
      </c>
      <c r="JH38" s="2479" t="str">
        <f t="shared" si="246"/>
        <v/>
      </c>
      <c r="JI38" s="2479" t="str">
        <f t="shared" si="247"/>
        <v/>
      </c>
      <c r="JJ38" s="2479" t="str">
        <f t="shared" si="248"/>
        <v/>
      </c>
      <c r="JK38" s="2479" t="str">
        <f t="shared" si="249"/>
        <v/>
      </c>
      <c r="JL38" s="2479" t="str">
        <f t="shared" si="250"/>
        <v/>
      </c>
      <c r="JM38" s="2479" t="str">
        <f t="shared" si="251"/>
        <v/>
      </c>
      <c r="JN38" s="2479" t="str">
        <f t="shared" si="252"/>
        <v/>
      </c>
      <c r="JO38" s="2479" t="str">
        <f t="shared" si="253"/>
        <v/>
      </c>
      <c r="JP38" s="2479" t="str">
        <f t="shared" si="254"/>
        <v/>
      </c>
      <c r="JQ38" s="2479" t="str">
        <f t="shared" si="255"/>
        <v/>
      </c>
      <c r="JR38" s="2479" t="str">
        <f t="shared" si="256"/>
        <v/>
      </c>
      <c r="JS38" s="2479" t="str">
        <f t="shared" si="257"/>
        <v/>
      </c>
      <c r="JT38" s="2479" t="str">
        <f t="shared" si="258"/>
        <v/>
      </c>
      <c r="JU38" s="2479" t="str">
        <f t="shared" si="259"/>
        <v/>
      </c>
      <c r="JV38" s="2479" t="str">
        <f t="shared" si="260"/>
        <v/>
      </c>
      <c r="JW38" s="2479" t="str">
        <f t="shared" si="261"/>
        <v/>
      </c>
      <c r="JX38" s="2479" t="str">
        <f t="shared" si="262"/>
        <v/>
      </c>
      <c r="JY38" s="2479" t="str">
        <f t="shared" si="263"/>
        <v/>
      </c>
      <c r="JZ38" s="2479" t="str">
        <f t="shared" si="264"/>
        <v/>
      </c>
      <c r="KA38" s="2479" t="str">
        <f t="shared" si="265"/>
        <v/>
      </c>
      <c r="KB38" s="2479" t="str">
        <f t="shared" si="266"/>
        <v/>
      </c>
      <c r="KC38" s="2479" t="str">
        <f t="shared" si="267"/>
        <v/>
      </c>
      <c r="KD38" s="2479" t="str">
        <f t="shared" si="268"/>
        <v/>
      </c>
      <c r="KE38" s="2479" t="str">
        <f t="shared" si="269"/>
        <v/>
      </c>
      <c r="KF38" s="2479" t="str">
        <f t="shared" si="270"/>
        <v/>
      </c>
      <c r="KG38" s="2479" t="str">
        <f t="shared" si="271"/>
        <v/>
      </c>
      <c r="KH38" s="2479" t="str">
        <f t="shared" si="272"/>
        <v/>
      </c>
      <c r="KI38" s="2479" t="str">
        <f t="shared" si="273"/>
        <v/>
      </c>
      <c r="KJ38" s="2479" t="str">
        <f t="shared" si="274"/>
        <v/>
      </c>
      <c r="KK38" s="2479" t="str">
        <f t="shared" si="275"/>
        <v/>
      </c>
      <c r="KL38" s="2479" t="str">
        <f t="shared" si="276"/>
        <v/>
      </c>
      <c r="KM38" s="2479" t="str">
        <f t="shared" si="277"/>
        <v/>
      </c>
      <c r="KN38" s="2479" t="str">
        <f t="shared" si="278"/>
        <v/>
      </c>
      <c r="KO38" s="2479" t="str">
        <f t="shared" si="279"/>
        <v/>
      </c>
      <c r="KP38" s="2479" t="str">
        <f t="shared" si="280"/>
        <v/>
      </c>
      <c r="KQ38" s="2479" t="str">
        <f t="shared" si="281"/>
        <v/>
      </c>
      <c r="KR38" s="2479" t="str">
        <f t="shared" si="282"/>
        <v/>
      </c>
      <c r="KS38" s="2479" t="str">
        <f t="shared" si="283"/>
        <v/>
      </c>
      <c r="KT38" s="2479" t="str">
        <f t="shared" si="284"/>
        <v/>
      </c>
      <c r="KU38" s="2479" t="str">
        <f t="shared" si="285"/>
        <v/>
      </c>
      <c r="KV38" s="2479" t="str">
        <f t="shared" si="286"/>
        <v/>
      </c>
      <c r="KW38" s="2479" t="str">
        <f t="shared" si="287"/>
        <v/>
      </c>
      <c r="KX38" s="2479" t="str">
        <f t="shared" si="288"/>
        <v/>
      </c>
      <c r="KY38" s="2479" t="str">
        <f t="shared" si="289"/>
        <v/>
      </c>
      <c r="KZ38" s="2479" t="str">
        <f t="shared" si="290"/>
        <v/>
      </c>
      <c r="LA38" s="2479" t="str">
        <f t="shared" si="291"/>
        <v/>
      </c>
      <c r="LB38" s="2479" t="str">
        <f t="shared" si="292"/>
        <v/>
      </c>
      <c r="LC38" s="2479" t="str">
        <f t="shared" si="293"/>
        <v/>
      </c>
      <c r="LD38" s="2479" t="str">
        <f t="shared" si="294"/>
        <v/>
      </c>
      <c r="LE38" s="2479" t="str">
        <f t="shared" si="295"/>
        <v/>
      </c>
      <c r="LF38" s="2479" t="str">
        <f t="shared" si="296"/>
        <v/>
      </c>
      <c r="LG38" s="2479" t="str">
        <f t="shared" si="297"/>
        <v/>
      </c>
      <c r="LH38" s="2479" t="str">
        <f t="shared" si="298"/>
        <v/>
      </c>
      <c r="LI38" s="2479" t="str">
        <f t="shared" si="299"/>
        <v/>
      </c>
      <c r="LJ38" s="2479" t="str">
        <f t="shared" si="300"/>
        <v/>
      </c>
      <c r="LK38" s="2479" t="str">
        <f t="shared" si="301"/>
        <v/>
      </c>
      <c r="LL38" s="2479" t="str">
        <f t="shared" si="302"/>
        <v/>
      </c>
      <c r="LM38" s="2479" t="str">
        <f t="shared" si="303"/>
        <v/>
      </c>
      <c r="LN38" s="2479" t="str">
        <f t="shared" si="304"/>
        <v/>
      </c>
      <c r="LO38" s="2479" t="str">
        <f t="shared" si="305"/>
        <v/>
      </c>
      <c r="LP38" s="2479" t="str">
        <f t="shared" si="306"/>
        <v/>
      </c>
      <c r="LQ38" s="2480" t="str">
        <f t="shared" si="307"/>
        <v/>
      </c>
      <c r="LR38" s="2480" t="str">
        <f t="shared" si="308"/>
        <v/>
      </c>
      <c r="LS38" s="2480" t="str">
        <f t="shared" si="309"/>
        <v/>
      </c>
      <c r="LT38" s="2480" t="str">
        <f t="shared" si="310"/>
        <v/>
      </c>
      <c r="LU38" s="2480"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78">
        <f t="shared" si="338"/>
        <v>0</v>
      </c>
      <c r="MQ38" s="2478">
        <f t="shared" si="339"/>
        <v>0</v>
      </c>
      <c r="MR38" s="2478">
        <f t="shared" si="340"/>
        <v>0</v>
      </c>
      <c r="MS38" s="2478">
        <f t="shared" si="341"/>
        <v>0</v>
      </c>
      <c r="MT38" s="2478">
        <f t="shared" si="342"/>
        <v>0</v>
      </c>
      <c r="MU38" s="2478">
        <f t="shared" si="343"/>
        <v>0</v>
      </c>
      <c r="MV38" s="2478">
        <f t="shared" si="344"/>
        <v>0</v>
      </c>
      <c r="MW38" s="2478">
        <f t="shared" si="345"/>
        <v>0</v>
      </c>
      <c r="MX38" s="2478">
        <f t="shared" si="346"/>
        <v>0</v>
      </c>
      <c r="MY38" s="2478">
        <f t="shared" si="347"/>
        <v>0</v>
      </c>
      <c r="MZ38" s="2478">
        <f t="shared" si="332"/>
        <v>0</v>
      </c>
      <c r="NA38" s="2478">
        <f t="shared" si="333"/>
        <v>0</v>
      </c>
      <c r="NB38" s="2478">
        <f t="shared" si="334"/>
        <v>0</v>
      </c>
      <c r="NC38" s="2478">
        <f t="shared" si="335"/>
        <v>0</v>
      </c>
      <c r="ND38" s="2478">
        <f t="shared" si="336"/>
        <v>0</v>
      </c>
    </row>
    <row r="39" spans="1:369" ht="13.8" customHeight="1">
      <c r="A39" s="111" t="str">
        <f t="shared" si="337"/>
        <v/>
      </c>
      <c r="B39" s="1695"/>
      <c r="C39" s="171"/>
      <c r="D39" s="172"/>
      <c r="E39" s="173"/>
      <c r="F39" s="173"/>
      <c r="G39" s="173"/>
      <c r="H39" s="173"/>
      <c r="I39" s="173"/>
      <c r="J39" s="1092">
        <f>IF(C39="",0,HLOOKUP(C39,'Part V-Utility Allowances'!$I$11:$M$22,12))</f>
        <v>0</v>
      </c>
      <c r="K39" s="931"/>
      <c r="L39" s="667">
        <f t="shared" si="0"/>
        <v>0</v>
      </c>
      <c r="M39" s="667">
        <f t="shared" si="1"/>
        <v>0</v>
      </c>
      <c r="N39" s="1013"/>
      <c r="O39" s="1013"/>
      <c r="P39" s="1013"/>
      <c r="Q39" s="174"/>
      <c r="R39" s="1069"/>
      <c r="S39" s="1070"/>
      <c r="T39" s="3503"/>
      <c r="U39" s="3504"/>
      <c r="V39" s="3504"/>
      <c r="W39" s="3505"/>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79" t="str">
        <f t="shared" si="212"/>
        <v/>
      </c>
      <c r="IA39" s="2479" t="str">
        <f t="shared" si="213"/>
        <v/>
      </c>
      <c r="IB39" s="2479" t="str">
        <f t="shared" si="214"/>
        <v/>
      </c>
      <c r="IC39" s="2479" t="str">
        <f t="shared" si="215"/>
        <v/>
      </c>
      <c r="ID39" s="2479" t="str">
        <f t="shared" si="216"/>
        <v/>
      </c>
      <c r="IE39" s="2479" t="str">
        <f t="shared" si="217"/>
        <v/>
      </c>
      <c r="IF39" s="2479" t="str">
        <f t="shared" si="218"/>
        <v/>
      </c>
      <c r="IG39" s="2479" t="str">
        <f t="shared" si="219"/>
        <v/>
      </c>
      <c r="IH39" s="2479" t="str">
        <f t="shared" si="220"/>
        <v/>
      </c>
      <c r="II39" s="2479" t="str">
        <f t="shared" si="221"/>
        <v/>
      </c>
      <c r="IJ39" s="2479" t="str">
        <f t="shared" si="222"/>
        <v/>
      </c>
      <c r="IK39" s="2479" t="str">
        <f t="shared" si="223"/>
        <v/>
      </c>
      <c r="IL39" s="2479" t="str">
        <f t="shared" si="224"/>
        <v/>
      </c>
      <c r="IM39" s="2479" t="str">
        <f t="shared" si="225"/>
        <v/>
      </c>
      <c r="IN39" s="2479" t="str">
        <f t="shared" si="226"/>
        <v/>
      </c>
      <c r="IO39" s="2479" t="str">
        <f t="shared" si="227"/>
        <v/>
      </c>
      <c r="IP39" s="2479" t="str">
        <f t="shared" si="228"/>
        <v/>
      </c>
      <c r="IQ39" s="2479" t="str">
        <f t="shared" si="229"/>
        <v/>
      </c>
      <c r="IR39" s="2479" t="str">
        <f t="shared" si="230"/>
        <v/>
      </c>
      <c r="IS39" s="2479" t="str">
        <f t="shared" si="231"/>
        <v/>
      </c>
      <c r="IT39" s="2479" t="str">
        <f t="shared" si="232"/>
        <v/>
      </c>
      <c r="IU39" s="2479" t="str">
        <f t="shared" si="233"/>
        <v/>
      </c>
      <c r="IV39" s="2479" t="str">
        <f t="shared" si="234"/>
        <v/>
      </c>
      <c r="IW39" s="2479" t="str">
        <f t="shared" si="235"/>
        <v/>
      </c>
      <c r="IX39" s="2479" t="str">
        <f t="shared" si="236"/>
        <v/>
      </c>
      <c r="IY39" s="2479" t="str">
        <f t="shared" si="237"/>
        <v/>
      </c>
      <c r="IZ39" s="2479" t="str">
        <f t="shared" si="238"/>
        <v/>
      </c>
      <c r="JA39" s="2479" t="str">
        <f t="shared" si="239"/>
        <v/>
      </c>
      <c r="JB39" s="2479" t="str">
        <f t="shared" si="240"/>
        <v/>
      </c>
      <c r="JC39" s="2479" t="str">
        <f t="shared" si="241"/>
        <v/>
      </c>
      <c r="JD39" s="2479" t="str">
        <f t="shared" si="242"/>
        <v/>
      </c>
      <c r="JE39" s="2479" t="str">
        <f t="shared" si="243"/>
        <v/>
      </c>
      <c r="JF39" s="2479" t="str">
        <f t="shared" si="244"/>
        <v/>
      </c>
      <c r="JG39" s="2479" t="str">
        <f t="shared" si="245"/>
        <v/>
      </c>
      <c r="JH39" s="2479" t="str">
        <f t="shared" si="246"/>
        <v/>
      </c>
      <c r="JI39" s="2479" t="str">
        <f t="shared" si="247"/>
        <v/>
      </c>
      <c r="JJ39" s="2479" t="str">
        <f t="shared" si="248"/>
        <v/>
      </c>
      <c r="JK39" s="2479" t="str">
        <f t="shared" si="249"/>
        <v/>
      </c>
      <c r="JL39" s="2479" t="str">
        <f t="shared" si="250"/>
        <v/>
      </c>
      <c r="JM39" s="2479" t="str">
        <f t="shared" si="251"/>
        <v/>
      </c>
      <c r="JN39" s="2479" t="str">
        <f t="shared" si="252"/>
        <v/>
      </c>
      <c r="JO39" s="2479" t="str">
        <f t="shared" si="253"/>
        <v/>
      </c>
      <c r="JP39" s="2479" t="str">
        <f t="shared" si="254"/>
        <v/>
      </c>
      <c r="JQ39" s="2479" t="str">
        <f t="shared" si="255"/>
        <v/>
      </c>
      <c r="JR39" s="2479" t="str">
        <f t="shared" si="256"/>
        <v/>
      </c>
      <c r="JS39" s="2479" t="str">
        <f t="shared" si="257"/>
        <v/>
      </c>
      <c r="JT39" s="2479" t="str">
        <f t="shared" si="258"/>
        <v/>
      </c>
      <c r="JU39" s="2479" t="str">
        <f t="shared" si="259"/>
        <v/>
      </c>
      <c r="JV39" s="2479" t="str">
        <f t="shared" si="260"/>
        <v/>
      </c>
      <c r="JW39" s="2479" t="str">
        <f t="shared" si="261"/>
        <v/>
      </c>
      <c r="JX39" s="2479" t="str">
        <f t="shared" si="262"/>
        <v/>
      </c>
      <c r="JY39" s="2479" t="str">
        <f t="shared" si="263"/>
        <v/>
      </c>
      <c r="JZ39" s="2479" t="str">
        <f t="shared" si="264"/>
        <v/>
      </c>
      <c r="KA39" s="2479" t="str">
        <f t="shared" si="265"/>
        <v/>
      </c>
      <c r="KB39" s="2479" t="str">
        <f t="shared" si="266"/>
        <v/>
      </c>
      <c r="KC39" s="2479" t="str">
        <f t="shared" si="267"/>
        <v/>
      </c>
      <c r="KD39" s="2479" t="str">
        <f t="shared" si="268"/>
        <v/>
      </c>
      <c r="KE39" s="2479" t="str">
        <f t="shared" si="269"/>
        <v/>
      </c>
      <c r="KF39" s="2479" t="str">
        <f t="shared" si="270"/>
        <v/>
      </c>
      <c r="KG39" s="2479" t="str">
        <f t="shared" si="271"/>
        <v/>
      </c>
      <c r="KH39" s="2479" t="str">
        <f t="shared" si="272"/>
        <v/>
      </c>
      <c r="KI39" s="2479" t="str">
        <f t="shared" si="273"/>
        <v/>
      </c>
      <c r="KJ39" s="2479" t="str">
        <f t="shared" si="274"/>
        <v/>
      </c>
      <c r="KK39" s="2479" t="str">
        <f t="shared" si="275"/>
        <v/>
      </c>
      <c r="KL39" s="2479" t="str">
        <f t="shared" si="276"/>
        <v/>
      </c>
      <c r="KM39" s="2479" t="str">
        <f t="shared" si="277"/>
        <v/>
      </c>
      <c r="KN39" s="2479" t="str">
        <f t="shared" si="278"/>
        <v/>
      </c>
      <c r="KO39" s="2479" t="str">
        <f t="shared" si="279"/>
        <v/>
      </c>
      <c r="KP39" s="2479" t="str">
        <f t="shared" si="280"/>
        <v/>
      </c>
      <c r="KQ39" s="2479" t="str">
        <f t="shared" si="281"/>
        <v/>
      </c>
      <c r="KR39" s="2479" t="str">
        <f t="shared" si="282"/>
        <v/>
      </c>
      <c r="KS39" s="2479" t="str">
        <f t="shared" si="283"/>
        <v/>
      </c>
      <c r="KT39" s="2479" t="str">
        <f t="shared" si="284"/>
        <v/>
      </c>
      <c r="KU39" s="2479" t="str">
        <f t="shared" si="285"/>
        <v/>
      </c>
      <c r="KV39" s="2479" t="str">
        <f t="shared" si="286"/>
        <v/>
      </c>
      <c r="KW39" s="2479" t="str">
        <f t="shared" si="287"/>
        <v/>
      </c>
      <c r="KX39" s="2479" t="str">
        <f t="shared" si="288"/>
        <v/>
      </c>
      <c r="KY39" s="2479" t="str">
        <f t="shared" si="289"/>
        <v/>
      </c>
      <c r="KZ39" s="2479" t="str">
        <f t="shared" si="290"/>
        <v/>
      </c>
      <c r="LA39" s="2479" t="str">
        <f t="shared" si="291"/>
        <v/>
      </c>
      <c r="LB39" s="2479" t="str">
        <f t="shared" si="292"/>
        <v/>
      </c>
      <c r="LC39" s="2479" t="str">
        <f t="shared" si="293"/>
        <v/>
      </c>
      <c r="LD39" s="2479" t="str">
        <f t="shared" si="294"/>
        <v/>
      </c>
      <c r="LE39" s="2479" t="str">
        <f t="shared" si="295"/>
        <v/>
      </c>
      <c r="LF39" s="2479" t="str">
        <f t="shared" si="296"/>
        <v/>
      </c>
      <c r="LG39" s="2479" t="str">
        <f t="shared" si="297"/>
        <v/>
      </c>
      <c r="LH39" s="2479" t="str">
        <f t="shared" si="298"/>
        <v/>
      </c>
      <c r="LI39" s="2479" t="str">
        <f t="shared" si="299"/>
        <v/>
      </c>
      <c r="LJ39" s="2479" t="str">
        <f t="shared" si="300"/>
        <v/>
      </c>
      <c r="LK39" s="2479" t="str">
        <f t="shared" si="301"/>
        <v/>
      </c>
      <c r="LL39" s="2479" t="str">
        <f t="shared" si="302"/>
        <v/>
      </c>
      <c r="LM39" s="2479" t="str">
        <f t="shared" si="303"/>
        <v/>
      </c>
      <c r="LN39" s="2479" t="str">
        <f t="shared" si="304"/>
        <v/>
      </c>
      <c r="LO39" s="2479" t="str">
        <f t="shared" si="305"/>
        <v/>
      </c>
      <c r="LP39" s="2479" t="str">
        <f t="shared" si="306"/>
        <v/>
      </c>
      <c r="LQ39" s="2480" t="str">
        <f t="shared" si="307"/>
        <v/>
      </c>
      <c r="LR39" s="2480" t="str">
        <f t="shared" si="308"/>
        <v/>
      </c>
      <c r="LS39" s="2480" t="str">
        <f t="shared" si="309"/>
        <v/>
      </c>
      <c r="LT39" s="2480" t="str">
        <f t="shared" si="310"/>
        <v/>
      </c>
      <c r="LU39" s="2480"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78">
        <f t="shared" si="338"/>
        <v>0</v>
      </c>
      <c r="MQ39" s="2478">
        <f t="shared" si="339"/>
        <v>0</v>
      </c>
      <c r="MR39" s="2478">
        <f t="shared" si="340"/>
        <v>0</v>
      </c>
      <c r="MS39" s="2478">
        <f t="shared" si="341"/>
        <v>0</v>
      </c>
      <c r="MT39" s="2478">
        <f t="shared" si="342"/>
        <v>0</v>
      </c>
      <c r="MU39" s="2478">
        <f t="shared" si="343"/>
        <v>0</v>
      </c>
      <c r="MV39" s="2478">
        <f t="shared" si="344"/>
        <v>0</v>
      </c>
      <c r="MW39" s="2478">
        <f t="shared" si="345"/>
        <v>0</v>
      </c>
      <c r="MX39" s="2478">
        <f t="shared" si="346"/>
        <v>0</v>
      </c>
      <c r="MY39" s="2478">
        <f t="shared" si="347"/>
        <v>0</v>
      </c>
      <c r="MZ39" s="2478">
        <f t="shared" si="332"/>
        <v>0</v>
      </c>
      <c r="NA39" s="2478">
        <f t="shared" si="333"/>
        <v>0</v>
      </c>
      <c r="NB39" s="2478">
        <f t="shared" si="334"/>
        <v>0</v>
      </c>
      <c r="NC39" s="2478">
        <f t="shared" si="335"/>
        <v>0</v>
      </c>
      <c r="ND39" s="2478">
        <f t="shared" si="336"/>
        <v>0</v>
      </c>
    </row>
    <row r="40" spans="1:369" ht="13.8" customHeight="1">
      <c r="A40" s="111" t="str">
        <f t="shared" si="337"/>
        <v/>
      </c>
      <c r="B40" s="1695"/>
      <c r="C40" s="171"/>
      <c r="D40" s="172"/>
      <c r="E40" s="173"/>
      <c r="F40" s="173"/>
      <c r="G40" s="173"/>
      <c r="H40" s="173"/>
      <c r="I40" s="173"/>
      <c r="J40" s="1092">
        <f>IF(C40="",0,HLOOKUP(C40,'Part V-Utility Allowances'!$I$11:$M$22,12))</f>
        <v>0</v>
      </c>
      <c r="K40" s="931"/>
      <c r="L40" s="667">
        <f t="shared" si="0"/>
        <v>0</v>
      </c>
      <c r="M40" s="667">
        <f t="shared" si="1"/>
        <v>0</v>
      </c>
      <c r="N40" s="1013"/>
      <c r="O40" s="1013"/>
      <c r="P40" s="1013"/>
      <c r="Q40" s="174"/>
      <c r="R40" s="1069"/>
      <c r="S40" s="1070"/>
      <c r="T40" s="3503"/>
      <c r="U40" s="3504"/>
      <c r="V40" s="3504"/>
      <c r="W40" s="3505"/>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79" t="str">
        <f t="shared" si="212"/>
        <v/>
      </c>
      <c r="IA40" s="2479" t="str">
        <f t="shared" si="213"/>
        <v/>
      </c>
      <c r="IB40" s="2479" t="str">
        <f t="shared" si="214"/>
        <v/>
      </c>
      <c r="IC40" s="2479" t="str">
        <f t="shared" si="215"/>
        <v/>
      </c>
      <c r="ID40" s="2479" t="str">
        <f t="shared" si="216"/>
        <v/>
      </c>
      <c r="IE40" s="2479" t="str">
        <f t="shared" si="217"/>
        <v/>
      </c>
      <c r="IF40" s="2479" t="str">
        <f t="shared" si="218"/>
        <v/>
      </c>
      <c r="IG40" s="2479" t="str">
        <f t="shared" si="219"/>
        <v/>
      </c>
      <c r="IH40" s="2479" t="str">
        <f t="shared" si="220"/>
        <v/>
      </c>
      <c r="II40" s="2479" t="str">
        <f t="shared" si="221"/>
        <v/>
      </c>
      <c r="IJ40" s="2479" t="str">
        <f t="shared" si="222"/>
        <v/>
      </c>
      <c r="IK40" s="2479" t="str">
        <f t="shared" si="223"/>
        <v/>
      </c>
      <c r="IL40" s="2479" t="str">
        <f t="shared" si="224"/>
        <v/>
      </c>
      <c r="IM40" s="2479" t="str">
        <f t="shared" si="225"/>
        <v/>
      </c>
      <c r="IN40" s="2479" t="str">
        <f t="shared" si="226"/>
        <v/>
      </c>
      <c r="IO40" s="2479" t="str">
        <f t="shared" si="227"/>
        <v/>
      </c>
      <c r="IP40" s="2479" t="str">
        <f t="shared" si="228"/>
        <v/>
      </c>
      <c r="IQ40" s="2479" t="str">
        <f t="shared" si="229"/>
        <v/>
      </c>
      <c r="IR40" s="2479" t="str">
        <f t="shared" si="230"/>
        <v/>
      </c>
      <c r="IS40" s="2479" t="str">
        <f t="shared" si="231"/>
        <v/>
      </c>
      <c r="IT40" s="2479" t="str">
        <f t="shared" si="232"/>
        <v/>
      </c>
      <c r="IU40" s="2479" t="str">
        <f t="shared" si="233"/>
        <v/>
      </c>
      <c r="IV40" s="2479" t="str">
        <f t="shared" si="234"/>
        <v/>
      </c>
      <c r="IW40" s="2479" t="str">
        <f t="shared" si="235"/>
        <v/>
      </c>
      <c r="IX40" s="2479" t="str">
        <f t="shared" si="236"/>
        <v/>
      </c>
      <c r="IY40" s="2479" t="str">
        <f t="shared" si="237"/>
        <v/>
      </c>
      <c r="IZ40" s="2479" t="str">
        <f t="shared" si="238"/>
        <v/>
      </c>
      <c r="JA40" s="2479" t="str">
        <f t="shared" si="239"/>
        <v/>
      </c>
      <c r="JB40" s="2479" t="str">
        <f t="shared" si="240"/>
        <v/>
      </c>
      <c r="JC40" s="2479" t="str">
        <f t="shared" si="241"/>
        <v/>
      </c>
      <c r="JD40" s="2479" t="str">
        <f t="shared" si="242"/>
        <v/>
      </c>
      <c r="JE40" s="2479" t="str">
        <f t="shared" si="243"/>
        <v/>
      </c>
      <c r="JF40" s="2479" t="str">
        <f t="shared" si="244"/>
        <v/>
      </c>
      <c r="JG40" s="2479" t="str">
        <f t="shared" si="245"/>
        <v/>
      </c>
      <c r="JH40" s="2479" t="str">
        <f t="shared" si="246"/>
        <v/>
      </c>
      <c r="JI40" s="2479" t="str">
        <f t="shared" si="247"/>
        <v/>
      </c>
      <c r="JJ40" s="2479" t="str">
        <f t="shared" si="248"/>
        <v/>
      </c>
      <c r="JK40" s="2479" t="str">
        <f t="shared" si="249"/>
        <v/>
      </c>
      <c r="JL40" s="2479" t="str">
        <f t="shared" si="250"/>
        <v/>
      </c>
      <c r="JM40" s="2479" t="str">
        <f t="shared" si="251"/>
        <v/>
      </c>
      <c r="JN40" s="2479" t="str">
        <f t="shared" si="252"/>
        <v/>
      </c>
      <c r="JO40" s="2479" t="str">
        <f t="shared" si="253"/>
        <v/>
      </c>
      <c r="JP40" s="2479" t="str">
        <f t="shared" si="254"/>
        <v/>
      </c>
      <c r="JQ40" s="2479" t="str">
        <f t="shared" si="255"/>
        <v/>
      </c>
      <c r="JR40" s="2479" t="str">
        <f t="shared" si="256"/>
        <v/>
      </c>
      <c r="JS40" s="2479" t="str">
        <f t="shared" si="257"/>
        <v/>
      </c>
      <c r="JT40" s="2479" t="str">
        <f t="shared" si="258"/>
        <v/>
      </c>
      <c r="JU40" s="2479" t="str">
        <f t="shared" si="259"/>
        <v/>
      </c>
      <c r="JV40" s="2479" t="str">
        <f t="shared" si="260"/>
        <v/>
      </c>
      <c r="JW40" s="2479" t="str">
        <f t="shared" si="261"/>
        <v/>
      </c>
      <c r="JX40" s="2479" t="str">
        <f t="shared" si="262"/>
        <v/>
      </c>
      <c r="JY40" s="2479" t="str">
        <f t="shared" si="263"/>
        <v/>
      </c>
      <c r="JZ40" s="2479" t="str">
        <f t="shared" si="264"/>
        <v/>
      </c>
      <c r="KA40" s="2479" t="str">
        <f t="shared" si="265"/>
        <v/>
      </c>
      <c r="KB40" s="2479" t="str">
        <f t="shared" si="266"/>
        <v/>
      </c>
      <c r="KC40" s="2479" t="str">
        <f t="shared" si="267"/>
        <v/>
      </c>
      <c r="KD40" s="2479" t="str">
        <f t="shared" si="268"/>
        <v/>
      </c>
      <c r="KE40" s="2479" t="str">
        <f t="shared" si="269"/>
        <v/>
      </c>
      <c r="KF40" s="2479" t="str">
        <f t="shared" si="270"/>
        <v/>
      </c>
      <c r="KG40" s="2479" t="str">
        <f t="shared" si="271"/>
        <v/>
      </c>
      <c r="KH40" s="2479" t="str">
        <f t="shared" si="272"/>
        <v/>
      </c>
      <c r="KI40" s="2479" t="str">
        <f t="shared" si="273"/>
        <v/>
      </c>
      <c r="KJ40" s="2479" t="str">
        <f t="shared" si="274"/>
        <v/>
      </c>
      <c r="KK40" s="2479" t="str">
        <f t="shared" si="275"/>
        <v/>
      </c>
      <c r="KL40" s="2479" t="str">
        <f t="shared" si="276"/>
        <v/>
      </c>
      <c r="KM40" s="2479" t="str">
        <f t="shared" si="277"/>
        <v/>
      </c>
      <c r="KN40" s="2479" t="str">
        <f t="shared" si="278"/>
        <v/>
      </c>
      <c r="KO40" s="2479" t="str">
        <f t="shared" si="279"/>
        <v/>
      </c>
      <c r="KP40" s="2479" t="str">
        <f t="shared" si="280"/>
        <v/>
      </c>
      <c r="KQ40" s="2479" t="str">
        <f t="shared" si="281"/>
        <v/>
      </c>
      <c r="KR40" s="2479" t="str">
        <f t="shared" si="282"/>
        <v/>
      </c>
      <c r="KS40" s="2479" t="str">
        <f t="shared" si="283"/>
        <v/>
      </c>
      <c r="KT40" s="2479" t="str">
        <f t="shared" si="284"/>
        <v/>
      </c>
      <c r="KU40" s="2479" t="str">
        <f t="shared" si="285"/>
        <v/>
      </c>
      <c r="KV40" s="2479" t="str">
        <f t="shared" si="286"/>
        <v/>
      </c>
      <c r="KW40" s="2479" t="str">
        <f t="shared" si="287"/>
        <v/>
      </c>
      <c r="KX40" s="2479" t="str">
        <f t="shared" si="288"/>
        <v/>
      </c>
      <c r="KY40" s="2479" t="str">
        <f t="shared" si="289"/>
        <v/>
      </c>
      <c r="KZ40" s="2479" t="str">
        <f t="shared" si="290"/>
        <v/>
      </c>
      <c r="LA40" s="2479" t="str">
        <f t="shared" si="291"/>
        <v/>
      </c>
      <c r="LB40" s="2479" t="str">
        <f t="shared" si="292"/>
        <v/>
      </c>
      <c r="LC40" s="2479" t="str">
        <f t="shared" si="293"/>
        <v/>
      </c>
      <c r="LD40" s="2479" t="str">
        <f t="shared" si="294"/>
        <v/>
      </c>
      <c r="LE40" s="2479" t="str">
        <f t="shared" si="295"/>
        <v/>
      </c>
      <c r="LF40" s="2479" t="str">
        <f t="shared" si="296"/>
        <v/>
      </c>
      <c r="LG40" s="2479" t="str">
        <f t="shared" si="297"/>
        <v/>
      </c>
      <c r="LH40" s="2479" t="str">
        <f t="shared" si="298"/>
        <v/>
      </c>
      <c r="LI40" s="2479" t="str">
        <f t="shared" si="299"/>
        <v/>
      </c>
      <c r="LJ40" s="2479" t="str">
        <f t="shared" si="300"/>
        <v/>
      </c>
      <c r="LK40" s="2479" t="str">
        <f t="shared" si="301"/>
        <v/>
      </c>
      <c r="LL40" s="2479" t="str">
        <f t="shared" si="302"/>
        <v/>
      </c>
      <c r="LM40" s="2479" t="str">
        <f t="shared" si="303"/>
        <v/>
      </c>
      <c r="LN40" s="2479" t="str">
        <f t="shared" si="304"/>
        <v/>
      </c>
      <c r="LO40" s="2479" t="str">
        <f t="shared" si="305"/>
        <v/>
      </c>
      <c r="LP40" s="2479" t="str">
        <f t="shared" si="306"/>
        <v/>
      </c>
      <c r="LQ40" s="2480" t="str">
        <f t="shared" si="307"/>
        <v/>
      </c>
      <c r="LR40" s="2480" t="str">
        <f t="shared" si="308"/>
        <v/>
      </c>
      <c r="LS40" s="2480" t="str">
        <f t="shared" si="309"/>
        <v/>
      </c>
      <c r="LT40" s="2480" t="str">
        <f t="shared" si="310"/>
        <v/>
      </c>
      <c r="LU40" s="2480"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78">
        <f t="shared" si="338"/>
        <v>0</v>
      </c>
      <c r="MQ40" s="2478">
        <f t="shared" si="339"/>
        <v>0</v>
      </c>
      <c r="MR40" s="2478">
        <f t="shared" si="340"/>
        <v>0</v>
      </c>
      <c r="MS40" s="2478">
        <f t="shared" si="341"/>
        <v>0</v>
      </c>
      <c r="MT40" s="2478">
        <f t="shared" si="342"/>
        <v>0</v>
      </c>
      <c r="MU40" s="2478">
        <f t="shared" si="343"/>
        <v>0</v>
      </c>
      <c r="MV40" s="2478">
        <f t="shared" si="344"/>
        <v>0</v>
      </c>
      <c r="MW40" s="2478">
        <f t="shared" si="345"/>
        <v>0</v>
      </c>
      <c r="MX40" s="2478">
        <f t="shared" si="346"/>
        <v>0</v>
      </c>
      <c r="MY40" s="2478">
        <f t="shared" si="347"/>
        <v>0</v>
      </c>
      <c r="MZ40" s="2478">
        <f t="shared" si="332"/>
        <v>0</v>
      </c>
      <c r="NA40" s="2478">
        <f t="shared" si="333"/>
        <v>0</v>
      </c>
      <c r="NB40" s="2478">
        <f t="shared" si="334"/>
        <v>0</v>
      </c>
      <c r="NC40" s="2478">
        <f t="shared" si="335"/>
        <v>0</v>
      </c>
      <c r="ND40" s="2478">
        <f t="shared" si="336"/>
        <v>0</v>
      </c>
    </row>
    <row r="41" spans="1:369" ht="13.8" customHeight="1">
      <c r="A41" s="111" t="str">
        <f t="shared" si="337"/>
        <v/>
      </c>
      <c r="B41" s="1695"/>
      <c r="C41" s="171"/>
      <c r="D41" s="172"/>
      <c r="E41" s="173"/>
      <c r="F41" s="173"/>
      <c r="G41" s="173"/>
      <c r="H41" s="173"/>
      <c r="I41" s="173"/>
      <c r="J41" s="1092">
        <f>IF(C41="",0,HLOOKUP(C41,'Part V-Utility Allowances'!$I$11:$M$22,12))</f>
        <v>0</v>
      </c>
      <c r="K41" s="931"/>
      <c r="L41" s="667">
        <f t="shared" si="0"/>
        <v>0</v>
      </c>
      <c r="M41" s="667">
        <f t="shared" si="1"/>
        <v>0</v>
      </c>
      <c r="N41" s="1013"/>
      <c r="O41" s="1013"/>
      <c r="P41" s="1013"/>
      <c r="Q41" s="174"/>
      <c r="R41" s="1069"/>
      <c r="S41" s="1070"/>
      <c r="T41" s="3503"/>
      <c r="U41" s="3504"/>
      <c r="V41" s="3504"/>
      <c r="W41" s="3505"/>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79" t="str">
        <f t="shared" si="212"/>
        <v/>
      </c>
      <c r="IA41" s="2479" t="str">
        <f t="shared" si="213"/>
        <v/>
      </c>
      <c r="IB41" s="2479" t="str">
        <f t="shared" si="214"/>
        <v/>
      </c>
      <c r="IC41" s="2479" t="str">
        <f t="shared" si="215"/>
        <v/>
      </c>
      <c r="ID41" s="2479" t="str">
        <f t="shared" si="216"/>
        <v/>
      </c>
      <c r="IE41" s="2479" t="str">
        <f t="shared" si="217"/>
        <v/>
      </c>
      <c r="IF41" s="2479" t="str">
        <f t="shared" si="218"/>
        <v/>
      </c>
      <c r="IG41" s="2479" t="str">
        <f t="shared" si="219"/>
        <v/>
      </c>
      <c r="IH41" s="2479" t="str">
        <f t="shared" si="220"/>
        <v/>
      </c>
      <c r="II41" s="2479" t="str">
        <f t="shared" si="221"/>
        <v/>
      </c>
      <c r="IJ41" s="2479" t="str">
        <f t="shared" si="222"/>
        <v/>
      </c>
      <c r="IK41" s="2479" t="str">
        <f t="shared" si="223"/>
        <v/>
      </c>
      <c r="IL41" s="2479" t="str">
        <f t="shared" si="224"/>
        <v/>
      </c>
      <c r="IM41" s="2479" t="str">
        <f t="shared" si="225"/>
        <v/>
      </c>
      <c r="IN41" s="2479" t="str">
        <f t="shared" si="226"/>
        <v/>
      </c>
      <c r="IO41" s="2479" t="str">
        <f t="shared" si="227"/>
        <v/>
      </c>
      <c r="IP41" s="2479" t="str">
        <f t="shared" si="228"/>
        <v/>
      </c>
      <c r="IQ41" s="2479" t="str">
        <f t="shared" si="229"/>
        <v/>
      </c>
      <c r="IR41" s="2479" t="str">
        <f t="shared" si="230"/>
        <v/>
      </c>
      <c r="IS41" s="2479" t="str">
        <f t="shared" si="231"/>
        <v/>
      </c>
      <c r="IT41" s="2479" t="str">
        <f t="shared" si="232"/>
        <v/>
      </c>
      <c r="IU41" s="2479" t="str">
        <f t="shared" si="233"/>
        <v/>
      </c>
      <c r="IV41" s="2479" t="str">
        <f t="shared" si="234"/>
        <v/>
      </c>
      <c r="IW41" s="2479" t="str">
        <f t="shared" si="235"/>
        <v/>
      </c>
      <c r="IX41" s="2479" t="str">
        <f t="shared" si="236"/>
        <v/>
      </c>
      <c r="IY41" s="2479" t="str">
        <f t="shared" si="237"/>
        <v/>
      </c>
      <c r="IZ41" s="2479" t="str">
        <f t="shared" si="238"/>
        <v/>
      </c>
      <c r="JA41" s="2479" t="str">
        <f t="shared" si="239"/>
        <v/>
      </c>
      <c r="JB41" s="2479" t="str">
        <f t="shared" si="240"/>
        <v/>
      </c>
      <c r="JC41" s="2479" t="str">
        <f t="shared" si="241"/>
        <v/>
      </c>
      <c r="JD41" s="2479" t="str">
        <f t="shared" si="242"/>
        <v/>
      </c>
      <c r="JE41" s="2479" t="str">
        <f t="shared" si="243"/>
        <v/>
      </c>
      <c r="JF41" s="2479" t="str">
        <f t="shared" si="244"/>
        <v/>
      </c>
      <c r="JG41" s="2479" t="str">
        <f t="shared" si="245"/>
        <v/>
      </c>
      <c r="JH41" s="2479" t="str">
        <f t="shared" si="246"/>
        <v/>
      </c>
      <c r="JI41" s="2479" t="str">
        <f t="shared" si="247"/>
        <v/>
      </c>
      <c r="JJ41" s="2479" t="str">
        <f t="shared" si="248"/>
        <v/>
      </c>
      <c r="JK41" s="2479" t="str">
        <f t="shared" si="249"/>
        <v/>
      </c>
      <c r="JL41" s="2479" t="str">
        <f t="shared" si="250"/>
        <v/>
      </c>
      <c r="JM41" s="2479" t="str">
        <f t="shared" si="251"/>
        <v/>
      </c>
      <c r="JN41" s="2479" t="str">
        <f t="shared" si="252"/>
        <v/>
      </c>
      <c r="JO41" s="2479" t="str">
        <f t="shared" si="253"/>
        <v/>
      </c>
      <c r="JP41" s="2479" t="str">
        <f t="shared" si="254"/>
        <v/>
      </c>
      <c r="JQ41" s="2479" t="str">
        <f t="shared" si="255"/>
        <v/>
      </c>
      <c r="JR41" s="2479" t="str">
        <f t="shared" si="256"/>
        <v/>
      </c>
      <c r="JS41" s="2479" t="str">
        <f t="shared" si="257"/>
        <v/>
      </c>
      <c r="JT41" s="2479" t="str">
        <f t="shared" si="258"/>
        <v/>
      </c>
      <c r="JU41" s="2479" t="str">
        <f t="shared" si="259"/>
        <v/>
      </c>
      <c r="JV41" s="2479" t="str">
        <f t="shared" si="260"/>
        <v/>
      </c>
      <c r="JW41" s="2479" t="str">
        <f t="shared" si="261"/>
        <v/>
      </c>
      <c r="JX41" s="2479" t="str">
        <f t="shared" si="262"/>
        <v/>
      </c>
      <c r="JY41" s="2479" t="str">
        <f t="shared" si="263"/>
        <v/>
      </c>
      <c r="JZ41" s="2479" t="str">
        <f t="shared" si="264"/>
        <v/>
      </c>
      <c r="KA41" s="2479" t="str">
        <f t="shared" si="265"/>
        <v/>
      </c>
      <c r="KB41" s="2479" t="str">
        <f t="shared" si="266"/>
        <v/>
      </c>
      <c r="KC41" s="2479" t="str">
        <f t="shared" si="267"/>
        <v/>
      </c>
      <c r="KD41" s="2479" t="str">
        <f t="shared" si="268"/>
        <v/>
      </c>
      <c r="KE41" s="2479" t="str">
        <f t="shared" si="269"/>
        <v/>
      </c>
      <c r="KF41" s="2479" t="str">
        <f t="shared" si="270"/>
        <v/>
      </c>
      <c r="KG41" s="2479" t="str">
        <f t="shared" si="271"/>
        <v/>
      </c>
      <c r="KH41" s="2479" t="str">
        <f t="shared" si="272"/>
        <v/>
      </c>
      <c r="KI41" s="2479" t="str">
        <f t="shared" si="273"/>
        <v/>
      </c>
      <c r="KJ41" s="2479" t="str">
        <f t="shared" si="274"/>
        <v/>
      </c>
      <c r="KK41" s="2479" t="str">
        <f t="shared" si="275"/>
        <v/>
      </c>
      <c r="KL41" s="2479" t="str">
        <f t="shared" si="276"/>
        <v/>
      </c>
      <c r="KM41" s="2479" t="str">
        <f t="shared" si="277"/>
        <v/>
      </c>
      <c r="KN41" s="2479" t="str">
        <f t="shared" si="278"/>
        <v/>
      </c>
      <c r="KO41" s="2479" t="str">
        <f t="shared" si="279"/>
        <v/>
      </c>
      <c r="KP41" s="2479" t="str">
        <f t="shared" si="280"/>
        <v/>
      </c>
      <c r="KQ41" s="2479" t="str">
        <f t="shared" si="281"/>
        <v/>
      </c>
      <c r="KR41" s="2479" t="str">
        <f t="shared" si="282"/>
        <v/>
      </c>
      <c r="KS41" s="2479" t="str">
        <f t="shared" si="283"/>
        <v/>
      </c>
      <c r="KT41" s="2479" t="str">
        <f t="shared" si="284"/>
        <v/>
      </c>
      <c r="KU41" s="2479" t="str">
        <f t="shared" si="285"/>
        <v/>
      </c>
      <c r="KV41" s="2479" t="str">
        <f t="shared" si="286"/>
        <v/>
      </c>
      <c r="KW41" s="2479" t="str">
        <f t="shared" si="287"/>
        <v/>
      </c>
      <c r="KX41" s="2479" t="str">
        <f t="shared" si="288"/>
        <v/>
      </c>
      <c r="KY41" s="2479" t="str">
        <f t="shared" si="289"/>
        <v/>
      </c>
      <c r="KZ41" s="2479" t="str">
        <f t="shared" si="290"/>
        <v/>
      </c>
      <c r="LA41" s="2479" t="str">
        <f t="shared" si="291"/>
        <v/>
      </c>
      <c r="LB41" s="2479" t="str">
        <f t="shared" si="292"/>
        <v/>
      </c>
      <c r="LC41" s="2479" t="str">
        <f t="shared" si="293"/>
        <v/>
      </c>
      <c r="LD41" s="2479" t="str">
        <f t="shared" si="294"/>
        <v/>
      </c>
      <c r="LE41" s="2479" t="str">
        <f t="shared" si="295"/>
        <v/>
      </c>
      <c r="LF41" s="2479" t="str">
        <f t="shared" si="296"/>
        <v/>
      </c>
      <c r="LG41" s="2479" t="str">
        <f t="shared" si="297"/>
        <v/>
      </c>
      <c r="LH41" s="2479" t="str">
        <f t="shared" si="298"/>
        <v/>
      </c>
      <c r="LI41" s="2479" t="str">
        <f t="shared" si="299"/>
        <v/>
      </c>
      <c r="LJ41" s="2479" t="str">
        <f t="shared" si="300"/>
        <v/>
      </c>
      <c r="LK41" s="2479" t="str">
        <f t="shared" si="301"/>
        <v/>
      </c>
      <c r="LL41" s="2479" t="str">
        <f t="shared" si="302"/>
        <v/>
      </c>
      <c r="LM41" s="2479" t="str">
        <f t="shared" si="303"/>
        <v/>
      </c>
      <c r="LN41" s="2479" t="str">
        <f t="shared" si="304"/>
        <v/>
      </c>
      <c r="LO41" s="2479" t="str">
        <f t="shared" si="305"/>
        <v/>
      </c>
      <c r="LP41" s="2479" t="str">
        <f t="shared" si="306"/>
        <v/>
      </c>
      <c r="LQ41" s="2480" t="str">
        <f t="shared" si="307"/>
        <v/>
      </c>
      <c r="LR41" s="2480" t="str">
        <f t="shared" si="308"/>
        <v/>
      </c>
      <c r="LS41" s="2480" t="str">
        <f t="shared" si="309"/>
        <v/>
      </c>
      <c r="LT41" s="2480" t="str">
        <f t="shared" si="310"/>
        <v/>
      </c>
      <c r="LU41" s="2480"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78">
        <f t="shared" si="338"/>
        <v>0</v>
      </c>
      <c r="MQ41" s="2478">
        <f t="shared" si="339"/>
        <v>0</v>
      </c>
      <c r="MR41" s="2478">
        <f t="shared" si="340"/>
        <v>0</v>
      </c>
      <c r="MS41" s="2478">
        <f t="shared" si="341"/>
        <v>0</v>
      </c>
      <c r="MT41" s="2478">
        <f t="shared" si="342"/>
        <v>0</v>
      </c>
      <c r="MU41" s="2478">
        <f t="shared" si="343"/>
        <v>0</v>
      </c>
      <c r="MV41" s="2478">
        <f t="shared" si="344"/>
        <v>0</v>
      </c>
      <c r="MW41" s="2478">
        <f t="shared" si="345"/>
        <v>0</v>
      </c>
      <c r="MX41" s="2478">
        <f t="shared" si="346"/>
        <v>0</v>
      </c>
      <c r="MY41" s="2478">
        <f t="shared" si="347"/>
        <v>0</v>
      </c>
      <c r="MZ41" s="2478">
        <f t="shared" si="332"/>
        <v>0</v>
      </c>
      <c r="NA41" s="2478">
        <f t="shared" si="333"/>
        <v>0</v>
      </c>
      <c r="NB41" s="2478">
        <f t="shared" si="334"/>
        <v>0</v>
      </c>
      <c r="NC41" s="2478">
        <f t="shared" si="335"/>
        <v>0</v>
      </c>
      <c r="ND41" s="2478">
        <f t="shared" si="336"/>
        <v>0</v>
      </c>
    </row>
    <row r="42" spans="1:369" ht="13.8" customHeight="1">
      <c r="A42" s="111" t="str">
        <f t="shared" si="337"/>
        <v/>
      </c>
      <c r="B42" s="1695"/>
      <c r="C42" s="171"/>
      <c r="D42" s="172"/>
      <c r="E42" s="173"/>
      <c r="F42" s="173"/>
      <c r="G42" s="173"/>
      <c r="H42" s="173"/>
      <c r="I42" s="173"/>
      <c r="J42" s="1092">
        <f>IF(C42="",0,HLOOKUP(C42,'Part V-Utility Allowances'!$I$11:$M$22,12))</f>
        <v>0</v>
      </c>
      <c r="K42" s="931"/>
      <c r="L42" s="667">
        <f t="shared" si="0"/>
        <v>0</v>
      </c>
      <c r="M42" s="667">
        <f t="shared" si="1"/>
        <v>0</v>
      </c>
      <c r="N42" s="1013"/>
      <c r="O42" s="1013"/>
      <c r="P42" s="1013"/>
      <c r="Q42" s="174"/>
      <c r="R42" s="1069"/>
      <c r="S42" s="1070"/>
      <c r="T42" s="3503"/>
      <c r="U42" s="3504"/>
      <c r="V42" s="3504"/>
      <c r="W42" s="3505"/>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79" t="str">
        <f t="shared" si="212"/>
        <v/>
      </c>
      <c r="IA42" s="2479" t="str">
        <f t="shared" si="213"/>
        <v/>
      </c>
      <c r="IB42" s="2479" t="str">
        <f t="shared" si="214"/>
        <v/>
      </c>
      <c r="IC42" s="2479" t="str">
        <f t="shared" si="215"/>
        <v/>
      </c>
      <c r="ID42" s="2479" t="str">
        <f t="shared" si="216"/>
        <v/>
      </c>
      <c r="IE42" s="2479" t="str">
        <f t="shared" si="217"/>
        <v/>
      </c>
      <c r="IF42" s="2479" t="str">
        <f t="shared" si="218"/>
        <v/>
      </c>
      <c r="IG42" s="2479" t="str">
        <f t="shared" si="219"/>
        <v/>
      </c>
      <c r="IH42" s="2479" t="str">
        <f t="shared" si="220"/>
        <v/>
      </c>
      <c r="II42" s="2479" t="str">
        <f t="shared" si="221"/>
        <v/>
      </c>
      <c r="IJ42" s="2479" t="str">
        <f t="shared" si="222"/>
        <v/>
      </c>
      <c r="IK42" s="2479" t="str">
        <f t="shared" si="223"/>
        <v/>
      </c>
      <c r="IL42" s="2479" t="str">
        <f t="shared" si="224"/>
        <v/>
      </c>
      <c r="IM42" s="2479" t="str">
        <f t="shared" si="225"/>
        <v/>
      </c>
      <c r="IN42" s="2479" t="str">
        <f t="shared" si="226"/>
        <v/>
      </c>
      <c r="IO42" s="2479" t="str">
        <f t="shared" si="227"/>
        <v/>
      </c>
      <c r="IP42" s="2479" t="str">
        <f t="shared" si="228"/>
        <v/>
      </c>
      <c r="IQ42" s="2479" t="str">
        <f t="shared" si="229"/>
        <v/>
      </c>
      <c r="IR42" s="2479" t="str">
        <f t="shared" si="230"/>
        <v/>
      </c>
      <c r="IS42" s="2479" t="str">
        <f t="shared" si="231"/>
        <v/>
      </c>
      <c r="IT42" s="2479" t="str">
        <f t="shared" si="232"/>
        <v/>
      </c>
      <c r="IU42" s="2479" t="str">
        <f t="shared" si="233"/>
        <v/>
      </c>
      <c r="IV42" s="2479" t="str">
        <f t="shared" si="234"/>
        <v/>
      </c>
      <c r="IW42" s="2479" t="str">
        <f t="shared" si="235"/>
        <v/>
      </c>
      <c r="IX42" s="2479" t="str">
        <f t="shared" si="236"/>
        <v/>
      </c>
      <c r="IY42" s="2479" t="str">
        <f t="shared" si="237"/>
        <v/>
      </c>
      <c r="IZ42" s="2479" t="str">
        <f t="shared" si="238"/>
        <v/>
      </c>
      <c r="JA42" s="2479" t="str">
        <f t="shared" si="239"/>
        <v/>
      </c>
      <c r="JB42" s="2479" t="str">
        <f t="shared" si="240"/>
        <v/>
      </c>
      <c r="JC42" s="2479" t="str">
        <f t="shared" si="241"/>
        <v/>
      </c>
      <c r="JD42" s="2479" t="str">
        <f t="shared" si="242"/>
        <v/>
      </c>
      <c r="JE42" s="2479" t="str">
        <f t="shared" si="243"/>
        <v/>
      </c>
      <c r="JF42" s="2479" t="str">
        <f t="shared" si="244"/>
        <v/>
      </c>
      <c r="JG42" s="2479" t="str">
        <f t="shared" si="245"/>
        <v/>
      </c>
      <c r="JH42" s="2479" t="str">
        <f t="shared" si="246"/>
        <v/>
      </c>
      <c r="JI42" s="2479" t="str">
        <f t="shared" si="247"/>
        <v/>
      </c>
      <c r="JJ42" s="2479" t="str">
        <f t="shared" si="248"/>
        <v/>
      </c>
      <c r="JK42" s="2479" t="str">
        <f t="shared" si="249"/>
        <v/>
      </c>
      <c r="JL42" s="2479" t="str">
        <f t="shared" si="250"/>
        <v/>
      </c>
      <c r="JM42" s="2479" t="str">
        <f t="shared" si="251"/>
        <v/>
      </c>
      <c r="JN42" s="2479" t="str">
        <f t="shared" si="252"/>
        <v/>
      </c>
      <c r="JO42" s="2479" t="str">
        <f t="shared" si="253"/>
        <v/>
      </c>
      <c r="JP42" s="2479" t="str">
        <f t="shared" si="254"/>
        <v/>
      </c>
      <c r="JQ42" s="2479" t="str">
        <f t="shared" si="255"/>
        <v/>
      </c>
      <c r="JR42" s="2479" t="str">
        <f t="shared" si="256"/>
        <v/>
      </c>
      <c r="JS42" s="2479" t="str">
        <f t="shared" si="257"/>
        <v/>
      </c>
      <c r="JT42" s="2479" t="str">
        <f t="shared" si="258"/>
        <v/>
      </c>
      <c r="JU42" s="2479" t="str">
        <f t="shared" si="259"/>
        <v/>
      </c>
      <c r="JV42" s="2479" t="str">
        <f t="shared" si="260"/>
        <v/>
      </c>
      <c r="JW42" s="2479" t="str">
        <f t="shared" si="261"/>
        <v/>
      </c>
      <c r="JX42" s="2479" t="str">
        <f t="shared" si="262"/>
        <v/>
      </c>
      <c r="JY42" s="2479" t="str">
        <f t="shared" si="263"/>
        <v/>
      </c>
      <c r="JZ42" s="2479" t="str">
        <f t="shared" si="264"/>
        <v/>
      </c>
      <c r="KA42" s="2479" t="str">
        <f t="shared" si="265"/>
        <v/>
      </c>
      <c r="KB42" s="2479" t="str">
        <f t="shared" si="266"/>
        <v/>
      </c>
      <c r="KC42" s="2479" t="str">
        <f t="shared" si="267"/>
        <v/>
      </c>
      <c r="KD42" s="2479" t="str">
        <f t="shared" si="268"/>
        <v/>
      </c>
      <c r="KE42" s="2479" t="str">
        <f t="shared" si="269"/>
        <v/>
      </c>
      <c r="KF42" s="2479" t="str">
        <f t="shared" si="270"/>
        <v/>
      </c>
      <c r="KG42" s="2479" t="str">
        <f t="shared" si="271"/>
        <v/>
      </c>
      <c r="KH42" s="2479" t="str">
        <f t="shared" si="272"/>
        <v/>
      </c>
      <c r="KI42" s="2479" t="str">
        <f t="shared" si="273"/>
        <v/>
      </c>
      <c r="KJ42" s="2479" t="str">
        <f t="shared" si="274"/>
        <v/>
      </c>
      <c r="KK42" s="2479" t="str">
        <f t="shared" si="275"/>
        <v/>
      </c>
      <c r="KL42" s="2479" t="str">
        <f t="shared" si="276"/>
        <v/>
      </c>
      <c r="KM42" s="2479" t="str">
        <f t="shared" si="277"/>
        <v/>
      </c>
      <c r="KN42" s="2479" t="str">
        <f t="shared" si="278"/>
        <v/>
      </c>
      <c r="KO42" s="2479" t="str">
        <f t="shared" si="279"/>
        <v/>
      </c>
      <c r="KP42" s="2479" t="str">
        <f t="shared" si="280"/>
        <v/>
      </c>
      <c r="KQ42" s="2479" t="str">
        <f t="shared" si="281"/>
        <v/>
      </c>
      <c r="KR42" s="2479" t="str">
        <f t="shared" si="282"/>
        <v/>
      </c>
      <c r="KS42" s="2479" t="str">
        <f t="shared" si="283"/>
        <v/>
      </c>
      <c r="KT42" s="2479" t="str">
        <f t="shared" si="284"/>
        <v/>
      </c>
      <c r="KU42" s="2479" t="str">
        <f t="shared" si="285"/>
        <v/>
      </c>
      <c r="KV42" s="2479" t="str">
        <f t="shared" si="286"/>
        <v/>
      </c>
      <c r="KW42" s="2479" t="str">
        <f t="shared" si="287"/>
        <v/>
      </c>
      <c r="KX42" s="2479" t="str">
        <f t="shared" si="288"/>
        <v/>
      </c>
      <c r="KY42" s="2479" t="str">
        <f t="shared" si="289"/>
        <v/>
      </c>
      <c r="KZ42" s="2479" t="str">
        <f t="shared" si="290"/>
        <v/>
      </c>
      <c r="LA42" s="2479" t="str">
        <f t="shared" si="291"/>
        <v/>
      </c>
      <c r="LB42" s="2479" t="str">
        <f t="shared" si="292"/>
        <v/>
      </c>
      <c r="LC42" s="2479" t="str">
        <f t="shared" si="293"/>
        <v/>
      </c>
      <c r="LD42" s="2479" t="str">
        <f t="shared" si="294"/>
        <v/>
      </c>
      <c r="LE42" s="2479" t="str">
        <f t="shared" si="295"/>
        <v/>
      </c>
      <c r="LF42" s="2479" t="str">
        <f t="shared" si="296"/>
        <v/>
      </c>
      <c r="LG42" s="2479" t="str">
        <f t="shared" si="297"/>
        <v/>
      </c>
      <c r="LH42" s="2479" t="str">
        <f t="shared" si="298"/>
        <v/>
      </c>
      <c r="LI42" s="2479" t="str">
        <f t="shared" si="299"/>
        <v/>
      </c>
      <c r="LJ42" s="2479" t="str">
        <f t="shared" si="300"/>
        <v/>
      </c>
      <c r="LK42" s="2479" t="str">
        <f t="shared" si="301"/>
        <v/>
      </c>
      <c r="LL42" s="2479" t="str">
        <f t="shared" si="302"/>
        <v/>
      </c>
      <c r="LM42" s="2479" t="str">
        <f t="shared" si="303"/>
        <v/>
      </c>
      <c r="LN42" s="2479" t="str">
        <f t="shared" si="304"/>
        <v/>
      </c>
      <c r="LO42" s="2479" t="str">
        <f t="shared" si="305"/>
        <v/>
      </c>
      <c r="LP42" s="2479" t="str">
        <f t="shared" si="306"/>
        <v/>
      </c>
      <c r="LQ42" s="2480" t="str">
        <f t="shared" si="307"/>
        <v/>
      </c>
      <c r="LR42" s="2480" t="str">
        <f t="shared" si="308"/>
        <v/>
      </c>
      <c r="LS42" s="2480" t="str">
        <f t="shared" si="309"/>
        <v/>
      </c>
      <c r="LT42" s="2480" t="str">
        <f t="shared" si="310"/>
        <v/>
      </c>
      <c r="LU42" s="2480"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78">
        <f t="shared" si="338"/>
        <v>0</v>
      </c>
      <c r="MQ42" s="2478">
        <f t="shared" si="339"/>
        <v>0</v>
      </c>
      <c r="MR42" s="2478">
        <f t="shared" si="340"/>
        <v>0</v>
      </c>
      <c r="MS42" s="2478">
        <f t="shared" si="341"/>
        <v>0</v>
      </c>
      <c r="MT42" s="2478">
        <f t="shared" si="342"/>
        <v>0</v>
      </c>
      <c r="MU42" s="2478">
        <f t="shared" si="343"/>
        <v>0</v>
      </c>
      <c r="MV42" s="2478">
        <f t="shared" si="344"/>
        <v>0</v>
      </c>
      <c r="MW42" s="2478">
        <f t="shared" si="345"/>
        <v>0</v>
      </c>
      <c r="MX42" s="2478">
        <f t="shared" si="346"/>
        <v>0</v>
      </c>
      <c r="MY42" s="2478">
        <f t="shared" si="347"/>
        <v>0</v>
      </c>
      <c r="MZ42" s="2478">
        <f t="shared" si="332"/>
        <v>0</v>
      </c>
      <c r="NA42" s="2478">
        <f t="shared" si="333"/>
        <v>0</v>
      </c>
      <c r="NB42" s="2478">
        <f t="shared" si="334"/>
        <v>0</v>
      </c>
      <c r="NC42" s="2478">
        <f t="shared" si="335"/>
        <v>0</v>
      </c>
      <c r="ND42" s="2478">
        <f t="shared" si="336"/>
        <v>0</v>
      </c>
    </row>
    <row r="43" spans="1:369" ht="13.8" customHeight="1">
      <c r="A43" s="111" t="str">
        <f t="shared" si="337"/>
        <v/>
      </c>
      <c r="B43" s="1695"/>
      <c r="C43" s="171"/>
      <c r="D43" s="172"/>
      <c r="E43" s="173"/>
      <c r="F43" s="173"/>
      <c r="G43" s="173"/>
      <c r="H43" s="173"/>
      <c r="I43" s="173"/>
      <c r="J43" s="1092">
        <f>IF(C43="",0,HLOOKUP(C43,'Part V-Utility Allowances'!$I$11:$M$22,12))</f>
        <v>0</v>
      </c>
      <c r="K43" s="931"/>
      <c r="L43" s="667">
        <f t="shared" si="0"/>
        <v>0</v>
      </c>
      <c r="M43" s="667">
        <f t="shared" si="1"/>
        <v>0</v>
      </c>
      <c r="N43" s="1013"/>
      <c r="O43" s="1013"/>
      <c r="P43" s="1013"/>
      <c r="Q43" s="174"/>
      <c r="R43" s="1069"/>
      <c r="S43" s="1070"/>
      <c r="T43" s="3503"/>
      <c r="U43" s="3504"/>
      <c r="V43" s="3504"/>
      <c r="W43" s="3505"/>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79" t="str">
        <f t="shared" si="212"/>
        <v/>
      </c>
      <c r="IA43" s="2479" t="str">
        <f t="shared" si="213"/>
        <v/>
      </c>
      <c r="IB43" s="2479" t="str">
        <f t="shared" si="214"/>
        <v/>
      </c>
      <c r="IC43" s="2479" t="str">
        <f t="shared" si="215"/>
        <v/>
      </c>
      <c r="ID43" s="2479" t="str">
        <f t="shared" si="216"/>
        <v/>
      </c>
      <c r="IE43" s="2479" t="str">
        <f t="shared" si="217"/>
        <v/>
      </c>
      <c r="IF43" s="2479" t="str">
        <f t="shared" si="218"/>
        <v/>
      </c>
      <c r="IG43" s="2479" t="str">
        <f t="shared" si="219"/>
        <v/>
      </c>
      <c r="IH43" s="2479" t="str">
        <f t="shared" si="220"/>
        <v/>
      </c>
      <c r="II43" s="2479" t="str">
        <f t="shared" si="221"/>
        <v/>
      </c>
      <c r="IJ43" s="2479" t="str">
        <f t="shared" si="222"/>
        <v/>
      </c>
      <c r="IK43" s="2479" t="str">
        <f t="shared" si="223"/>
        <v/>
      </c>
      <c r="IL43" s="2479" t="str">
        <f t="shared" si="224"/>
        <v/>
      </c>
      <c r="IM43" s="2479" t="str">
        <f t="shared" si="225"/>
        <v/>
      </c>
      <c r="IN43" s="2479" t="str">
        <f t="shared" si="226"/>
        <v/>
      </c>
      <c r="IO43" s="2479" t="str">
        <f t="shared" si="227"/>
        <v/>
      </c>
      <c r="IP43" s="2479" t="str">
        <f t="shared" si="228"/>
        <v/>
      </c>
      <c r="IQ43" s="2479" t="str">
        <f t="shared" si="229"/>
        <v/>
      </c>
      <c r="IR43" s="2479" t="str">
        <f t="shared" si="230"/>
        <v/>
      </c>
      <c r="IS43" s="2479" t="str">
        <f t="shared" si="231"/>
        <v/>
      </c>
      <c r="IT43" s="2479" t="str">
        <f t="shared" si="232"/>
        <v/>
      </c>
      <c r="IU43" s="2479" t="str">
        <f t="shared" si="233"/>
        <v/>
      </c>
      <c r="IV43" s="2479" t="str">
        <f t="shared" si="234"/>
        <v/>
      </c>
      <c r="IW43" s="2479" t="str">
        <f t="shared" si="235"/>
        <v/>
      </c>
      <c r="IX43" s="2479" t="str">
        <f t="shared" si="236"/>
        <v/>
      </c>
      <c r="IY43" s="2479" t="str">
        <f t="shared" si="237"/>
        <v/>
      </c>
      <c r="IZ43" s="2479" t="str">
        <f t="shared" si="238"/>
        <v/>
      </c>
      <c r="JA43" s="2479" t="str">
        <f t="shared" si="239"/>
        <v/>
      </c>
      <c r="JB43" s="2479" t="str">
        <f t="shared" si="240"/>
        <v/>
      </c>
      <c r="JC43" s="2479" t="str">
        <f t="shared" si="241"/>
        <v/>
      </c>
      <c r="JD43" s="2479" t="str">
        <f t="shared" si="242"/>
        <v/>
      </c>
      <c r="JE43" s="2479" t="str">
        <f t="shared" si="243"/>
        <v/>
      </c>
      <c r="JF43" s="2479" t="str">
        <f t="shared" si="244"/>
        <v/>
      </c>
      <c r="JG43" s="2479" t="str">
        <f t="shared" si="245"/>
        <v/>
      </c>
      <c r="JH43" s="2479" t="str">
        <f t="shared" si="246"/>
        <v/>
      </c>
      <c r="JI43" s="2479" t="str">
        <f t="shared" si="247"/>
        <v/>
      </c>
      <c r="JJ43" s="2479" t="str">
        <f t="shared" si="248"/>
        <v/>
      </c>
      <c r="JK43" s="2479" t="str">
        <f t="shared" si="249"/>
        <v/>
      </c>
      <c r="JL43" s="2479" t="str">
        <f t="shared" si="250"/>
        <v/>
      </c>
      <c r="JM43" s="2479" t="str">
        <f t="shared" si="251"/>
        <v/>
      </c>
      <c r="JN43" s="2479" t="str">
        <f t="shared" si="252"/>
        <v/>
      </c>
      <c r="JO43" s="2479" t="str">
        <f t="shared" si="253"/>
        <v/>
      </c>
      <c r="JP43" s="2479" t="str">
        <f t="shared" si="254"/>
        <v/>
      </c>
      <c r="JQ43" s="2479" t="str">
        <f t="shared" si="255"/>
        <v/>
      </c>
      <c r="JR43" s="2479" t="str">
        <f t="shared" si="256"/>
        <v/>
      </c>
      <c r="JS43" s="2479" t="str">
        <f t="shared" si="257"/>
        <v/>
      </c>
      <c r="JT43" s="2479" t="str">
        <f t="shared" si="258"/>
        <v/>
      </c>
      <c r="JU43" s="2479" t="str">
        <f t="shared" si="259"/>
        <v/>
      </c>
      <c r="JV43" s="2479" t="str">
        <f t="shared" si="260"/>
        <v/>
      </c>
      <c r="JW43" s="2479" t="str">
        <f t="shared" si="261"/>
        <v/>
      </c>
      <c r="JX43" s="2479" t="str">
        <f t="shared" si="262"/>
        <v/>
      </c>
      <c r="JY43" s="2479" t="str">
        <f t="shared" si="263"/>
        <v/>
      </c>
      <c r="JZ43" s="2479" t="str">
        <f t="shared" si="264"/>
        <v/>
      </c>
      <c r="KA43" s="2479" t="str">
        <f t="shared" si="265"/>
        <v/>
      </c>
      <c r="KB43" s="2479" t="str">
        <f t="shared" si="266"/>
        <v/>
      </c>
      <c r="KC43" s="2479" t="str">
        <f t="shared" si="267"/>
        <v/>
      </c>
      <c r="KD43" s="2479" t="str">
        <f t="shared" si="268"/>
        <v/>
      </c>
      <c r="KE43" s="2479" t="str">
        <f t="shared" si="269"/>
        <v/>
      </c>
      <c r="KF43" s="2479" t="str">
        <f t="shared" si="270"/>
        <v/>
      </c>
      <c r="KG43" s="2479" t="str">
        <f t="shared" si="271"/>
        <v/>
      </c>
      <c r="KH43" s="2479" t="str">
        <f t="shared" si="272"/>
        <v/>
      </c>
      <c r="KI43" s="2479" t="str">
        <f t="shared" si="273"/>
        <v/>
      </c>
      <c r="KJ43" s="2479" t="str">
        <f t="shared" si="274"/>
        <v/>
      </c>
      <c r="KK43" s="2479" t="str">
        <f t="shared" si="275"/>
        <v/>
      </c>
      <c r="KL43" s="2479" t="str">
        <f t="shared" si="276"/>
        <v/>
      </c>
      <c r="KM43" s="2479" t="str">
        <f t="shared" si="277"/>
        <v/>
      </c>
      <c r="KN43" s="2479" t="str">
        <f t="shared" si="278"/>
        <v/>
      </c>
      <c r="KO43" s="2479" t="str">
        <f t="shared" si="279"/>
        <v/>
      </c>
      <c r="KP43" s="2479" t="str">
        <f t="shared" si="280"/>
        <v/>
      </c>
      <c r="KQ43" s="2479" t="str">
        <f t="shared" si="281"/>
        <v/>
      </c>
      <c r="KR43" s="2479" t="str">
        <f t="shared" si="282"/>
        <v/>
      </c>
      <c r="KS43" s="2479" t="str">
        <f t="shared" si="283"/>
        <v/>
      </c>
      <c r="KT43" s="2479" t="str">
        <f t="shared" si="284"/>
        <v/>
      </c>
      <c r="KU43" s="2479" t="str">
        <f t="shared" si="285"/>
        <v/>
      </c>
      <c r="KV43" s="2479" t="str">
        <f t="shared" si="286"/>
        <v/>
      </c>
      <c r="KW43" s="2479" t="str">
        <f t="shared" si="287"/>
        <v/>
      </c>
      <c r="KX43" s="2479" t="str">
        <f t="shared" si="288"/>
        <v/>
      </c>
      <c r="KY43" s="2479" t="str">
        <f t="shared" si="289"/>
        <v/>
      </c>
      <c r="KZ43" s="2479" t="str">
        <f t="shared" si="290"/>
        <v/>
      </c>
      <c r="LA43" s="2479" t="str">
        <f t="shared" si="291"/>
        <v/>
      </c>
      <c r="LB43" s="2479" t="str">
        <f t="shared" si="292"/>
        <v/>
      </c>
      <c r="LC43" s="2479" t="str">
        <f t="shared" si="293"/>
        <v/>
      </c>
      <c r="LD43" s="2479" t="str">
        <f t="shared" si="294"/>
        <v/>
      </c>
      <c r="LE43" s="2479" t="str">
        <f t="shared" si="295"/>
        <v/>
      </c>
      <c r="LF43" s="2479" t="str">
        <f t="shared" si="296"/>
        <v/>
      </c>
      <c r="LG43" s="2479" t="str">
        <f t="shared" si="297"/>
        <v/>
      </c>
      <c r="LH43" s="2479" t="str">
        <f t="shared" si="298"/>
        <v/>
      </c>
      <c r="LI43" s="2479" t="str">
        <f t="shared" si="299"/>
        <v/>
      </c>
      <c r="LJ43" s="2479" t="str">
        <f t="shared" si="300"/>
        <v/>
      </c>
      <c r="LK43" s="2479" t="str">
        <f t="shared" si="301"/>
        <v/>
      </c>
      <c r="LL43" s="2479" t="str">
        <f t="shared" si="302"/>
        <v/>
      </c>
      <c r="LM43" s="2479" t="str">
        <f t="shared" si="303"/>
        <v/>
      </c>
      <c r="LN43" s="2479" t="str">
        <f t="shared" si="304"/>
        <v/>
      </c>
      <c r="LO43" s="2479" t="str">
        <f t="shared" si="305"/>
        <v/>
      </c>
      <c r="LP43" s="2479" t="str">
        <f t="shared" si="306"/>
        <v/>
      </c>
      <c r="LQ43" s="2480" t="str">
        <f t="shared" si="307"/>
        <v/>
      </c>
      <c r="LR43" s="2480" t="str">
        <f t="shared" si="308"/>
        <v/>
      </c>
      <c r="LS43" s="2480" t="str">
        <f t="shared" si="309"/>
        <v/>
      </c>
      <c r="LT43" s="2480" t="str">
        <f t="shared" si="310"/>
        <v/>
      </c>
      <c r="LU43" s="2480"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78">
        <f t="shared" si="338"/>
        <v>0</v>
      </c>
      <c r="MQ43" s="2478">
        <f t="shared" si="339"/>
        <v>0</v>
      </c>
      <c r="MR43" s="2478">
        <f t="shared" si="340"/>
        <v>0</v>
      </c>
      <c r="MS43" s="2478">
        <f t="shared" si="341"/>
        <v>0</v>
      </c>
      <c r="MT43" s="2478">
        <f t="shared" si="342"/>
        <v>0</v>
      </c>
      <c r="MU43" s="2478">
        <f t="shared" si="343"/>
        <v>0</v>
      </c>
      <c r="MV43" s="2478">
        <f t="shared" si="344"/>
        <v>0</v>
      </c>
      <c r="MW43" s="2478">
        <f t="shared" si="345"/>
        <v>0</v>
      </c>
      <c r="MX43" s="2478">
        <f t="shared" si="346"/>
        <v>0</v>
      </c>
      <c r="MY43" s="2478">
        <f t="shared" si="347"/>
        <v>0</v>
      </c>
      <c r="MZ43" s="2478">
        <f t="shared" si="332"/>
        <v>0</v>
      </c>
      <c r="NA43" s="2478">
        <f t="shared" si="333"/>
        <v>0</v>
      </c>
      <c r="NB43" s="2478">
        <f t="shared" si="334"/>
        <v>0</v>
      </c>
      <c r="NC43" s="2478">
        <f t="shared" si="335"/>
        <v>0</v>
      </c>
      <c r="ND43" s="2478">
        <f t="shared" si="336"/>
        <v>0</v>
      </c>
    </row>
    <row r="44" spans="1:369" ht="13.8" customHeight="1">
      <c r="A44" s="111" t="str">
        <f t="shared" si="337"/>
        <v/>
      </c>
      <c r="B44" s="1695"/>
      <c r="C44" s="171"/>
      <c r="D44" s="172"/>
      <c r="E44" s="173"/>
      <c r="F44" s="173"/>
      <c r="G44" s="173"/>
      <c r="H44" s="173"/>
      <c r="I44" s="173"/>
      <c r="J44" s="1092">
        <f>IF(C44="",0,HLOOKUP(C44,'Part V-Utility Allowances'!$I$11:$M$22,12))</f>
        <v>0</v>
      </c>
      <c r="K44" s="931"/>
      <c r="L44" s="667">
        <f t="shared" si="0"/>
        <v>0</v>
      </c>
      <c r="M44" s="667">
        <f t="shared" si="1"/>
        <v>0</v>
      </c>
      <c r="N44" s="1013"/>
      <c r="O44" s="1013"/>
      <c r="P44" s="1013"/>
      <c r="Q44" s="174"/>
      <c r="R44" s="1069"/>
      <c r="S44" s="1070"/>
      <c r="T44" s="3503"/>
      <c r="U44" s="3504"/>
      <c r="V44" s="3504"/>
      <c r="W44" s="3505"/>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79" t="str">
        <f t="shared" si="212"/>
        <v/>
      </c>
      <c r="IA44" s="2479" t="str">
        <f t="shared" si="213"/>
        <v/>
      </c>
      <c r="IB44" s="2479" t="str">
        <f t="shared" si="214"/>
        <v/>
      </c>
      <c r="IC44" s="2479" t="str">
        <f t="shared" si="215"/>
        <v/>
      </c>
      <c r="ID44" s="2479" t="str">
        <f t="shared" si="216"/>
        <v/>
      </c>
      <c r="IE44" s="2479" t="str">
        <f t="shared" si="217"/>
        <v/>
      </c>
      <c r="IF44" s="2479" t="str">
        <f t="shared" si="218"/>
        <v/>
      </c>
      <c r="IG44" s="2479" t="str">
        <f t="shared" si="219"/>
        <v/>
      </c>
      <c r="IH44" s="2479" t="str">
        <f t="shared" si="220"/>
        <v/>
      </c>
      <c r="II44" s="2479" t="str">
        <f t="shared" si="221"/>
        <v/>
      </c>
      <c r="IJ44" s="2479" t="str">
        <f t="shared" si="222"/>
        <v/>
      </c>
      <c r="IK44" s="2479" t="str">
        <f t="shared" si="223"/>
        <v/>
      </c>
      <c r="IL44" s="2479" t="str">
        <f t="shared" si="224"/>
        <v/>
      </c>
      <c r="IM44" s="2479" t="str">
        <f t="shared" si="225"/>
        <v/>
      </c>
      <c r="IN44" s="2479" t="str">
        <f t="shared" si="226"/>
        <v/>
      </c>
      <c r="IO44" s="2479" t="str">
        <f t="shared" si="227"/>
        <v/>
      </c>
      <c r="IP44" s="2479" t="str">
        <f t="shared" si="228"/>
        <v/>
      </c>
      <c r="IQ44" s="2479" t="str">
        <f t="shared" si="229"/>
        <v/>
      </c>
      <c r="IR44" s="2479" t="str">
        <f t="shared" si="230"/>
        <v/>
      </c>
      <c r="IS44" s="2479" t="str">
        <f t="shared" si="231"/>
        <v/>
      </c>
      <c r="IT44" s="2479" t="str">
        <f t="shared" si="232"/>
        <v/>
      </c>
      <c r="IU44" s="2479" t="str">
        <f t="shared" si="233"/>
        <v/>
      </c>
      <c r="IV44" s="2479" t="str">
        <f t="shared" si="234"/>
        <v/>
      </c>
      <c r="IW44" s="2479" t="str">
        <f t="shared" si="235"/>
        <v/>
      </c>
      <c r="IX44" s="2479" t="str">
        <f t="shared" si="236"/>
        <v/>
      </c>
      <c r="IY44" s="2479" t="str">
        <f t="shared" si="237"/>
        <v/>
      </c>
      <c r="IZ44" s="2479" t="str">
        <f t="shared" si="238"/>
        <v/>
      </c>
      <c r="JA44" s="2479" t="str">
        <f t="shared" si="239"/>
        <v/>
      </c>
      <c r="JB44" s="2479" t="str">
        <f t="shared" si="240"/>
        <v/>
      </c>
      <c r="JC44" s="2479" t="str">
        <f t="shared" si="241"/>
        <v/>
      </c>
      <c r="JD44" s="2479" t="str">
        <f t="shared" si="242"/>
        <v/>
      </c>
      <c r="JE44" s="2479" t="str">
        <f t="shared" si="243"/>
        <v/>
      </c>
      <c r="JF44" s="2479" t="str">
        <f t="shared" si="244"/>
        <v/>
      </c>
      <c r="JG44" s="2479" t="str">
        <f t="shared" si="245"/>
        <v/>
      </c>
      <c r="JH44" s="2479" t="str">
        <f t="shared" si="246"/>
        <v/>
      </c>
      <c r="JI44" s="2479" t="str">
        <f t="shared" si="247"/>
        <v/>
      </c>
      <c r="JJ44" s="2479" t="str">
        <f t="shared" si="248"/>
        <v/>
      </c>
      <c r="JK44" s="2479" t="str">
        <f t="shared" si="249"/>
        <v/>
      </c>
      <c r="JL44" s="2479" t="str">
        <f t="shared" si="250"/>
        <v/>
      </c>
      <c r="JM44" s="2479" t="str">
        <f t="shared" si="251"/>
        <v/>
      </c>
      <c r="JN44" s="2479" t="str">
        <f t="shared" si="252"/>
        <v/>
      </c>
      <c r="JO44" s="2479" t="str">
        <f t="shared" si="253"/>
        <v/>
      </c>
      <c r="JP44" s="2479" t="str">
        <f t="shared" si="254"/>
        <v/>
      </c>
      <c r="JQ44" s="2479" t="str">
        <f t="shared" si="255"/>
        <v/>
      </c>
      <c r="JR44" s="2479" t="str">
        <f t="shared" si="256"/>
        <v/>
      </c>
      <c r="JS44" s="2479" t="str">
        <f t="shared" si="257"/>
        <v/>
      </c>
      <c r="JT44" s="2479" t="str">
        <f t="shared" si="258"/>
        <v/>
      </c>
      <c r="JU44" s="2479" t="str">
        <f t="shared" si="259"/>
        <v/>
      </c>
      <c r="JV44" s="2479" t="str">
        <f t="shared" si="260"/>
        <v/>
      </c>
      <c r="JW44" s="2479" t="str">
        <f t="shared" si="261"/>
        <v/>
      </c>
      <c r="JX44" s="2479" t="str">
        <f t="shared" si="262"/>
        <v/>
      </c>
      <c r="JY44" s="2479" t="str">
        <f t="shared" si="263"/>
        <v/>
      </c>
      <c r="JZ44" s="2479" t="str">
        <f t="shared" si="264"/>
        <v/>
      </c>
      <c r="KA44" s="2479" t="str">
        <f t="shared" si="265"/>
        <v/>
      </c>
      <c r="KB44" s="2479" t="str">
        <f t="shared" si="266"/>
        <v/>
      </c>
      <c r="KC44" s="2479" t="str">
        <f t="shared" si="267"/>
        <v/>
      </c>
      <c r="KD44" s="2479" t="str">
        <f t="shared" si="268"/>
        <v/>
      </c>
      <c r="KE44" s="2479" t="str">
        <f t="shared" si="269"/>
        <v/>
      </c>
      <c r="KF44" s="2479" t="str">
        <f t="shared" si="270"/>
        <v/>
      </c>
      <c r="KG44" s="2479" t="str">
        <f t="shared" si="271"/>
        <v/>
      </c>
      <c r="KH44" s="2479" t="str">
        <f t="shared" si="272"/>
        <v/>
      </c>
      <c r="KI44" s="2479" t="str">
        <f t="shared" si="273"/>
        <v/>
      </c>
      <c r="KJ44" s="2479" t="str">
        <f t="shared" si="274"/>
        <v/>
      </c>
      <c r="KK44" s="2479" t="str">
        <f t="shared" si="275"/>
        <v/>
      </c>
      <c r="KL44" s="2479" t="str">
        <f t="shared" si="276"/>
        <v/>
      </c>
      <c r="KM44" s="2479" t="str">
        <f t="shared" si="277"/>
        <v/>
      </c>
      <c r="KN44" s="2479" t="str">
        <f t="shared" si="278"/>
        <v/>
      </c>
      <c r="KO44" s="2479" t="str">
        <f t="shared" si="279"/>
        <v/>
      </c>
      <c r="KP44" s="2479" t="str">
        <f t="shared" si="280"/>
        <v/>
      </c>
      <c r="KQ44" s="2479" t="str">
        <f t="shared" si="281"/>
        <v/>
      </c>
      <c r="KR44" s="2479" t="str">
        <f t="shared" si="282"/>
        <v/>
      </c>
      <c r="KS44" s="2479" t="str">
        <f t="shared" si="283"/>
        <v/>
      </c>
      <c r="KT44" s="2479" t="str">
        <f t="shared" si="284"/>
        <v/>
      </c>
      <c r="KU44" s="2479" t="str">
        <f t="shared" si="285"/>
        <v/>
      </c>
      <c r="KV44" s="2479" t="str">
        <f t="shared" si="286"/>
        <v/>
      </c>
      <c r="KW44" s="2479" t="str">
        <f t="shared" si="287"/>
        <v/>
      </c>
      <c r="KX44" s="2479" t="str">
        <f t="shared" si="288"/>
        <v/>
      </c>
      <c r="KY44" s="2479" t="str">
        <f t="shared" si="289"/>
        <v/>
      </c>
      <c r="KZ44" s="2479" t="str">
        <f t="shared" si="290"/>
        <v/>
      </c>
      <c r="LA44" s="2479" t="str">
        <f t="shared" si="291"/>
        <v/>
      </c>
      <c r="LB44" s="2479" t="str">
        <f t="shared" si="292"/>
        <v/>
      </c>
      <c r="LC44" s="2479" t="str">
        <f t="shared" si="293"/>
        <v/>
      </c>
      <c r="LD44" s="2479" t="str">
        <f t="shared" si="294"/>
        <v/>
      </c>
      <c r="LE44" s="2479" t="str">
        <f t="shared" si="295"/>
        <v/>
      </c>
      <c r="LF44" s="2479" t="str">
        <f t="shared" si="296"/>
        <v/>
      </c>
      <c r="LG44" s="2479" t="str">
        <f t="shared" si="297"/>
        <v/>
      </c>
      <c r="LH44" s="2479" t="str">
        <f t="shared" si="298"/>
        <v/>
      </c>
      <c r="LI44" s="2479" t="str">
        <f t="shared" si="299"/>
        <v/>
      </c>
      <c r="LJ44" s="2479" t="str">
        <f t="shared" si="300"/>
        <v/>
      </c>
      <c r="LK44" s="2479" t="str">
        <f t="shared" si="301"/>
        <v/>
      </c>
      <c r="LL44" s="2479" t="str">
        <f t="shared" si="302"/>
        <v/>
      </c>
      <c r="LM44" s="2479" t="str">
        <f t="shared" si="303"/>
        <v/>
      </c>
      <c r="LN44" s="2479" t="str">
        <f t="shared" si="304"/>
        <v/>
      </c>
      <c r="LO44" s="2479" t="str">
        <f t="shared" si="305"/>
        <v/>
      </c>
      <c r="LP44" s="2479" t="str">
        <f t="shared" si="306"/>
        <v/>
      </c>
      <c r="LQ44" s="2480" t="str">
        <f t="shared" si="307"/>
        <v/>
      </c>
      <c r="LR44" s="2480" t="str">
        <f t="shared" si="308"/>
        <v/>
      </c>
      <c r="LS44" s="2480" t="str">
        <f t="shared" si="309"/>
        <v/>
      </c>
      <c r="LT44" s="2480" t="str">
        <f t="shared" si="310"/>
        <v/>
      </c>
      <c r="LU44" s="2480"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78">
        <f t="shared" si="338"/>
        <v>0</v>
      </c>
      <c r="MQ44" s="2478">
        <f t="shared" si="339"/>
        <v>0</v>
      </c>
      <c r="MR44" s="2478">
        <f t="shared" si="340"/>
        <v>0</v>
      </c>
      <c r="MS44" s="2478">
        <f t="shared" si="341"/>
        <v>0</v>
      </c>
      <c r="MT44" s="2478">
        <f t="shared" si="342"/>
        <v>0</v>
      </c>
      <c r="MU44" s="2478">
        <f t="shared" si="343"/>
        <v>0</v>
      </c>
      <c r="MV44" s="2478">
        <f t="shared" si="344"/>
        <v>0</v>
      </c>
      <c r="MW44" s="2478">
        <f t="shared" si="345"/>
        <v>0</v>
      </c>
      <c r="MX44" s="2478">
        <f t="shared" si="346"/>
        <v>0</v>
      </c>
      <c r="MY44" s="2478">
        <f t="shared" si="347"/>
        <v>0</v>
      </c>
      <c r="MZ44" s="2478">
        <f t="shared" si="332"/>
        <v>0</v>
      </c>
      <c r="NA44" s="2478">
        <f t="shared" si="333"/>
        <v>0</v>
      </c>
      <c r="NB44" s="2478">
        <f t="shared" si="334"/>
        <v>0</v>
      </c>
      <c r="NC44" s="2478">
        <f t="shared" si="335"/>
        <v>0</v>
      </c>
      <c r="ND44" s="2478">
        <f t="shared" si="336"/>
        <v>0</v>
      </c>
    </row>
    <row r="45" spans="1:369" ht="13.8" customHeight="1">
      <c r="A45" s="111" t="str">
        <f t="shared" si="337"/>
        <v/>
      </c>
      <c r="B45" s="1695"/>
      <c r="C45" s="171"/>
      <c r="D45" s="172"/>
      <c r="E45" s="173"/>
      <c r="F45" s="173"/>
      <c r="G45" s="173"/>
      <c r="H45" s="173"/>
      <c r="I45" s="173"/>
      <c r="J45" s="1092">
        <f>IF(C45="",0,HLOOKUP(C45,'Part V-Utility Allowances'!$I$11:$M$22,12))</f>
        <v>0</v>
      </c>
      <c r="K45" s="931"/>
      <c r="L45" s="667">
        <f t="shared" si="0"/>
        <v>0</v>
      </c>
      <c r="M45" s="667">
        <f t="shared" si="1"/>
        <v>0</v>
      </c>
      <c r="N45" s="1013"/>
      <c r="O45" s="1013"/>
      <c r="P45" s="1013"/>
      <c r="Q45" s="174"/>
      <c r="R45" s="1069"/>
      <c r="S45" s="1070"/>
      <c r="T45" s="3503"/>
      <c r="U45" s="3504"/>
      <c r="V45" s="3504"/>
      <c r="W45" s="3505"/>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79" t="str">
        <f t="shared" si="212"/>
        <v/>
      </c>
      <c r="IA45" s="2479" t="str">
        <f t="shared" si="213"/>
        <v/>
      </c>
      <c r="IB45" s="2479" t="str">
        <f t="shared" si="214"/>
        <v/>
      </c>
      <c r="IC45" s="2479" t="str">
        <f t="shared" si="215"/>
        <v/>
      </c>
      <c r="ID45" s="2479" t="str">
        <f t="shared" si="216"/>
        <v/>
      </c>
      <c r="IE45" s="2479" t="str">
        <f t="shared" si="217"/>
        <v/>
      </c>
      <c r="IF45" s="2479" t="str">
        <f t="shared" si="218"/>
        <v/>
      </c>
      <c r="IG45" s="2479" t="str">
        <f t="shared" si="219"/>
        <v/>
      </c>
      <c r="IH45" s="2479" t="str">
        <f t="shared" si="220"/>
        <v/>
      </c>
      <c r="II45" s="2479" t="str">
        <f t="shared" si="221"/>
        <v/>
      </c>
      <c r="IJ45" s="2479" t="str">
        <f t="shared" si="222"/>
        <v/>
      </c>
      <c r="IK45" s="2479" t="str">
        <f t="shared" si="223"/>
        <v/>
      </c>
      <c r="IL45" s="2479" t="str">
        <f t="shared" si="224"/>
        <v/>
      </c>
      <c r="IM45" s="2479" t="str">
        <f t="shared" si="225"/>
        <v/>
      </c>
      <c r="IN45" s="2479" t="str">
        <f t="shared" si="226"/>
        <v/>
      </c>
      <c r="IO45" s="2479" t="str">
        <f t="shared" si="227"/>
        <v/>
      </c>
      <c r="IP45" s="2479" t="str">
        <f t="shared" si="228"/>
        <v/>
      </c>
      <c r="IQ45" s="2479" t="str">
        <f t="shared" si="229"/>
        <v/>
      </c>
      <c r="IR45" s="2479" t="str">
        <f t="shared" si="230"/>
        <v/>
      </c>
      <c r="IS45" s="2479" t="str">
        <f t="shared" si="231"/>
        <v/>
      </c>
      <c r="IT45" s="2479" t="str">
        <f t="shared" si="232"/>
        <v/>
      </c>
      <c r="IU45" s="2479" t="str">
        <f t="shared" si="233"/>
        <v/>
      </c>
      <c r="IV45" s="2479" t="str">
        <f t="shared" si="234"/>
        <v/>
      </c>
      <c r="IW45" s="2479" t="str">
        <f t="shared" si="235"/>
        <v/>
      </c>
      <c r="IX45" s="2479" t="str">
        <f t="shared" si="236"/>
        <v/>
      </c>
      <c r="IY45" s="2479" t="str">
        <f t="shared" si="237"/>
        <v/>
      </c>
      <c r="IZ45" s="2479" t="str">
        <f t="shared" si="238"/>
        <v/>
      </c>
      <c r="JA45" s="2479" t="str">
        <f t="shared" si="239"/>
        <v/>
      </c>
      <c r="JB45" s="2479" t="str">
        <f t="shared" si="240"/>
        <v/>
      </c>
      <c r="JC45" s="2479" t="str">
        <f t="shared" si="241"/>
        <v/>
      </c>
      <c r="JD45" s="2479" t="str">
        <f t="shared" si="242"/>
        <v/>
      </c>
      <c r="JE45" s="2479" t="str">
        <f t="shared" si="243"/>
        <v/>
      </c>
      <c r="JF45" s="2479" t="str">
        <f t="shared" si="244"/>
        <v/>
      </c>
      <c r="JG45" s="2479" t="str">
        <f t="shared" si="245"/>
        <v/>
      </c>
      <c r="JH45" s="2479" t="str">
        <f t="shared" si="246"/>
        <v/>
      </c>
      <c r="JI45" s="2479" t="str">
        <f t="shared" si="247"/>
        <v/>
      </c>
      <c r="JJ45" s="2479" t="str">
        <f t="shared" si="248"/>
        <v/>
      </c>
      <c r="JK45" s="2479" t="str">
        <f t="shared" si="249"/>
        <v/>
      </c>
      <c r="JL45" s="2479" t="str">
        <f t="shared" si="250"/>
        <v/>
      </c>
      <c r="JM45" s="2479" t="str">
        <f t="shared" si="251"/>
        <v/>
      </c>
      <c r="JN45" s="2479" t="str">
        <f t="shared" si="252"/>
        <v/>
      </c>
      <c r="JO45" s="2479" t="str">
        <f t="shared" si="253"/>
        <v/>
      </c>
      <c r="JP45" s="2479" t="str">
        <f t="shared" si="254"/>
        <v/>
      </c>
      <c r="JQ45" s="2479" t="str">
        <f t="shared" si="255"/>
        <v/>
      </c>
      <c r="JR45" s="2479" t="str">
        <f t="shared" si="256"/>
        <v/>
      </c>
      <c r="JS45" s="2479" t="str">
        <f t="shared" si="257"/>
        <v/>
      </c>
      <c r="JT45" s="2479" t="str">
        <f t="shared" si="258"/>
        <v/>
      </c>
      <c r="JU45" s="2479" t="str">
        <f t="shared" si="259"/>
        <v/>
      </c>
      <c r="JV45" s="2479" t="str">
        <f t="shared" si="260"/>
        <v/>
      </c>
      <c r="JW45" s="2479" t="str">
        <f t="shared" si="261"/>
        <v/>
      </c>
      <c r="JX45" s="2479" t="str">
        <f t="shared" si="262"/>
        <v/>
      </c>
      <c r="JY45" s="2479" t="str">
        <f t="shared" si="263"/>
        <v/>
      </c>
      <c r="JZ45" s="2479" t="str">
        <f t="shared" si="264"/>
        <v/>
      </c>
      <c r="KA45" s="2479" t="str">
        <f t="shared" si="265"/>
        <v/>
      </c>
      <c r="KB45" s="2479" t="str">
        <f t="shared" si="266"/>
        <v/>
      </c>
      <c r="KC45" s="2479" t="str">
        <f t="shared" si="267"/>
        <v/>
      </c>
      <c r="KD45" s="2479" t="str">
        <f t="shared" si="268"/>
        <v/>
      </c>
      <c r="KE45" s="2479" t="str">
        <f t="shared" si="269"/>
        <v/>
      </c>
      <c r="KF45" s="2479" t="str">
        <f t="shared" si="270"/>
        <v/>
      </c>
      <c r="KG45" s="2479" t="str">
        <f t="shared" si="271"/>
        <v/>
      </c>
      <c r="KH45" s="2479" t="str">
        <f t="shared" si="272"/>
        <v/>
      </c>
      <c r="KI45" s="2479" t="str">
        <f t="shared" si="273"/>
        <v/>
      </c>
      <c r="KJ45" s="2479" t="str">
        <f t="shared" si="274"/>
        <v/>
      </c>
      <c r="KK45" s="2479" t="str">
        <f t="shared" si="275"/>
        <v/>
      </c>
      <c r="KL45" s="2479" t="str">
        <f t="shared" si="276"/>
        <v/>
      </c>
      <c r="KM45" s="2479" t="str">
        <f t="shared" si="277"/>
        <v/>
      </c>
      <c r="KN45" s="2479" t="str">
        <f t="shared" si="278"/>
        <v/>
      </c>
      <c r="KO45" s="2479" t="str">
        <f t="shared" si="279"/>
        <v/>
      </c>
      <c r="KP45" s="2479" t="str">
        <f t="shared" si="280"/>
        <v/>
      </c>
      <c r="KQ45" s="2479" t="str">
        <f t="shared" si="281"/>
        <v/>
      </c>
      <c r="KR45" s="2479" t="str">
        <f t="shared" si="282"/>
        <v/>
      </c>
      <c r="KS45" s="2479" t="str">
        <f t="shared" si="283"/>
        <v/>
      </c>
      <c r="KT45" s="2479" t="str">
        <f t="shared" si="284"/>
        <v/>
      </c>
      <c r="KU45" s="2479" t="str">
        <f t="shared" si="285"/>
        <v/>
      </c>
      <c r="KV45" s="2479" t="str">
        <f t="shared" si="286"/>
        <v/>
      </c>
      <c r="KW45" s="2479" t="str">
        <f t="shared" si="287"/>
        <v/>
      </c>
      <c r="KX45" s="2479" t="str">
        <f t="shared" si="288"/>
        <v/>
      </c>
      <c r="KY45" s="2479" t="str">
        <f t="shared" si="289"/>
        <v/>
      </c>
      <c r="KZ45" s="2479" t="str">
        <f t="shared" si="290"/>
        <v/>
      </c>
      <c r="LA45" s="2479" t="str">
        <f t="shared" si="291"/>
        <v/>
      </c>
      <c r="LB45" s="2479" t="str">
        <f t="shared" si="292"/>
        <v/>
      </c>
      <c r="LC45" s="2479" t="str">
        <f t="shared" si="293"/>
        <v/>
      </c>
      <c r="LD45" s="2479" t="str">
        <f t="shared" si="294"/>
        <v/>
      </c>
      <c r="LE45" s="2479" t="str">
        <f t="shared" si="295"/>
        <v/>
      </c>
      <c r="LF45" s="2479" t="str">
        <f t="shared" si="296"/>
        <v/>
      </c>
      <c r="LG45" s="2479" t="str">
        <f t="shared" si="297"/>
        <v/>
      </c>
      <c r="LH45" s="2479" t="str">
        <f t="shared" si="298"/>
        <v/>
      </c>
      <c r="LI45" s="2479" t="str">
        <f t="shared" si="299"/>
        <v/>
      </c>
      <c r="LJ45" s="2479" t="str">
        <f t="shared" si="300"/>
        <v/>
      </c>
      <c r="LK45" s="2479" t="str">
        <f t="shared" si="301"/>
        <v/>
      </c>
      <c r="LL45" s="2479" t="str">
        <f t="shared" si="302"/>
        <v/>
      </c>
      <c r="LM45" s="2479" t="str">
        <f t="shared" si="303"/>
        <v/>
      </c>
      <c r="LN45" s="2479" t="str">
        <f t="shared" si="304"/>
        <v/>
      </c>
      <c r="LO45" s="2479" t="str">
        <f t="shared" si="305"/>
        <v/>
      </c>
      <c r="LP45" s="2479" t="str">
        <f t="shared" si="306"/>
        <v/>
      </c>
      <c r="LQ45" s="2480" t="str">
        <f t="shared" si="307"/>
        <v/>
      </c>
      <c r="LR45" s="2480" t="str">
        <f t="shared" si="308"/>
        <v/>
      </c>
      <c r="LS45" s="2480" t="str">
        <f t="shared" si="309"/>
        <v/>
      </c>
      <c r="LT45" s="2480" t="str">
        <f t="shared" si="310"/>
        <v/>
      </c>
      <c r="LU45" s="2480"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78">
        <f t="shared" si="338"/>
        <v>0</v>
      </c>
      <c r="MQ45" s="2478">
        <f t="shared" si="339"/>
        <v>0</v>
      </c>
      <c r="MR45" s="2478">
        <f t="shared" si="340"/>
        <v>0</v>
      </c>
      <c r="MS45" s="2478">
        <f t="shared" si="341"/>
        <v>0</v>
      </c>
      <c r="MT45" s="2478">
        <f t="shared" si="342"/>
        <v>0</v>
      </c>
      <c r="MU45" s="2478">
        <f t="shared" si="343"/>
        <v>0</v>
      </c>
      <c r="MV45" s="2478">
        <f t="shared" si="344"/>
        <v>0</v>
      </c>
      <c r="MW45" s="2478">
        <f t="shared" si="345"/>
        <v>0</v>
      </c>
      <c r="MX45" s="2478">
        <f t="shared" si="346"/>
        <v>0</v>
      </c>
      <c r="MY45" s="2478">
        <f t="shared" si="347"/>
        <v>0</v>
      </c>
      <c r="MZ45" s="2478">
        <f t="shared" si="332"/>
        <v>0</v>
      </c>
      <c r="NA45" s="2478">
        <f t="shared" si="333"/>
        <v>0</v>
      </c>
      <c r="NB45" s="2478">
        <f t="shared" si="334"/>
        <v>0</v>
      </c>
      <c r="NC45" s="2478">
        <f t="shared" si="335"/>
        <v>0</v>
      </c>
      <c r="ND45" s="2478">
        <f t="shared" si="336"/>
        <v>0</v>
      </c>
    </row>
    <row r="46" spans="1:369" ht="13.8" customHeight="1">
      <c r="A46" s="111" t="str">
        <f t="shared" si="337"/>
        <v/>
      </c>
      <c r="B46" s="1695"/>
      <c r="C46" s="171"/>
      <c r="D46" s="172"/>
      <c r="E46" s="173"/>
      <c r="F46" s="173"/>
      <c r="G46" s="173"/>
      <c r="H46" s="173"/>
      <c r="I46" s="173"/>
      <c r="J46" s="1092">
        <f>IF(C46="",0,HLOOKUP(C46,'Part V-Utility Allowances'!$I$11:$M$22,12))</f>
        <v>0</v>
      </c>
      <c r="K46" s="931"/>
      <c r="L46" s="667">
        <f t="shared" si="0"/>
        <v>0</v>
      </c>
      <c r="M46" s="667">
        <f t="shared" si="1"/>
        <v>0</v>
      </c>
      <c r="N46" s="1013"/>
      <c r="O46" s="1013"/>
      <c r="P46" s="1013"/>
      <c r="Q46" s="174"/>
      <c r="R46" s="1069"/>
      <c r="S46" s="1070"/>
      <c r="T46" s="3503"/>
      <c r="U46" s="3504"/>
      <c r="V46" s="3504"/>
      <c r="W46" s="3505"/>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79" t="str">
        <f t="shared" si="212"/>
        <v/>
      </c>
      <c r="IA46" s="2479" t="str">
        <f t="shared" si="213"/>
        <v/>
      </c>
      <c r="IB46" s="2479" t="str">
        <f t="shared" si="214"/>
        <v/>
      </c>
      <c r="IC46" s="2479" t="str">
        <f t="shared" si="215"/>
        <v/>
      </c>
      <c r="ID46" s="2479" t="str">
        <f t="shared" si="216"/>
        <v/>
      </c>
      <c r="IE46" s="2479" t="str">
        <f t="shared" si="217"/>
        <v/>
      </c>
      <c r="IF46" s="2479" t="str">
        <f t="shared" si="218"/>
        <v/>
      </c>
      <c r="IG46" s="2479" t="str">
        <f t="shared" si="219"/>
        <v/>
      </c>
      <c r="IH46" s="2479" t="str">
        <f t="shared" si="220"/>
        <v/>
      </c>
      <c r="II46" s="2479" t="str">
        <f t="shared" si="221"/>
        <v/>
      </c>
      <c r="IJ46" s="2479" t="str">
        <f t="shared" si="222"/>
        <v/>
      </c>
      <c r="IK46" s="2479" t="str">
        <f t="shared" si="223"/>
        <v/>
      </c>
      <c r="IL46" s="2479" t="str">
        <f t="shared" si="224"/>
        <v/>
      </c>
      <c r="IM46" s="2479" t="str">
        <f t="shared" si="225"/>
        <v/>
      </c>
      <c r="IN46" s="2479" t="str">
        <f t="shared" si="226"/>
        <v/>
      </c>
      <c r="IO46" s="2479" t="str">
        <f t="shared" si="227"/>
        <v/>
      </c>
      <c r="IP46" s="2479" t="str">
        <f t="shared" si="228"/>
        <v/>
      </c>
      <c r="IQ46" s="2479" t="str">
        <f t="shared" si="229"/>
        <v/>
      </c>
      <c r="IR46" s="2479" t="str">
        <f t="shared" si="230"/>
        <v/>
      </c>
      <c r="IS46" s="2479" t="str">
        <f t="shared" si="231"/>
        <v/>
      </c>
      <c r="IT46" s="2479" t="str">
        <f t="shared" si="232"/>
        <v/>
      </c>
      <c r="IU46" s="2479" t="str">
        <f t="shared" si="233"/>
        <v/>
      </c>
      <c r="IV46" s="2479" t="str">
        <f t="shared" si="234"/>
        <v/>
      </c>
      <c r="IW46" s="2479" t="str">
        <f t="shared" si="235"/>
        <v/>
      </c>
      <c r="IX46" s="2479" t="str">
        <f t="shared" si="236"/>
        <v/>
      </c>
      <c r="IY46" s="2479" t="str">
        <f t="shared" si="237"/>
        <v/>
      </c>
      <c r="IZ46" s="2479" t="str">
        <f t="shared" si="238"/>
        <v/>
      </c>
      <c r="JA46" s="2479" t="str">
        <f t="shared" si="239"/>
        <v/>
      </c>
      <c r="JB46" s="2479" t="str">
        <f t="shared" si="240"/>
        <v/>
      </c>
      <c r="JC46" s="2479" t="str">
        <f t="shared" si="241"/>
        <v/>
      </c>
      <c r="JD46" s="2479" t="str">
        <f t="shared" si="242"/>
        <v/>
      </c>
      <c r="JE46" s="2479" t="str">
        <f t="shared" si="243"/>
        <v/>
      </c>
      <c r="JF46" s="2479" t="str">
        <f t="shared" si="244"/>
        <v/>
      </c>
      <c r="JG46" s="2479" t="str">
        <f t="shared" si="245"/>
        <v/>
      </c>
      <c r="JH46" s="2479" t="str">
        <f t="shared" si="246"/>
        <v/>
      </c>
      <c r="JI46" s="2479" t="str">
        <f t="shared" si="247"/>
        <v/>
      </c>
      <c r="JJ46" s="2479" t="str">
        <f t="shared" si="248"/>
        <v/>
      </c>
      <c r="JK46" s="2479" t="str">
        <f t="shared" si="249"/>
        <v/>
      </c>
      <c r="JL46" s="2479" t="str">
        <f t="shared" si="250"/>
        <v/>
      </c>
      <c r="JM46" s="2479" t="str">
        <f t="shared" si="251"/>
        <v/>
      </c>
      <c r="JN46" s="2479" t="str">
        <f t="shared" si="252"/>
        <v/>
      </c>
      <c r="JO46" s="2479" t="str">
        <f t="shared" si="253"/>
        <v/>
      </c>
      <c r="JP46" s="2479" t="str">
        <f t="shared" si="254"/>
        <v/>
      </c>
      <c r="JQ46" s="2479" t="str">
        <f t="shared" si="255"/>
        <v/>
      </c>
      <c r="JR46" s="2479" t="str">
        <f t="shared" si="256"/>
        <v/>
      </c>
      <c r="JS46" s="2479" t="str">
        <f t="shared" si="257"/>
        <v/>
      </c>
      <c r="JT46" s="2479" t="str">
        <f t="shared" si="258"/>
        <v/>
      </c>
      <c r="JU46" s="2479" t="str">
        <f t="shared" si="259"/>
        <v/>
      </c>
      <c r="JV46" s="2479" t="str">
        <f t="shared" si="260"/>
        <v/>
      </c>
      <c r="JW46" s="2479" t="str">
        <f t="shared" si="261"/>
        <v/>
      </c>
      <c r="JX46" s="2479" t="str">
        <f t="shared" si="262"/>
        <v/>
      </c>
      <c r="JY46" s="2479" t="str">
        <f t="shared" si="263"/>
        <v/>
      </c>
      <c r="JZ46" s="2479" t="str">
        <f t="shared" si="264"/>
        <v/>
      </c>
      <c r="KA46" s="2479" t="str">
        <f t="shared" si="265"/>
        <v/>
      </c>
      <c r="KB46" s="2479" t="str">
        <f t="shared" si="266"/>
        <v/>
      </c>
      <c r="KC46" s="2479" t="str">
        <f t="shared" si="267"/>
        <v/>
      </c>
      <c r="KD46" s="2479" t="str">
        <f t="shared" si="268"/>
        <v/>
      </c>
      <c r="KE46" s="2479" t="str">
        <f t="shared" si="269"/>
        <v/>
      </c>
      <c r="KF46" s="2479" t="str">
        <f t="shared" si="270"/>
        <v/>
      </c>
      <c r="KG46" s="2479" t="str">
        <f t="shared" si="271"/>
        <v/>
      </c>
      <c r="KH46" s="2479" t="str">
        <f t="shared" si="272"/>
        <v/>
      </c>
      <c r="KI46" s="2479" t="str">
        <f t="shared" si="273"/>
        <v/>
      </c>
      <c r="KJ46" s="2479" t="str">
        <f t="shared" si="274"/>
        <v/>
      </c>
      <c r="KK46" s="2479" t="str">
        <f t="shared" si="275"/>
        <v/>
      </c>
      <c r="KL46" s="2479" t="str">
        <f t="shared" si="276"/>
        <v/>
      </c>
      <c r="KM46" s="2479" t="str">
        <f t="shared" si="277"/>
        <v/>
      </c>
      <c r="KN46" s="2479" t="str">
        <f t="shared" si="278"/>
        <v/>
      </c>
      <c r="KO46" s="2479" t="str">
        <f t="shared" si="279"/>
        <v/>
      </c>
      <c r="KP46" s="2479" t="str">
        <f t="shared" si="280"/>
        <v/>
      </c>
      <c r="KQ46" s="2479" t="str">
        <f t="shared" si="281"/>
        <v/>
      </c>
      <c r="KR46" s="2479" t="str">
        <f t="shared" si="282"/>
        <v/>
      </c>
      <c r="KS46" s="2479" t="str">
        <f t="shared" si="283"/>
        <v/>
      </c>
      <c r="KT46" s="2479" t="str">
        <f t="shared" si="284"/>
        <v/>
      </c>
      <c r="KU46" s="2479" t="str">
        <f t="shared" si="285"/>
        <v/>
      </c>
      <c r="KV46" s="2479" t="str">
        <f t="shared" si="286"/>
        <v/>
      </c>
      <c r="KW46" s="2479" t="str">
        <f t="shared" si="287"/>
        <v/>
      </c>
      <c r="KX46" s="2479" t="str">
        <f t="shared" si="288"/>
        <v/>
      </c>
      <c r="KY46" s="2479" t="str">
        <f t="shared" si="289"/>
        <v/>
      </c>
      <c r="KZ46" s="2479" t="str">
        <f t="shared" si="290"/>
        <v/>
      </c>
      <c r="LA46" s="2479" t="str">
        <f t="shared" si="291"/>
        <v/>
      </c>
      <c r="LB46" s="2479" t="str">
        <f t="shared" si="292"/>
        <v/>
      </c>
      <c r="LC46" s="2479" t="str">
        <f t="shared" si="293"/>
        <v/>
      </c>
      <c r="LD46" s="2479" t="str">
        <f t="shared" si="294"/>
        <v/>
      </c>
      <c r="LE46" s="2479" t="str">
        <f t="shared" si="295"/>
        <v/>
      </c>
      <c r="LF46" s="2479" t="str">
        <f t="shared" si="296"/>
        <v/>
      </c>
      <c r="LG46" s="2479" t="str">
        <f t="shared" si="297"/>
        <v/>
      </c>
      <c r="LH46" s="2479" t="str">
        <f t="shared" si="298"/>
        <v/>
      </c>
      <c r="LI46" s="2479" t="str">
        <f t="shared" si="299"/>
        <v/>
      </c>
      <c r="LJ46" s="2479" t="str">
        <f t="shared" si="300"/>
        <v/>
      </c>
      <c r="LK46" s="2479" t="str">
        <f t="shared" si="301"/>
        <v/>
      </c>
      <c r="LL46" s="2479" t="str">
        <f t="shared" si="302"/>
        <v/>
      </c>
      <c r="LM46" s="2479" t="str">
        <f t="shared" si="303"/>
        <v/>
      </c>
      <c r="LN46" s="2479" t="str">
        <f t="shared" si="304"/>
        <v/>
      </c>
      <c r="LO46" s="2479" t="str">
        <f t="shared" si="305"/>
        <v/>
      </c>
      <c r="LP46" s="2479" t="str">
        <f t="shared" si="306"/>
        <v/>
      </c>
      <c r="LQ46" s="2480" t="str">
        <f t="shared" si="307"/>
        <v/>
      </c>
      <c r="LR46" s="2480" t="str">
        <f t="shared" si="308"/>
        <v/>
      </c>
      <c r="LS46" s="2480" t="str">
        <f t="shared" si="309"/>
        <v/>
      </c>
      <c r="LT46" s="2480" t="str">
        <f t="shared" si="310"/>
        <v/>
      </c>
      <c r="LU46" s="2480"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78">
        <f t="shared" si="338"/>
        <v>0</v>
      </c>
      <c r="MQ46" s="2478">
        <f t="shared" si="339"/>
        <v>0</v>
      </c>
      <c r="MR46" s="2478">
        <f t="shared" si="340"/>
        <v>0</v>
      </c>
      <c r="MS46" s="2478">
        <f t="shared" si="341"/>
        <v>0</v>
      </c>
      <c r="MT46" s="2478">
        <f t="shared" si="342"/>
        <v>0</v>
      </c>
      <c r="MU46" s="2478">
        <f t="shared" si="343"/>
        <v>0</v>
      </c>
      <c r="MV46" s="2478">
        <f t="shared" si="344"/>
        <v>0</v>
      </c>
      <c r="MW46" s="2478">
        <f t="shared" si="345"/>
        <v>0</v>
      </c>
      <c r="MX46" s="2478">
        <f t="shared" si="346"/>
        <v>0</v>
      </c>
      <c r="MY46" s="2478">
        <f t="shared" si="347"/>
        <v>0</v>
      </c>
      <c r="MZ46" s="2478">
        <f t="shared" si="332"/>
        <v>0</v>
      </c>
      <c r="NA46" s="2478">
        <f t="shared" si="333"/>
        <v>0</v>
      </c>
      <c r="NB46" s="2478">
        <f t="shared" si="334"/>
        <v>0</v>
      </c>
      <c r="NC46" s="2478">
        <f t="shared" si="335"/>
        <v>0</v>
      </c>
      <c r="ND46" s="2478">
        <f t="shared" si="336"/>
        <v>0</v>
      </c>
    </row>
    <row r="47" spans="1:369" ht="13.8" customHeight="1">
      <c r="A47" s="111" t="str">
        <f t="shared" si="337"/>
        <v/>
      </c>
      <c r="B47" s="1696"/>
      <c r="C47" s="175"/>
      <c r="D47" s="176"/>
      <c r="E47" s="177"/>
      <c r="F47" s="177"/>
      <c r="G47" s="177"/>
      <c r="H47" s="177"/>
      <c r="I47" s="177"/>
      <c r="J47" s="1093">
        <f>IF(C47="",0,HLOOKUP(C47,'Part V-Utility Allowances'!$I$11:$M$22,12))</f>
        <v>0</v>
      </c>
      <c r="K47" s="932"/>
      <c r="L47" s="668">
        <f t="shared" si="0"/>
        <v>0</v>
      </c>
      <c r="M47" s="668">
        <f t="shared" si="1"/>
        <v>0</v>
      </c>
      <c r="N47" s="1014"/>
      <c r="O47" s="1014"/>
      <c r="P47" s="1014"/>
      <c r="Q47" s="178"/>
      <c r="R47" s="1071"/>
      <c r="S47" s="1072"/>
      <c r="T47" s="3507"/>
      <c r="U47" s="3508"/>
      <c r="V47" s="3508"/>
      <c r="W47" s="3509"/>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79" t="str">
        <f t="shared" si="212"/>
        <v/>
      </c>
      <c r="IA47" s="2479" t="str">
        <f t="shared" si="213"/>
        <v/>
      </c>
      <c r="IB47" s="2479" t="str">
        <f t="shared" si="214"/>
        <v/>
      </c>
      <c r="IC47" s="2479" t="str">
        <f t="shared" si="215"/>
        <v/>
      </c>
      <c r="ID47" s="2479" t="str">
        <f t="shared" si="216"/>
        <v/>
      </c>
      <c r="IE47" s="2479" t="str">
        <f t="shared" si="217"/>
        <v/>
      </c>
      <c r="IF47" s="2479" t="str">
        <f t="shared" si="218"/>
        <v/>
      </c>
      <c r="IG47" s="2479" t="str">
        <f t="shared" si="219"/>
        <v/>
      </c>
      <c r="IH47" s="2479" t="str">
        <f t="shared" si="220"/>
        <v/>
      </c>
      <c r="II47" s="2479" t="str">
        <f t="shared" si="221"/>
        <v/>
      </c>
      <c r="IJ47" s="2479" t="str">
        <f t="shared" si="222"/>
        <v/>
      </c>
      <c r="IK47" s="2479" t="str">
        <f t="shared" si="223"/>
        <v/>
      </c>
      <c r="IL47" s="2479" t="str">
        <f t="shared" si="224"/>
        <v/>
      </c>
      <c r="IM47" s="2479" t="str">
        <f t="shared" si="225"/>
        <v/>
      </c>
      <c r="IN47" s="2479" t="str">
        <f t="shared" si="226"/>
        <v/>
      </c>
      <c r="IO47" s="2479" t="str">
        <f t="shared" si="227"/>
        <v/>
      </c>
      <c r="IP47" s="2479" t="str">
        <f t="shared" si="228"/>
        <v/>
      </c>
      <c r="IQ47" s="2479" t="str">
        <f t="shared" si="229"/>
        <v/>
      </c>
      <c r="IR47" s="2479" t="str">
        <f t="shared" si="230"/>
        <v/>
      </c>
      <c r="IS47" s="2479" t="str">
        <f t="shared" si="231"/>
        <v/>
      </c>
      <c r="IT47" s="2479" t="str">
        <f t="shared" si="232"/>
        <v/>
      </c>
      <c r="IU47" s="2479" t="str">
        <f t="shared" si="233"/>
        <v/>
      </c>
      <c r="IV47" s="2479" t="str">
        <f t="shared" si="234"/>
        <v/>
      </c>
      <c r="IW47" s="2479" t="str">
        <f t="shared" si="235"/>
        <v/>
      </c>
      <c r="IX47" s="2479" t="str">
        <f t="shared" si="236"/>
        <v/>
      </c>
      <c r="IY47" s="2479" t="str">
        <f t="shared" si="237"/>
        <v/>
      </c>
      <c r="IZ47" s="2479" t="str">
        <f t="shared" si="238"/>
        <v/>
      </c>
      <c r="JA47" s="2479" t="str">
        <f t="shared" si="239"/>
        <v/>
      </c>
      <c r="JB47" s="2479" t="str">
        <f t="shared" si="240"/>
        <v/>
      </c>
      <c r="JC47" s="2479" t="str">
        <f t="shared" si="241"/>
        <v/>
      </c>
      <c r="JD47" s="2479" t="str">
        <f t="shared" si="242"/>
        <v/>
      </c>
      <c r="JE47" s="2479" t="str">
        <f t="shared" si="243"/>
        <v/>
      </c>
      <c r="JF47" s="2479" t="str">
        <f t="shared" si="244"/>
        <v/>
      </c>
      <c r="JG47" s="2479" t="str">
        <f t="shared" si="245"/>
        <v/>
      </c>
      <c r="JH47" s="2479" t="str">
        <f t="shared" si="246"/>
        <v/>
      </c>
      <c r="JI47" s="2479" t="str">
        <f t="shared" si="247"/>
        <v/>
      </c>
      <c r="JJ47" s="2479" t="str">
        <f t="shared" si="248"/>
        <v/>
      </c>
      <c r="JK47" s="2479" t="str">
        <f t="shared" si="249"/>
        <v/>
      </c>
      <c r="JL47" s="2479" t="str">
        <f t="shared" si="250"/>
        <v/>
      </c>
      <c r="JM47" s="2479" t="str">
        <f t="shared" si="251"/>
        <v/>
      </c>
      <c r="JN47" s="2479" t="str">
        <f t="shared" si="252"/>
        <v/>
      </c>
      <c r="JO47" s="2479" t="str">
        <f t="shared" si="253"/>
        <v/>
      </c>
      <c r="JP47" s="2479" t="str">
        <f t="shared" si="254"/>
        <v/>
      </c>
      <c r="JQ47" s="2479" t="str">
        <f t="shared" si="255"/>
        <v/>
      </c>
      <c r="JR47" s="2479" t="str">
        <f t="shared" si="256"/>
        <v/>
      </c>
      <c r="JS47" s="2479" t="str">
        <f t="shared" si="257"/>
        <v/>
      </c>
      <c r="JT47" s="2479" t="str">
        <f t="shared" si="258"/>
        <v/>
      </c>
      <c r="JU47" s="2479" t="str">
        <f t="shared" si="259"/>
        <v/>
      </c>
      <c r="JV47" s="2479" t="str">
        <f t="shared" si="260"/>
        <v/>
      </c>
      <c r="JW47" s="2479" t="str">
        <f t="shared" si="261"/>
        <v/>
      </c>
      <c r="JX47" s="2479" t="str">
        <f t="shared" si="262"/>
        <v/>
      </c>
      <c r="JY47" s="2479" t="str">
        <f t="shared" si="263"/>
        <v/>
      </c>
      <c r="JZ47" s="2479" t="str">
        <f t="shared" si="264"/>
        <v/>
      </c>
      <c r="KA47" s="2479" t="str">
        <f t="shared" si="265"/>
        <v/>
      </c>
      <c r="KB47" s="2479" t="str">
        <f t="shared" si="266"/>
        <v/>
      </c>
      <c r="KC47" s="2479" t="str">
        <f t="shared" si="267"/>
        <v/>
      </c>
      <c r="KD47" s="2479" t="str">
        <f t="shared" si="268"/>
        <v/>
      </c>
      <c r="KE47" s="2479" t="str">
        <f t="shared" si="269"/>
        <v/>
      </c>
      <c r="KF47" s="2479" t="str">
        <f t="shared" si="270"/>
        <v/>
      </c>
      <c r="KG47" s="2479" t="str">
        <f t="shared" si="271"/>
        <v/>
      </c>
      <c r="KH47" s="2479" t="str">
        <f t="shared" si="272"/>
        <v/>
      </c>
      <c r="KI47" s="2479" t="str">
        <f t="shared" si="273"/>
        <v/>
      </c>
      <c r="KJ47" s="2479" t="str">
        <f t="shared" si="274"/>
        <v/>
      </c>
      <c r="KK47" s="2479" t="str">
        <f t="shared" si="275"/>
        <v/>
      </c>
      <c r="KL47" s="2479" t="str">
        <f t="shared" si="276"/>
        <v/>
      </c>
      <c r="KM47" s="2479" t="str">
        <f t="shared" si="277"/>
        <v/>
      </c>
      <c r="KN47" s="2479" t="str">
        <f t="shared" si="278"/>
        <v/>
      </c>
      <c r="KO47" s="2479" t="str">
        <f t="shared" si="279"/>
        <v/>
      </c>
      <c r="KP47" s="2479" t="str">
        <f t="shared" si="280"/>
        <v/>
      </c>
      <c r="KQ47" s="2479" t="str">
        <f t="shared" si="281"/>
        <v/>
      </c>
      <c r="KR47" s="2479" t="str">
        <f t="shared" si="282"/>
        <v/>
      </c>
      <c r="KS47" s="2479" t="str">
        <f t="shared" si="283"/>
        <v/>
      </c>
      <c r="KT47" s="2479" t="str">
        <f t="shared" si="284"/>
        <v/>
      </c>
      <c r="KU47" s="2479" t="str">
        <f t="shared" si="285"/>
        <v/>
      </c>
      <c r="KV47" s="2479" t="str">
        <f t="shared" si="286"/>
        <v/>
      </c>
      <c r="KW47" s="2479" t="str">
        <f t="shared" si="287"/>
        <v/>
      </c>
      <c r="KX47" s="2479" t="str">
        <f t="shared" si="288"/>
        <v/>
      </c>
      <c r="KY47" s="2479" t="str">
        <f t="shared" si="289"/>
        <v/>
      </c>
      <c r="KZ47" s="2479" t="str">
        <f t="shared" si="290"/>
        <v/>
      </c>
      <c r="LA47" s="2479" t="str">
        <f t="shared" si="291"/>
        <v/>
      </c>
      <c r="LB47" s="2479" t="str">
        <f t="shared" si="292"/>
        <v/>
      </c>
      <c r="LC47" s="2479" t="str">
        <f t="shared" si="293"/>
        <v/>
      </c>
      <c r="LD47" s="2479" t="str">
        <f t="shared" si="294"/>
        <v/>
      </c>
      <c r="LE47" s="2479" t="str">
        <f t="shared" si="295"/>
        <v/>
      </c>
      <c r="LF47" s="2479" t="str">
        <f t="shared" si="296"/>
        <v/>
      </c>
      <c r="LG47" s="2479" t="str">
        <f t="shared" si="297"/>
        <v/>
      </c>
      <c r="LH47" s="2479" t="str">
        <f t="shared" si="298"/>
        <v/>
      </c>
      <c r="LI47" s="2479" t="str">
        <f t="shared" si="299"/>
        <v/>
      </c>
      <c r="LJ47" s="2479" t="str">
        <f t="shared" si="300"/>
        <v/>
      </c>
      <c r="LK47" s="2479" t="str">
        <f t="shared" si="301"/>
        <v/>
      </c>
      <c r="LL47" s="2479" t="str">
        <f t="shared" si="302"/>
        <v/>
      </c>
      <c r="LM47" s="2479" t="str">
        <f t="shared" si="303"/>
        <v/>
      </c>
      <c r="LN47" s="2479" t="str">
        <f t="shared" si="304"/>
        <v/>
      </c>
      <c r="LO47" s="2479" t="str">
        <f t="shared" si="305"/>
        <v/>
      </c>
      <c r="LP47" s="2479" t="str">
        <f t="shared" si="306"/>
        <v/>
      </c>
      <c r="LQ47" s="2480" t="str">
        <f t="shared" si="307"/>
        <v/>
      </c>
      <c r="LR47" s="2480" t="str">
        <f t="shared" si="308"/>
        <v/>
      </c>
      <c r="LS47" s="2480" t="str">
        <f t="shared" si="309"/>
        <v/>
      </c>
      <c r="LT47" s="2480" t="str">
        <f t="shared" si="310"/>
        <v/>
      </c>
      <c r="LU47" s="2480"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78">
        <f t="shared" si="338"/>
        <v>0</v>
      </c>
      <c r="MQ47" s="2478">
        <f t="shared" si="339"/>
        <v>0</v>
      </c>
      <c r="MR47" s="2478">
        <f t="shared" si="340"/>
        <v>0</v>
      </c>
      <c r="MS47" s="2478">
        <f t="shared" si="341"/>
        <v>0</v>
      </c>
      <c r="MT47" s="2478">
        <f t="shared" si="342"/>
        <v>0</v>
      </c>
      <c r="MU47" s="2478">
        <f t="shared" si="343"/>
        <v>0</v>
      </c>
      <c r="MV47" s="2478">
        <f t="shared" si="344"/>
        <v>0</v>
      </c>
      <c r="MW47" s="2478">
        <f t="shared" si="345"/>
        <v>0</v>
      </c>
      <c r="MX47" s="2478">
        <f t="shared" si="346"/>
        <v>0</v>
      </c>
      <c r="MY47" s="2478">
        <f t="shared" si="347"/>
        <v>0</v>
      </c>
      <c r="MZ47" s="2478">
        <f t="shared" si="332"/>
        <v>0</v>
      </c>
      <c r="NA47" s="2478">
        <f t="shared" si="333"/>
        <v>0</v>
      </c>
      <c r="NB47" s="2478">
        <f t="shared" si="334"/>
        <v>0</v>
      </c>
      <c r="NC47" s="2478">
        <f t="shared" si="335"/>
        <v>0</v>
      </c>
      <c r="ND47" s="2478">
        <f t="shared" si="336"/>
        <v>0</v>
      </c>
    </row>
    <row r="48" spans="1:369" s="150" customFormat="1" ht="13.8" customHeight="1">
      <c r="A48" s="2320">
        <f>COUNT(A10,A11,A12,A13,A14,A15,A16,A17,A18,A19,A20,A21,A22,A23,A24,A25,A26,A27,A28,A29,A30,A31,A32,A33,A34,A35,A36,A37,A38,A39)</f>
        <v>3</v>
      </c>
      <c r="B48" s="3596" t="s">
        <v>4219</v>
      </c>
      <c r="C48" s="3597"/>
      <c r="D48" s="141" t="s">
        <v>996</v>
      </c>
      <c r="E48" s="1687">
        <f>SUM(E10:E47)</f>
        <v>200</v>
      </c>
      <c r="F48" s="1685">
        <f>(E10*F10+E11*F11+E12*F12+E13*F13+E14*F14+E15*F15+E16*F16+E17*F17+E18*F18+E19*F19+E20*F20+E21*F21+E22*F22+E23*F23+E24*F24+E25*F25+E26*F26+E27*F27+E28*F28+E29*F29+E30*F30+E31*F31+E32*F32+E33*F33+E34*F34+E35*F35+E36*F36+E37*F37+E38*F38+E39*F39+E40*F40+E41*F41+E42*F42+E43*F43+E44*F44+E45*F45+E46*F46+E47*F47)</f>
        <v>222230</v>
      </c>
      <c r="H48" s="3579" t="s">
        <v>4216</v>
      </c>
      <c r="I48" s="1688" t="s">
        <v>4217</v>
      </c>
      <c r="J48" s="1689" t="str">
        <f>IF(P67=0,"",IF(SUM(P58:P62)/P67&gt;=0.4,"Pass","Fail"))</f>
        <v>Pass</v>
      </c>
      <c r="K48" s="643"/>
      <c r="L48" s="1017" t="s">
        <v>1276</v>
      </c>
      <c r="M48" s="126">
        <f>SUM(M10:M47)</f>
        <v>164000</v>
      </c>
      <c r="N48" s="95"/>
      <c r="O48" s="644"/>
      <c r="P48" s="95"/>
      <c r="Q48" s="524"/>
      <c r="R48" s="524"/>
      <c r="S48" s="524"/>
      <c r="T48" s="524"/>
      <c r="U48" s="524"/>
      <c r="V48" s="994"/>
      <c r="W48" s="645"/>
      <c r="X48" s="2481">
        <f t="shared" ref="X48:FA48" si="348">SUM(X10:X47)</f>
        <v>0</v>
      </c>
      <c r="Y48" s="2481">
        <f t="shared" si="348"/>
        <v>0</v>
      </c>
      <c r="Z48" s="2481">
        <f t="shared" si="348"/>
        <v>0</v>
      </c>
      <c r="AA48" s="2481">
        <f t="shared" si="348"/>
        <v>0</v>
      </c>
      <c r="AB48" s="2481">
        <f t="shared" si="348"/>
        <v>0</v>
      </c>
      <c r="AC48" s="2481">
        <f t="shared" ref="AC48:AL48" si="349">SUM(AC10:AC47)</f>
        <v>0</v>
      </c>
      <c r="AD48" s="2481">
        <f t="shared" si="349"/>
        <v>0</v>
      </c>
      <c r="AE48" s="2481">
        <f t="shared" si="349"/>
        <v>0</v>
      </c>
      <c r="AF48" s="2481">
        <f t="shared" si="349"/>
        <v>0</v>
      </c>
      <c r="AG48" s="2481">
        <f t="shared" si="349"/>
        <v>0</v>
      </c>
      <c r="AH48" s="2481">
        <f t="shared" si="349"/>
        <v>0</v>
      </c>
      <c r="AI48" s="2481">
        <f t="shared" si="349"/>
        <v>18</v>
      </c>
      <c r="AJ48" s="2481">
        <f t="shared" si="349"/>
        <v>106</v>
      </c>
      <c r="AK48" s="2481">
        <f t="shared" si="349"/>
        <v>76</v>
      </c>
      <c r="AL48" s="2481">
        <f t="shared" si="349"/>
        <v>0</v>
      </c>
      <c r="AM48" s="2481">
        <f>SUM(AM10:AM47)</f>
        <v>0</v>
      </c>
      <c r="AN48" s="2481">
        <f>SUM(AN10:AN47)</f>
        <v>0</v>
      </c>
      <c r="AO48" s="2481">
        <f>SUM(AO10:AO47)</f>
        <v>0</v>
      </c>
      <c r="AP48" s="2481">
        <f>SUM(AP10:AP47)</f>
        <v>0</v>
      </c>
      <c r="AQ48" s="2481">
        <f>SUM(AQ10:AQ47)</f>
        <v>0</v>
      </c>
      <c r="AR48" s="2481">
        <f t="shared" si="348"/>
        <v>0</v>
      </c>
      <c r="AS48" s="2481">
        <f t="shared" si="348"/>
        <v>0</v>
      </c>
      <c r="AT48" s="2481">
        <f t="shared" si="348"/>
        <v>0</v>
      </c>
      <c r="AU48" s="2481">
        <f t="shared" si="348"/>
        <v>0</v>
      </c>
      <c r="AV48" s="2481">
        <f t="shared" si="348"/>
        <v>0</v>
      </c>
      <c r="AW48" s="2481">
        <f t="shared" si="348"/>
        <v>0</v>
      </c>
      <c r="AX48" s="2481">
        <f t="shared" si="348"/>
        <v>0</v>
      </c>
      <c r="AY48" s="2481">
        <f t="shared" si="348"/>
        <v>0</v>
      </c>
      <c r="AZ48" s="2481">
        <f t="shared" si="348"/>
        <v>0</v>
      </c>
      <c r="BA48" s="2481">
        <f t="shared" si="348"/>
        <v>0</v>
      </c>
      <c r="BB48" s="2481">
        <f>SUM(BB10:BB47)</f>
        <v>0</v>
      </c>
      <c r="BC48" s="2481">
        <f>SUM(BC10:BC47)</f>
        <v>0</v>
      </c>
      <c r="BD48" s="2481">
        <f>SUM(BD10:BD47)</f>
        <v>0</v>
      </c>
      <c r="BE48" s="2481">
        <f>SUM(BE10:BE47)</f>
        <v>0</v>
      </c>
      <c r="BF48" s="2481">
        <f>SUM(BF10:BF47)</f>
        <v>0</v>
      </c>
      <c r="BG48" s="2481">
        <f t="shared" si="348"/>
        <v>0</v>
      </c>
      <c r="BH48" s="2481">
        <f t="shared" si="348"/>
        <v>0</v>
      </c>
      <c r="BI48" s="2481">
        <f t="shared" si="348"/>
        <v>0</v>
      </c>
      <c r="BJ48" s="2481">
        <f t="shared" si="348"/>
        <v>0</v>
      </c>
      <c r="BK48" s="2481">
        <f t="shared" si="348"/>
        <v>0</v>
      </c>
      <c r="BL48" s="2481">
        <f>SUM(BL10:BL47)</f>
        <v>0</v>
      </c>
      <c r="BM48" s="2481">
        <f>SUM(BM10:BM47)</f>
        <v>0</v>
      </c>
      <c r="BN48" s="2481">
        <f>SUM(BN10:BN47)</f>
        <v>0</v>
      </c>
      <c r="BO48" s="2481">
        <f>SUM(BO10:BO47)</f>
        <v>0</v>
      </c>
      <c r="BP48" s="2481">
        <f>SUM(BP10:BP47)</f>
        <v>0</v>
      </c>
      <c r="BQ48" s="2481">
        <f t="shared" si="348"/>
        <v>0</v>
      </c>
      <c r="BR48" s="2481">
        <f t="shared" si="348"/>
        <v>0</v>
      </c>
      <c r="BS48" s="2481">
        <f t="shared" si="348"/>
        <v>0</v>
      </c>
      <c r="BT48" s="2481">
        <f t="shared" si="348"/>
        <v>0</v>
      </c>
      <c r="BU48" s="2481">
        <f t="shared" si="348"/>
        <v>0</v>
      </c>
      <c r="BV48" s="2481">
        <f>SUM(BV10:BV47)</f>
        <v>0</v>
      </c>
      <c r="BW48" s="2481">
        <f>SUM(BW10:BW47)</f>
        <v>0</v>
      </c>
      <c r="BX48" s="2481">
        <f>SUM(BX10:BX47)</f>
        <v>0</v>
      </c>
      <c r="BY48" s="2481">
        <f>SUM(BY10:BY47)</f>
        <v>0</v>
      </c>
      <c r="BZ48" s="2481">
        <f>SUM(BZ10:BZ47)</f>
        <v>0</v>
      </c>
      <c r="CA48" s="2481">
        <f t="shared" si="348"/>
        <v>0</v>
      </c>
      <c r="CB48" s="2481">
        <f t="shared" si="348"/>
        <v>0</v>
      </c>
      <c r="CC48" s="2481">
        <f t="shared" si="348"/>
        <v>0</v>
      </c>
      <c r="CD48" s="2481">
        <f t="shared" si="348"/>
        <v>0</v>
      </c>
      <c r="CE48" s="2481">
        <f t="shared" si="348"/>
        <v>0</v>
      </c>
      <c r="CF48" s="2481">
        <f t="shared" si="348"/>
        <v>0</v>
      </c>
      <c r="CG48" s="2481">
        <f t="shared" si="348"/>
        <v>0</v>
      </c>
      <c r="CH48" s="2481">
        <f t="shared" si="348"/>
        <v>0</v>
      </c>
      <c r="CI48" s="2481">
        <f t="shared" si="348"/>
        <v>0</v>
      </c>
      <c r="CJ48" s="2481">
        <f t="shared" si="348"/>
        <v>0</v>
      </c>
      <c r="CK48" s="2481">
        <f>SUM(CK10:CK47)</f>
        <v>0</v>
      </c>
      <c r="CL48" s="2481">
        <f>SUM(CL10:CL47)</f>
        <v>0</v>
      </c>
      <c r="CM48" s="2481">
        <f>SUM(CM10:CM47)</f>
        <v>0</v>
      </c>
      <c r="CN48" s="2481">
        <f>SUM(CN10:CN47)</f>
        <v>0</v>
      </c>
      <c r="CO48" s="2481">
        <f>SUM(CO10:CO47)</f>
        <v>0</v>
      </c>
      <c r="CP48" s="2481">
        <f t="shared" ref="CP48:CY48" si="350">SUM(CP10:CP47)</f>
        <v>0</v>
      </c>
      <c r="CQ48" s="2481">
        <f t="shared" si="350"/>
        <v>0</v>
      </c>
      <c r="CR48" s="2481">
        <f t="shared" si="350"/>
        <v>0</v>
      </c>
      <c r="CS48" s="2481">
        <f t="shared" si="350"/>
        <v>0</v>
      </c>
      <c r="CT48" s="2481">
        <f t="shared" si="350"/>
        <v>0</v>
      </c>
      <c r="CU48" s="2481">
        <f t="shared" si="350"/>
        <v>0</v>
      </c>
      <c r="CV48" s="2481">
        <f t="shared" si="350"/>
        <v>0</v>
      </c>
      <c r="CW48" s="2481">
        <f t="shared" si="350"/>
        <v>0</v>
      </c>
      <c r="CX48" s="2481">
        <f t="shared" si="350"/>
        <v>0</v>
      </c>
      <c r="CY48" s="2481">
        <f t="shared" si="350"/>
        <v>0</v>
      </c>
      <c r="CZ48" s="2481">
        <f t="shared" si="348"/>
        <v>0</v>
      </c>
      <c r="DA48" s="2481">
        <f t="shared" si="348"/>
        <v>0</v>
      </c>
      <c r="DB48" s="2481">
        <f t="shared" si="348"/>
        <v>0</v>
      </c>
      <c r="DC48" s="2481">
        <f t="shared" si="348"/>
        <v>0</v>
      </c>
      <c r="DD48" s="2481">
        <f t="shared" si="348"/>
        <v>0</v>
      </c>
      <c r="DE48" s="2481">
        <f t="shared" si="348"/>
        <v>0</v>
      </c>
      <c r="DF48" s="2481">
        <f t="shared" si="348"/>
        <v>0</v>
      </c>
      <c r="DG48" s="2481">
        <f t="shared" si="348"/>
        <v>0</v>
      </c>
      <c r="DH48" s="2481">
        <f t="shared" si="348"/>
        <v>0</v>
      </c>
      <c r="DI48" s="2481">
        <f t="shared" si="348"/>
        <v>0</v>
      </c>
      <c r="DJ48" s="2481">
        <f t="shared" si="348"/>
        <v>0</v>
      </c>
      <c r="DK48" s="2481">
        <f t="shared" si="348"/>
        <v>0</v>
      </c>
      <c r="DL48" s="2481">
        <f t="shared" si="348"/>
        <v>0</v>
      </c>
      <c r="DM48" s="2481">
        <f t="shared" si="348"/>
        <v>0</v>
      </c>
      <c r="DN48" s="2481">
        <f t="shared" si="348"/>
        <v>0</v>
      </c>
      <c r="DO48" s="2481">
        <f t="shared" si="348"/>
        <v>0</v>
      </c>
      <c r="DP48" s="2481">
        <f t="shared" si="348"/>
        <v>0</v>
      </c>
      <c r="DQ48" s="2481">
        <f t="shared" si="348"/>
        <v>0</v>
      </c>
      <c r="DR48" s="2481">
        <f t="shared" si="348"/>
        <v>0</v>
      </c>
      <c r="DS48" s="2481">
        <f t="shared" si="348"/>
        <v>0</v>
      </c>
      <c r="DT48" s="2481">
        <f t="shared" ref="DT48:EC48" si="351">SUM(DT10:DT47)</f>
        <v>0</v>
      </c>
      <c r="DU48" s="2481">
        <f t="shared" si="351"/>
        <v>0</v>
      </c>
      <c r="DV48" s="2481">
        <f t="shared" si="351"/>
        <v>0</v>
      </c>
      <c r="DW48" s="2481">
        <f t="shared" si="351"/>
        <v>0</v>
      </c>
      <c r="DX48" s="2481">
        <f t="shared" si="351"/>
        <v>0</v>
      </c>
      <c r="DY48" s="2481">
        <f t="shared" si="351"/>
        <v>0</v>
      </c>
      <c r="DZ48" s="2481">
        <f t="shared" si="351"/>
        <v>0</v>
      </c>
      <c r="EA48" s="2481">
        <f t="shared" si="351"/>
        <v>0</v>
      </c>
      <c r="EB48" s="2481">
        <f t="shared" si="351"/>
        <v>0</v>
      </c>
      <c r="EC48" s="2481">
        <f t="shared" si="351"/>
        <v>0</v>
      </c>
      <c r="ED48" s="2481">
        <f t="shared" si="348"/>
        <v>0</v>
      </c>
      <c r="EE48" s="2481">
        <f t="shared" si="348"/>
        <v>0</v>
      </c>
      <c r="EF48" s="2481">
        <f t="shared" si="348"/>
        <v>0</v>
      </c>
      <c r="EG48" s="2481">
        <f t="shared" si="348"/>
        <v>0</v>
      </c>
      <c r="EH48" s="2481">
        <f t="shared" si="348"/>
        <v>0</v>
      </c>
      <c r="EI48" s="2481">
        <f t="shared" si="348"/>
        <v>0</v>
      </c>
      <c r="EJ48" s="2481">
        <f t="shared" si="348"/>
        <v>0</v>
      </c>
      <c r="EK48" s="2481">
        <f t="shared" si="348"/>
        <v>0</v>
      </c>
      <c r="EL48" s="2481">
        <f t="shared" si="348"/>
        <v>0</v>
      </c>
      <c r="EM48" s="2481">
        <f t="shared" si="348"/>
        <v>0</v>
      </c>
      <c r="EN48" s="2481">
        <f t="shared" ref="EN48:EW48" si="352">SUM(EN10:EN47)</f>
        <v>0</v>
      </c>
      <c r="EO48" s="2481">
        <f t="shared" si="352"/>
        <v>0</v>
      </c>
      <c r="EP48" s="2481">
        <f t="shared" si="352"/>
        <v>0</v>
      </c>
      <c r="EQ48" s="2481">
        <f t="shared" si="352"/>
        <v>0</v>
      </c>
      <c r="ER48" s="2481">
        <f t="shared" si="352"/>
        <v>0</v>
      </c>
      <c r="ES48" s="2481">
        <f t="shared" si="352"/>
        <v>0</v>
      </c>
      <c r="ET48" s="2481">
        <f t="shared" si="352"/>
        <v>14040</v>
      </c>
      <c r="EU48" s="2481">
        <f t="shared" si="352"/>
        <v>113950</v>
      </c>
      <c r="EV48" s="2481">
        <f t="shared" si="352"/>
        <v>94240</v>
      </c>
      <c r="EW48" s="2481">
        <f t="shared" si="352"/>
        <v>0</v>
      </c>
      <c r="EX48" s="2481">
        <f t="shared" si="348"/>
        <v>0</v>
      </c>
      <c r="EY48" s="2481">
        <f t="shared" si="348"/>
        <v>0</v>
      </c>
      <c r="EZ48" s="2481">
        <f t="shared" si="348"/>
        <v>0</v>
      </c>
      <c r="FA48" s="2481">
        <f t="shared" si="348"/>
        <v>0</v>
      </c>
      <c r="FB48" s="2481">
        <f t="shared" ref="FB48:HW48" si="353">SUM(FB10:FB47)</f>
        <v>0</v>
      </c>
      <c r="FC48" s="2481">
        <f>SUM(FC10:FC47)</f>
        <v>0</v>
      </c>
      <c r="FD48" s="2481">
        <f>SUM(FD10:FD47)</f>
        <v>0</v>
      </c>
      <c r="FE48" s="2481">
        <f>SUM(FE10:FE47)</f>
        <v>0</v>
      </c>
      <c r="FF48" s="2481">
        <f>SUM(FF10:FF47)</f>
        <v>0</v>
      </c>
      <c r="FG48" s="2481">
        <f>SUM(FG10:FG47)</f>
        <v>0</v>
      </c>
      <c r="FH48" s="2481">
        <f t="shared" si="353"/>
        <v>0</v>
      </c>
      <c r="FI48" s="2481">
        <f t="shared" si="353"/>
        <v>0</v>
      </c>
      <c r="FJ48" s="2481">
        <f t="shared" si="353"/>
        <v>0</v>
      </c>
      <c r="FK48" s="2481">
        <f t="shared" si="353"/>
        <v>0</v>
      </c>
      <c r="FL48" s="2481">
        <f t="shared" si="353"/>
        <v>0</v>
      </c>
      <c r="FM48" s="2481">
        <f>SUM(FM10:FM47)</f>
        <v>0</v>
      </c>
      <c r="FN48" s="2481">
        <f>SUM(FN10:FN47)</f>
        <v>0</v>
      </c>
      <c r="FO48" s="2481">
        <f>SUM(FO10:FO47)</f>
        <v>0</v>
      </c>
      <c r="FP48" s="2481">
        <f>SUM(FP10:FP47)</f>
        <v>0</v>
      </c>
      <c r="FQ48" s="2481">
        <f>SUM(FQ10:FQ47)</f>
        <v>0</v>
      </c>
      <c r="FR48" s="2481">
        <f t="shared" si="353"/>
        <v>0</v>
      </c>
      <c r="FS48" s="2481">
        <f t="shared" si="353"/>
        <v>0</v>
      </c>
      <c r="FT48" s="2481">
        <f t="shared" si="353"/>
        <v>0</v>
      </c>
      <c r="FU48" s="2481">
        <f t="shared" si="353"/>
        <v>0</v>
      </c>
      <c r="FV48" s="2481">
        <f t="shared" si="353"/>
        <v>0</v>
      </c>
      <c r="FW48" s="2481">
        <f t="shared" si="353"/>
        <v>0</v>
      </c>
      <c r="FX48" s="2481">
        <f t="shared" si="353"/>
        <v>0</v>
      </c>
      <c r="FY48" s="2481">
        <f t="shared" si="353"/>
        <v>0</v>
      </c>
      <c r="FZ48" s="2481">
        <f t="shared" si="353"/>
        <v>0</v>
      </c>
      <c r="GA48" s="2481">
        <f t="shared" si="353"/>
        <v>0</v>
      </c>
      <c r="GB48" s="2481">
        <f t="shared" si="353"/>
        <v>0</v>
      </c>
      <c r="GC48" s="2481">
        <f t="shared" si="353"/>
        <v>0</v>
      </c>
      <c r="GD48" s="2481">
        <f t="shared" si="353"/>
        <v>0</v>
      </c>
      <c r="GE48" s="2481">
        <f t="shared" si="353"/>
        <v>0</v>
      </c>
      <c r="GF48" s="2481">
        <f t="shared" si="353"/>
        <v>0</v>
      </c>
      <c r="GG48" s="2481">
        <f t="shared" si="353"/>
        <v>0</v>
      </c>
      <c r="GH48" s="2481">
        <f t="shared" si="353"/>
        <v>18</v>
      </c>
      <c r="GI48" s="2481">
        <f t="shared" si="353"/>
        <v>106</v>
      </c>
      <c r="GJ48" s="2481">
        <f t="shared" si="353"/>
        <v>76</v>
      </c>
      <c r="GK48" s="2481">
        <f t="shared" si="353"/>
        <v>0</v>
      </c>
      <c r="GL48" s="2481">
        <f t="shared" si="353"/>
        <v>0</v>
      </c>
      <c r="GM48" s="2481">
        <f t="shared" si="353"/>
        <v>0</v>
      </c>
      <c r="GN48" s="2481">
        <f t="shared" si="353"/>
        <v>0</v>
      </c>
      <c r="GO48" s="2481">
        <f t="shared" si="353"/>
        <v>0</v>
      </c>
      <c r="GP48" s="2481">
        <f t="shared" si="353"/>
        <v>0</v>
      </c>
      <c r="GQ48" s="2481">
        <f t="shared" si="353"/>
        <v>0</v>
      </c>
      <c r="GR48" s="2481">
        <f t="shared" si="353"/>
        <v>0</v>
      </c>
      <c r="GS48" s="2481">
        <f t="shared" si="353"/>
        <v>0</v>
      </c>
      <c r="GT48" s="2481">
        <f t="shared" si="353"/>
        <v>0</v>
      </c>
      <c r="GU48" s="2481">
        <f t="shared" si="353"/>
        <v>0</v>
      </c>
      <c r="GV48" s="2481">
        <f t="shared" si="353"/>
        <v>0</v>
      </c>
      <c r="GW48" s="2481">
        <f t="shared" si="353"/>
        <v>0</v>
      </c>
      <c r="GX48" s="2481">
        <f t="shared" si="353"/>
        <v>0</v>
      </c>
      <c r="GY48" s="2481">
        <f t="shared" si="353"/>
        <v>0</v>
      </c>
      <c r="GZ48" s="2481">
        <f t="shared" si="353"/>
        <v>0</v>
      </c>
      <c r="HA48" s="2481">
        <f t="shared" si="353"/>
        <v>0</v>
      </c>
      <c r="HB48" s="2481">
        <f t="shared" si="353"/>
        <v>0</v>
      </c>
      <c r="HC48" s="2481">
        <f t="shared" si="353"/>
        <v>0</v>
      </c>
      <c r="HD48" s="2481">
        <f t="shared" si="353"/>
        <v>0</v>
      </c>
      <c r="HE48" s="2481">
        <f t="shared" si="353"/>
        <v>0</v>
      </c>
      <c r="HF48" s="2481">
        <f t="shared" si="353"/>
        <v>0</v>
      </c>
      <c r="HG48" s="2481">
        <f t="shared" si="353"/>
        <v>0</v>
      </c>
      <c r="HH48" s="2481">
        <f t="shared" si="353"/>
        <v>0</v>
      </c>
      <c r="HI48" s="2481">
        <f t="shared" si="353"/>
        <v>0</v>
      </c>
      <c r="HJ48" s="2481">
        <f t="shared" si="353"/>
        <v>0</v>
      </c>
      <c r="HK48" s="2481">
        <f t="shared" si="353"/>
        <v>0</v>
      </c>
      <c r="HL48" s="2481">
        <f t="shared" si="353"/>
        <v>0</v>
      </c>
      <c r="HM48" s="2481">
        <f t="shared" si="353"/>
        <v>0</v>
      </c>
      <c r="HN48" s="2481">
        <f t="shared" si="353"/>
        <v>0</v>
      </c>
      <c r="HO48" s="2481">
        <f t="shared" si="353"/>
        <v>0</v>
      </c>
      <c r="HP48" s="2481">
        <f t="shared" si="353"/>
        <v>0</v>
      </c>
      <c r="HQ48" s="2481">
        <f t="shared" si="353"/>
        <v>0</v>
      </c>
      <c r="HR48" s="2481">
        <f t="shared" si="353"/>
        <v>0</v>
      </c>
      <c r="HS48" s="2481">
        <f t="shared" si="353"/>
        <v>0</v>
      </c>
      <c r="HT48" s="2481">
        <f t="shared" si="353"/>
        <v>0</v>
      </c>
      <c r="HU48" s="2481">
        <f t="shared" si="353"/>
        <v>0</v>
      </c>
      <c r="HV48" s="2481">
        <f t="shared" si="353"/>
        <v>0</v>
      </c>
      <c r="HW48" s="2481">
        <f t="shared" si="353"/>
        <v>0</v>
      </c>
      <c r="HX48" s="2481">
        <f t="shared" ref="HX48:KI48" si="354">SUM(HX10:HX47)</f>
        <v>0</v>
      </c>
      <c r="HY48" s="2481">
        <f t="shared" si="354"/>
        <v>0</v>
      </c>
      <c r="HZ48" s="2481">
        <f t="shared" si="354"/>
        <v>0</v>
      </c>
      <c r="IA48" s="2481">
        <f t="shared" si="354"/>
        <v>18</v>
      </c>
      <c r="IB48" s="2481">
        <f t="shared" si="354"/>
        <v>106</v>
      </c>
      <c r="IC48" s="2481">
        <f t="shared" si="354"/>
        <v>76</v>
      </c>
      <c r="ID48" s="2481">
        <f t="shared" si="354"/>
        <v>0</v>
      </c>
      <c r="IE48" s="2481">
        <f t="shared" si="354"/>
        <v>0</v>
      </c>
      <c r="IF48" s="2481">
        <f t="shared" si="354"/>
        <v>0</v>
      </c>
      <c r="IG48" s="2481">
        <f t="shared" si="354"/>
        <v>0</v>
      </c>
      <c r="IH48" s="2481">
        <f t="shared" si="354"/>
        <v>0</v>
      </c>
      <c r="II48" s="2481">
        <f t="shared" si="354"/>
        <v>0</v>
      </c>
      <c r="IJ48" s="2481">
        <f t="shared" si="354"/>
        <v>0</v>
      </c>
      <c r="IK48" s="2481">
        <f t="shared" si="354"/>
        <v>0</v>
      </c>
      <c r="IL48" s="2481">
        <f t="shared" si="354"/>
        <v>0</v>
      </c>
      <c r="IM48" s="2481">
        <f t="shared" si="354"/>
        <v>0</v>
      </c>
      <c r="IN48" s="2481">
        <f t="shared" si="354"/>
        <v>0</v>
      </c>
      <c r="IO48" s="2481">
        <f t="shared" si="354"/>
        <v>0</v>
      </c>
      <c r="IP48" s="2481">
        <f t="shared" si="354"/>
        <v>0</v>
      </c>
      <c r="IQ48" s="2481">
        <f t="shared" si="354"/>
        <v>0</v>
      </c>
      <c r="IR48" s="2481">
        <f t="shared" si="354"/>
        <v>0</v>
      </c>
      <c r="IS48" s="2481">
        <f t="shared" si="354"/>
        <v>0</v>
      </c>
      <c r="IT48" s="2481">
        <f t="shared" si="354"/>
        <v>0</v>
      </c>
      <c r="IU48" s="2481">
        <f t="shared" si="354"/>
        <v>0</v>
      </c>
      <c r="IV48" s="2481">
        <f t="shared" si="354"/>
        <v>0</v>
      </c>
      <c r="IW48" s="2481">
        <f t="shared" si="354"/>
        <v>0</v>
      </c>
      <c r="IX48" s="2481">
        <f t="shared" si="354"/>
        <v>0</v>
      </c>
      <c r="IY48" s="2481">
        <f t="shared" si="354"/>
        <v>0</v>
      </c>
      <c r="IZ48" s="2481">
        <f t="shared" si="354"/>
        <v>0</v>
      </c>
      <c r="JA48" s="2481">
        <f t="shared" si="354"/>
        <v>0</v>
      </c>
      <c r="JB48" s="2481">
        <f t="shared" si="354"/>
        <v>0</v>
      </c>
      <c r="JC48" s="2481">
        <f t="shared" si="354"/>
        <v>0</v>
      </c>
      <c r="JD48" s="2481">
        <f t="shared" si="354"/>
        <v>0</v>
      </c>
      <c r="JE48" s="2481">
        <f t="shared" si="354"/>
        <v>0</v>
      </c>
      <c r="JF48" s="2481">
        <f t="shared" si="354"/>
        <v>0</v>
      </c>
      <c r="JG48" s="2481">
        <f t="shared" si="354"/>
        <v>0</v>
      </c>
      <c r="JH48" s="2481">
        <f t="shared" si="354"/>
        <v>0</v>
      </c>
      <c r="JI48" s="2481">
        <f t="shared" si="354"/>
        <v>0</v>
      </c>
      <c r="JJ48" s="2481">
        <f t="shared" si="354"/>
        <v>0</v>
      </c>
      <c r="JK48" s="2481">
        <f t="shared" si="354"/>
        <v>0</v>
      </c>
      <c r="JL48" s="2481">
        <f t="shared" si="354"/>
        <v>0</v>
      </c>
      <c r="JM48" s="2481">
        <f t="shared" si="354"/>
        <v>0</v>
      </c>
      <c r="JN48" s="2481">
        <f t="shared" si="354"/>
        <v>0</v>
      </c>
      <c r="JO48" s="2481">
        <f t="shared" si="354"/>
        <v>0</v>
      </c>
      <c r="JP48" s="2481">
        <f t="shared" si="354"/>
        <v>0</v>
      </c>
      <c r="JQ48" s="2481">
        <f t="shared" si="354"/>
        <v>0</v>
      </c>
      <c r="JR48" s="2481">
        <f t="shared" si="354"/>
        <v>0</v>
      </c>
      <c r="JS48" s="2481">
        <f t="shared" si="354"/>
        <v>0</v>
      </c>
      <c r="JT48" s="2481">
        <f t="shared" si="354"/>
        <v>0</v>
      </c>
      <c r="JU48" s="2481">
        <f t="shared" si="354"/>
        <v>0</v>
      </c>
      <c r="JV48" s="2481">
        <f t="shared" si="354"/>
        <v>0</v>
      </c>
      <c r="JW48" s="2481">
        <f t="shared" si="354"/>
        <v>0</v>
      </c>
      <c r="JX48" s="2481">
        <f t="shared" si="354"/>
        <v>0</v>
      </c>
      <c r="JY48" s="2481">
        <f t="shared" si="354"/>
        <v>0</v>
      </c>
      <c r="JZ48" s="2481">
        <f t="shared" si="354"/>
        <v>0</v>
      </c>
      <c r="KA48" s="2481">
        <f t="shared" si="354"/>
        <v>0</v>
      </c>
      <c r="KB48" s="2481">
        <f t="shared" si="354"/>
        <v>0</v>
      </c>
      <c r="KC48" s="2481">
        <f t="shared" si="354"/>
        <v>0</v>
      </c>
      <c r="KD48" s="2481">
        <f t="shared" si="354"/>
        <v>0</v>
      </c>
      <c r="KE48" s="2481">
        <f t="shared" si="354"/>
        <v>0</v>
      </c>
      <c r="KF48" s="2481">
        <f t="shared" si="354"/>
        <v>0</v>
      </c>
      <c r="KG48" s="2481">
        <f t="shared" si="354"/>
        <v>0</v>
      </c>
      <c r="KH48" s="2481">
        <f t="shared" si="354"/>
        <v>0</v>
      </c>
      <c r="KI48" s="2481">
        <f t="shared" si="354"/>
        <v>0</v>
      </c>
      <c r="KJ48" s="2481">
        <f t="shared" ref="KJ48:NE48" si="355">SUM(KJ10:KJ47)</f>
        <v>0</v>
      </c>
      <c r="KK48" s="2481">
        <f t="shared" si="355"/>
        <v>0</v>
      </c>
      <c r="KL48" s="2481">
        <f t="shared" si="355"/>
        <v>0</v>
      </c>
      <c r="KM48" s="2481">
        <f t="shared" si="355"/>
        <v>0</v>
      </c>
      <c r="KN48" s="2481">
        <f t="shared" si="355"/>
        <v>0</v>
      </c>
      <c r="KO48" s="2481">
        <f t="shared" si="355"/>
        <v>0</v>
      </c>
      <c r="KP48" s="2481">
        <f t="shared" si="355"/>
        <v>0</v>
      </c>
      <c r="KQ48" s="2481">
        <f t="shared" si="355"/>
        <v>0</v>
      </c>
      <c r="KR48" s="2481">
        <f t="shared" si="355"/>
        <v>0</v>
      </c>
      <c r="KS48" s="2481">
        <f t="shared" si="355"/>
        <v>0</v>
      </c>
      <c r="KT48" s="2481">
        <f t="shared" si="355"/>
        <v>0</v>
      </c>
      <c r="KU48" s="2481">
        <f t="shared" si="355"/>
        <v>0</v>
      </c>
      <c r="KV48" s="2481">
        <f t="shared" si="355"/>
        <v>0</v>
      </c>
      <c r="KW48" s="2481">
        <f t="shared" si="355"/>
        <v>0</v>
      </c>
      <c r="KX48" s="2481">
        <f t="shared" si="355"/>
        <v>18</v>
      </c>
      <c r="KY48" s="2481">
        <f t="shared" si="355"/>
        <v>106</v>
      </c>
      <c r="KZ48" s="2481">
        <f t="shared" si="355"/>
        <v>76</v>
      </c>
      <c r="LA48" s="2481">
        <f t="shared" si="355"/>
        <v>0</v>
      </c>
      <c r="LB48" s="2481">
        <f t="shared" si="355"/>
        <v>0</v>
      </c>
      <c r="LC48" s="2481">
        <f t="shared" si="355"/>
        <v>0</v>
      </c>
      <c r="LD48" s="2481">
        <f t="shared" si="355"/>
        <v>0</v>
      </c>
      <c r="LE48" s="2481">
        <f t="shared" si="355"/>
        <v>0</v>
      </c>
      <c r="LF48" s="2481">
        <f t="shared" si="355"/>
        <v>0</v>
      </c>
      <c r="LG48" s="2481">
        <f t="shared" ref="LG48:LP48" si="356">SUM(LG10:LG47)</f>
        <v>0</v>
      </c>
      <c r="LH48" s="2481">
        <f t="shared" si="356"/>
        <v>0</v>
      </c>
      <c r="LI48" s="2481">
        <f t="shared" si="356"/>
        <v>0</v>
      </c>
      <c r="LJ48" s="2481">
        <f t="shared" si="356"/>
        <v>0</v>
      </c>
      <c r="LK48" s="2481">
        <f t="shared" si="356"/>
        <v>0</v>
      </c>
      <c r="LL48" s="2481">
        <f t="shared" si="356"/>
        <v>0</v>
      </c>
      <c r="LM48" s="2481">
        <f t="shared" si="356"/>
        <v>0</v>
      </c>
      <c r="LN48" s="2481">
        <f t="shared" si="356"/>
        <v>0</v>
      </c>
      <c r="LO48" s="2481">
        <f t="shared" si="356"/>
        <v>0</v>
      </c>
      <c r="LP48" s="2481">
        <f t="shared" si="356"/>
        <v>0</v>
      </c>
      <c r="LQ48" s="2481">
        <f t="shared" si="355"/>
        <v>0</v>
      </c>
      <c r="LR48" s="2481">
        <f t="shared" si="355"/>
        <v>0</v>
      </c>
      <c r="LS48" s="2481">
        <f t="shared" si="355"/>
        <v>0</v>
      </c>
      <c r="LT48" s="2481">
        <f t="shared" si="355"/>
        <v>0</v>
      </c>
      <c r="LU48" s="2481">
        <f t="shared" si="355"/>
        <v>0</v>
      </c>
      <c r="LV48" s="2481">
        <f t="shared" si="355"/>
        <v>0</v>
      </c>
      <c r="LW48" s="2481">
        <f t="shared" si="355"/>
        <v>0</v>
      </c>
      <c r="LX48" s="2481">
        <f t="shared" si="355"/>
        <v>0</v>
      </c>
      <c r="LY48" s="2481">
        <f t="shared" si="355"/>
        <v>0</v>
      </c>
      <c r="LZ48" s="2481">
        <f t="shared" si="355"/>
        <v>0</v>
      </c>
      <c r="MA48" s="2481">
        <f t="shared" si="355"/>
        <v>0</v>
      </c>
      <c r="MB48" s="2481">
        <f t="shared" si="355"/>
        <v>0</v>
      </c>
      <c r="MC48" s="2481">
        <f t="shared" si="355"/>
        <v>0</v>
      </c>
      <c r="MD48" s="2481">
        <f t="shared" si="355"/>
        <v>0</v>
      </c>
      <c r="ME48" s="2481">
        <f t="shared" si="355"/>
        <v>0</v>
      </c>
      <c r="MF48" s="2481">
        <f t="shared" si="355"/>
        <v>0</v>
      </c>
      <c r="MG48" s="2481">
        <f t="shared" si="355"/>
        <v>0</v>
      </c>
      <c r="MH48" s="2481">
        <f t="shared" si="355"/>
        <v>0</v>
      </c>
      <c r="MI48" s="2481">
        <f t="shared" si="355"/>
        <v>0</v>
      </c>
      <c r="MJ48" s="2481">
        <f t="shared" si="355"/>
        <v>0</v>
      </c>
      <c r="MK48" s="2481">
        <f t="shared" si="355"/>
        <v>0</v>
      </c>
      <c r="ML48" s="2481">
        <f t="shared" si="355"/>
        <v>0</v>
      </c>
      <c r="MM48" s="2481">
        <f t="shared" si="355"/>
        <v>0</v>
      </c>
      <c r="MN48" s="2481">
        <f t="shared" si="355"/>
        <v>0</v>
      </c>
      <c r="MO48" s="2481">
        <f t="shared" si="355"/>
        <v>0</v>
      </c>
      <c r="MP48" s="2481">
        <f t="shared" si="355"/>
        <v>0</v>
      </c>
      <c r="MQ48" s="2481">
        <f t="shared" si="355"/>
        <v>0</v>
      </c>
      <c r="MR48" s="2481">
        <f t="shared" si="355"/>
        <v>0</v>
      </c>
      <c r="MS48" s="2481">
        <f t="shared" si="355"/>
        <v>0</v>
      </c>
      <c r="MT48" s="2481">
        <f t="shared" si="355"/>
        <v>0</v>
      </c>
      <c r="MU48" s="2481">
        <f t="shared" si="355"/>
        <v>0</v>
      </c>
      <c r="MV48" s="2481">
        <f t="shared" si="355"/>
        <v>18</v>
      </c>
      <c r="MW48" s="2481">
        <f t="shared" si="355"/>
        <v>106</v>
      </c>
      <c r="MX48" s="2481">
        <f t="shared" si="355"/>
        <v>76</v>
      </c>
      <c r="MY48" s="2481">
        <f t="shared" si="355"/>
        <v>0</v>
      </c>
      <c r="MZ48" s="2481">
        <f t="shared" si="355"/>
        <v>0</v>
      </c>
      <c r="NA48" s="2481">
        <f t="shared" si="355"/>
        <v>0</v>
      </c>
      <c r="NB48" s="2481">
        <f t="shared" si="355"/>
        <v>0</v>
      </c>
      <c r="NC48" s="2481">
        <f t="shared" si="355"/>
        <v>0</v>
      </c>
      <c r="ND48" s="2481">
        <f t="shared" si="355"/>
        <v>0</v>
      </c>
      <c r="NE48" s="646">
        <f t="shared" si="355"/>
        <v>0</v>
      </c>
    </row>
    <row r="49" spans="1:368" s="150" customFormat="1" ht="13.8" customHeight="1">
      <c r="B49" s="3598">
        <f>IF(SUM(E17:E47)=0,"",(B17*E17+B18*E18+B19*E19+B20*E20+B21*E21+B22*E22+B23*E23+B24*E24+B25*E25+B26*E26+B27*E27+B28*E28+B29*E29+B30*E30+B31*E31+B32*E32+B33*E33+B34*E34+B35*E35+B36*E36+B37*E37+B38*E38+B39*E39+B40*E40+B41*E41+B42*E42+B43*E43+B44*E44+B45*E45+B46*E46+B47*E47)/SUM(E17:E47))</f>
        <v>60</v>
      </c>
      <c r="C49" s="3599"/>
      <c r="D49" s="1648" t="s">
        <v>4126</v>
      </c>
      <c r="E49" s="1684">
        <f>SUM(E17:E47)</f>
        <v>200</v>
      </c>
      <c r="F49" s="1686">
        <f>(E17*F17+E18*F18+E19*F19+E20*F20+E21*F21+E22*F22+E23*F23+E24*F24+E25*F25+E26*F26+E27*F27+E28*F28+E29*F29+E30*F30+E31*F31+E32*F32+E33*F33+E34*F34+E35*F35+E36*F36+E37*F37+E38*F38+E39*F39+E40*F40+E41*F41+E42*F42+E43*F43+E44*F44+E45*F45+E46*F46+E47*F47)</f>
        <v>222230</v>
      </c>
      <c r="H49" s="3580"/>
      <c r="I49" s="1690" t="s">
        <v>4218</v>
      </c>
      <c r="J49" s="1691" t="str">
        <f>IF(P67=0,"",IF(SUM(P59:P62)/P67&gt;=0.2,"Pass","Fail"))</f>
        <v>Fail</v>
      </c>
      <c r="K49" s="643"/>
      <c r="L49" s="141" t="s">
        <v>794</v>
      </c>
      <c r="M49" s="126">
        <f>M48*12</f>
        <v>1968000</v>
      </c>
      <c r="N49" s="95"/>
      <c r="O49" s="644"/>
      <c r="P49" s="95"/>
      <c r="Q49" s="95"/>
      <c r="R49" s="95"/>
      <c r="S49" s="95"/>
      <c r="T49" s="95"/>
      <c r="U49" s="95"/>
      <c r="V49" s="95"/>
      <c r="W49" s="646"/>
      <c r="X49" s="2481"/>
      <c r="Y49" s="2481"/>
      <c r="Z49" s="2481"/>
      <c r="AA49" s="2481"/>
      <c r="AB49" s="2481"/>
      <c r="AC49" s="2481"/>
      <c r="AD49" s="2481"/>
      <c r="AE49" s="2481"/>
      <c r="AF49" s="2481"/>
      <c r="AG49" s="2481"/>
      <c r="AH49" s="2481"/>
      <c r="AI49" s="2481"/>
      <c r="AJ49" s="2481"/>
      <c r="AK49" s="2481"/>
      <c r="AL49" s="2481"/>
      <c r="AM49" s="2481"/>
      <c r="AN49" s="2481"/>
      <c r="AO49" s="2481"/>
      <c r="AP49" s="2481"/>
      <c r="AQ49" s="2481"/>
      <c r="AR49" s="2481"/>
      <c r="AS49" s="2481"/>
      <c r="AT49" s="2481"/>
      <c r="AU49" s="2481"/>
      <c r="AV49" s="2481"/>
      <c r="AW49" s="2481"/>
      <c r="AX49" s="2481"/>
      <c r="AY49" s="2481"/>
      <c r="AZ49" s="2481"/>
      <c r="BA49" s="2481"/>
      <c r="BB49" s="2481"/>
      <c r="BC49" s="2481"/>
      <c r="BD49" s="2481"/>
      <c r="BE49" s="2481"/>
      <c r="BF49" s="2481"/>
      <c r="BG49" s="2481"/>
      <c r="BH49" s="2481"/>
      <c r="BI49" s="2481"/>
      <c r="BJ49" s="2481"/>
      <c r="BK49" s="2481"/>
      <c r="BL49" s="2481"/>
      <c r="BM49" s="2481"/>
      <c r="BN49" s="2481"/>
      <c r="BO49" s="2481"/>
      <c r="BP49" s="2481"/>
      <c r="BQ49" s="2481"/>
      <c r="BR49" s="2481"/>
      <c r="BS49" s="2481"/>
      <c r="BT49" s="2481"/>
      <c r="BU49" s="2481"/>
      <c r="BV49" s="2481"/>
      <c r="BW49" s="2481"/>
      <c r="BX49" s="2481"/>
      <c r="BY49" s="2481"/>
      <c r="BZ49" s="2481"/>
      <c r="CA49" s="2481"/>
      <c r="CB49" s="2481"/>
      <c r="CC49" s="2481"/>
      <c r="CD49" s="2481"/>
      <c r="CE49" s="2481"/>
      <c r="CF49" s="2481"/>
      <c r="CG49" s="2481"/>
      <c r="CH49" s="2481"/>
      <c r="CI49" s="2481"/>
      <c r="CJ49" s="2481"/>
      <c r="CK49" s="2481"/>
      <c r="CL49" s="2481"/>
      <c r="CM49" s="2481"/>
      <c r="CN49" s="2481"/>
      <c r="CO49" s="2481"/>
      <c r="CP49" s="2481"/>
      <c r="CQ49" s="2481"/>
      <c r="CR49" s="2481"/>
      <c r="CS49" s="2481"/>
      <c r="CT49" s="2481"/>
      <c r="CU49" s="2481"/>
      <c r="CV49" s="2481"/>
      <c r="CW49" s="2481"/>
      <c r="CX49" s="2481"/>
      <c r="CY49" s="2481"/>
      <c r="CZ49" s="2481"/>
      <c r="DA49" s="2481"/>
      <c r="DB49" s="2481"/>
      <c r="DC49" s="2481"/>
      <c r="DD49" s="2481"/>
      <c r="DE49" s="2481"/>
      <c r="DF49" s="2481"/>
      <c r="DG49" s="2481"/>
      <c r="DH49" s="2481"/>
      <c r="DI49" s="2481"/>
      <c r="DJ49" s="2481"/>
      <c r="DK49" s="2481"/>
      <c r="DL49" s="2481"/>
      <c r="DM49" s="2481"/>
      <c r="DN49" s="2481"/>
      <c r="DO49" s="2481"/>
      <c r="DP49" s="2481"/>
      <c r="DQ49" s="2481"/>
      <c r="DR49" s="2481"/>
      <c r="DS49" s="2481"/>
      <c r="DT49" s="2481"/>
      <c r="DU49" s="2481"/>
      <c r="DV49" s="2481"/>
      <c r="DW49" s="2481"/>
      <c r="DX49" s="2481"/>
      <c r="DY49" s="2481"/>
      <c r="DZ49" s="2481"/>
      <c r="EA49" s="2481"/>
      <c r="EB49" s="2481"/>
      <c r="EC49" s="2481"/>
      <c r="ED49" s="2481"/>
      <c r="EE49" s="2481"/>
      <c r="EF49" s="2481"/>
      <c r="EG49" s="2481"/>
      <c r="EH49" s="2481"/>
      <c r="EI49" s="2481"/>
      <c r="EJ49" s="2481"/>
      <c r="EK49" s="2481"/>
      <c r="EL49" s="2481"/>
      <c r="EM49" s="2481"/>
      <c r="EN49" s="2481"/>
      <c r="EO49" s="2481"/>
      <c r="EP49" s="2481"/>
      <c r="EQ49" s="2481"/>
      <c r="ER49" s="2481"/>
      <c r="ES49" s="2481"/>
      <c r="ET49" s="2481"/>
      <c r="EU49" s="2481"/>
      <c r="EV49" s="2481"/>
      <c r="EW49" s="2481"/>
      <c r="EX49" s="2481"/>
      <c r="EY49" s="2481"/>
      <c r="EZ49" s="2481"/>
      <c r="FA49" s="2481"/>
      <c r="FB49" s="2481"/>
      <c r="FC49" s="2481"/>
      <c r="FD49" s="2481"/>
      <c r="FE49" s="2481"/>
      <c r="FF49" s="2481"/>
      <c r="FG49" s="2481"/>
      <c r="FH49" s="2481"/>
      <c r="FI49" s="2481"/>
      <c r="FJ49" s="2481"/>
      <c r="FK49" s="2481"/>
      <c r="FL49" s="2481"/>
      <c r="FM49" s="2481"/>
      <c r="FN49" s="2481"/>
      <c r="FO49" s="2481"/>
      <c r="FP49" s="2481"/>
      <c r="FQ49" s="2481"/>
      <c r="FR49" s="2481"/>
      <c r="FS49" s="2481"/>
      <c r="FT49" s="2481"/>
      <c r="FU49" s="2481"/>
      <c r="FV49" s="2481"/>
      <c r="FW49" s="2481"/>
      <c r="FX49" s="2481"/>
      <c r="FY49" s="2481"/>
      <c r="FZ49" s="2481"/>
      <c r="GA49" s="2481"/>
      <c r="GB49" s="2481"/>
      <c r="GC49" s="2481"/>
      <c r="GD49" s="2481"/>
      <c r="GE49" s="2481"/>
      <c r="GF49" s="2481"/>
      <c r="GG49" s="2481"/>
      <c r="GH49" s="2481"/>
      <c r="GI49" s="2481"/>
      <c r="GJ49" s="2481"/>
      <c r="GK49" s="2481"/>
      <c r="GL49" s="2481"/>
      <c r="GM49" s="2481"/>
      <c r="GN49" s="2481"/>
      <c r="GO49" s="2481"/>
      <c r="GP49" s="2481"/>
      <c r="GQ49" s="2481"/>
      <c r="GR49" s="2481"/>
      <c r="GS49" s="2481"/>
      <c r="GT49" s="2481"/>
      <c r="GU49" s="2481"/>
      <c r="GV49" s="2481"/>
      <c r="GW49" s="2481"/>
      <c r="GX49" s="2481"/>
      <c r="GY49" s="2481"/>
      <c r="GZ49" s="2481"/>
      <c r="HA49" s="2481"/>
      <c r="HB49" s="2481"/>
      <c r="HC49" s="2481"/>
      <c r="HD49" s="2481"/>
      <c r="HE49" s="2481"/>
      <c r="HF49" s="2481"/>
      <c r="HG49" s="2481"/>
      <c r="HH49" s="2481"/>
      <c r="HI49" s="2481"/>
      <c r="HJ49" s="2481"/>
      <c r="HK49" s="2481"/>
      <c r="HL49" s="2481"/>
      <c r="HM49" s="2481"/>
      <c r="HN49" s="2481"/>
      <c r="HO49" s="2481"/>
      <c r="HP49" s="2481"/>
      <c r="HQ49" s="2481"/>
      <c r="HR49" s="2481"/>
      <c r="HS49" s="2481"/>
      <c r="HT49" s="2481"/>
      <c r="HU49" s="2481"/>
      <c r="HV49" s="2481"/>
      <c r="HW49" s="2481"/>
      <c r="HX49" s="2481"/>
      <c r="HY49" s="2481"/>
      <c r="HZ49" s="2481"/>
      <c r="IA49" s="2481"/>
      <c r="IB49" s="2481"/>
      <c r="IC49" s="2481"/>
      <c r="ID49" s="2481"/>
      <c r="IE49" s="2481"/>
      <c r="IF49" s="2481"/>
      <c r="IG49" s="2481"/>
      <c r="IH49" s="2481"/>
      <c r="II49" s="2481"/>
      <c r="IJ49" s="2481"/>
      <c r="IK49" s="2481"/>
      <c r="IL49" s="2481"/>
      <c r="IM49" s="2481"/>
      <c r="IN49" s="2481"/>
      <c r="IO49" s="2481"/>
      <c r="IP49" s="2481"/>
      <c r="IQ49" s="2481"/>
      <c r="IR49" s="2481"/>
      <c r="IS49" s="2481"/>
      <c r="IT49" s="2481"/>
      <c r="IU49" s="2481"/>
      <c r="IV49" s="2481"/>
      <c r="IW49" s="2481"/>
      <c r="IX49" s="2481"/>
      <c r="IY49" s="2481"/>
      <c r="IZ49" s="2481"/>
      <c r="JA49" s="2481"/>
      <c r="JB49" s="2481"/>
      <c r="JC49" s="2481"/>
      <c r="JD49" s="2481"/>
      <c r="JE49" s="2481"/>
      <c r="JF49" s="2481"/>
      <c r="JG49" s="2481"/>
      <c r="JH49" s="2481"/>
      <c r="JI49" s="2481"/>
      <c r="JJ49" s="2481"/>
      <c r="JK49" s="2481"/>
      <c r="JL49" s="2481"/>
      <c r="JM49" s="2481"/>
      <c r="JN49" s="2481"/>
      <c r="JO49" s="2481"/>
      <c r="JP49" s="2481"/>
      <c r="JQ49" s="2481"/>
      <c r="JR49" s="2481"/>
      <c r="JS49" s="2481"/>
      <c r="JT49" s="2481"/>
      <c r="JU49" s="2481"/>
      <c r="JV49" s="2481"/>
      <c r="JW49" s="2481"/>
      <c r="JX49" s="2481"/>
      <c r="JY49" s="2481"/>
      <c r="JZ49" s="2481"/>
      <c r="KA49" s="2481"/>
      <c r="KB49" s="2481"/>
      <c r="KC49" s="2481"/>
      <c r="KD49" s="2481"/>
      <c r="KE49" s="2481"/>
      <c r="KF49" s="2481"/>
      <c r="KG49" s="2481"/>
      <c r="KH49" s="2481"/>
      <c r="KI49" s="2481"/>
      <c r="KJ49" s="2481"/>
      <c r="KK49" s="2481"/>
      <c r="KL49" s="2481"/>
      <c r="KM49" s="2481"/>
      <c r="KN49" s="2481"/>
      <c r="KO49" s="2481"/>
      <c r="KP49" s="2481"/>
      <c r="KQ49" s="2481"/>
      <c r="KR49" s="2481"/>
      <c r="KS49" s="2481"/>
      <c r="KT49" s="2481"/>
      <c r="KU49" s="2481"/>
      <c r="KV49" s="2481"/>
      <c r="KW49" s="2481"/>
      <c r="KX49" s="2481"/>
      <c r="KY49" s="2481"/>
      <c r="KZ49" s="2481"/>
      <c r="LA49" s="2481"/>
      <c r="LB49" s="2481"/>
      <c r="LC49" s="2481"/>
      <c r="LD49" s="2481"/>
      <c r="LE49" s="2481"/>
      <c r="LF49" s="2481"/>
      <c r="LG49" s="2481"/>
      <c r="LH49" s="2481"/>
      <c r="LI49" s="2481"/>
      <c r="LJ49" s="2481"/>
      <c r="LK49" s="2481"/>
      <c r="LL49" s="2481"/>
      <c r="LM49" s="2481"/>
      <c r="LN49" s="2481"/>
      <c r="LO49" s="2481"/>
      <c r="LP49" s="2481"/>
      <c r="LQ49" s="2481"/>
      <c r="LR49" s="2481"/>
      <c r="LS49" s="2481"/>
      <c r="LT49" s="2481"/>
      <c r="LU49" s="2481"/>
      <c r="LV49" s="2481"/>
      <c r="LW49" s="2481"/>
      <c r="LX49" s="2481"/>
      <c r="LY49" s="2481"/>
      <c r="LZ49" s="2481"/>
      <c r="MA49" s="2481"/>
      <c r="MB49" s="2481"/>
      <c r="MC49" s="2481"/>
      <c r="MD49" s="2481"/>
      <c r="ME49" s="2481"/>
      <c r="MF49" s="2481"/>
      <c r="MG49" s="2481"/>
      <c r="MH49" s="2481"/>
      <c r="MI49" s="2481"/>
      <c r="MJ49" s="2481"/>
      <c r="MK49" s="2481"/>
      <c r="ML49" s="2481"/>
      <c r="MM49" s="2481"/>
      <c r="MN49" s="2481"/>
      <c r="MO49" s="2481"/>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1"/>
      <c r="Y50" s="2481"/>
      <c r="Z50" s="2481"/>
      <c r="AA50" s="2481"/>
      <c r="AB50" s="2481"/>
      <c r="AC50" s="2481"/>
      <c r="AD50" s="2481"/>
      <c r="AE50" s="2481"/>
      <c r="AF50" s="2481"/>
      <c r="AG50" s="2481"/>
      <c r="AH50" s="2481"/>
      <c r="AI50" s="2481"/>
      <c r="AJ50" s="2481"/>
      <c r="AK50" s="2481"/>
      <c r="AL50" s="2481"/>
      <c r="AM50" s="2481"/>
      <c r="AN50" s="2481"/>
      <c r="AO50" s="2481"/>
      <c r="AP50" s="2481"/>
      <c r="AQ50" s="2481"/>
      <c r="AR50" s="2481"/>
      <c r="AS50" s="2481"/>
      <c r="AT50" s="2481"/>
      <c r="AU50" s="2481"/>
      <c r="AV50" s="2481"/>
      <c r="AW50" s="2481"/>
      <c r="AX50" s="2481"/>
      <c r="AY50" s="2481"/>
      <c r="AZ50" s="2481"/>
      <c r="BA50" s="2481"/>
      <c r="BB50" s="2481"/>
      <c r="BC50" s="2481"/>
      <c r="BD50" s="2481"/>
      <c r="BE50" s="2481"/>
      <c r="BF50" s="2481"/>
      <c r="BG50" s="2481"/>
      <c r="BH50" s="2481"/>
      <c r="BI50" s="2481"/>
      <c r="BJ50" s="2481"/>
      <c r="BK50" s="2481"/>
      <c r="BL50" s="2481"/>
      <c r="BM50" s="2481"/>
      <c r="BN50" s="2481"/>
      <c r="BO50" s="2481"/>
      <c r="BP50" s="2481"/>
      <c r="BQ50" s="2481"/>
      <c r="BR50" s="2481"/>
      <c r="BS50" s="2481"/>
      <c r="BT50" s="2481"/>
      <c r="BU50" s="2481"/>
      <c r="BV50" s="2481"/>
      <c r="BW50" s="2481"/>
      <c r="BX50" s="2481"/>
      <c r="BY50" s="2481"/>
      <c r="BZ50" s="2481"/>
      <c r="CA50" s="2481"/>
      <c r="CB50" s="2481"/>
      <c r="CC50" s="2481"/>
      <c r="CD50" s="2481"/>
      <c r="CE50" s="2481"/>
      <c r="CF50" s="2481"/>
      <c r="CG50" s="2481"/>
      <c r="CH50" s="2481"/>
      <c r="CI50" s="2481"/>
      <c r="CJ50" s="2481"/>
      <c r="CK50" s="2481"/>
      <c r="CL50" s="2481"/>
      <c r="CM50" s="2481"/>
      <c r="CN50" s="2481"/>
      <c r="CO50" s="2481"/>
      <c r="CP50" s="2481"/>
      <c r="CQ50" s="2481"/>
      <c r="CR50" s="2481"/>
      <c r="CS50" s="2481"/>
      <c r="CT50" s="2481"/>
      <c r="CU50" s="2481"/>
      <c r="CV50" s="2481"/>
      <c r="CW50" s="2481"/>
      <c r="CX50" s="2481"/>
      <c r="CY50" s="2481"/>
      <c r="CZ50" s="2481"/>
      <c r="DA50" s="2481"/>
      <c r="DB50" s="2481"/>
      <c r="DC50" s="2481"/>
      <c r="DD50" s="2481"/>
      <c r="DE50" s="2481"/>
      <c r="DF50" s="2481"/>
      <c r="DG50" s="2481"/>
      <c r="DH50" s="2481"/>
      <c r="DI50" s="2481"/>
      <c r="DJ50" s="2481"/>
      <c r="DK50" s="2481"/>
      <c r="DL50" s="2481"/>
      <c r="DM50" s="2481"/>
      <c r="DN50" s="2481"/>
      <c r="DO50" s="2481"/>
      <c r="DP50" s="2481"/>
      <c r="DQ50" s="2481"/>
      <c r="DR50" s="2481"/>
      <c r="DS50" s="2481"/>
      <c r="DT50" s="2481"/>
      <c r="DU50" s="2481"/>
      <c r="DV50" s="2481"/>
      <c r="DW50" s="2481"/>
      <c r="DX50" s="2481"/>
      <c r="DY50" s="2481"/>
      <c r="DZ50" s="2481"/>
      <c r="EA50" s="2481"/>
      <c r="EB50" s="2481"/>
      <c r="EC50" s="2481"/>
      <c r="ED50" s="2481"/>
      <c r="EE50" s="2481"/>
      <c r="EF50" s="2481"/>
      <c r="EG50" s="2481"/>
      <c r="EH50" s="2481"/>
      <c r="EI50" s="2481"/>
      <c r="EJ50" s="2481"/>
      <c r="EK50" s="2481"/>
      <c r="EL50" s="2481"/>
      <c r="EM50" s="2481"/>
      <c r="EN50" s="2481"/>
      <c r="EO50" s="2481"/>
      <c r="EP50" s="2481"/>
      <c r="EQ50" s="2481"/>
      <c r="ER50" s="2481"/>
      <c r="ES50" s="2481"/>
      <c r="ET50" s="2481"/>
      <c r="EU50" s="2481"/>
      <c r="EV50" s="2481"/>
      <c r="EW50" s="2481"/>
      <c r="EX50" s="2481"/>
      <c r="EY50" s="2481"/>
      <c r="EZ50" s="2481"/>
      <c r="FA50" s="2481"/>
      <c r="FB50" s="2481"/>
      <c r="FC50" s="2481"/>
      <c r="FD50" s="2481"/>
      <c r="FE50" s="2481"/>
      <c r="FF50" s="2481"/>
      <c r="FG50" s="2481"/>
      <c r="FH50" s="2481"/>
      <c r="FI50" s="2481"/>
      <c r="FJ50" s="2481"/>
      <c r="FK50" s="2481"/>
      <c r="FL50" s="2481"/>
      <c r="FM50" s="2481"/>
      <c r="FN50" s="2481"/>
      <c r="FO50" s="2481"/>
      <c r="FP50" s="2481"/>
      <c r="FQ50" s="2481"/>
      <c r="FR50" s="2481"/>
      <c r="FS50" s="2481"/>
      <c r="FT50" s="2481"/>
      <c r="FU50" s="2481"/>
      <c r="FV50" s="2481"/>
      <c r="FW50" s="2481"/>
      <c r="FX50" s="2481"/>
      <c r="FY50" s="2481"/>
      <c r="FZ50" s="2481"/>
      <c r="GA50" s="2481"/>
      <c r="GB50" s="2481"/>
      <c r="GC50" s="2481"/>
      <c r="GD50" s="2481"/>
      <c r="GE50" s="2481"/>
      <c r="GF50" s="2481"/>
      <c r="GG50" s="2481"/>
      <c r="GH50" s="2481"/>
      <c r="GI50" s="2481"/>
      <c r="GJ50" s="2481"/>
      <c r="GK50" s="2481"/>
      <c r="GL50" s="2481"/>
      <c r="GM50" s="2481"/>
      <c r="GN50" s="2481"/>
      <c r="GO50" s="2481"/>
      <c r="GP50" s="2481"/>
      <c r="GQ50" s="2481"/>
      <c r="GR50" s="2481"/>
      <c r="GS50" s="2481"/>
      <c r="GT50" s="2481"/>
      <c r="GU50" s="2481"/>
      <c r="GV50" s="2481"/>
      <c r="GW50" s="2481"/>
      <c r="GX50" s="2481"/>
      <c r="GY50" s="2481"/>
      <c r="GZ50" s="2481"/>
      <c r="HA50" s="2481"/>
      <c r="HB50" s="2481"/>
      <c r="HC50" s="2481"/>
      <c r="HD50" s="2481"/>
      <c r="HE50" s="2481"/>
      <c r="HF50" s="2481"/>
      <c r="HG50" s="2481"/>
      <c r="HH50" s="2481"/>
      <c r="HI50" s="2481"/>
      <c r="HJ50" s="2481"/>
      <c r="HK50" s="2481"/>
      <c r="HL50" s="2481"/>
      <c r="HM50" s="2481"/>
      <c r="HN50" s="2481"/>
      <c r="HO50" s="2481"/>
      <c r="HP50" s="2481"/>
      <c r="HQ50" s="2481"/>
      <c r="HR50" s="2481"/>
      <c r="HS50" s="2481"/>
      <c r="HT50" s="2481"/>
      <c r="HU50" s="2481"/>
      <c r="HV50" s="2481"/>
      <c r="HW50" s="2481"/>
      <c r="HX50" s="2481"/>
      <c r="HY50" s="2481"/>
      <c r="HZ50" s="2481"/>
      <c r="IA50" s="2481"/>
      <c r="IB50" s="2481"/>
      <c r="IC50" s="2481"/>
      <c r="ID50" s="2481"/>
      <c r="IE50" s="2481"/>
      <c r="IF50" s="2481"/>
      <c r="IG50" s="2481"/>
      <c r="IH50" s="2481"/>
      <c r="II50" s="2481"/>
      <c r="IJ50" s="2481"/>
      <c r="IK50" s="2481"/>
      <c r="IL50" s="2481"/>
      <c r="IM50" s="2481"/>
      <c r="IN50" s="2481"/>
      <c r="IO50" s="2481"/>
      <c r="IP50" s="2481"/>
      <c r="IQ50" s="2481"/>
      <c r="IR50" s="2481"/>
      <c r="IS50" s="2481"/>
      <c r="IT50" s="2481"/>
      <c r="IU50" s="2481"/>
      <c r="IV50" s="2481"/>
      <c r="IW50" s="2481"/>
      <c r="IX50" s="2481"/>
      <c r="IY50" s="2481"/>
      <c r="IZ50" s="2481"/>
      <c r="JA50" s="2481"/>
      <c r="JB50" s="2481"/>
      <c r="JC50" s="2481"/>
      <c r="JD50" s="2481"/>
      <c r="JE50" s="2481"/>
      <c r="JF50" s="2481"/>
      <c r="JG50" s="2481"/>
      <c r="JH50" s="2481"/>
      <c r="JI50" s="2481"/>
      <c r="JJ50" s="2481"/>
      <c r="JK50" s="2481"/>
      <c r="JL50" s="2481"/>
      <c r="JM50" s="2481"/>
      <c r="JN50" s="2481"/>
      <c r="JO50" s="2481"/>
      <c r="JP50" s="2481"/>
      <c r="JQ50" s="2481"/>
      <c r="JR50" s="2481"/>
      <c r="JS50" s="2481"/>
      <c r="JT50" s="2481"/>
      <c r="JU50" s="2481"/>
      <c r="JV50" s="2481"/>
      <c r="JW50" s="2481"/>
      <c r="JX50" s="2481"/>
      <c r="JY50" s="2481"/>
      <c r="JZ50" s="2481"/>
      <c r="KA50" s="2481"/>
      <c r="KB50" s="2481"/>
      <c r="KC50" s="2481"/>
      <c r="KD50" s="2481"/>
      <c r="KE50" s="2481"/>
      <c r="KF50" s="2481"/>
      <c r="KG50" s="2481"/>
      <c r="KH50" s="2481"/>
      <c r="KI50" s="2481"/>
      <c r="KJ50" s="2481"/>
      <c r="KK50" s="2481"/>
      <c r="KL50" s="2481"/>
      <c r="KM50" s="2481"/>
      <c r="KN50" s="2481"/>
      <c r="KO50" s="2481"/>
      <c r="KP50" s="2481"/>
      <c r="KQ50" s="2481"/>
      <c r="KR50" s="2481"/>
      <c r="KS50" s="2481"/>
      <c r="KT50" s="2481"/>
      <c r="KU50" s="2481"/>
      <c r="KV50" s="2481"/>
      <c r="KW50" s="2481"/>
      <c r="KX50" s="2481"/>
      <c r="KY50" s="2481"/>
      <c r="KZ50" s="2481"/>
      <c r="LA50" s="2481"/>
      <c r="LB50" s="2481"/>
      <c r="LC50" s="2481"/>
      <c r="LD50" s="2481"/>
      <c r="LE50" s="2481"/>
      <c r="LF50" s="2481"/>
      <c r="LG50" s="2481"/>
      <c r="LH50" s="2481"/>
      <c r="LI50" s="2481"/>
      <c r="LJ50" s="2481"/>
      <c r="LK50" s="2481"/>
      <c r="LL50" s="2481"/>
      <c r="LM50" s="2481"/>
      <c r="LN50" s="2481"/>
      <c r="LO50" s="2481"/>
      <c r="LP50" s="2481"/>
      <c r="LQ50" s="2481"/>
      <c r="LR50" s="2481"/>
      <c r="LS50" s="2481"/>
      <c r="LT50" s="2481"/>
      <c r="LU50" s="2481"/>
      <c r="LV50" s="2481"/>
      <c r="LW50" s="2481"/>
      <c r="LX50" s="2481"/>
      <c r="LY50" s="2481"/>
      <c r="LZ50" s="2481"/>
      <c r="MA50" s="2481"/>
      <c r="MB50" s="2481"/>
      <c r="MC50" s="2481"/>
      <c r="MD50" s="2481"/>
      <c r="ME50" s="2481"/>
      <c r="MF50" s="2481"/>
      <c r="MG50" s="2481"/>
      <c r="MH50" s="2481"/>
      <c r="MI50" s="2481"/>
      <c r="MJ50" s="2481"/>
      <c r="MK50" s="2481"/>
      <c r="ML50" s="2481"/>
      <c r="MM50" s="2481"/>
      <c r="MN50" s="2481"/>
      <c r="MO50" s="2481"/>
    </row>
    <row r="51" spans="1:368" ht="12" customHeight="1">
      <c r="A51" s="3594" t="s">
        <v>2553</v>
      </c>
      <c r="B51" s="3595"/>
      <c r="C51" s="3595"/>
      <c r="D51" s="3595"/>
      <c r="E51" s="3595"/>
      <c r="F51" s="3595"/>
      <c r="G51" s="3595"/>
      <c r="H51" s="3595"/>
      <c r="I51" s="3595"/>
      <c r="J51" s="3595"/>
      <c r="K51" s="3595"/>
      <c r="L51" s="3595"/>
      <c r="M51" s="3595"/>
      <c r="N51" s="3595"/>
      <c r="O51" s="3595"/>
      <c r="P51" s="3595"/>
      <c r="Q51" s="3595"/>
      <c r="R51" s="1218"/>
      <c r="S51" s="91"/>
      <c r="T51" s="91"/>
      <c r="U51" s="91"/>
      <c r="V51" s="91"/>
      <c r="W51" s="320"/>
      <c r="X51" s="2481"/>
      <c r="Y51" s="2481"/>
      <c r="Z51" s="2481"/>
      <c r="AA51" s="2481"/>
      <c r="AB51" s="2481"/>
      <c r="AC51" s="2481"/>
      <c r="AD51" s="2481"/>
      <c r="AE51" s="2481"/>
      <c r="AF51" s="2481"/>
      <c r="AG51" s="2481"/>
      <c r="AH51" s="2481"/>
      <c r="AI51" s="2481"/>
      <c r="AJ51" s="2481"/>
      <c r="AK51" s="2481"/>
      <c r="AL51" s="2481"/>
      <c r="AM51" s="2481"/>
      <c r="AN51" s="2481"/>
      <c r="AO51" s="2481"/>
      <c r="AP51" s="2481"/>
      <c r="AQ51" s="2481"/>
      <c r="AR51" s="2481"/>
      <c r="AS51" s="2481"/>
      <c r="AT51" s="2481"/>
      <c r="AU51" s="2481"/>
      <c r="AV51" s="2481"/>
      <c r="AW51" s="2481"/>
      <c r="AX51" s="2481"/>
      <c r="AY51" s="2481"/>
      <c r="AZ51" s="2481"/>
      <c r="BA51" s="2481"/>
      <c r="BB51" s="2481"/>
      <c r="BC51" s="2481"/>
      <c r="BD51" s="2481"/>
      <c r="BE51" s="2481"/>
      <c r="BF51" s="2481"/>
      <c r="BG51" s="2481"/>
      <c r="BH51" s="2481"/>
      <c r="BI51" s="2481"/>
      <c r="BJ51" s="2481"/>
      <c r="BK51" s="2481"/>
      <c r="BL51" s="2481"/>
      <c r="BM51" s="2481"/>
      <c r="BN51" s="2481"/>
      <c r="BO51" s="2481"/>
      <c r="BP51" s="2481"/>
      <c r="BQ51" s="2481"/>
      <c r="BR51" s="2481"/>
      <c r="BS51" s="2481"/>
      <c r="BT51" s="2481"/>
      <c r="BU51" s="2481"/>
      <c r="BV51" s="2481"/>
      <c r="BW51" s="2481"/>
      <c r="BX51" s="2481"/>
      <c r="BY51" s="2481"/>
      <c r="BZ51" s="2481"/>
      <c r="CA51" s="2481"/>
      <c r="CB51" s="2481"/>
      <c r="CC51" s="2481"/>
      <c r="CD51" s="2481"/>
      <c r="CE51" s="2481"/>
      <c r="CF51" s="2481"/>
      <c r="CG51" s="2481"/>
      <c r="CH51" s="2481"/>
      <c r="CI51" s="2481"/>
      <c r="CJ51" s="2481"/>
      <c r="CK51" s="2481"/>
      <c r="CL51" s="2481"/>
      <c r="CM51" s="2481"/>
      <c r="CN51" s="2481"/>
      <c r="CO51" s="2481"/>
      <c r="CP51" s="2481"/>
      <c r="CQ51" s="2481"/>
      <c r="CR51" s="2481"/>
      <c r="CS51" s="2481"/>
      <c r="CT51" s="2481"/>
      <c r="CU51" s="2481"/>
      <c r="CV51" s="2481"/>
      <c r="CW51" s="2481"/>
      <c r="CX51" s="2481"/>
      <c r="CY51" s="2481"/>
      <c r="CZ51" s="2481"/>
      <c r="DA51" s="2481"/>
      <c r="DB51" s="2481"/>
      <c r="DC51" s="2481"/>
      <c r="DD51" s="2481"/>
      <c r="DE51" s="2481"/>
      <c r="DF51" s="2481"/>
      <c r="DG51" s="2481"/>
      <c r="DH51" s="2481"/>
      <c r="DI51" s="2481"/>
      <c r="DJ51" s="2481"/>
      <c r="DK51" s="2481"/>
      <c r="DL51" s="2481"/>
      <c r="DM51" s="2481"/>
      <c r="DN51" s="2481"/>
      <c r="DO51" s="2481"/>
      <c r="DP51" s="2481"/>
      <c r="DQ51" s="2481"/>
      <c r="DR51" s="2481"/>
      <c r="DS51" s="2481"/>
      <c r="DT51" s="2481"/>
      <c r="DU51" s="2481"/>
      <c r="DV51" s="2481"/>
      <c r="DW51" s="2481"/>
      <c r="DX51" s="2481"/>
      <c r="DY51" s="2481"/>
      <c r="DZ51" s="2481"/>
      <c r="EA51" s="2481"/>
      <c r="EB51" s="2481"/>
      <c r="EC51" s="2481"/>
      <c r="ED51" s="2481"/>
      <c r="EE51" s="2481"/>
      <c r="EF51" s="2481"/>
      <c r="EG51" s="2481"/>
      <c r="EH51" s="2481"/>
      <c r="EI51" s="2481"/>
      <c r="EJ51" s="2481"/>
      <c r="EK51" s="2481"/>
      <c r="EL51" s="2481"/>
      <c r="EM51" s="2481"/>
      <c r="EN51" s="2481"/>
      <c r="EO51" s="2481"/>
      <c r="EP51" s="2481"/>
      <c r="EQ51" s="2481"/>
      <c r="ER51" s="2481"/>
      <c r="ES51" s="2481"/>
      <c r="ET51" s="2481"/>
      <c r="EU51" s="2481"/>
      <c r="EV51" s="2481"/>
      <c r="EW51" s="2481"/>
      <c r="EX51" s="2481"/>
      <c r="EY51" s="2481"/>
      <c r="EZ51" s="2481"/>
      <c r="FA51" s="2481"/>
      <c r="FB51" s="2481"/>
      <c r="FC51" s="2481"/>
      <c r="FD51" s="2481"/>
      <c r="FE51" s="2481"/>
      <c r="FF51" s="2481"/>
      <c r="FG51" s="2481"/>
      <c r="FH51" s="2481"/>
      <c r="FI51" s="2481"/>
      <c r="FJ51" s="2481"/>
      <c r="FK51" s="2481"/>
      <c r="FL51" s="2481"/>
      <c r="FM51" s="2481"/>
      <c r="FN51" s="2481"/>
      <c r="FO51" s="2481"/>
      <c r="FP51" s="2481"/>
      <c r="FQ51" s="2481"/>
      <c r="FR51" s="2481"/>
      <c r="FS51" s="2481"/>
      <c r="FT51" s="2481"/>
      <c r="FU51" s="2481"/>
      <c r="FV51" s="2481"/>
      <c r="FW51" s="2481"/>
      <c r="FX51" s="2481"/>
      <c r="FY51" s="2481"/>
      <c r="FZ51" s="2481"/>
      <c r="GA51" s="2481"/>
      <c r="GB51" s="2481"/>
      <c r="GC51" s="2481"/>
      <c r="GD51" s="2481"/>
      <c r="GE51" s="2481"/>
      <c r="GF51" s="2481"/>
      <c r="GG51" s="2481"/>
      <c r="GH51" s="2481"/>
      <c r="GI51" s="2481"/>
      <c r="GJ51" s="2481"/>
      <c r="GK51" s="2481"/>
      <c r="GL51" s="2481"/>
      <c r="GM51" s="2481"/>
      <c r="GN51" s="2481"/>
      <c r="GO51" s="2481"/>
      <c r="GP51" s="2481"/>
      <c r="GQ51" s="2481"/>
      <c r="GR51" s="2481"/>
      <c r="GS51" s="2481"/>
      <c r="GT51" s="2481"/>
      <c r="GU51" s="2481"/>
      <c r="GV51" s="2481"/>
      <c r="GW51" s="2481"/>
      <c r="GX51" s="2481"/>
      <c r="GY51" s="2481"/>
      <c r="GZ51" s="2481"/>
      <c r="HA51" s="2481"/>
      <c r="HB51" s="2481"/>
      <c r="HC51" s="2481"/>
      <c r="HD51" s="2481"/>
      <c r="HE51" s="2481"/>
      <c r="HF51" s="2481"/>
      <c r="HG51" s="2481"/>
      <c r="HH51" s="2481"/>
      <c r="HI51" s="2481"/>
      <c r="HJ51" s="2481"/>
      <c r="HK51" s="2481"/>
      <c r="HL51" s="2481"/>
      <c r="HM51" s="2481"/>
      <c r="HN51" s="2481"/>
      <c r="HO51" s="2481"/>
      <c r="HP51" s="2481"/>
      <c r="HQ51" s="2481"/>
      <c r="HR51" s="2481"/>
      <c r="HS51" s="2481"/>
      <c r="HT51" s="2481"/>
      <c r="HU51" s="2481"/>
      <c r="HV51" s="2481"/>
      <c r="HW51" s="2481"/>
      <c r="HX51" s="2481"/>
      <c r="HY51" s="2481"/>
      <c r="HZ51" s="2481"/>
      <c r="IA51" s="2481"/>
      <c r="IB51" s="2481"/>
      <c r="IC51" s="2481"/>
      <c r="ID51" s="2481"/>
      <c r="IE51" s="2481"/>
      <c r="IF51" s="2481"/>
      <c r="IG51" s="2481"/>
      <c r="IH51" s="2481"/>
      <c r="II51" s="2481"/>
      <c r="IJ51" s="2481"/>
      <c r="IK51" s="2481"/>
      <c r="IL51" s="2481"/>
      <c r="IM51" s="2481"/>
      <c r="IN51" s="2481"/>
      <c r="IO51" s="2481"/>
      <c r="IP51" s="2481"/>
      <c r="IQ51" s="2481"/>
      <c r="IR51" s="2481"/>
      <c r="IS51" s="2481"/>
      <c r="IT51" s="2481"/>
      <c r="IU51" s="2481"/>
      <c r="IV51" s="2481"/>
      <c r="IW51" s="2481"/>
      <c r="IX51" s="2481"/>
      <c r="IY51" s="2481"/>
      <c r="IZ51" s="2481"/>
      <c r="JA51" s="2481"/>
      <c r="JB51" s="2481"/>
      <c r="JC51" s="2481"/>
      <c r="JD51" s="2481"/>
      <c r="JE51" s="2481"/>
      <c r="JF51" s="2481"/>
      <c r="JG51" s="2481"/>
      <c r="JH51" s="2481"/>
      <c r="JI51" s="2481"/>
      <c r="JJ51" s="2481"/>
      <c r="JK51" s="2481"/>
      <c r="JL51" s="2481"/>
      <c r="JM51" s="2481"/>
      <c r="JN51" s="2481"/>
      <c r="JO51" s="2481"/>
      <c r="JP51" s="2481"/>
      <c r="JQ51" s="2481"/>
      <c r="JR51" s="2481"/>
      <c r="JS51" s="2481"/>
      <c r="JT51" s="2481"/>
      <c r="JU51" s="2481"/>
      <c r="JV51" s="2481"/>
      <c r="JW51" s="2481"/>
      <c r="JX51" s="2481"/>
      <c r="JY51" s="2481"/>
      <c r="JZ51" s="2481"/>
      <c r="KA51" s="2481"/>
      <c r="KB51" s="2481"/>
      <c r="KC51" s="2481"/>
      <c r="KD51" s="2481"/>
      <c r="KE51" s="2481"/>
      <c r="KF51" s="2481"/>
      <c r="KG51" s="2481"/>
      <c r="KH51" s="2481"/>
      <c r="KI51" s="2481"/>
      <c r="KJ51" s="2481"/>
      <c r="KK51" s="2481"/>
      <c r="KL51" s="2481"/>
      <c r="KM51" s="2481"/>
      <c r="KN51" s="2481"/>
      <c r="KO51" s="2481"/>
      <c r="KP51" s="2481"/>
      <c r="KQ51" s="2481"/>
      <c r="KR51" s="2481"/>
      <c r="KS51" s="2481"/>
      <c r="KT51" s="2481"/>
      <c r="KU51" s="2481"/>
      <c r="KV51" s="2481"/>
      <c r="KW51" s="2481"/>
      <c r="KX51" s="2481"/>
      <c r="KY51" s="2481"/>
      <c r="KZ51" s="2481"/>
      <c r="LA51" s="2481"/>
      <c r="LB51" s="2481"/>
      <c r="LC51" s="2481"/>
      <c r="LD51" s="2481"/>
      <c r="LE51" s="2481"/>
      <c r="LF51" s="2481"/>
      <c r="LG51" s="2481"/>
      <c r="LH51" s="2481"/>
      <c r="LI51" s="2481"/>
      <c r="LJ51" s="2481"/>
      <c r="LK51" s="2481"/>
      <c r="LL51" s="2481"/>
      <c r="LM51" s="2481"/>
      <c r="LN51" s="2481"/>
      <c r="LO51" s="2481"/>
      <c r="LP51" s="2481"/>
      <c r="LQ51" s="2481"/>
      <c r="LR51" s="2481"/>
      <c r="LS51" s="2481"/>
      <c r="LT51" s="2481"/>
      <c r="LU51" s="2481"/>
      <c r="LV51" s="2481"/>
      <c r="LW51" s="2481"/>
      <c r="LX51" s="2481"/>
      <c r="LY51" s="2481"/>
      <c r="LZ51" s="2481"/>
      <c r="MA51" s="2481"/>
      <c r="MB51" s="2481"/>
      <c r="MC51" s="2481"/>
      <c r="MD51" s="2481"/>
      <c r="ME51" s="2481"/>
      <c r="MF51" s="2481"/>
      <c r="MG51" s="2481"/>
      <c r="MH51" s="2481"/>
      <c r="MI51" s="2481"/>
      <c r="MJ51" s="2481"/>
      <c r="MK51" s="2481"/>
      <c r="ML51" s="2481"/>
      <c r="MM51" s="2481"/>
      <c r="MN51" s="2481"/>
      <c r="MO51" s="2481"/>
    </row>
    <row r="52" spans="1:368" ht="12" customHeight="1" thickBot="1">
      <c r="A52" s="3595"/>
      <c r="B52" s="3595"/>
      <c r="C52" s="3595"/>
      <c r="D52" s="3595"/>
      <c r="E52" s="3595"/>
      <c r="F52" s="3595"/>
      <c r="G52" s="3595"/>
      <c r="H52" s="3595"/>
      <c r="I52" s="3595"/>
      <c r="J52" s="3595"/>
      <c r="K52" s="3595"/>
      <c r="L52" s="3595"/>
      <c r="M52" s="3595"/>
      <c r="N52" s="3595"/>
      <c r="O52" s="3595"/>
      <c r="P52" s="3595"/>
      <c r="Q52" s="3595"/>
      <c r="R52" s="1218"/>
      <c r="S52" s="91"/>
      <c r="T52" s="91"/>
      <c r="U52" s="91"/>
      <c r="V52" s="91"/>
      <c r="W52" s="320"/>
      <c r="X52" s="2481"/>
      <c r="Y52" s="2481"/>
      <c r="Z52" s="2481"/>
      <c r="AA52" s="2481"/>
      <c r="AB52" s="2481"/>
      <c r="AC52" s="2481"/>
      <c r="AD52" s="2481"/>
      <c r="AE52" s="2481"/>
      <c r="AF52" s="2481"/>
      <c r="AG52" s="2481"/>
      <c r="AH52" s="2481"/>
      <c r="AI52" s="2481"/>
      <c r="AJ52" s="2481"/>
      <c r="AK52" s="2481"/>
      <c r="AL52" s="2481"/>
      <c r="AM52" s="2481"/>
      <c r="AN52" s="2481"/>
      <c r="AO52" s="2481"/>
      <c r="AP52" s="2481"/>
      <c r="AQ52" s="2481"/>
      <c r="AR52" s="2481"/>
      <c r="AS52" s="2481"/>
      <c r="AT52" s="2481"/>
      <c r="AU52" s="2481"/>
      <c r="AV52" s="2481"/>
      <c r="AW52" s="2481"/>
      <c r="AX52" s="2481"/>
      <c r="AY52" s="2481"/>
      <c r="AZ52" s="2481"/>
      <c r="BA52" s="2481"/>
      <c r="BB52" s="2481"/>
      <c r="BC52" s="2481"/>
      <c r="BD52" s="2481"/>
      <c r="BE52" s="2481"/>
      <c r="BF52" s="2481"/>
      <c r="BG52" s="2481"/>
      <c r="BH52" s="2481"/>
      <c r="BI52" s="2481"/>
      <c r="BJ52" s="2481"/>
      <c r="BK52" s="2481"/>
      <c r="BL52" s="2481"/>
      <c r="BM52" s="2481"/>
      <c r="BN52" s="2481"/>
      <c r="BO52" s="2481"/>
      <c r="BP52" s="2481"/>
      <c r="BQ52" s="2481"/>
      <c r="BR52" s="2481"/>
      <c r="BS52" s="2481"/>
      <c r="BT52" s="2481"/>
      <c r="BU52" s="2481"/>
      <c r="BV52" s="2481"/>
      <c r="BW52" s="2481"/>
      <c r="BX52" s="2481"/>
      <c r="BY52" s="2481"/>
      <c r="BZ52" s="2481"/>
      <c r="CA52" s="2481"/>
      <c r="CB52" s="2481"/>
      <c r="CC52" s="2481"/>
      <c r="CD52" s="2481"/>
      <c r="CE52" s="2481"/>
      <c r="CF52" s="2481"/>
      <c r="CG52" s="2481"/>
      <c r="CH52" s="2481"/>
      <c r="CI52" s="2481"/>
      <c r="CJ52" s="2481"/>
      <c r="CK52" s="2481"/>
      <c r="CL52" s="2481"/>
      <c r="CM52" s="2481"/>
      <c r="CN52" s="2481"/>
      <c r="CO52" s="2481"/>
      <c r="CP52" s="2481"/>
      <c r="CQ52" s="2481"/>
      <c r="CR52" s="2481"/>
      <c r="CS52" s="2481"/>
      <c r="CT52" s="2481"/>
      <c r="CU52" s="2481"/>
      <c r="CV52" s="2481"/>
      <c r="CW52" s="2481"/>
      <c r="CX52" s="2481"/>
      <c r="CY52" s="2481"/>
      <c r="CZ52" s="2481"/>
      <c r="DA52" s="2481"/>
      <c r="DB52" s="2481"/>
      <c r="DC52" s="2481"/>
      <c r="DD52" s="2481"/>
      <c r="DE52" s="2481"/>
      <c r="DF52" s="2481"/>
      <c r="DG52" s="2481"/>
      <c r="DH52" s="2481"/>
      <c r="DI52" s="2481"/>
      <c r="DJ52" s="2481"/>
      <c r="DK52" s="2481"/>
      <c r="DL52" s="2481"/>
      <c r="DM52" s="2481"/>
      <c r="DN52" s="2481"/>
      <c r="DO52" s="2481"/>
      <c r="DP52" s="2481"/>
      <c r="DQ52" s="2481"/>
      <c r="DR52" s="2481"/>
      <c r="DS52" s="2481"/>
      <c r="DT52" s="2481"/>
      <c r="DU52" s="2481"/>
      <c r="DV52" s="2481"/>
      <c r="DW52" s="2481"/>
      <c r="DX52" s="2481"/>
      <c r="DY52" s="2481"/>
      <c r="DZ52" s="2481"/>
      <c r="EA52" s="2481"/>
      <c r="EB52" s="2481"/>
      <c r="EC52" s="2481"/>
      <c r="ED52" s="2481"/>
      <c r="EE52" s="2481"/>
      <c r="EF52" s="2481"/>
      <c r="EG52" s="2481"/>
      <c r="EH52" s="2481"/>
      <c r="EI52" s="2481"/>
      <c r="EJ52" s="2481"/>
      <c r="EK52" s="2481"/>
      <c r="EL52" s="2481"/>
      <c r="EM52" s="2481"/>
      <c r="EN52" s="2481"/>
      <c r="EO52" s="2481"/>
      <c r="EP52" s="2481"/>
      <c r="EQ52" s="2481"/>
      <c r="ER52" s="2481"/>
      <c r="ES52" s="2481"/>
      <c r="ET52" s="2481"/>
      <c r="EU52" s="2481"/>
      <c r="EV52" s="2481"/>
      <c r="EW52" s="2481"/>
      <c r="EX52" s="2481"/>
      <c r="EY52" s="2481"/>
      <c r="EZ52" s="2481"/>
      <c r="FA52" s="2481"/>
      <c r="FB52" s="2481"/>
      <c r="FC52" s="2481"/>
      <c r="FD52" s="2481"/>
      <c r="FE52" s="2481"/>
      <c r="FF52" s="2481"/>
      <c r="FG52" s="2481"/>
      <c r="FH52" s="2481"/>
      <c r="FI52" s="2481"/>
      <c r="FJ52" s="2481"/>
      <c r="FK52" s="2481"/>
      <c r="FL52" s="2481"/>
      <c r="FM52" s="2481"/>
      <c r="FN52" s="2481"/>
      <c r="FO52" s="2481"/>
      <c r="FP52" s="2481"/>
      <c r="FQ52" s="2481"/>
      <c r="FR52" s="2481"/>
      <c r="FS52" s="2481"/>
      <c r="FT52" s="2481"/>
      <c r="FU52" s="2481"/>
      <c r="FV52" s="2481"/>
      <c r="FW52" s="2481"/>
      <c r="FX52" s="2481"/>
      <c r="FY52" s="2481"/>
      <c r="FZ52" s="2481"/>
      <c r="GA52" s="2481"/>
      <c r="GB52" s="2481"/>
      <c r="GC52" s="2481"/>
      <c r="GD52" s="2481"/>
      <c r="GE52" s="2481"/>
      <c r="GF52" s="2481"/>
      <c r="GG52" s="2481"/>
      <c r="GH52" s="2481"/>
      <c r="GI52" s="2481"/>
      <c r="GJ52" s="2481"/>
      <c r="GK52" s="2481"/>
      <c r="GL52" s="2481"/>
      <c r="GM52" s="2481"/>
      <c r="GN52" s="2481"/>
      <c r="GO52" s="2481"/>
      <c r="GP52" s="2481"/>
      <c r="GQ52" s="2481"/>
      <c r="GR52" s="2481"/>
      <c r="GS52" s="2481"/>
      <c r="GT52" s="2481"/>
      <c r="GU52" s="2481"/>
      <c r="GV52" s="2481"/>
      <c r="GW52" s="2481"/>
      <c r="GX52" s="2481"/>
      <c r="GY52" s="2481"/>
      <c r="GZ52" s="2481"/>
      <c r="HA52" s="2481"/>
      <c r="HB52" s="2481"/>
      <c r="HC52" s="2481"/>
      <c r="HD52" s="2481"/>
      <c r="HE52" s="2481"/>
      <c r="HF52" s="2481"/>
      <c r="HG52" s="2481"/>
      <c r="HH52" s="2481"/>
      <c r="HI52" s="2481"/>
      <c r="HJ52" s="2481"/>
      <c r="HK52" s="2481"/>
      <c r="HL52" s="2481"/>
      <c r="HM52" s="2481"/>
      <c r="HN52" s="2481"/>
      <c r="HO52" s="2481"/>
      <c r="HP52" s="2481"/>
      <c r="HQ52" s="2481"/>
      <c r="HR52" s="2481"/>
      <c r="HS52" s="2481"/>
      <c r="HT52" s="2481"/>
      <c r="HU52" s="2481"/>
      <c r="HV52" s="2481"/>
      <c r="HW52" s="2481"/>
      <c r="HX52" s="2481"/>
      <c r="HY52" s="2481"/>
      <c r="HZ52" s="2481"/>
      <c r="IA52" s="2481"/>
      <c r="IB52" s="2481"/>
      <c r="IC52" s="2481"/>
      <c r="ID52" s="2481"/>
      <c r="IE52" s="2481"/>
      <c r="IF52" s="2481"/>
      <c r="IG52" s="2481"/>
      <c r="IH52" s="2481"/>
      <c r="II52" s="2481"/>
      <c r="IJ52" s="2481"/>
      <c r="IK52" s="2481"/>
      <c r="IL52" s="2481"/>
      <c r="IM52" s="2481"/>
      <c r="IN52" s="2481"/>
      <c r="IO52" s="2481"/>
      <c r="IP52" s="2481"/>
      <c r="IQ52" s="2481"/>
      <c r="IR52" s="2481"/>
      <c r="IS52" s="2481"/>
      <c r="IT52" s="2481"/>
      <c r="IU52" s="2481"/>
      <c r="IV52" s="2481"/>
      <c r="IW52" s="2481"/>
      <c r="IX52" s="2481"/>
      <c r="IY52" s="2481"/>
      <c r="IZ52" s="2481"/>
      <c r="JA52" s="2481"/>
      <c r="JB52" s="2481"/>
      <c r="JC52" s="2481"/>
      <c r="JD52" s="2481"/>
      <c r="JE52" s="2481"/>
      <c r="JF52" s="2481"/>
      <c r="JG52" s="2481"/>
      <c r="JH52" s="2481"/>
      <c r="JI52" s="2481"/>
      <c r="JJ52" s="2481"/>
      <c r="JK52" s="2481"/>
      <c r="JL52" s="2481"/>
      <c r="JM52" s="2481"/>
      <c r="JN52" s="2481"/>
      <c r="JO52" s="2481"/>
      <c r="JP52" s="2481"/>
      <c r="JQ52" s="2481"/>
      <c r="JR52" s="2481"/>
      <c r="JS52" s="2481"/>
      <c r="JT52" s="2481"/>
      <c r="JU52" s="2481"/>
      <c r="JV52" s="2481"/>
      <c r="JW52" s="2481"/>
      <c r="JX52" s="2481"/>
      <c r="JY52" s="2481"/>
      <c r="JZ52" s="2481"/>
      <c r="KA52" s="2481"/>
      <c r="KB52" s="2481"/>
      <c r="KC52" s="2481"/>
      <c r="KD52" s="2481"/>
      <c r="KE52" s="2481"/>
      <c r="KF52" s="2481"/>
      <c r="KG52" s="2481"/>
      <c r="KH52" s="2481"/>
      <c r="KI52" s="2481"/>
      <c r="KJ52" s="2481"/>
      <c r="KK52" s="2481"/>
      <c r="KL52" s="2481"/>
      <c r="KM52" s="2481"/>
      <c r="KN52" s="2481"/>
      <c r="KO52" s="2481"/>
      <c r="KP52" s="2481"/>
      <c r="KQ52" s="2481"/>
      <c r="KR52" s="2481"/>
      <c r="KS52" s="2481"/>
      <c r="KT52" s="2481"/>
      <c r="KU52" s="2481"/>
      <c r="KV52" s="2481"/>
      <c r="KW52" s="2481"/>
      <c r="KX52" s="2481"/>
      <c r="KY52" s="2481"/>
      <c r="KZ52" s="2481"/>
      <c r="LA52" s="2481"/>
      <c r="LB52" s="2481"/>
      <c r="LC52" s="2481"/>
      <c r="LD52" s="2481"/>
      <c r="LE52" s="2481"/>
      <c r="LF52" s="2481"/>
      <c r="LG52" s="2481"/>
      <c r="LH52" s="2481"/>
      <c r="LI52" s="2481"/>
      <c r="LJ52" s="2481"/>
      <c r="LK52" s="2481"/>
      <c r="LL52" s="2481"/>
      <c r="LM52" s="2481"/>
      <c r="LN52" s="2481"/>
      <c r="LO52" s="2481"/>
      <c r="LP52" s="2481"/>
      <c r="LQ52" s="2481"/>
      <c r="LR52" s="2481"/>
      <c r="LS52" s="2481"/>
      <c r="LT52" s="2481"/>
      <c r="LU52" s="2481"/>
      <c r="LV52" s="2481"/>
      <c r="LW52" s="2481"/>
      <c r="LX52" s="2481"/>
      <c r="LY52" s="2481"/>
      <c r="LZ52" s="2481"/>
      <c r="MA52" s="2481"/>
      <c r="MB52" s="2481"/>
      <c r="MC52" s="2481"/>
      <c r="MD52" s="2481"/>
      <c r="ME52" s="2481"/>
      <c r="MF52" s="2481"/>
      <c r="MG52" s="2481"/>
      <c r="MH52" s="2481"/>
      <c r="MI52" s="2481"/>
      <c r="MJ52" s="2481"/>
      <c r="MK52" s="2481"/>
      <c r="ML52" s="2481"/>
      <c r="MM52" s="2481"/>
      <c r="MN52" s="2481"/>
      <c r="MO52" s="2481"/>
    </row>
    <row r="53" spans="1:368" ht="14.4" customHeight="1" thickBot="1">
      <c r="A53" s="13" t="s">
        <v>722</v>
      </c>
      <c r="B53" s="13" t="s">
        <v>519</v>
      </c>
      <c r="L53" s="3515" t="str">
        <f>'Part I-Project Information'!$K$94</f>
        <v>40% of Units at 60% of AMI</v>
      </c>
      <c r="M53" s="3516"/>
      <c r="N53" s="3516"/>
      <c r="O53" s="3517"/>
      <c r="P53" s="83"/>
      <c r="S53" s="3521" t="str">
        <f>B53</f>
        <v>UNIT SUMMARY</v>
      </c>
      <c r="T53" s="3521"/>
      <c r="U53" s="3521"/>
      <c r="V53" s="3521"/>
      <c r="X53" s="720"/>
      <c r="AA53" s="720"/>
      <c r="AB53" s="720"/>
      <c r="AC53" s="720"/>
      <c r="AF53" s="720"/>
      <c r="AG53" s="720"/>
      <c r="AH53" s="720"/>
      <c r="AK53" s="720"/>
      <c r="AL53" s="720"/>
      <c r="AM53" s="720"/>
      <c r="AP53" s="720"/>
      <c r="AQ53" s="720"/>
      <c r="AR53" s="720"/>
      <c r="AS53" s="720"/>
      <c r="AT53" s="720"/>
      <c r="AU53" s="720"/>
      <c r="AV53" s="720"/>
      <c r="AW53" s="720"/>
      <c r="AX53" s="720"/>
      <c r="AY53" s="508"/>
      <c r="BB53" s="720"/>
      <c r="BC53" s="720"/>
      <c r="BD53" s="508"/>
      <c r="LY53" s="511"/>
      <c r="MN53" s="506"/>
    </row>
    <row r="54" spans="1:368" ht="6" customHeight="1">
      <c r="A54" s="13"/>
      <c r="B54" s="13"/>
      <c r="P54" s="83"/>
      <c r="S54" s="127"/>
      <c r="T54" s="461"/>
      <c r="U54" s="526"/>
      <c r="X54" s="720"/>
      <c r="AA54" s="720"/>
      <c r="AB54" s="720"/>
      <c r="AC54" s="720"/>
      <c r="AF54" s="720"/>
      <c r="AG54" s="720"/>
      <c r="AH54" s="720"/>
      <c r="AK54" s="720"/>
      <c r="AL54" s="720"/>
      <c r="AM54" s="720"/>
      <c r="AP54" s="720"/>
      <c r="AQ54" s="720"/>
      <c r="AR54" s="720"/>
      <c r="AS54" s="720"/>
      <c r="AT54" s="720"/>
      <c r="AU54" s="720"/>
      <c r="AV54" s="720"/>
      <c r="AW54" s="720"/>
      <c r="AX54" s="720"/>
      <c r="AY54" s="508"/>
      <c r="BB54" s="720"/>
      <c r="BC54" s="720"/>
      <c r="BD54" s="508"/>
      <c r="LY54" s="511"/>
      <c r="MN54" s="506"/>
    </row>
    <row r="55" spans="1:368" ht="14.4" customHeight="1">
      <c r="A55" s="13"/>
      <c r="B55" s="13" t="s">
        <v>1114</v>
      </c>
      <c r="H55" s="83" t="s">
        <v>1018</v>
      </c>
      <c r="I55" s="83"/>
      <c r="J55" s="83"/>
      <c r="K55" s="122" t="s">
        <v>551</v>
      </c>
      <c r="L55" s="122" t="s">
        <v>520</v>
      </c>
      <c r="M55" s="122" t="s">
        <v>521</v>
      </c>
      <c r="N55" s="122" t="s">
        <v>522</v>
      </c>
      <c r="O55" s="122" t="s">
        <v>523</v>
      </c>
      <c r="P55" s="122" t="s">
        <v>524</v>
      </c>
      <c r="S55" s="31" t="s">
        <v>1799</v>
      </c>
      <c r="T55" s="31"/>
      <c r="U55" s="526"/>
      <c r="X55" s="720"/>
      <c r="AA55" s="720"/>
      <c r="AB55" s="720"/>
      <c r="AC55" s="720"/>
      <c r="AF55" s="720"/>
      <c r="AG55" s="720"/>
      <c r="AH55" s="720"/>
      <c r="AK55" s="720"/>
      <c r="AL55" s="720"/>
      <c r="AM55" s="720"/>
      <c r="AP55" s="720"/>
      <c r="AQ55" s="720"/>
      <c r="AR55" s="2482"/>
      <c r="AS55" s="2482"/>
      <c r="AT55" s="2482"/>
      <c r="AU55" s="2482"/>
      <c r="AV55" s="2482"/>
      <c r="AW55" s="2482"/>
      <c r="AX55" s="720"/>
      <c r="AY55" s="508"/>
      <c r="BB55" s="2482"/>
      <c r="BC55" s="720"/>
      <c r="BD55" s="508"/>
      <c r="LY55" s="511"/>
      <c r="MN55" s="506"/>
    </row>
    <row r="56" spans="1:368" ht="15" customHeight="1">
      <c r="A56" s="3581" t="s">
        <v>4814</v>
      </c>
      <c r="B56" s="3581"/>
      <c r="C56" s="95" t="s">
        <v>1115</v>
      </c>
      <c r="D56" s="1"/>
      <c r="E56" s="1"/>
      <c r="F56" s="1"/>
      <c r="G56" s="83"/>
      <c r="H56" s="113" t="s">
        <v>4127</v>
      </c>
      <c r="I56" s="36"/>
      <c r="J56" s="83"/>
      <c r="K56" s="1704">
        <f>X48</f>
        <v>0</v>
      </c>
      <c r="L56" s="1705">
        <f>Y48</f>
        <v>0</v>
      </c>
      <c r="M56" s="1705">
        <f>Z48</f>
        <v>0</v>
      </c>
      <c r="N56" s="1705">
        <f>AA48</f>
        <v>0</v>
      </c>
      <c r="O56" s="1706">
        <f>AB48</f>
        <v>0</v>
      </c>
      <c r="P56" s="1081">
        <f t="shared" ref="P56:P67" si="357">SUM(K56:O56)</f>
        <v>0</v>
      </c>
      <c r="Q56" s="3592" t="s">
        <v>3498</v>
      </c>
      <c r="R56" s="1367"/>
      <c r="S56" s="3510"/>
      <c r="T56" s="3511"/>
      <c r="U56" s="3511"/>
      <c r="V56" s="3511"/>
      <c r="W56" s="3512"/>
      <c r="X56" s="2408"/>
      <c r="AA56" s="2408"/>
      <c r="AB56" s="512"/>
      <c r="AC56" s="2408"/>
      <c r="AF56" s="2408"/>
      <c r="AG56" s="512"/>
      <c r="AH56" s="2408"/>
      <c r="AK56" s="2408"/>
      <c r="AL56" s="512"/>
      <c r="AM56" s="2408"/>
      <c r="AP56" s="2408"/>
      <c r="AQ56" s="512"/>
      <c r="AR56" s="513"/>
      <c r="AS56" s="513"/>
      <c r="AT56" s="513"/>
      <c r="AU56" s="513"/>
      <c r="AV56" s="513"/>
      <c r="AW56" s="513"/>
      <c r="AX56" s="512"/>
      <c r="AY56" s="508"/>
      <c r="BB56" s="513"/>
      <c r="BC56" s="512"/>
      <c r="BD56" s="508"/>
      <c r="LY56" s="511"/>
      <c r="MN56" s="506"/>
    </row>
    <row r="57" spans="1:368" ht="15" customHeight="1">
      <c r="A57" s="3581"/>
      <c r="B57" s="3581"/>
      <c r="C57" s="95"/>
      <c r="D57" s="1"/>
      <c r="E57" s="1"/>
      <c r="F57" s="1"/>
      <c r="G57" s="83"/>
      <c r="H57" s="113" t="s">
        <v>4128</v>
      </c>
      <c r="I57" s="36"/>
      <c r="J57" s="83"/>
      <c r="K57" s="1707">
        <f>AC48</f>
        <v>0</v>
      </c>
      <c r="L57" s="1708">
        <f>AD48</f>
        <v>0</v>
      </c>
      <c r="M57" s="1708">
        <f>AE48</f>
        <v>0</v>
      </c>
      <c r="N57" s="1708">
        <f>AF48</f>
        <v>0</v>
      </c>
      <c r="O57" s="1709">
        <f>AG48</f>
        <v>0</v>
      </c>
      <c r="P57" s="1076">
        <f t="shared" si="357"/>
        <v>0</v>
      </c>
      <c r="Q57" s="3592"/>
      <c r="R57" s="1649"/>
      <c r="S57" s="3503"/>
      <c r="T57" s="3504"/>
      <c r="U57" s="3504"/>
      <c r="V57" s="3504"/>
      <c r="W57" s="3505"/>
      <c r="X57" s="2408"/>
      <c r="AA57" s="2408"/>
      <c r="AB57" s="512"/>
      <c r="AC57" s="2408"/>
      <c r="AF57" s="2408"/>
      <c r="AG57" s="512"/>
      <c r="AH57" s="2408"/>
      <c r="AK57" s="2408"/>
      <c r="AL57" s="512"/>
      <c r="AM57" s="2408"/>
      <c r="AP57" s="2408"/>
      <c r="AQ57" s="512"/>
      <c r="AR57" s="513"/>
      <c r="AS57" s="513"/>
      <c r="AT57" s="513"/>
      <c r="AU57" s="513"/>
      <c r="AV57" s="513"/>
      <c r="AW57" s="513"/>
      <c r="AX57" s="512"/>
      <c r="AY57" s="508"/>
      <c r="BB57" s="513"/>
      <c r="BC57" s="512"/>
      <c r="BD57" s="508"/>
      <c r="LY57" s="511"/>
      <c r="MN57" s="506"/>
    </row>
    <row r="58" spans="1:368" ht="15" customHeight="1">
      <c r="A58" s="3581"/>
      <c r="B58" s="3581"/>
      <c r="C58" s="95"/>
      <c r="D58" s="1"/>
      <c r="E58" s="1"/>
      <c r="F58" s="1"/>
      <c r="G58" s="83"/>
      <c r="H58" s="113" t="s">
        <v>1127</v>
      </c>
      <c r="I58" s="36"/>
      <c r="J58" s="83"/>
      <c r="K58" s="1707">
        <f>AH48</f>
        <v>0</v>
      </c>
      <c r="L58" s="1708">
        <f>AI48</f>
        <v>18</v>
      </c>
      <c r="M58" s="1708">
        <f>AJ48</f>
        <v>106</v>
      </c>
      <c r="N58" s="1708">
        <f>AK48</f>
        <v>76</v>
      </c>
      <c r="O58" s="1709">
        <f>AL48</f>
        <v>0</v>
      </c>
      <c r="P58" s="1076">
        <f t="shared" si="357"/>
        <v>200</v>
      </c>
      <c r="Q58" s="3592"/>
      <c r="R58" s="1649"/>
      <c r="S58" s="3503"/>
      <c r="T58" s="3504"/>
      <c r="U58" s="3504"/>
      <c r="V58" s="3504"/>
      <c r="W58" s="3505"/>
      <c r="X58" s="2408"/>
      <c r="AA58" s="2408"/>
      <c r="AB58" s="512"/>
      <c r="AC58" s="2408"/>
      <c r="AF58" s="2408"/>
      <c r="AG58" s="512"/>
      <c r="AH58" s="2408"/>
      <c r="AK58" s="2408"/>
      <c r="AL58" s="512"/>
      <c r="AM58" s="2408"/>
      <c r="AP58" s="2408"/>
      <c r="AQ58" s="512"/>
      <c r="AR58" s="513"/>
      <c r="AS58" s="513"/>
      <c r="AT58" s="513"/>
      <c r="AU58" s="513"/>
      <c r="AV58" s="513"/>
      <c r="AW58" s="513"/>
      <c r="AX58" s="512"/>
      <c r="AY58" s="508"/>
      <c r="BB58" s="513"/>
      <c r="BC58" s="512"/>
      <c r="BD58" s="508"/>
      <c r="LY58" s="511"/>
      <c r="MN58" s="506"/>
    </row>
    <row r="59" spans="1:368" ht="15" customHeight="1">
      <c r="A59" s="3581"/>
      <c r="B59" s="3581"/>
      <c r="C59" s="95"/>
      <c r="D59" s="1"/>
      <c r="E59" s="1"/>
      <c r="F59" s="1"/>
      <c r="G59" s="83"/>
      <c r="H59" s="105" t="s">
        <v>115</v>
      </c>
      <c r="I59" s="52"/>
      <c r="J59" s="1380"/>
      <c r="K59" s="1728">
        <f>AM48</f>
        <v>0</v>
      </c>
      <c r="L59" s="1729">
        <f>AN48</f>
        <v>0</v>
      </c>
      <c r="M59" s="1729">
        <f>AO48</f>
        <v>0</v>
      </c>
      <c r="N59" s="1729">
        <f>AP48</f>
        <v>0</v>
      </c>
      <c r="O59" s="1730">
        <f>AQ48</f>
        <v>0</v>
      </c>
      <c r="P59" s="672">
        <f t="shared" si="357"/>
        <v>0</v>
      </c>
      <c r="Q59" s="3592"/>
      <c r="R59" s="1649"/>
      <c r="S59" s="3503"/>
      <c r="T59" s="3504"/>
      <c r="U59" s="3504"/>
      <c r="V59" s="3504"/>
      <c r="W59" s="3505"/>
      <c r="X59" s="2408"/>
      <c r="AA59" s="2408"/>
      <c r="AB59" s="512"/>
      <c r="AC59" s="2408"/>
      <c r="AF59" s="2408"/>
      <c r="AG59" s="512"/>
      <c r="AH59" s="2408"/>
      <c r="AK59" s="2408"/>
      <c r="AL59" s="512"/>
      <c r="AM59" s="2408"/>
      <c r="AP59" s="2408"/>
      <c r="AQ59" s="512"/>
      <c r="AR59" s="513"/>
      <c r="AS59" s="513"/>
      <c r="AT59" s="513"/>
      <c r="AU59" s="513"/>
      <c r="AV59" s="513"/>
      <c r="AW59" s="513"/>
      <c r="AX59" s="512"/>
      <c r="AY59" s="508"/>
      <c r="BB59" s="513"/>
      <c r="BC59" s="512"/>
      <c r="BD59" s="508"/>
      <c r="LY59" s="511"/>
      <c r="MN59" s="506"/>
    </row>
    <row r="60" spans="1:368" ht="15" customHeight="1">
      <c r="A60" s="3581"/>
      <c r="B60" s="3581"/>
      <c r="C60" s="95"/>
      <c r="D60" s="1"/>
      <c r="E60" s="1"/>
      <c r="F60" s="1"/>
      <c r="G60" s="83"/>
      <c r="H60" s="105" t="s">
        <v>4129</v>
      </c>
      <c r="I60" s="52"/>
      <c r="J60" s="1380"/>
      <c r="K60" s="1707">
        <f>AR48</f>
        <v>0</v>
      </c>
      <c r="L60" s="1708">
        <f>AS48</f>
        <v>0</v>
      </c>
      <c r="M60" s="1708">
        <f>AT48</f>
        <v>0</v>
      </c>
      <c r="N60" s="1708">
        <f>AU48</f>
        <v>0</v>
      </c>
      <c r="O60" s="1709">
        <f>AV48</f>
        <v>0</v>
      </c>
      <c r="P60" s="1076">
        <f t="shared" si="357"/>
        <v>0</v>
      </c>
      <c r="Q60" s="3592"/>
      <c r="R60" s="1649"/>
      <c r="S60" s="3503"/>
      <c r="T60" s="3504"/>
      <c r="U60" s="3504"/>
      <c r="V60" s="3504"/>
      <c r="W60" s="3505"/>
      <c r="X60" s="2408"/>
      <c r="AA60" s="2408"/>
      <c r="AB60" s="512"/>
      <c r="AC60" s="2408"/>
      <c r="AF60" s="2408"/>
      <c r="AG60" s="512"/>
      <c r="AH60" s="2408"/>
      <c r="AK60" s="2408"/>
      <c r="AL60" s="512"/>
      <c r="AM60" s="2408"/>
      <c r="AP60" s="2408"/>
      <c r="AQ60" s="512"/>
      <c r="AR60" s="513"/>
      <c r="AS60" s="513"/>
      <c r="AT60" s="513"/>
      <c r="AU60" s="513"/>
      <c r="AV60" s="513"/>
      <c r="AW60" s="513"/>
      <c r="AX60" s="512"/>
      <c r="AY60" s="508"/>
      <c r="BB60" s="513"/>
      <c r="BC60" s="512"/>
      <c r="BD60" s="508"/>
      <c r="LY60" s="511"/>
      <c r="MN60" s="506"/>
    </row>
    <row r="61" spans="1:368" ht="15" customHeight="1">
      <c r="A61" s="3581"/>
      <c r="B61" s="3581"/>
      <c r="C61" s="95"/>
      <c r="D61" s="1"/>
      <c r="E61" s="1"/>
      <c r="F61" s="1"/>
      <c r="G61" s="83"/>
      <c r="H61" s="113" t="s">
        <v>4130</v>
      </c>
      <c r="I61" s="36"/>
      <c r="J61" s="83"/>
      <c r="K61" s="1707">
        <f>AW48</f>
        <v>0</v>
      </c>
      <c r="L61" s="1708">
        <f>AX48</f>
        <v>0</v>
      </c>
      <c r="M61" s="1708">
        <f>AY48</f>
        <v>0</v>
      </c>
      <c r="N61" s="1708">
        <f>AZ48</f>
        <v>0</v>
      </c>
      <c r="O61" s="1709">
        <f>BA48</f>
        <v>0</v>
      </c>
      <c r="P61" s="1076">
        <f t="shared" si="357"/>
        <v>0</v>
      </c>
      <c r="Q61" s="3592"/>
      <c r="R61" s="1649"/>
      <c r="S61" s="3503"/>
      <c r="T61" s="3504"/>
      <c r="U61" s="3504"/>
      <c r="V61" s="3504"/>
      <c r="W61" s="3505"/>
      <c r="X61" s="2408"/>
      <c r="AA61" s="2408"/>
      <c r="AB61" s="512"/>
      <c r="AC61" s="2408"/>
      <c r="AF61" s="2408"/>
      <c r="AG61" s="512"/>
      <c r="AH61" s="2408"/>
      <c r="AK61" s="2408"/>
      <c r="AL61" s="512"/>
      <c r="AM61" s="2408"/>
      <c r="AP61" s="2408"/>
      <c r="AQ61" s="512"/>
      <c r="AR61" s="513"/>
      <c r="AS61" s="513"/>
      <c r="AT61" s="513"/>
      <c r="AU61" s="513"/>
      <c r="AV61" s="513"/>
      <c r="AW61" s="513"/>
      <c r="AX61" s="512"/>
      <c r="AY61" s="508"/>
      <c r="BB61" s="513"/>
      <c r="BC61" s="512"/>
      <c r="BD61" s="508"/>
      <c r="LY61" s="511"/>
      <c r="MN61" s="506"/>
    </row>
    <row r="62" spans="1:368" ht="15" customHeight="1">
      <c r="A62" s="3581"/>
      <c r="B62" s="3581"/>
      <c r="C62" s="4"/>
      <c r="D62" s="1"/>
      <c r="E62" s="1"/>
      <c r="F62" s="1"/>
      <c r="G62" s="83"/>
      <c r="H62" s="113" t="s">
        <v>4131</v>
      </c>
      <c r="I62" s="36"/>
      <c r="J62" s="83"/>
      <c r="K62" s="1710">
        <f>BB48</f>
        <v>0</v>
      </c>
      <c r="L62" s="1711">
        <f>BC48</f>
        <v>0</v>
      </c>
      <c r="M62" s="1711">
        <f>BD48</f>
        <v>0</v>
      </c>
      <c r="N62" s="1711">
        <f>BE48</f>
        <v>0</v>
      </c>
      <c r="O62" s="1712">
        <f>BF48</f>
        <v>0</v>
      </c>
      <c r="P62" s="672">
        <f t="shared" si="357"/>
        <v>0</v>
      </c>
      <c r="Q62" s="3592"/>
      <c r="R62" s="1367"/>
      <c r="S62" s="3503"/>
      <c r="T62" s="3504"/>
      <c r="U62" s="3504"/>
      <c r="V62" s="3504"/>
      <c r="W62" s="3505"/>
      <c r="X62" s="2483"/>
      <c r="AA62" s="2408"/>
      <c r="AB62" s="512"/>
      <c r="AC62" s="2483"/>
      <c r="AF62" s="2408"/>
      <c r="AG62" s="512"/>
      <c r="AH62" s="2483"/>
      <c r="AK62" s="2408"/>
      <c r="AL62" s="512"/>
      <c r="AM62" s="2483"/>
      <c r="AP62" s="2408"/>
      <c r="AQ62" s="512"/>
      <c r="AR62" s="513"/>
      <c r="AS62" s="513"/>
      <c r="AT62" s="513"/>
      <c r="AU62" s="513"/>
      <c r="AV62" s="513"/>
      <c r="AW62" s="513"/>
      <c r="AX62" s="512"/>
      <c r="AY62" s="508"/>
      <c r="BB62" s="513"/>
      <c r="BC62" s="512"/>
      <c r="BD62" s="508"/>
      <c r="LY62" s="511"/>
      <c r="MN62" s="506"/>
    </row>
    <row r="63" spans="1:368" ht="15" customHeight="1">
      <c r="A63" s="3581"/>
      <c r="B63" s="3581"/>
      <c r="C63" s="113" t="s">
        <v>4213</v>
      </c>
      <c r="D63" s="1"/>
      <c r="E63" s="1"/>
      <c r="F63" s="1"/>
      <c r="G63" s="83"/>
      <c r="H63" s="90"/>
      <c r="I63" s="55"/>
      <c r="J63" s="83"/>
      <c r="K63" s="1664">
        <f>SUM(K56:K62)</f>
        <v>0</v>
      </c>
      <c r="L63" s="1664">
        <f>SUM(L56:L62)</f>
        <v>18</v>
      </c>
      <c r="M63" s="1664">
        <f>SUM(M56:M62)</f>
        <v>106</v>
      </c>
      <c r="N63" s="1664">
        <f>SUM(N56:N62)</f>
        <v>76</v>
      </c>
      <c r="O63" s="1664">
        <f>SUM(O56:O62)</f>
        <v>0</v>
      </c>
      <c r="P63" s="1664">
        <f t="shared" si="357"/>
        <v>200</v>
      </c>
      <c r="Q63" s="3593"/>
      <c r="S63" s="3503"/>
      <c r="T63" s="3504"/>
      <c r="U63" s="3504"/>
      <c r="V63" s="3504"/>
      <c r="W63" s="3505"/>
      <c r="X63" s="2483"/>
      <c r="AA63" s="2408"/>
      <c r="AB63" s="512"/>
      <c r="AC63" s="2483"/>
      <c r="AF63" s="2408"/>
      <c r="AG63" s="512"/>
      <c r="AH63" s="2483"/>
      <c r="AK63" s="2408"/>
      <c r="AL63" s="512"/>
      <c r="AM63" s="2483"/>
      <c r="AP63" s="2408"/>
      <c r="AQ63" s="512"/>
      <c r="AR63" s="513"/>
      <c r="AS63" s="513"/>
      <c r="AT63" s="513"/>
      <c r="AU63" s="513"/>
      <c r="AV63" s="513"/>
      <c r="AW63" s="513"/>
      <c r="AX63" s="512"/>
      <c r="AY63" s="508"/>
      <c r="BB63" s="513"/>
      <c r="BC63" s="512"/>
      <c r="BD63" s="508"/>
      <c r="LY63" s="511"/>
      <c r="MN63" s="506"/>
    </row>
    <row r="64" spans="1:368" ht="15" customHeight="1">
      <c r="A64" s="3581"/>
      <c r="B64" s="3581"/>
      <c r="D64" s="1"/>
      <c r="E64" s="1"/>
      <c r="F64" s="1"/>
      <c r="G64" s="83"/>
      <c r="H64" s="113" t="s">
        <v>298</v>
      </c>
      <c r="I64" s="36"/>
      <c r="J64" s="83"/>
      <c r="K64" s="1077">
        <f>BG48</f>
        <v>0</v>
      </c>
      <c r="L64" s="1077">
        <f>BH48</f>
        <v>0</v>
      </c>
      <c r="M64" s="1077">
        <f>BI48</f>
        <v>0</v>
      </c>
      <c r="N64" s="1077">
        <f>BJ48</f>
        <v>0</v>
      </c>
      <c r="O64" s="1077">
        <f>BK48</f>
        <v>0</v>
      </c>
      <c r="P64" s="1077">
        <f t="shared" si="357"/>
        <v>0</v>
      </c>
      <c r="S64" s="3503"/>
      <c r="T64" s="3504"/>
      <c r="U64" s="3504"/>
      <c r="V64" s="3504"/>
      <c r="W64" s="3505"/>
      <c r="X64" s="508"/>
      <c r="AA64" s="2408"/>
      <c r="AB64" s="512"/>
      <c r="AC64" s="508"/>
      <c r="AF64" s="2408"/>
      <c r="AG64" s="512"/>
      <c r="AH64" s="508"/>
      <c r="AK64" s="2408"/>
      <c r="AL64" s="512"/>
      <c r="AM64" s="508"/>
      <c r="AP64" s="2408"/>
      <c r="AQ64" s="512"/>
      <c r="AR64" s="513"/>
      <c r="AS64" s="513"/>
      <c r="AT64" s="513"/>
      <c r="AU64" s="513"/>
      <c r="AV64" s="513"/>
      <c r="AW64" s="513"/>
      <c r="AX64" s="1178"/>
      <c r="AY64" s="508"/>
      <c r="BB64" s="513"/>
      <c r="BC64" s="1178"/>
      <c r="BD64" s="508"/>
      <c r="LY64" s="511"/>
      <c r="MN64" s="506"/>
    </row>
    <row r="65" spans="1:495" ht="15" customHeight="1">
      <c r="A65" s="3581"/>
      <c r="B65" s="3581"/>
      <c r="C65" s="1671" t="s">
        <v>1116</v>
      </c>
      <c r="D65" s="1671"/>
      <c r="E65" s="1671"/>
      <c r="F65" s="1671"/>
      <c r="G65" s="1672"/>
      <c r="H65" s="2337"/>
      <c r="I65" s="49"/>
      <c r="J65" s="1672"/>
      <c r="K65" s="1673">
        <f>SUM(K63:K64)</f>
        <v>0</v>
      </c>
      <c r="L65" s="1673">
        <f>SUM(L63:L64)</f>
        <v>18</v>
      </c>
      <c r="M65" s="1673">
        <f>SUM(M63:M64)</f>
        <v>106</v>
      </c>
      <c r="N65" s="1673">
        <f>SUM(N63:N64)</f>
        <v>76</v>
      </c>
      <c r="O65" s="1673">
        <f>SUM(O63:O64)</f>
        <v>0</v>
      </c>
      <c r="P65" s="1673">
        <f t="shared" si="357"/>
        <v>200</v>
      </c>
      <c r="S65" s="3503"/>
      <c r="T65" s="3504"/>
      <c r="U65" s="3504"/>
      <c r="V65" s="3504"/>
      <c r="W65" s="3505"/>
      <c r="X65" s="2408"/>
      <c r="AA65" s="2408"/>
      <c r="AB65" s="512"/>
      <c r="AC65" s="2408"/>
      <c r="AF65" s="2408"/>
      <c r="AG65" s="512"/>
      <c r="AH65" s="2408"/>
      <c r="AK65" s="2408"/>
      <c r="AL65" s="512"/>
      <c r="AM65" s="2408"/>
      <c r="AP65" s="2408"/>
      <c r="AQ65" s="512"/>
      <c r="AR65" s="513"/>
      <c r="AS65" s="513"/>
      <c r="AT65" s="513"/>
      <c r="AU65" s="513"/>
      <c r="AV65" s="513"/>
      <c r="AW65" s="513"/>
      <c r="AX65" s="1178"/>
      <c r="AY65" s="508"/>
      <c r="BB65" s="513"/>
      <c r="BC65" s="1178"/>
      <c r="BD65" s="508"/>
      <c r="LY65" s="511"/>
      <c r="MN65" s="506"/>
    </row>
    <row r="66" spans="1:495" ht="15" customHeight="1">
      <c r="A66" s="3581"/>
      <c r="B66" s="3581"/>
      <c r="D66" s="1"/>
      <c r="E66" s="1"/>
      <c r="F66" s="1"/>
      <c r="G66" s="83"/>
      <c r="H66" s="113" t="s">
        <v>2445</v>
      </c>
      <c r="I66" s="36"/>
      <c r="J66" s="83"/>
      <c r="K66" s="1077">
        <f>ED48</f>
        <v>0</v>
      </c>
      <c r="L66" s="1077">
        <f>EE48</f>
        <v>0</v>
      </c>
      <c r="M66" s="1077">
        <f>EF48</f>
        <v>0</v>
      </c>
      <c r="N66" s="1077">
        <f>EG48</f>
        <v>0</v>
      </c>
      <c r="O66" s="1077">
        <f>EH48</f>
        <v>0</v>
      </c>
      <c r="P66" s="1077">
        <f t="shared" si="357"/>
        <v>0</v>
      </c>
      <c r="Q66" s="551" t="s">
        <v>3499</v>
      </c>
      <c r="S66" s="3503"/>
      <c r="T66" s="3504"/>
      <c r="U66" s="3504"/>
      <c r="V66" s="3504"/>
      <c r="W66" s="3505"/>
      <c r="X66" s="2408"/>
      <c r="AA66" s="2408"/>
      <c r="AB66" s="512"/>
      <c r="AC66" s="2408"/>
      <c r="AF66" s="2408"/>
      <c r="AG66" s="512"/>
      <c r="AH66" s="2408"/>
      <c r="AK66" s="2408"/>
      <c r="AL66" s="512"/>
      <c r="AM66" s="2408"/>
      <c r="AP66" s="2408"/>
      <c r="AQ66" s="512"/>
      <c r="AR66" s="513"/>
      <c r="AS66" s="513"/>
      <c r="AT66" s="513"/>
      <c r="AU66" s="513"/>
      <c r="AV66" s="513"/>
      <c r="AW66" s="513"/>
      <c r="AX66" s="512"/>
      <c r="AY66" s="508"/>
      <c r="BB66" s="513"/>
      <c r="BC66" s="512"/>
      <c r="BD66" s="508"/>
      <c r="LY66" s="511"/>
      <c r="MN66" s="506"/>
    </row>
    <row r="67" spans="1:495" ht="15" customHeight="1">
      <c r="A67" s="3581"/>
      <c r="B67" s="3581"/>
      <c r="C67" s="4" t="s">
        <v>1749</v>
      </c>
      <c r="D67" s="1"/>
      <c r="E67" s="1"/>
      <c r="F67" s="1"/>
      <c r="G67" s="83"/>
      <c r="H67" s="113"/>
      <c r="I67" s="36"/>
      <c r="J67" s="83"/>
      <c r="K67" s="1663">
        <f>SUM(K65:K66)</f>
        <v>0</v>
      </c>
      <c r="L67" s="1663">
        <f>SUM(L65:L66)</f>
        <v>18</v>
      </c>
      <c r="M67" s="1663">
        <f>SUM(M65:M66)</f>
        <v>106</v>
      </c>
      <c r="N67" s="1663">
        <f>SUM(N65:N66)</f>
        <v>76</v>
      </c>
      <c r="O67" s="1663">
        <f>SUM(O65:O66)</f>
        <v>0</v>
      </c>
      <c r="P67" s="1663">
        <f t="shared" si="357"/>
        <v>200</v>
      </c>
      <c r="S67" s="3507"/>
      <c r="T67" s="3508"/>
      <c r="U67" s="3508"/>
      <c r="V67" s="3508"/>
      <c r="W67" s="3509"/>
      <c r="X67" s="2408"/>
      <c r="AA67" s="2408"/>
      <c r="AB67" s="512"/>
      <c r="AC67" s="2408"/>
      <c r="AF67" s="2408"/>
      <c r="AG67" s="512"/>
      <c r="AH67" s="2408"/>
      <c r="AK67" s="2408"/>
      <c r="AL67" s="512"/>
      <c r="AM67" s="2408"/>
      <c r="AP67" s="2408"/>
      <c r="AQ67" s="512"/>
      <c r="AR67" s="513"/>
      <c r="AS67" s="513"/>
      <c r="AT67" s="513"/>
      <c r="AU67" s="513"/>
      <c r="AV67" s="513"/>
      <c r="AW67" s="513"/>
      <c r="AX67" s="720"/>
      <c r="AY67" s="508"/>
      <c r="BB67" s="513"/>
      <c r="BC67" s="720"/>
      <c r="BD67" s="508"/>
      <c r="LY67" s="511"/>
      <c r="MN67" s="506"/>
    </row>
    <row r="68" spans="1:495" ht="16.2" customHeight="1">
      <c r="A68" s="3581"/>
      <c r="B68" s="3581"/>
      <c r="C68" s="1949"/>
      <c r="D68" s="1949"/>
      <c r="E68" s="1949"/>
      <c r="F68" s="1949"/>
      <c r="G68" s="1949"/>
      <c r="H68" s="2338"/>
      <c r="I68" s="1949"/>
      <c r="J68" s="1949"/>
      <c r="K68" s="1949"/>
      <c r="L68" s="1949"/>
      <c r="M68" s="1949"/>
      <c r="N68" s="1949"/>
      <c r="O68" s="1949"/>
      <c r="P68" s="1949"/>
      <c r="Q68" s="506"/>
      <c r="X68" s="2408"/>
      <c r="AA68" s="2408"/>
      <c r="AB68" s="512"/>
      <c r="AC68" s="2408"/>
      <c r="AF68" s="2408"/>
      <c r="AG68" s="512"/>
      <c r="AH68" s="2408"/>
      <c r="AK68" s="2408"/>
      <c r="AL68" s="512"/>
      <c r="AM68" s="2408"/>
      <c r="AP68" s="2408"/>
      <c r="AQ68" s="512"/>
      <c r="AR68" s="2408"/>
      <c r="AS68" s="2408"/>
      <c r="AT68" s="2408"/>
      <c r="AU68" s="2408"/>
      <c r="AV68" s="2408"/>
      <c r="AW68" s="2408"/>
      <c r="AX68" s="720"/>
      <c r="AY68" s="508"/>
      <c r="BB68" s="2408"/>
      <c r="BC68" s="720"/>
      <c r="BD68" s="508"/>
      <c r="LY68" s="511"/>
      <c r="MN68" s="506"/>
    </row>
    <row r="69" spans="1:495" ht="12" customHeight="1">
      <c r="A69" s="3581"/>
      <c r="B69" s="3581"/>
      <c r="C69" s="3570" t="s">
        <v>4231</v>
      </c>
      <c r="D69" s="3570"/>
      <c r="E69" s="3570"/>
      <c r="F69" s="3570"/>
      <c r="G69" s="1949"/>
      <c r="H69" s="2338"/>
      <c r="I69" s="1949"/>
      <c r="J69" s="1949"/>
      <c r="K69" s="2346"/>
      <c r="L69" s="2346"/>
      <c r="M69" s="2346"/>
      <c r="N69" s="2346"/>
      <c r="O69" s="2346"/>
      <c r="P69" s="2346"/>
      <c r="Q69" s="506"/>
      <c r="S69" s="298" t="str">
        <f>C69</f>
        <v xml:space="preserve">Income Limit Distribution among Bedroom Sizes </v>
      </c>
      <c r="T69" s="155"/>
      <c r="U69" s="462"/>
      <c r="X69" s="2408"/>
      <c r="AA69" s="2408"/>
      <c r="AB69" s="512"/>
      <c r="AC69" s="2408"/>
      <c r="AF69" s="2408"/>
      <c r="AG69" s="512"/>
      <c r="AH69" s="2408"/>
      <c r="AK69" s="2408"/>
      <c r="AL69" s="512"/>
      <c r="AM69" s="2408"/>
      <c r="AP69" s="2408"/>
      <c r="AQ69" s="512"/>
      <c r="AR69" s="2408"/>
      <c r="AS69" s="2408"/>
      <c r="AT69" s="2408"/>
      <c r="AU69" s="2408"/>
      <c r="AV69" s="2408"/>
      <c r="AW69" s="2408"/>
      <c r="AX69" s="720"/>
      <c r="AY69" s="508"/>
      <c r="BB69" s="2408"/>
      <c r="BC69" s="720"/>
      <c r="BD69" s="508"/>
      <c r="LY69" s="511"/>
      <c r="MN69" s="506"/>
    </row>
    <row r="70" spans="1:495" customFormat="1" ht="13.2" customHeight="1">
      <c r="A70" s="3581"/>
      <c r="B70" s="3581"/>
      <c r="C70" s="3570"/>
      <c r="D70" s="3570"/>
      <c r="E70" s="3570"/>
      <c r="F70" s="3570"/>
      <c r="G70" s="8"/>
      <c r="H70" s="2339" t="s">
        <v>4127</v>
      </c>
      <c r="I70" s="2270"/>
      <c r="J70" s="2271"/>
      <c r="K70" s="2324" t="str">
        <f t="shared" ref="K70:P70" si="358">IF(OR(K56=0,K$67=0),"",K56/K$67)</f>
        <v/>
      </c>
      <c r="L70" s="2325" t="str">
        <f t="shared" si="358"/>
        <v/>
      </c>
      <c r="M70" s="2325" t="str">
        <f t="shared" si="358"/>
        <v/>
      </c>
      <c r="N70" s="2325" t="str">
        <f t="shared" si="358"/>
        <v/>
      </c>
      <c r="O70" s="2325" t="str">
        <f t="shared" si="358"/>
        <v/>
      </c>
      <c r="P70" s="2326" t="str">
        <f t="shared" si="358"/>
        <v/>
      </c>
      <c r="Q70" s="40" t="s">
        <v>4787</v>
      </c>
      <c r="S70" s="3510"/>
      <c r="T70" s="3511"/>
      <c r="U70" s="3511"/>
      <c r="V70" s="3511"/>
      <c r="W70" s="3512"/>
      <c r="X70" s="2473"/>
      <c r="Y70" s="2473"/>
      <c r="Z70" s="2473"/>
      <c r="AA70" s="2473"/>
      <c r="AB70" s="2473"/>
      <c r="AC70" s="2473"/>
      <c r="AD70" s="2473"/>
      <c r="AE70" s="2473"/>
      <c r="AF70" s="2473"/>
      <c r="AG70" s="2473"/>
      <c r="AH70" s="2473"/>
      <c r="AI70" s="2473"/>
      <c r="AJ70" s="2473"/>
      <c r="AK70" s="2473"/>
      <c r="AL70" s="2473"/>
      <c r="AM70" s="2473"/>
      <c r="AN70" s="2473"/>
      <c r="AO70" s="2473"/>
      <c r="AP70" s="2473"/>
      <c r="AQ70" s="2473"/>
      <c r="AR70" s="2473"/>
      <c r="AS70" s="2473"/>
      <c r="AT70" s="2473"/>
      <c r="AU70" s="2473"/>
      <c r="AV70" s="2473"/>
      <c r="AW70" s="2473"/>
      <c r="AX70" s="2473"/>
      <c r="AY70" s="2473"/>
      <c r="AZ70" s="2473"/>
      <c r="BA70" s="2473"/>
      <c r="BB70" s="2473"/>
      <c r="BC70" s="2473"/>
      <c r="BD70" s="2473"/>
      <c r="BE70" s="2473"/>
      <c r="BF70" s="2473"/>
      <c r="BG70" s="2473"/>
      <c r="BH70" s="2473"/>
      <c r="BI70" s="2473"/>
      <c r="BJ70" s="2473"/>
      <c r="BK70" s="2473"/>
      <c r="BL70" s="2473"/>
      <c r="BM70" s="2473"/>
      <c r="BN70" s="2473"/>
      <c r="BO70" s="2473"/>
      <c r="BP70" s="2473"/>
      <c r="BQ70" s="2473"/>
      <c r="BR70" s="2473"/>
      <c r="BS70" s="2473"/>
      <c r="BT70" s="2473"/>
      <c r="BU70" s="2473"/>
      <c r="BV70" s="2473"/>
      <c r="BW70" s="2473"/>
      <c r="BX70" s="2473"/>
      <c r="BY70" s="2473"/>
      <c r="BZ70" s="2473"/>
      <c r="CA70" s="2473"/>
      <c r="CB70" s="2473"/>
      <c r="CC70" s="2473"/>
      <c r="CD70" s="2473"/>
      <c r="CE70" s="2473"/>
      <c r="CF70" s="2473"/>
      <c r="CG70" s="2473"/>
      <c r="CH70" s="2473"/>
      <c r="CI70" s="2473"/>
      <c r="CJ70" s="2473"/>
      <c r="CK70" s="2473"/>
      <c r="CL70" s="2473"/>
      <c r="CM70" s="2473"/>
      <c r="CN70" s="2473"/>
      <c r="CO70" s="2473"/>
      <c r="CP70" s="2473"/>
      <c r="CQ70" s="2473"/>
      <c r="CR70" s="2473"/>
      <c r="CS70" s="2473"/>
      <c r="CT70" s="2473"/>
      <c r="CU70" s="2473"/>
      <c r="CV70" s="2473"/>
      <c r="CW70" s="2473"/>
      <c r="CX70" s="2473"/>
      <c r="CY70" s="2473"/>
      <c r="CZ70" s="2473"/>
      <c r="DA70" s="2473"/>
      <c r="DB70" s="2473"/>
      <c r="DC70" s="2473"/>
      <c r="DD70" s="2473"/>
      <c r="DE70" s="2473"/>
      <c r="DF70" s="2473"/>
      <c r="DG70" s="2473"/>
      <c r="DH70" s="2473"/>
      <c r="DI70" s="2473"/>
      <c r="DJ70" s="2473"/>
      <c r="DK70" s="2473"/>
      <c r="DL70" s="2473"/>
      <c r="DM70" s="2473"/>
      <c r="DN70" s="2473"/>
      <c r="DO70" s="2473"/>
      <c r="DP70" s="2473"/>
      <c r="DQ70" s="2473"/>
      <c r="DR70" s="2473"/>
      <c r="DS70" s="2473"/>
      <c r="DT70" s="2473"/>
      <c r="DU70" s="2473"/>
      <c r="DV70" s="2473"/>
      <c r="DW70" s="2473"/>
      <c r="DX70" s="2473"/>
      <c r="DY70" s="2473"/>
      <c r="DZ70" s="2473"/>
      <c r="EA70" s="2473"/>
      <c r="EB70" s="2473"/>
      <c r="EC70" s="2473"/>
      <c r="ED70" s="2473"/>
      <c r="EE70" s="2473"/>
      <c r="EF70" s="2473"/>
      <c r="EG70" s="2473"/>
      <c r="EH70" s="2473"/>
      <c r="EI70" s="2473"/>
      <c r="EJ70" s="2473"/>
      <c r="EK70" s="2473"/>
      <c r="EL70" s="2473"/>
      <c r="EM70" s="2473"/>
      <c r="EN70" s="2473"/>
      <c r="EO70" s="2473"/>
      <c r="EP70" s="2473"/>
      <c r="EQ70" s="2473"/>
      <c r="ER70" s="2473"/>
      <c r="ES70" s="2473"/>
      <c r="ET70" s="2473"/>
      <c r="EU70" s="2473"/>
      <c r="EV70" s="2473"/>
      <c r="EW70" s="2473"/>
      <c r="EX70" s="2473"/>
      <c r="EY70" s="2473"/>
      <c r="EZ70" s="2473"/>
      <c r="FA70" s="2473"/>
      <c r="FB70" s="2473"/>
      <c r="FC70" s="2473"/>
      <c r="FD70" s="2473"/>
      <c r="FE70" s="2473"/>
      <c r="FF70" s="2473"/>
      <c r="FG70" s="2473"/>
      <c r="FH70" s="2473"/>
      <c r="FI70" s="2473"/>
      <c r="FJ70" s="2473"/>
      <c r="FK70" s="2473"/>
      <c r="FL70" s="2473"/>
      <c r="FM70" s="2473"/>
      <c r="FN70" s="2473"/>
      <c r="FO70" s="2473"/>
      <c r="FP70" s="2473"/>
      <c r="FQ70" s="2473"/>
      <c r="FR70" s="2473"/>
      <c r="FS70" s="2473"/>
      <c r="FT70" s="2473"/>
      <c r="FU70" s="2473"/>
      <c r="FV70" s="2473"/>
      <c r="FW70" s="2473"/>
      <c r="FX70" s="2473"/>
      <c r="FY70" s="2473"/>
      <c r="FZ70" s="2473"/>
      <c r="GA70" s="2473"/>
      <c r="GB70" s="2473"/>
      <c r="GC70" s="2473"/>
      <c r="GD70" s="2473"/>
      <c r="GE70" s="2473"/>
      <c r="GF70" s="2473"/>
      <c r="GG70" s="2473"/>
      <c r="GH70" s="2473"/>
      <c r="GI70" s="2473"/>
      <c r="GJ70" s="2473"/>
      <c r="GK70" s="2473"/>
      <c r="GL70" s="2473"/>
      <c r="GM70" s="2473"/>
      <c r="GN70" s="2473"/>
      <c r="GO70" s="2473"/>
      <c r="GP70" s="2473"/>
      <c r="GQ70" s="2473"/>
      <c r="GR70" s="2473"/>
      <c r="GS70" s="2473"/>
      <c r="GT70" s="2473"/>
      <c r="GU70" s="2473"/>
      <c r="GV70" s="2473"/>
      <c r="GW70" s="2473"/>
      <c r="GX70" s="2473"/>
      <c r="GY70" s="2473"/>
      <c r="GZ70" s="2473"/>
      <c r="HA70" s="2473"/>
      <c r="HB70" s="2473"/>
      <c r="HC70" s="2473"/>
      <c r="HD70" s="2473"/>
      <c r="HE70" s="2473"/>
      <c r="HF70" s="2473"/>
      <c r="HG70" s="2473"/>
      <c r="HH70" s="2473"/>
      <c r="HI70" s="2473"/>
      <c r="HJ70" s="2473"/>
      <c r="HK70" s="2473"/>
      <c r="HL70" s="2473"/>
      <c r="HM70" s="2473"/>
      <c r="HN70" s="2473"/>
      <c r="HO70" s="2473"/>
      <c r="HP70" s="2473"/>
      <c r="HQ70" s="2473"/>
      <c r="HR70" s="2473"/>
      <c r="HS70" s="2473"/>
      <c r="HT70" s="2473"/>
      <c r="HU70" s="2473"/>
      <c r="HV70" s="2473"/>
      <c r="HW70" s="2473"/>
      <c r="HX70" s="2473"/>
      <c r="HY70" s="2473"/>
      <c r="HZ70" s="2473"/>
      <c r="IA70" s="2473"/>
      <c r="IB70" s="2473"/>
      <c r="IC70" s="2473"/>
      <c r="ID70" s="2473"/>
      <c r="IE70" s="2473"/>
      <c r="IF70" s="2473"/>
      <c r="IG70" s="2473"/>
      <c r="IH70" s="2473"/>
      <c r="II70" s="2473"/>
      <c r="IJ70" s="2473"/>
      <c r="IK70" s="2473"/>
      <c r="IL70" s="2473"/>
      <c r="IM70" s="2473"/>
      <c r="IN70" s="2473"/>
      <c r="IO70" s="2473"/>
      <c r="IP70" s="2473"/>
      <c r="IQ70" s="2473"/>
      <c r="IR70" s="2473"/>
      <c r="IS70" s="2473"/>
      <c r="IT70" s="2473"/>
      <c r="IU70" s="2473"/>
      <c r="IV70" s="2473"/>
      <c r="IW70" s="2473"/>
      <c r="IX70" s="2473"/>
      <c r="IY70" s="2473"/>
      <c r="IZ70" s="2473"/>
      <c r="JA70" s="2473"/>
      <c r="JB70" s="2473"/>
      <c r="JC70" s="2473"/>
      <c r="JD70" s="2473"/>
      <c r="JE70" s="2473"/>
      <c r="JF70" s="2473"/>
      <c r="JG70" s="2473"/>
      <c r="JH70" s="2473"/>
      <c r="JI70" s="2473"/>
      <c r="JJ70" s="2473"/>
      <c r="JK70" s="2473"/>
      <c r="JL70" s="2473"/>
      <c r="JM70" s="2473"/>
      <c r="JN70" s="2473"/>
      <c r="JO70" s="2473"/>
      <c r="JP70" s="2473"/>
      <c r="JQ70" s="2473"/>
      <c r="JR70" s="2473"/>
      <c r="JS70" s="2473"/>
      <c r="JT70" s="2473"/>
      <c r="JU70" s="2473"/>
      <c r="JV70" s="2473"/>
      <c r="JW70" s="2473"/>
      <c r="JX70" s="2473"/>
      <c r="JY70" s="2473"/>
      <c r="JZ70" s="2473"/>
      <c r="KA70" s="2473"/>
      <c r="KB70" s="2473"/>
      <c r="KC70" s="2473"/>
      <c r="KD70" s="2473"/>
      <c r="KE70" s="2473"/>
      <c r="KF70" s="2473"/>
      <c r="KG70" s="2473"/>
      <c r="KH70" s="2473"/>
      <c r="KI70" s="2473"/>
      <c r="KJ70" s="2473"/>
      <c r="KK70" s="2473"/>
      <c r="KL70" s="2473"/>
      <c r="KM70" s="2473"/>
      <c r="KN70" s="2473"/>
      <c r="KO70" s="2473"/>
      <c r="KP70" s="2473"/>
      <c r="KQ70" s="2473"/>
      <c r="KR70" s="2473"/>
      <c r="KS70" s="2473"/>
      <c r="KT70" s="2473"/>
      <c r="KU70" s="2473"/>
      <c r="KV70" s="2473"/>
      <c r="KW70" s="2473"/>
      <c r="KX70" s="2473"/>
      <c r="KY70" s="2473"/>
      <c r="KZ70" s="2473"/>
      <c r="LA70" s="2473"/>
      <c r="LB70" s="2473"/>
      <c r="LC70" s="2473"/>
      <c r="LD70" s="2473"/>
      <c r="LE70" s="2473"/>
      <c r="LF70" s="2473"/>
      <c r="LG70" s="2473"/>
      <c r="LH70" s="2473"/>
      <c r="LI70" s="2473"/>
      <c r="LJ70" s="2473"/>
      <c r="LK70" s="2473"/>
      <c r="LL70" s="2473"/>
      <c r="LM70" s="2473"/>
      <c r="LN70" s="2473"/>
      <c r="LO70" s="2473"/>
      <c r="LP70" s="2473"/>
      <c r="LQ70" s="2473"/>
      <c r="LR70" s="2473"/>
      <c r="LS70" s="2473"/>
      <c r="LT70" s="2473"/>
      <c r="LU70" s="2473"/>
      <c r="LV70" s="2473"/>
      <c r="LW70" s="2473"/>
      <c r="LX70" s="2473"/>
      <c r="LY70" s="2473"/>
      <c r="LZ70" s="2473"/>
      <c r="MA70" s="2473"/>
      <c r="MB70" s="2473"/>
      <c r="MC70" s="2473"/>
      <c r="MD70" s="2473"/>
      <c r="ME70" s="2473"/>
      <c r="MF70" s="2473"/>
      <c r="MG70" s="2473"/>
      <c r="MH70" s="2473"/>
      <c r="MI70" s="2473"/>
      <c r="MJ70" s="2473"/>
      <c r="MK70" s="2473"/>
      <c r="ML70" s="2473"/>
      <c r="MM70" s="2473"/>
      <c r="MN70" s="2473"/>
      <c r="MO70" s="2473"/>
      <c r="MP70" s="2473"/>
      <c r="MQ70" s="2473"/>
      <c r="MR70" s="2473"/>
      <c r="MS70" s="2473"/>
      <c r="MT70" s="2473"/>
      <c r="MU70" s="2473"/>
      <c r="MV70" s="2473"/>
      <c r="MW70" s="2473"/>
      <c r="MX70" s="2473"/>
      <c r="MY70" s="2473"/>
      <c r="MZ70" s="2473"/>
      <c r="NA70" s="2473"/>
      <c r="NB70" s="2473"/>
      <c r="NC70" s="2473"/>
      <c r="ND70" s="2473"/>
      <c r="NE70" s="2316"/>
      <c r="NF70" s="2316"/>
      <c r="NG70" s="2316"/>
      <c r="NH70" s="2316"/>
      <c r="NI70" s="2316"/>
      <c r="NJ70" s="2316"/>
      <c r="NK70" s="2316"/>
      <c r="NL70" s="2316"/>
      <c r="NM70" s="2316"/>
      <c r="NN70" s="2316"/>
      <c r="NO70" s="2316"/>
      <c r="NP70" s="2316"/>
      <c r="NQ70" s="2316"/>
      <c r="NR70" s="2316"/>
      <c r="NS70" s="2316"/>
      <c r="NT70" s="2316"/>
      <c r="NU70" s="2316"/>
      <c r="NV70" s="2316"/>
      <c r="NW70" s="2316"/>
      <c r="NX70" s="2316"/>
      <c r="NY70" s="2316"/>
      <c r="NZ70" s="2316"/>
      <c r="OA70" s="2316"/>
      <c r="OB70" s="2316"/>
      <c r="OC70" s="2316"/>
      <c r="OD70" s="2316"/>
      <c r="OE70" s="2316"/>
      <c r="OF70" s="2316"/>
      <c r="OG70" s="2316"/>
      <c r="OH70" s="2316"/>
      <c r="OI70" s="2316"/>
      <c r="OJ70" s="2316"/>
      <c r="OK70" s="2316"/>
      <c r="OL70" s="2316"/>
      <c r="OM70" s="2316"/>
      <c r="ON70" s="2316"/>
      <c r="OO70" s="2316"/>
      <c r="OP70" s="2316"/>
      <c r="OQ70" s="2316"/>
      <c r="OR70" s="2316"/>
      <c r="OS70" s="2316"/>
      <c r="OT70" s="2316"/>
      <c r="OU70" s="2316"/>
      <c r="OV70" s="2316"/>
      <c r="OW70" s="2316"/>
      <c r="OX70" s="2316"/>
      <c r="OY70" s="2316"/>
      <c r="OZ70" s="2316"/>
      <c r="PA70" s="2316"/>
      <c r="PB70" s="2316"/>
      <c r="PC70" s="2316"/>
      <c r="PD70" s="2316"/>
      <c r="PE70" s="2316"/>
      <c r="PF70" s="2316"/>
      <c r="PG70" s="2316"/>
      <c r="PH70" s="2316"/>
      <c r="PI70" s="2316"/>
      <c r="PJ70" s="2316"/>
      <c r="PK70" s="2316"/>
      <c r="PL70" s="2316"/>
      <c r="PM70" s="2316"/>
      <c r="PN70" s="2316"/>
      <c r="PO70" s="2316"/>
      <c r="PP70" s="2316"/>
      <c r="PQ70" s="2316"/>
      <c r="PR70" s="2316"/>
      <c r="PS70" s="2316"/>
      <c r="PT70" s="2316"/>
      <c r="PU70" s="2316"/>
      <c r="PV70" s="2316"/>
      <c r="PW70" s="2316"/>
      <c r="PX70" s="2316"/>
      <c r="PY70" s="2316"/>
      <c r="PZ70" s="2316"/>
      <c r="QA70" s="2316"/>
      <c r="QB70" s="2316"/>
      <c r="QC70" s="2316"/>
      <c r="QD70" s="2316"/>
      <c r="QE70" s="2316"/>
      <c r="QF70" s="2316"/>
      <c r="QG70" s="2316"/>
      <c r="QH70" s="2316"/>
      <c r="QI70" s="2316"/>
      <c r="QJ70" s="2316"/>
      <c r="QK70" s="2316"/>
      <c r="QL70" s="2316"/>
      <c r="QM70" s="2316"/>
      <c r="QN70" s="2316"/>
      <c r="QO70" s="2316"/>
      <c r="QP70" s="2316"/>
      <c r="QQ70" s="2316"/>
      <c r="QR70" s="2316"/>
      <c r="QS70" s="2316"/>
      <c r="QT70" s="2316"/>
      <c r="QU70" s="2316"/>
      <c r="QV70" s="2316"/>
      <c r="QW70" s="2316"/>
      <c r="QX70" s="2316"/>
      <c r="QY70" s="2316"/>
      <c r="QZ70" s="2316"/>
      <c r="RA70" s="2316"/>
      <c r="RB70" s="2316"/>
      <c r="RC70" s="2316"/>
      <c r="RD70" s="2316"/>
      <c r="RE70" s="2316"/>
      <c r="RF70" s="2316"/>
      <c r="RG70" s="2316"/>
      <c r="RH70" s="2316"/>
      <c r="RI70" s="2316"/>
      <c r="RJ70" s="2316"/>
      <c r="RK70" s="2316"/>
      <c r="RL70" s="2316"/>
      <c r="RM70" s="2316"/>
      <c r="RN70" s="2316"/>
      <c r="RO70" s="2316"/>
      <c r="RP70" s="2316"/>
      <c r="RQ70" s="2316"/>
      <c r="RR70" s="2316"/>
      <c r="RS70" s="2316"/>
      <c r="RT70" s="2316"/>
      <c r="RU70" s="2316"/>
      <c r="RV70" s="2316"/>
      <c r="RW70" s="2316"/>
      <c r="RX70" s="2316"/>
      <c r="RY70" s="2316"/>
      <c r="RZ70" s="2316"/>
      <c r="SA70" s="2316"/>
    </row>
    <row r="71" spans="1:495" customFormat="1">
      <c r="A71" s="3581"/>
      <c r="B71" s="3581"/>
      <c r="C71" s="2268"/>
      <c r="D71" s="8"/>
      <c r="E71" s="8"/>
      <c r="F71" s="8"/>
      <c r="G71" s="8"/>
      <c r="H71" s="2339" t="s">
        <v>4809</v>
      </c>
      <c r="I71" s="2270"/>
      <c r="J71" s="1"/>
      <c r="K71" s="2327" t="str">
        <f>IF(OR(K56=0,$P70="",K$67=0),"",$P70*K$67)</f>
        <v/>
      </c>
      <c r="L71" s="2327" t="str">
        <f>IF(OR(L56=0,$P70="",L$67=0),"",$P70*L$67)</f>
        <v/>
      </c>
      <c r="M71" s="2327" t="str">
        <f>IF(OR(M56=0,$P70="",M$67=0),"",$P70*M$67)</f>
        <v/>
      </c>
      <c r="N71" s="2327" t="str">
        <f>IF(OR(N56=0,$P70="",N$67=0),"",$P70*N$67)</f>
        <v/>
      </c>
      <c r="O71" s="2327" t="str">
        <f>IF(OR(O56=0,$P70="",O$67=0),"",$P70*O$67)</f>
        <v/>
      </c>
      <c r="P71" s="2328" t="str">
        <f t="shared" ref="P71" si="359">IF(OR($P70="",P$67=0),"",$P70*P$67)</f>
        <v/>
      </c>
      <c r="S71" s="3503"/>
      <c r="T71" s="3504"/>
      <c r="U71" s="3504"/>
      <c r="V71" s="3504"/>
      <c r="W71" s="3505"/>
      <c r="X71" s="2473"/>
      <c r="Y71" s="2473"/>
      <c r="Z71" s="2473"/>
      <c r="AA71" s="2473"/>
      <c r="AB71" s="2473"/>
      <c r="AC71" s="2473"/>
      <c r="AD71" s="2473"/>
      <c r="AE71" s="2473"/>
      <c r="AF71" s="2473"/>
      <c r="AG71" s="2473"/>
      <c r="AH71" s="2473"/>
      <c r="AI71" s="2473"/>
      <c r="AJ71" s="2473"/>
      <c r="AK71" s="2473"/>
      <c r="AL71" s="2473"/>
      <c r="AM71" s="2473"/>
      <c r="AN71" s="2473"/>
      <c r="AO71" s="2473"/>
      <c r="AP71" s="2473"/>
      <c r="AQ71" s="2473"/>
      <c r="AR71" s="2473"/>
      <c r="AS71" s="2473"/>
      <c r="AT71" s="2473"/>
      <c r="AU71" s="2473"/>
      <c r="AV71" s="2473"/>
      <c r="AW71" s="2473"/>
      <c r="AX71" s="2473"/>
      <c r="AY71" s="2473"/>
      <c r="AZ71" s="2473"/>
      <c r="BA71" s="2473"/>
      <c r="BB71" s="2473"/>
      <c r="BC71" s="2473"/>
      <c r="BD71" s="2473"/>
      <c r="BE71" s="2473"/>
      <c r="BF71" s="2473"/>
      <c r="BG71" s="2473"/>
      <c r="BH71" s="2473"/>
      <c r="BI71" s="2473"/>
      <c r="BJ71" s="2473"/>
      <c r="BK71" s="2473"/>
      <c r="BL71" s="2473"/>
      <c r="BM71" s="2473"/>
      <c r="BN71" s="2473"/>
      <c r="BO71" s="2473"/>
      <c r="BP71" s="2473"/>
      <c r="BQ71" s="2473"/>
      <c r="BR71" s="2473"/>
      <c r="BS71" s="2473"/>
      <c r="BT71" s="2473"/>
      <c r="BU71" s="2473"/>
      <c r="BV71" s="2473"/>
      <c r="BW71" s="2473"/>
      <c r="BX71" s="2473"/>
      <c r="BY71" s="2473"/>
      <c r="BZ71" s="2473"/>
      <c r="CA71" s="2473"/>
      <c r="CB71" s="2473"/>
      <c r="CC71" s="2473"/>
      <c r="CD71" s="2473"/>
      <c r="CE71" s="2473"/>
      <c r="CF71" s="2473"/>
      <c r="CG71" s="2473"/>
      <c r="CH71" s="2473"/>
      <c r="CI71" s="2473"/>
      <c r="CJ71" s="2473"/>
      <c r="CK71" s="2473"/>
      <c r="CL71" s="2473"/>
      <c r="CM71" s="2473"/>
      <c r="CN71" s="2473"/>
      <c r="CO71" s="2473"/>
      <c r="CP71" s="2473"/>
      <c r="CQ71" s="2473"/>
      <c r="CR71" s="2473"/>
      <c r="CS71" s="2473"/>
      <c r="CT71" s="2473"/>
      <c r="CU71" s="2473"/>
      <c r="CV71" s="2473"/>
      <c r="CW71" s="2473"/>
      <c r="CX71" s="2473"/>
      <c r="CY71" s="2473"/>
      <c r="CZ71" s="2473"/>
      <c r="DA71" s="2473"/>
      <c r="DB71" s="2473"/>
      <c r="DC71" s="2473"/>
      <c r="DD71" s="2473"/>
      <c r="DE71" s="2473"/>
      <c r="DF71" s="2473"/>
      <c r="DG71" s="2473"/>
      <c r="DH71" s="2473"/>
      <c r="DI71" s="2473"/>
      <c r="DJ71" s="2473"/>
      <c r="DK71" s="2473"/>
      <c r="DL71" s="2473"/>
      <c r="DM71" s="2473"/>
      <c r="DN71" s="2473"/>
      <c r="DO71" s="2473"/>
      <c r="DP71" s="2473"/>
      <c r="DQ71" s="2473"/>
      <c r="DR71" s="2473"/>
      <c r="DS71" s="2473"/>
      <c r="DT71" s="2473"/>
      <c r="DU71" s="2473"/>
      <c r="DV71" s="2473"/>
      <c r="DW71" s="2473"/>
      <c r="DX71" s="2473"/>
      <c r="DY71" s="2473"/>
      <c r="DZ71" s="2473"/>
      <c r="EA71" s="2473"/>
      <c r="EB71" s="2473"/>
      <c r="EC71" s="2473"/>
      <c r="ED71" s="2473"/>
      <c r="EE71" s="2473"/>
      <c r="EF71" s="2473"/>
      <c r="EG71" s="2473"/>
      <c r="EH71" s="2473"/>
      <c r="EI71" s="2473"/>
      <c r="EJ71" s="2473"/>
      <c r="EK71" s="2473"/>
      <c r="EL71" s="2473"/>
      <c r="EM71" s="2473"/>
      <c r="EN71" s="2473"/>
      <c r="EO71" s="2473"/>
      <c r="EP71" s="2473"/>
      <c r="EQ71" s="2473"/>
      <c r="ER71" s="2473"/>
      <c r="ES71" s="2473"/>
      <c r="ET71" s="2473"/>
      <c r="EU71" s="2473"/>
      <c r="EV71" s="2473"/>
      <c r="EW71" s="2473"/>
      <c r="EX71" s="2473"/>
      <c r="EY71" s="2473"/>
      <c r="EZ71" s="2473"/>
      <c r="FA71" s="2473"/>
      <c r="FB71" s="2473"/>
      <c r="FC71" s="2473"/>
      <c r="FD71" s="2473"/>
      <c r="FE71" s="2473"/>
      <c r="FF71" s="2473"/>
      <c r="FG71" s="2473"/>
      <c r="FH71" s="2473"/>
      <c r="FI71" s="2473"/>
      <c r="FJ71" s="2473"/>
      <c r="FK71" s="2473"/>
      <c r="FL71" s="2473"/>
      <c r="FM71" s="2473"/>
      <c r="FN71" s="2473"/>
      <c r="FO71" s="2473"/>
      <c r="FP71" s="2473"/>
      <c r="FQ71" s="2473"/>
      <c r="FR71" s="2473"/>
      <c r="FS71" s="2473"/>
      <c r="FT71" s="2473"/>
      <c r="FU71" s="2473"/>
      <c r="FV71" s="2473"/>
      <c r="FW71" s="2473"/>
      <c r="FX71" s="2473"/>
      <c r="FY71" s="2473"/>
      <c r="FZ71" s="2473"/>
      <c r="GA71" s="2473"/>
      <c r="GB71" s="2473"/>
      <c r="GC71" s="2473"/>
      <c r="GD71" s="2473"/>
      <c r="GE71" s="2473"/>
      <c r="GF71" s="2473"/>
      <c r="GG71" s="2473"/>
      <c r="GH71" s="2473"/>
      <c r="GI71" s="2473"/>
      <c r="GJ71" s="2473"/>
      <c r="GK71" s="2473"/>
      <c r="GL71" s="2473"/>
      <c r="GM71" s="2473"/>
      <c r="GN71" s="2473"/>
      <c r="GO71" s="2473"/>
      <c r="GP71" s="2473"/>
      <c r="GQ71" s="2473"/>
      <c r="GR71" s="2473"/>
      <c r="GS71" s="2473"/>
      <c r="GT71" s="2473"/>
      <c r="GU71" s="2473"/>
      <c r="GV71" s="2473"/>
      <c r="GW71" s="2473"/>
      <c r="GX71" s="2473"/>
      <c r="GY71" s="2473"/>
      <c r="GZ71" s="2473"/>
      <c r="HA71" s="2473"/>
      <c r="HB71" s="2473"/>
      <c r="HC71" s="2473"/>
      <c r="HD71" s="2473"/>
      <c r="HE71" s="2473"/>
      <c r="HF71" s="2473"/>
      <c r="HG71" s="2473"/>
      <c r="HH71" s="2473"/>
      <c r="HI71" s="2473"/>
      <c r="HJ71" s="2473"/>
      <c r="HK71" s="2473"/>
      <c r="HL71" s="2473"/>
      <c r="HM71" s="2473"/>
      <c r="HN71" s="2473"/>
      <c r="HO71" s="2473"/>
      <c r="HP71" s="2473"/>
      <c r="HQ71" s="2473"/>
      <c r="HR71" s="2473"/>
      <c r="HS71" s="2473"/>
      <c r="HT71" s="2473"/>
      <c r="HU71" s="2473"/>
      <c r="HV71" s="2473"/>
      <c r="HW71" s="2473"/>
      <c r="HX71" s="2473"/>
      <c r="HY71" s="2473"/>
      <c r="HZ71" s="2473"/>
      <c r="IA71" s="2473"/>
      <c r="IB71" s="2473"/>
      <c r="IC71" s="2473"/>
      <c r="ID71" s="2473"/>
      <c r="IE71" s="2473"/>
      <c r="IF71" s="2473"/>
      <c r="IG71" s="2473"/>
      <c r="IH71" s="2473"/>
      <c r="II71" s="2473"/>
      <c r="IJ71" s="2473"/>
      <c r="IK71" s="2473"/>
      <c r="IL71" s="2473"/>
      <c r="IM71" s="2473"/>
      <c r="IN71" s="2473"/>
      <c r="IO71" s="2473"/>
      <c r="IP71" s="2473"/>
      <c r="IQ71" s="2473"/>
      <c r="IR71" s="2473"/>
      <c r="IS71" s="2473"/>
      <c r="IT71" s="2473"/>
      <c r="IU71" s="2473"/>
      <c r="IV71" s="2473"/>
      <c r="IW71" s="2473"/>
      <c r="IX71" s="2473"/>
      <c r="IY71" s="2473"/>
      <c r="IZ71" s="2473"/>
      <c r="JA71" s="2473"/>
      <c r="JB71" s="2473"/>
      <c r="JC71" s="2473"/>
      <c r="JD71" s="2473"/>
      <c r="JE71" s="2473"/>
      <c r="JF71" s="2473"/>
      <c r="JG71" s="2473"/>
      <c r="JH71" s="2473"/>
      <c r="JI71" s="2473"/>
      <c r="JJ71" s="2473"/>
      <c r="JK71" s="2473"/>
      <c r="JL71" s="2473"/>
      <c r="JM71" s="2473"/>
      <c r="JN71" s="2473"/>
      <c r="JO71" s="2473"/>
      <c r="JP71" s="2473"/>
      <c r="JQ71" s="2473"/>
      <c r="JR71" s="2473"/>
      <c r="JS71" s="2473"/>
      <c r="JT71" s="2473"/>
      <c r="JU71" s="2473"/>
      <c r="JV71" s="2473"/>
      <c r="JW71" s="2473"/>
      <c r="JX71" s="2473"/>
      <c r="JY71" s="2473"/>
      <c r="JZ71" s="2473"/>
      <c r="KA71" s="2473"/>
      <c r="KB71" s="2473"/>
      <c r="KC71" s="2473"/>
      <c r="KD71" s="2473"/>
      <c r="KE71" s="2473"/>
      <c r="KF71" s="2473"/>
      <c r="KG71" s="2473"/>
      <c r="KH71" s="2473"/>
      <c r="KI71" s="2473"/>
      <c r="KJ71" s="2473"/>
      <c r="KK71" s="2473"/>
      <c r="KL71" s="2473"/>
      <c r="KM71" s="2473"/>
      <c r="KN71" s="2473"/>
      <c r="KO71" s="2473"/>
      <c r="KP71" s="2473"/>
      <c r="KQ71" s="2473"/>
      <c r="KR71" s="2473"/>
      <c r="KS71" s="2473"/>
      <c r="KT71" s="2473"/>
      <c r="KU71" s="2473"/>
      <c r="KV71" s="2473"/>
      <c r="KW71" s="2473"/>
      <c r="KX71" s="2473"/>
      <c r="KY71" s="2473"/>
      <c r="KZ71" s="2473"/>
      <c r="LA71" s="2473"/>
      <c r="LB71" s="2473"/>
      <c r="LC71" s="2473"/>
      <c r="LD71" s="2473"/>
      <c r="LE71" s="2473"/>
      <c r="LF71" s="2473"/>
      <c r="LG71" s="2473"/>
      <c r="LH71" s="2473"/>
      <c r="LI71" s="2473"/>
      <c r="LJ71" s="2473"/>
      <c r="LK71" s="2473"/>
      <c r="LL71" s="2473"/>
      <c r="LM71" s="2473"/>
      <c r="LN71" s="2473"/>
      <c r="LO71" s="2473"/>
      <c r="LP71" s="2473"/>
      <c r="LQ71" s="2473"/>
      <c r="LR71" s="2473"/>
      <c r="LS71" s="2473"/>
      <c r="LT71" s="2473"/>
      <c r="LU71" s="2473"/>
      <c r="LV71" s="2473"/>
      <c r="LW71" s="2473"/>
      <c r="LX71" s="2473"/>
      <c r="LY71" s="2473"/>
      <c r="LZ71" s="2473"/>
      <c r="MA71" s="2473"/>
      <c r="MB71" s="2473"/>
      <c r="MC71" s="2473"/>
      <c r="MD71" s="2473"/>
      <c r="ME71" s="2473"/>
      <c r="MF71" s="2473"/>
      <c r="MG71" s="2473"/>
      <c r="MH71" s="2473"/>
      <c r="MI71" s="2473"/>
      <c r="MJ71" s="2473"/>
      <c r="MK71" s="2473"/>
      <c r="ML71" s="2473"/>
      <c r="MM71" s="2473"/>
      <c r="MN71" s="2473"/>
      <c r="MO71" s="2473"/>
      <c r="MP71" s="2473"/>
      <c r="MQ71" s="2473"/>
      <c r="MR71" s="2473"/>
      <c r="MS71" s="2473"/>
      <c r="MT71" s="2473"/>
      <c r="MU71" s="2473"/>
      <c r="MV71" s="2473"/>
      <c r="MW71" s="2473"/>
      <c r="MX71" s="2473"/>
      <c r="MY71" s="2473"/>
      <c r="MZ71" s="2473"/>
      <c r="NA71" s="2473"/>
      <c r="NB71" s="2473"/>
      <c r="NC71" s="2473"/>
      <c r="ND71" s="2473"/>
      <c r="NE71" s="2316"/>
      <c r="NF71" s="2316"/>
      <c r="NG71" s="2316"/>
      <c r="NH71" s="2316"/>
      <c r="NI71" s="2316"/>
      <c r="NJ71" s="2316"/>
      <c r="NK71" s="2316"/>
      <c r="NL71" s="2316"/>
      <c r="NM71" s="2316"/>
      <c r="NN71" s="2316"/>
      <c r="NO71" s="2316"/>
      <c r="NP71" s="2316"/>
      <c r="NQ71" s="2316"/>
      <c r="NR71" s="2316"/>
      <c r="NS71" s="2316"/>
      <c r="NT71" s="2316"/>
      <c r="NU71" s="2316"/>
      <c r="NV71" s="2316"/>
      <c r="NW71" s="2316"/>
      <c r="NX71" s="2316"/>
      <c r="NY71" s="2316"/>
      <c r="NZ71" s="2316"/>
      <c r="OA71" s="2316"/>
      <c r="OB71" s="2316"/>
      <c r="OC71" s="2316"/>
      <c r="OD71" s="2316"/>
      <c r="OE71" s="2316"/>
      <c r="OF71" s="2316"/>
      <c r="OG71" s="2316"/>
      <c r="OH71" s="2316"/>
      <c r="OI71" s="2316"/>
      <c r="OJ71" s="2316"/>
      <c r="OK71" s="2316"/>
      <c r="OL71" s="2316"/>
      <c r="OM71" s="2316"/>
      <c r="ON71" s="2316"/>
      <c r="OO71" s="2316"/>
      <c r="OP71" s="2316"/>
      <c r="OQ71" s="2316"/>
      <c r="OR71" s="2316"/>
      <c r="OS71" s="2316"/>
      <c r="OT71" s="2316"/>
      <c r="OU71" s="2316"/>
      <c r="OV71" s="2316"/>
      <c r="OW71" s="2316"/>
      <c r="OX71" s="2316"/>
      <c r="OY71" s="2316"/>
      <c r="OZ71" s="2316"/>
      <c r="PA71" s="2316"/>
      <c r="PB71" s="2316"/>
      <c r="PC71" s="2316"/>
      <c r="PD71" s="2316"/>
      <c r="PE71" s="2316"/>
      <c r="PF71" s="2316"/>
      <c r="PG71" s="2316"/>
      <c r="PH71" s="2316"/>
      <c r="PI71" s="2316"/>
      <c r="PJ71" s="2316"/>
      <c r="PK71" s="2316"/>
      <c r="PL71" s="2316"/>
      <c r="PM71" s="2316"/>
      <c r="PN71" s="2316"/>
      <c r="PO71" s="2316"/>
      <c r="PP71" s="2316"/>
      <c r="PQ71" s="2316"/>
      <c r="PR71" s="2316"/>
      <c r="PS71" s="2316"/>
      <c r="PT71" s="2316"/>
      <c r="PU71" s="2316"/>
      <c r="PV71" s="2316"/>
      <c r="PW71" s="2316"/>
      <c r="PX71" s="2316"/>
      <c r="PY71" s="2316"/>
      <c r="PZ71" s="2316"/>
      <c r="QA71" s="2316"/>
      <c r="QB71" s="2316"/>
      <c r="QC71" s="2316"/>
      <c r="QD71" s="2316"/>
      <c r="QE71" s="2316"/>
      <c r="QF71" s="2316"/>
      <c r="QG71" s="2316"/>
      <c r="QH71" s="2316"/>
      <c r="QI71" s="2316"/>
      <c r="QJ71" s="2316"/>
      <c r="QK71" s="2316"/>
      <c r="QL71" s="2316"/>
      <c r="QM71" s="2316"/>
      <c r="QN71" s="2316"/>
      <c r="QO71" s="2316"/>
      <c r="QP71" s="2316"/>
      <c r="QQ71" s="2316"/>
      <c r="QR71" s="2316"/>
      <c r="QS71" s="2316"/>
      <c r="QT71" s="2316"/>
      <c r="QU71" s="2316"/>
      <c r="QV71" s="2316"/>
      <c r="QW71" s="2316"/>
      <c r="QX71" s="2316"/>
      <c r="QY71" s="2316"/>
      <c r="QZ71" s="2316"/>
      <c r="RA71" s="2316"/>
      <c r="RB71" s="2316"/>
      <c r="RC71" s="2316"/>
      <c r="RD71" s="2316"/>
      <c r="RE71" s="2316"/>
      <c r="RF71" s="2316"/>
      <c r="RG71" s="2316"/>
      <c r="RH71" s="2316"/>
      <c r="RI71" s="2316"/>
      <c r="RJ71" s="2316"/>
      <c r="RK71" s="2316"/>
      <c r="RL71" s="2316"/>
      <c r="RM71" s="2316"/>
      <c r="RN71" s="2316"/>
      <c r="RO71" s="2316"/>
      <c r="RP71" s="2316"/>
      <c r="RQ71" s="2316"/>
      <c r="RR71" s="2316"/>
      <c r="RS71" s="2316"/>
      <c r="RT71" s="2316"/>
      <c r="RU71" s="2316"/>
      <c r="RV71" s="2316"/>
      <c r="RW71" s="2316"/>
      <c r="RX71" s="2316"/>
      <c r="RY71" s="2316"/>
      <c r="RZ71" s="2316"/>
      <c r="SA71" s="2316"/>
    </row>
    <row r="72" spans="1:495" customFormat="1">
      <c r="C72" s="2268"/>
      <c r="D72" s="8"/>
      <c r="E72" s="8"/>
      <c r="F72" s="8"/>
      <c r="G72" s="2485" t="str">
        <f>IF(AND(K72="",L72="",M72="",N72="",O72=""),"",IF(OR(K72&gt;2,L72&gt;2,M72&gt;2,N72&gt;2,O72&gt;2,K72&lt;-2,L72&lt;-2,M72&lt;-2,N72&lt;-2,O72&lt;-2),"Not Equal","Equal"))</f>
        <v/>
      </c>
      <c r="H72" s="2340" t="s">
        <v>4810</v>
      </c>
      <c r="I72" s="2272"/>
      <c r="J72" s="1"/>
      <c r="K72" s="2329" t="str">
        <f t="shared" ref="K72:P72" si="360">IF(OR(K71="",K56=0),"", K56-K71)</f>
        <v/>
      </c>
      <c r="L72" s="2330" t="str">
        <f t="shared" si="360"/>
        <v/>
      </c>
      <c r="M72" s="2330" t="str">
        <f t="shared" si="360"/>
        <v/>
      </c>
      <c r="N72" s="2330" t="str">
        <f t="shared" si="360"/>
        <v/>
      </c>
      <c r="O72" s="2330" t="str">
        <f t="shared" si="360"/>
        <v/>
      </c>
      <c r="P72" s="2331" t="str">
        <f t="shared" si="360"/>
        <v/>
      </c>
      <c r="S72" s="3503"/>
      <c r="T72" s="3504"/>
      <c r="U72" s="3504"/>
      <c r="V72" s="3504"/>
      <c r="W72" s="3505"/>
      <c r="X72" s="2473"/>
      <c r="Y72" s="2473"/>
      <c r="Z72" s="2473"/>
      <c r="AA72" s="2473"/>
      <c r="AB72" s="2473"/>
      <c r="AC72" s="2473"/>
      <c r="AD72" s="2473"/>
      <c r="AE72" s="2473"/>
      <c r="AF72" s="2473"/>
      <c r="AG72" s="2473"/>
      <c r="AH72" s="2473"/>
      <c r="AI72" s="2473"/>
      <c r="AJ72" s="2473"/>
      <c r="AK72" s="2473"/>
      <c r="AL72" s="2473"/>
      <c r="AM72" s="2473"/>
      <c r="AN72" s="2473"/>
      <c r="AO72" s="2473"/>
      <c r="AP72" s="2473"/>
      <c r="AQ72" s="2473"/>
      <c r="AR72" s="2473"/>
      <c r="AS72" s="2473"/>
      <c r="AT72" s="2473"/>
      <c r="AU72" s="2473"/>
      <c r="AV72" s="2473"/>
      <c r="AW72" s="2473"/>
      <c r="AX72" s="2473"/>
      <c r="AY72" s="2473"/>
      <c r="AZ72" s="2473"/>
      <c r="BA72" s="2473"/>
      <c r="BB72" s="2473"/>
      <c r="BC72" s="2473"/>
      <c r="BD72" s="2473"/>
      <c r="BE72" s="2473"/>
      <c r="BF72" s="2473"/>
      <c r="BG72" s="2473"/>
      <c r="BH72" s="2473"/>
      <c r="BI72" s="2473"/>
      <c r="BJ72" s="2473"/>
      <c r="BK72" s="2473"/>
      <c r="BL72" s="2473"/>
      <c r="BM72" s="2473"/>
      <c r="BN72" s="2473"/>
      <c r="BO72" s="2473"/>
      <c r="BP72" s="2473"/>
      <c r="BQ72" s="2473"/>
      <c r="BR72" s="2473"/>
      <c r="BS72" s="2473"/>
      <c r="BT72" s="2473"/>
      <c r="BU72" s="2473"/>
      <c r="BV72" s="2473"/>
      <c r="BW72" s="2473"/>
      <c r="BX72" s="2473"/>
      <c r="BY72" s="2473"/>
      <c r="BZ72" s="2473"/>
      <c r="CA72" s="2473"/>
      <c r="CB72" s="2473"/>
      <c r="CC72" s="2473"/>
      <c r="CD72" s="2473"/>
      <c r="CE72" s="2473"/>
      <c r="CF72" s="2473"/>
      <c r="CG72" s="2473"/>
      <c r="CH72" s="2473"/>
      <c r="CI72" s="2473"/>
      <c r="CJ72" s="2473"/>
      <c r="CK72" s="2473"/>
      <c r="CL72" s="2473"/>
      <c r="CM72" s="2473"/>
      <c r="CN72" s="2473"/>
      <c r="CO72" s="2473"/>
      <c r="CP72" s="2473"/>
      <c r="CQ72" s="2473"/>
      <c r="CR72" s="2473"/>
      <c r="CS72" s="2473"/>
      <c r="CT72" s="2473"/>
      <c r="CU72" s="2473"/>
      <c r="CV72" s="2473"/>
      <c r="CW72" s="2473"/>
      <c r="CX72" s="2473"/>
      <c r="CY72" s="2473"/>
      <c r="CZ72" s="2473"/>
      <c r="DA72" s="2473"/>
      <c r="DB72" s="2473"/>
      <c r="DC72" s="2473"/>
      <c r="DD72" s="2473"/>
      <c r="DE72" s="2473"/>
      <c r="DF72" s="2473"/>
      <c r="DG72" s="2473"/>
      <c r="DH72" s="2473"/>
      <c r="DI72" s="2473"/>
      <c r="DJ72" s="2473"/>
      <c r="DK72" s="2473"/>
      <c r="DL72" s="2473"/>
      <c r="DM72" s="2473"/>
      <c r="DN72" s="2473"/>
      <c r="DO72" s="2473"/>
      <c r="DP72" s="2473"/>
      <c r="DQ72" s="2473"/>
      <c r="DR72" s="2473"/>
      <c r="DS72" s="2473"/>
      <c r="DT72" s="2473"/>
      <c r="DU72" s="2473"/>
      <c r="DV72" s="2473"/>
      <c r="DW72" s="2473"/>
      <c r="DX72" s="2473"/>
      <c r="DY72" s="2473"/>
      <c r="DZ72" s="2473"/>
      <c r="EA72" s="2473"/>
      <c r="EB72" s="2473"/>
      <c r="EC72" s="2473"/>
      <c r="ED72" s="2473"/>
      <c r="EE72" s="2473"/>
      <c r="EF72" s="2473"/>
      <c r="EG72" s="2473"/>
      <c r="EH72" s="2473"/>
      <c r="EI72" s="2473"/>
      <c r="EJ72" s="2473"/>
      <c r="EK72" s="2473"/>
      <c r="EL72" s="2473"/>
      <c r="EM72" s="2473"/>
      <c r="EN72" s="2473"/>
      <c r="EO72" s="2473"/>
      <c r="EP72" s="2473"/>
      <c r="EQ72" s="2473"/>
      <c r="ER72" s="2473"/>
      <c r="ES72" s="2473"/>
      <c r="ET72" s="2473"/>
      <c r="EU72" s="2473"/>
      <c r="EV72" s="2473"/>
      <c r="EW72" s="2473"/>
      <c r="EX72" s="2473"/>
      <c r="EY72" s="2473"/>
      <c r="EZ72" s="2473"/>
      <c r="FA72" s="2473"/>
      <c r="FB72" s="2473"/>
      <c r="FC72" s="2473"/>
      <c r="FD72" s="2473"/>
      <c r="FE72" s="2473"/>
      <c r="FF72" s="2473"/>
      <c r="FG72" s="2473"/>
      <c r="FH72" s="2473"/>
      <c r="FI72" s="2473"/>
      <c r="FJ72" s="2473"/>
      <c r="FK72" s="2473"/>
      <c r="FL72" s="2473"/>
      <c r="FM72" s="2473"/>
      <c r="FN72" s="2473"/>
      <c r="FO72" s="2473"/>
      <c r="FP72" s="2473"/>
      <c r="FQ72" s="2473"/>
      <c r="FR72" s="2473"/>
      <c r="FS72" s="2473"/>
      <c r="FT72" s="2473"/>
      <c r="FU72" s="2473"/>
      <c r="FV72" s="2473"/>
      <c r="FW72" s="2473"/>
      <c r="FX72" s="2473"/>
      <c r="FY72" s="2473"/>
      <c r="FZ72" s="2473"/>
      <c r="GA72" s="2473"/>
      <c r="GB72" s="2473"/>
      <c r="GC72" s="2473"/>
      <c r="GD72" s="2473"/>
      <c r="GE72" s="2473"/>
      <c r="GF72" s="2473"/>
      <c r="GG72" s="2473"/>
      <c r="GH72" s="2473"/>
      <c r="GI72" s="2473"/>
      <c r="GJ72" s="2473"/>
      <c r="GK72" s="2473"/>
      <c r="GL72" s="2473"/>
      <c r="GM72" s="2473"/>
      <c r="GN72" s="2473"/>
      <c r="GO72" s="2473"/>
      <c r="GP72" s="2473"/>
      <c r="GQ72" s="2473"/>
      <c r="GR72" s="2473"/>
      <c r="GS72" s="2473"/>
      <c r="GT72" s="2473"/>
      <c r="GU72" s="2473"/>
      <c r="GV72" s="2473"/>
      <c r="GW72" s="2473"/>
      <c r="GX72" s="2473"/>
      <c r="GY72" s="2473"/>
      <c r="GZ72" s="2473"/>
      <c r="HA72" s="2473"/>
      <c r="HB72" s="2473"/>
      <c r="HC72" s="2473"/>
      <c r="HD72" s="2473"/>
      <c r="HE72" s="2473"/>
      <c r="HF72" s="2473"/>
      <c r="HG72" s="2473"/>
      <c r="HH72" s="2473"/>
      <c r="HI72" s="2473"/>
      <c r="HJ72" s="2473"/>
      <c r="HK72" s="2473"/>
      <c r="HL72" s="2473"/>
      <c r="HM72" s="2473"/>
      <c r="HN72" s="2473"/>
      <c r="HO72" s="2473"/>
      <c r="HP72" s="2473"/>
      <c r="HQ72" s="2473"/>
      <c r="HR72" s="2473"/>
      <c r="HS72" s="2473"/>
      <c r="HT72" s="2473"/>
      <c r="HU72" s="2473"/>
      <c r="HV72" s="2473"/>
      <c r="HW72" s="2473"/>
      <c r="HX72" s="2473"/>
      <c r="HY72" s="2473"/>
      <c r="HZ72" s="2473"/>
      <c r="IA72" s="2473"/>
      <c r="IB72" s="2473"/>
      <c r="IC72" s="2473"/>
      <c r="ID72" s="2473"/>
      <c r="IE72" s="2473"/>
      <c r="IF72" s="2473"/>
      <c r="IG72" s="2473"/>
      <c r="IH72" s="2473"/>
      <c r="II72" s="2473"/>
      <c r="IJ72" s="2473"/>
      <c r="IK72" s="2473"/>
      <c r="IL72" s="2473"/>
      <c r="IM72" s="2473"/>
      <c r="IN72" s="2473"/>
      <c r="IO72" s="2473"/>
      <c r="IP72" s="2473"/>
      <c r="IQ72" s="2473"/>
      <c r="IR72" s="2473"/>
      <c r="IS72" s="2473"/>
      <c r="IT72" s="2473"/>
      <c r="IU72" s="2473"/>
      <c r="IV72" s="2473"/>
      <c r="IW72" s="2473"/>
      <c r="IX72" s="2473"/>
      <c r="IY72" s="2473"/>
      <c r="IZ72" s="2473"/>
      <c r="JA72" s="2473"/>
      <c r="JB72" s="2473"/>
      <c r="JC72" s="2473"/>
      <c r="JD72" s="2473"/>
      <c r="JE72" s="2473"/>
      <c r="JF72" s="2473"/>
      <c r="JG72" s="2473"/>
      <c r="JH72" s="2473"/>
      <c r="JI72" s="2473"/>
      <c r="JJ72" s="2473"/>
      <c r="JK72" s="2473"/>
      <c r="JL72" s="2473"/>
      <c r="JM72" s="2473"/>
      <c r="JN72" s="2473"/>
      <c r="JO72" s="2473"/>
      <c r="JP72" s="2473"/>
      <c r="JQ72" s="2473"/>
      <c r="JR72" s="2473"/>
      <c r="JS72" s="2473"/>
      <c r="JT72" s="2473"/>
      <c r="JU72" s="2473"/>
      <c r="JV72" s="2473"/>
      <c r="JW72" s="2473"/>
      <c r="JX72" s="2473"/>
      <c r="JY72" s="2473"/>
      <c r="JZ72" s="2473"/>
      <c r="KA72" s="2473"/>
      <c r="KB72" s="2473"/>
      <c r="KC72" s="2473"/>
      <c r="KD72" s="2473"/>
      <c r="KE72" s="2473"/>
      <c r="KF72" s="2473"/>
      <c r="KG72" s="2473"/>
      <c r="KH72" s="2473"/>
      <c r="KI72" s="2473"/>
      <c r="KJ72" s="2473"/>
      <c r="KK72" s="2473"/>
      <c r="KL72" s="2473"/>
      <c r="KM72" s="2473"/>
      <c r="KN72" s="2473"/>
      <c r="KO72" s="2473"/>
      <c r="KP72" s="2473"/>
      <c r="KQ72" s="2473"/>
      <c r="KR72" s="2473"/>
      <c r="KS72" s="2473"/>
      <c r="KT72" s="2473"/>
      <c r="KU72" s="2473"/>
      <c r="KV72" s="2473"/>
      <c r="KW72" s="2473"/>
      <c r="KX72" s="2473"/>
      <c r="KY72" s="2473"/>
      <c r="KZ72" s="2473"/>
      <c r="LA72" s="2473"/>
      <c r="LB72" s="2473"/>
      <c r="LC72" s="2473"/>
      <c r="LD72" s="2473"/>
      <c r="LE72" s="2473"/>
      <c r="LF72" s="2473"/>
      <c r="LG72" s="2473"/>
      <c r="LH72" s="2473"/>
      <c r="LI72" s="2473"/>
      <c r="LJ72" s="2473"/>
      <c r="LK72" s="2473"/>
      <c r="LL72" s="2473"/>
      <c r="LM72" s="2473"/>
      <c r="LN72" s="2473"/>
      <c r="LO72" s="2473"/>
      <c r="LP72" s="2473"/>
      <c r="LQ72" s="2473"/>
      <c r="LR72" s="2473"/>
      <c r="LS72" s="2473"/>
      <c r="LT72" s="2473"/>
      <c r="LU72" s="2473"/>
      <c r="LV72" s="2473"/>
      <c r="LW72" s="2473"/>
      <c r="LX72" s="2473"/>
      <c r="LY72" s="2473"/>
      <c r="LZ72" s="2473"/>
      <c r="MA72" s="2473"/>
      <c r="MB72" s="2473"/>
      <c r="MC72" s="2473"/>
      <c r="MD72" s="2473"/>
      <c r="ME72" s="2473"/>
      <c r="MF72" s="2473"/>
      <c r="MG72" s="2473"/>
      <c r="MH72" s="2473"/>
      <c r="MI72" s="2473"/>
      <c r="MJ72" s="2473"/>
      <c r="MK72" s="2473"/>
      <c r="ML72" s="2473"/>
      <c r="MM72" s="2473"/>
      <c r="MN72" s="2473"/>
      <c r="MO72" s="2473"/>
      <c r="MP72" s="2473"/>
      <c r="MQ72" s="2473"/>
      <c r="MR72" s="2473"/>
      <c r="MS72" s="2473"/>
      <c r="MT72" s="2473"/>
      <c r="MU72" s="2473"/>
      <c r="MV72" s="2473"/>
      <c r="MW72" s="2473"/>
      <c r="MX72" s="2473"/>
      <c r="MY72" s="2473"/>
      <c r="MZ72" s="2473"/>
      <c r="NA72" s="2473"/>
      <c r="NB72" s="2473"/>
      <c r="NC72" s="2473"/>
      <c r="ND72" s="2473"/>
      <c r="NE72" s="2316"/>
      <c r="NF72" s="2316"/>
      <c r="NG72" s="2316"/>
      <c r="NH72" s="2316"/>
      <c r="NI72" s="2316"/>
      <c r="NJ72" s="2316"/>
      <c r="NK72" s="2316"/>
      <c r="NL72" s="2316"/>
      <c r="NM72" s="2316"/>
      <c r="NN72" s="2316"/>
      <c r="NO72" s="2316"/>
      <c r="NP72" s="2316"/>
      <c r="NQ72" s="2316"/>
      <c r="NR72" s="2316"/>
      <c r="NS72" s="2316"/>
      <c r="NT72" s="2316"/>
      <c r="NU72" s="2316"/>
      <c r="NV72" s="2316"/>
      <c r="NW72" s="2316"/>
      <c r="NX72" s="2316"/>
      <c r="NY72" s="2316"/>
      <c r="NZ72" s="2316"/>
      <c r="OA72" s="2316"/>
      <c r="OB72" s="2316"/>
      <c r="OC72" s="2316"/>
      <c r="OD72" s="2316"/>
      <c r="OE72" s="2316"/>
      <c r="OF72" s="2316"/>
      <c r="OG72" s="2316"/>
      <c r="OH72" s="2316"/>
      <c r="OI72" s="2316"/>
      <c r="OJ72" s="2316"/>
      <c r="OK72" s="2316"/>
      <c r="OL72" s="2316"/>
      <c r="OM72" s="2316"/>
      <c r="ON72" s="2316"/>
      <c r="OO72" s="2316"/>
      <c r="OP72" s="2316"/>
      <c r="OQ72" s="2316"/>
      <c r="OR72" s="2316"/>
      <c r="OS72" s="2316"/>
      <c r="OT72" s="2316"/>
      <c r="OU72" s="2316"/>
      <c r="OV72" s="2316"/>
      <c r="OW72" s="2316"/>
      <c r="OX72" s="2316"/>
      <c r="OY72" s="2316"/>
      <c r="OZ72" s="2316"/>
      <c r="PA72" s="2316"/>
      <c r="PB72" s="2316"/>
      <c r="PC72" s="2316"/>
      <c r="PD72" s="2316"/>
      <c r="PE72" s="2316"/>
      <c r="PF72" s="2316"/>
      <c r="PG72" s="2316"/>
      <c r="PH72" s="2316"/>
      <c r="PI72" s="2316"/>
      <c r="PJ72" s="2316"/>
      <c r="PK72" s="2316"/>
      <c r="PL72" s="2316"/>
      <c r="PM72" s="2316"/>
      <c r="PN72" s="2316"/>
      <c r="PO72" s="2316"/>
      <c r="PP72" s="2316"/>
      <c r="PQ72" s="2316"/>
      <c r="PR72" s="2316"/>
      <c r="PS72" s="2316"/>
      <c r="PT72" s="2316"/>
      <c r="PU72" s="2316"/>
      <c r="PV72" s="2316"/>
      <c r="PW72" s="2316"/>
      <c r="PX72" s="2316"/>
      <c r="PY72" s="2316"/>
      <c r="PZ72" s="2316"/>
      <c r="QA72" s="2316"/>
      <c r="QB72" s="2316"/>
      <c r="QC72" s="2316"/>
      <c r="QD72" s="2316"/>
      <c r="QE72" s="2316"/>
      <c r="QF72" s="2316"/>
      <c r="QG72" s="2316"/>
      <c r="QH72" s="2316"/>
      <c r="QI72" s="2316"/>
      <c r="QJ72" s="2316"/>
      <c r="QK72" s="2316"/>
      <c r="QL72" s="2316"/>
      <c r="QM72" s="2316"/>
      <c r="QN72" s="2316"/>
      <c r="QO72" s="2316"/>
      <c r="QP72" s="2316"/>
      <c r="QQ72" s="2316"/>
      <c r="QR72" s="2316"/>
      <c r="QS72" s="2316"/>
      <c r="QT72" s="2316"/>
      <c r="QU72" s="2316"/>
      <c r="QV72" s="2316"/>
      <c r="QW72" s="2316"/>
      <c r="QX72" s="2316"/>
      <c r="QY72" s="2316"/>
      <c r="QZ72" s="2316"/>
      <c r="RA72" s="2316"/>
      <c r="RB72" s="2316"/>
      <c r="RC72" s="2316"/>
      <c r="RD72" s="2316"/>
      <c r="RE72" s="2316"/>
      <c r="RF72" s="2316"/>
      <c r="RG72" s="2316"/>
      <c r="RH72" s="2316"/>
      <c r="RI72" s="2316"/>
      <c r="RJ72" s="2316"/>
      <c r="RK72" s="2316"/>
      <c r="RL72" s="2316"/>
      <c r="RM72" s="2316"/>
      <c r="RN72" s="2316"/>
      <c r="RO72" s="2316"/>
      <c r="RP72" s="2316"/>
      <c r="RQ72" s="2316"/>
      <c r="RR72" s="2316"/>
      <c r="RS72" s="2316"/>
      <c r="RT72" s="2316"/>
      <c r="RU72" s="2316"/>
      <c r="RV72" s="2316"/>
      <c r="RW72" s="2316"/>
      <c r="RX72" s="2316"/>
      <c r="RY72" s="2316"/>
      <c r="RZ72" s="2316"/>
      <c r="SA72" s="2316"/>
    </row>
    <row r="73" spans="1:495" customFormat="1">
      <c r="C73" s="2268"/>
      <c r="D73" s="3585" t="s">
        <v>4786</v>
      </c>
      <c r="E73" s="3585"/>
      <c r="F73" s="3585"/>
      <c r="G73" s="8"/>
      <c r="H73" s="2339" t="s">
        <v>4128</v>
      </c>
      <c r="I73" s="2270"/>
      <c r="J73" s="1"/>
      <c r="K73" s="2332" t="str">
        <f t="shared" ref="K73:P73" si="361">IF(OR(K57=0,K$67=0),"",K57/K$67)</f>
        <v/>
      </c>
      <c r="L73" s="2333" t="str">
        <f t="shared" si="361"/>
        <v/>
      </c>
      <c r="M73" s="2333" t="str">
        <f t="shared" si="361"/>
        <v/>
      </c>
      <c r="N73" s="2333" t="str">
        <f t="shared" si="361"/>
        <v/>
      </c>
      <c r="O73" s="2333" t="str">
        <f t="shared" si="361"/>
        <v/>
      </c>
      <c r="P73" s="2334" t="str">
        <f t="shared" si="361"/>
        <v/>
      </c>
      <c r="S73" s="3503"/>
      <c r="T73" s="3504"/>
      <c r="U73" s="3504"/>
      <c r="V73" s="3504"/>
      <c r="W73" s="3505"/>
      <c r="X73" s="2473"/>
      <c r="Y73" s="2473"/>
      <c r="Z73" s="2473"/>
      <c r="AA73" s="2473"/>
      <c r="AB73" s="2473"/>
      <c r="AC73" s="2473"/>
      <c r="AD73" s="2473"/>
      <c r="AE73" s="2473"/>
      <c r="AF73" s="2473"/>
      <c r="AG73" s="2473"/>
      <c r="AH73" s="2473"/>
      <c r="AI73" s="2473"/>
      <c r="AJ73" s="2473"/>
      <c r="AK73" s="2473"/>
      <c r="AL73" s="2473"/>
      <c r="AM73" s="2473"/>
      <c r="AN73" s="2473"/>
      <c r="AO73" s="2473"/>
      <c r="AP73" s="2473"/>
      <c r="AQ73" s="2473"/>
      <c r="AR73" s="2473"/>
      <c r="AS73" s="2473"/>
      <c r="AT73" s="2473"/>
      <c r="AU73" s="2473"/>
      <c r="AV73" s="2473"/>
      <c r="AW73" s="2473"/>
      <c r="AX73" s="2473"/>
      <c r="AY73" s="2473"/>
      <c r="AZ73" s="2473"/>
      <c r="BA73" s="2473"/>
      <c r="BB73" s="2473"/>
      <c r="BC73" s="2473"/>
      <c r="BD73" s="2473"/>
      <c r="BE73" s="2473"/>
      <c r="BF73" s="2473"/>
      <c r="BG73" s="2473"/>
      <c r="BH73" s="2473"/>
      <c r="BI73" s="2473"/>
      <c r="BJ73" s="2473"/>
      <c r="BK73" s="2473"/>
      <c r="BL73" s="2473"/>
      <c r="BM73" s="2473"/>
      <c r="BN73" s="2473"/>
      <c r="BO73" s="2473"/>
      <c r="BP73" s="2473"/>
      <c r="BQ73" s="2473"/>
      <c r="BR73" s="2473"/>
      <c r="BS73" s="2473"/>
      <c r="BT73" s="2473"/>
      <c r="BU73" s="2473"/>
      <c r="BV73" s="2473"/>
      <c r="BW73" s="2473"/>
      <c r="BX73" s="2473"/>
      <c r="BY73" s="2473"/>
      <c r="BZ73" s="2473"/>
      <c r="CA73" s="2473"/>
      <c r="CB73" s="2473"/>
      <c r="CC73" s="2473"/>
      <c r="CD73" s="2473"/>
      <c r="CE73" s="2473"/>
      <c r="CF73" s="2473"/>
      <c r="CG73" s="2473"/>
      <c r="CH73" s="2473"/>
      <c r="CI73" s="2473"/>
      <c r="CJ73" s="2473"/>
      <c r="CK73" s="2473"/>
      <c r="CL73" s="2473"/>
      <c r="CM73" s="2473"/>
      <c r="CN73" s="2473"/>
      <c r="CO73" s="2473"/>
      <c r="CP73" s="2473"/>
      <c r="CQ73" s="2473"/>
      <c r="CR73" s="2473"/>
      <c r="CS73" s="2473"/>
      <c r="CT73" s="2473"/>
      <c r="CU73" s="2473"/>
      <c r="CV73" s="2473"/>
      <c r="CW73" s="2473"/>
      <c r="CX73" s="2473"/>
      <c r="CY73" s="2473"/>
      <c r="CZ73" s="2473"/>
      <c r="DA73" s="2473"/>
      <c r="DB73" s="2473"/>
      <c r="DC73" s="2473"/>
      <c r="DD73" s="2473"/>
      <c r="DE73" s="2473"/>
      <c r="DF73" s="2473"/>
      <c r="DG73" s="2473"/>
      <c r="DH73" s="2473"/>
      <c r="DI73" s="2473"/>
      <c r="DJ73" s="2473"/>
      <c r="DK73" s="2473"/>
      <c r="DL73" s="2473"/>
      <c r="DM73" s="2473"/>
      <c r="DN73" s="2473"/>
      <c r="DO73" s="2473"/>
      <c r="DP73" s="2473"/>
      <c r="DQ73" s="2473"/>
      <c r="DR73" s="2473"/>
      <c r="DS73" s="2473"/>
      <c r="DT73" s="2473"/>
      <c r="DU73" s="2473"/>
      <c r="DV73" s="2473"/>
      <c r="DW73" s="2473"/>
      <c r="DX73" s="2473"/>
      <c r="DY73" s="2473"/>
      <c r="DZ73" s="2473"/>
      <c r="EA73" s="2473"/>
      <c r="EB73" s="2473"/>
      <c r="EC73" s="2473"/>
      <c r="ED73" s="2473"/>
      <c r="EE73" s="2473"/>
      <c r="EF73" s="2473"/>
      <c r="EG73" s="2473"/>
      <c r="EH73" s="2473"/>
      <c r="EI73" s="2473"/>
      <c r="EJ73" s="2473"/>
      <c r="EK73" s="2473"/>
      <c r="EL73" s="2473"/>
      <c r="EM73" s="2473"/>
      <c r="EN73" s="2473"/>
      <c r="EO73" s="2473"/>
      <c r="EP73" s="2473"/>
      <c r="EQ73" s="2473"/>
      <c r="ER73" s="2473"/>
      <c r="ES73" s="2473"/>
      <c r="ET73" s="2473"/>
      <c r="EU73" s="2473"/>
      <c r="EV73" s="2473"/>
      <c r="EW73" s="2473"/>
      <c r="EX73" s="2473"/>
      <c r="EY73" s="2473"/>
      <c r="EZ73" s="2473"/>
      <c r="FA73" s="2473"/>
      <c r="FB73" s="2473"/>
      <c r="FC73" s="2473"/>
      <c r="FD73" s="2473"/>
      <c r="FE73" s="2473"/>
      <c r="FF73" s="2473"/>
      <c r="FG73" s="2473"/>
      <c r="FH73" s="2473"/>
      <c r="FI73" s="2473"/>
      <c r="FJ73" s="2473"/>
      <c r="FK73" s="2473"/>
      <c r="FL73" s="2473"/>
      <c r="FM73" s="2473"/>
      <c r="FN73" s="2473"/>
      <c r="FO73" s="2473"/>
      <c r="FP73" s="2473"/>
      <c r="FQ73" s="2473"/>
      <c r="FR73" s="2473"/>
      <c r="FS73" s="2473"/>
      <c r="FT73" s="2473"/>
      <c r="FU73" s="2473"/>
      <c r="FV73" s="2473"/>
      <c r="FW73" s="2473"/>
      <c r="FX73" s="2473"/>
      <c r="FY73" s="2473"/>
      <c r="FZ73" s="2473"/>
      <c r="GA73" s="2473"/>
      <c r="GB73" s="2473"/>
      <c r="GC73" s="2473"/>
      <c r="GD73" s="2473"/>
      <c r="GE73" s="2473"/>
      <c r="GF73" s="2473"/>
      <c r="GG73" s="2473"/>
      <c r="GH73" s="2473"/>
      <c r="GI73" s="2473"/>
      <c r="GJ73" s="2473"/>
      <c r="GK73" s="2473"/>
      <c r="GL73" s="2473"/>
      <c r="GM73" s="2473"/>
      <c r="GN73" s="2473"/>
      <c r="GO73" s="2473"/>
      <c r="GP73" s="2473"/>
      <c r="GQ73" s="2473"/>
      <c r="GR73" s="2473"/>
      <c r="GS73" s="2473"/>
      <c r="GT73" s="2473"/>
      <c r="GU73" s="2473"/>
      <c r="GV73" s="2473"/>
      <c r="GW73" s="2473"/>
      <c r="GX73" s="2473"/>
      <c r="GY73" s="2473"/>
      <c r="GZ73" s="2473"/>
      <c r="HA73" s="2473"/>
      <c r="HB73" s="2473"/>
      <c r="HC73" s="2473"/>
      <c r="HD73" s="2473"/>
      <c r="HE73" s="2473"/>
      <c r="HF73" s="2473"/>
      <c r="HG73" s="2473"/>
      <c r="HH73" s="2473"/>
      <c r="HI73" s="2473"/>
      <c r="HJ73" s="2473"/>
      <c r="HK73" s="2473"/>
      <c r="HL73" s="2473"/>
      <c r="HM73" s="2473"/>
      <c r="HN73" s="2473"/>
      <c r="HO73" s="2473"/>
      <c r="HP73" s="2473"/>
      <c r="HQ73" s="2473"/>
      <c r="HR73" s="2473"/>
      <c r="HS73" s="2473"/>
      <c r="HT73" s="2473"/>
      <c r="HU73" s="2473"/>
      <c r="HV73" s="2473"/>
      <c r="HW73" s="2473"/>
      <c r="HX73" s="2473"/>
      <c r="HY73" s="2473"/>
      <c r="HZ73" s="2473"/>
      <c r="IA73" s="2473"/>
      <c r="IB73" s="2473"/>
      <c r="IC73" s="2473"/>
      <c r="ID73" s="2473"/>
      <c r="IE73" s="2473"/>
      <c r="IF73" s="2473"/>
      <c r="IG73" s="2473"/>
      <c r="IH73" s="2473"/>
      <c r="II73" s="2473"/>
      <c r="IJ73" s="2473"/>
      <c r="IK73" s="2473"/>
      <c r="IL73" s="2473"/>
      <c r="IM73" s="2473"/>
      <c r="IN73" s="2473"/>
      <c r="IO73" s="2473"/>
      <c r="IP73" s="2473"/>
      <c r="IQ73" s="2473"/>
      <c r="IR73" s="2473"/>
      <c r="IS73" s="2473"/>
      <c r="IT73" s="2473"/>
      <c r="IU73" s="2473"/>
      <c r="IV73" s="2473"/>
      <c r="IW73" s="2473"/>
      <c r="IX73" s="2473"/>
      <c r="IY73" s="2473"/>
      <c r="IZ73" s="2473"/>
      <c r="JA73" s="2473"/>
      <c r="JB73" s="2473"/>
      <c r="JC73" s="2473"/>
      <c r="JD73" s="2473"/>
      <c r="JE73" s="2473"/>
      <c r="JF73" s="2473"/>
      <c r="JG73" s="2473"/>
      <c r="JH73" s="2473"/>
      <c r="JI73" s="2473"/>
      <c r="JJ73" s="2473"/>
      <c r="JK73" s="2473"/>
      <c r="JL73" s="2473"/>
      <c r="JM73" s="2473"/>
      <c r="JN73" s="2473"/>
      <c r="JO73" s="2473"/>
      <c r="JP73" s="2473"/>
      <c r="JQ73" s="2473"/>
      <c r="JR73" s="2473"/>
      <c r="JS73" s="2473"/>
      <c r="JT73" s="2473"/>
      <c r="JU73" s="2473"/>
      <c r="JV73" s="2473"/>
      <c r="JW73" s="2473"/>
      <c r="JX73" s="2473"/>
      <c r="JY73" s="2473"/>
      <c r="JZ73" s="2473"/>
      <c r="KA73" s="2473"/>
      <c r="KB73" s="2473"/>
      <c r="KC73" s="2473"/>
      <c r="KD73" s="2473"/>
      <c r="KE73" s="2473"/>
      <c r="KF73" s="2473"/>
      <c r="KG73" s="2473"/>
      <c r="KH73" s="2473"/>
      <c r="KI73" s="2473"/>
      <c r="KJ73" s="2473"/>
      <c r="KK73" s="2473"/>
      <c r="KL73" s="2473"/>
      <c r="KM73" s="2473"/>
      <c r="KN73" s="2473"/>
      <c r="KO73" s="2473"/>
      <c r="KP73" s="2473"/>
      <c r="KQ73" s="2473"/>
      <c r="KR73" s="2473"/>
      <c r="KS73" s="2473"/>
      <c r="KT73" s="2473"/>
      <c r="KU73" s="2473"/>
      <c r="KV73" s="2473"/>
      <c r="KW73" s="2473"/>
      <c r="KX73" s="2473"/>
      <c r="KY73" s="2473"/>
      <c r="KZ73" s="2473"/>
      <c r="LA73" s="2473"/>
      <c r="LB73" s="2473"/>
      <c r="LC73" s="2473"/>
      <c r="LD73" s="2473"/>
      <c r="LE73" s="2473"/>
      <c r="LF73" s="2473"/>
      <c r="LG73" s="2473"/>
      <c r="LH73" s="2473"/>
      <c r="LI73" s="2473"/>
      <c r="LJ73" s="2473"/>
      <c r="LK73" s="2473"/>
      <c r="LL73" s="2473"/>
      <c r="LM73" s="2473"/>
      <c r="LN73" s="2473"/>
      <c r="LO73" s="2473"/>
      <c r="LP73" s="2473"/>
      <c r="LQ73" s="2473"/>
      <c r="LR73" s="2473"/>
      <c r="LS73" s="2473"/>
      <c r="LT73" s="2473"/>
      <c r="LU73" s="2473"/>
      <c r="LV73" s="2473"/>
      <c r="LW73" s="2473"/>
      <c r="LX73" s="2473"/>
      <c r="LY73" s="2473"/>
      <c r="LZ73" s="2473"/>
      <c r="MA73" s="2473"/>
      <c r="MB73" s="2473"/>
      <c r="MC73" s="2473"/>
      <c r="MD73" s="2473"/>
      <c r="ME73" s="2473"/>
      <c r="MF73" s="2473"/>
      <c r="MG73" s="2473"/>
      <c r="MH73" s="2473"/>
      <c r="MI73" s="2473"/>
      <c r="MJ73" s="2473"/>
      <c r="MK73" s="2473"/>
      <c r="ML73" s="2473"/>
      <c r="MM73" s="2473"/>
      <c r="MN73" s="2473"/>
      <c r="MO73" s="2473"/>
      <c r="MP73" s="2473"/>
      <c r="MQ73" s="2473"/>
      <c r="MR73" s="2473"/>
      <c r="MS73" s="2473"/>
      <c r="MT73" s="2473"/>
      <c r="MU73" s="2473"/>
      <c r="MV73" s="2473"/>
      <c r="MW73" s="2473"/>
      <c r="MX73" s="2473"/>
      <c r="MY73" s="2473"/>
      <c r="MZ73" s="2473"/>
      <c r="NA73" s="2473"/>
      <c r="NB73" s="2473"/>
      <c r="NC73" s="2473"/>
      <c r="ND73" s="2473"/>
      <c r="NE73" s="2316"/>
      <c r="NF73" s="2316"/>
      <c r="NG73" s="2316"/>
      <c r="NH73" s="2316"/>
      <c r="NI73" s="2316"/>
      <c r="NJ73" s="2316"/>
      <c r="NK73" s="2316"/>
      <c r="NL73" s="2316"/>
      <c r="NM73" s="2316"/>
      <c r="NN73" s="2316"/>
      <c r="NO73" s="2316"/>
      <c r="NP73" s="2316"/>
      <c r="NQ73" s="2316"/>
      <c r="NR73" s="2316"/>
      <c r="NS73" s="2316"/>
      <c r="NT73" s="2316"/>
      <c r="NU73" s="2316"/>
      <c r="NV73" s="2316"/>
      <c r="NW73" s="2316"/>
      <c r="NX73" s="2316"/>
      <c r="NY73" s="2316"/>
      <c r="NZ73" s="2316"/>
      <c r="OA73" s="2316"/>
      <c r="OB73" s="2316"/>
      <c r="OC73" s="2316"/>
      <c r="OD73" s="2316"/>
      <c r="OE73" s="2316"/>
      <c r="OF73" s="2316"/>
      <c r="OG73" s="2316"/>
      <c r="OH73" s="2316"/>
      <c r="OI73" s="2316"/>
      <c r="OJ73" s="2316"/>
      <c r="OK73" s="2316"/>
      <c r="OL73" s="2316"/>
      <c r="OM73" s="2316"/>
      <c r="ON73" s="2316"/>
      <c r="OO73" s="2316"/>
      <c r="OP73" s="2316"/>
      <c r="OQ73" s="2316"/>
      <c r="OR73" s="2316"/>
      <c r="OS73" s="2316"/>
      <c r="OT73" s="2316"/>
      <c r="OU73" s="2316"/>
      <c r="OV73" s="2316"/>
      <c r="OW73" s="2316"/>
      <c r="OX73" s="2316"/>
      <c r="OY73" s="2316"/>
      <c r="OZ73" s="2316"/>
      <c r="PA73" s="2316"/>
      <c r="PB73" s="2316"/>
      <c r="PC73" s="2316"/>
      <c r="PD73" s="2316"/>
      <c r="PE73" s="2316"/>
      <c r="PF73" s="2316"/>
      <c r="PG73" s="2316"/>
      <c r="PH73" s="2316"/>
      <c r="PI73" s="2316"/>
      <c r="PJ73" s="2316"/>
      <c r="PK73" s="2316"/>
      <c r="PL73" s="2316"/>
      <c r="PM73" s="2316"/>
      <c r="PN73" s="2316"/>
      <c r="PO73" s="2316"/>
      <c r="PP73" s="2316"/>
      <c r="PQ73" s="2316"/>
      <c r="PR73" s="2316"/>
      <c r="PS73" s="2316"/>
      <c r="PT73" s="2316"/>
      <c r="PU73" s="2316"/>
      <c r="PV73" s="2316"/>
      <c r="PW73" s="2316"/>
      <c r="PX73" s="2316"/>
      <c r="PY73" s="2316"/>
      <c r="PZ73" s="2316"/>
      <c r="QA73" s="2316"/>
      <c r="QB73" s="2316"/>
      <c r="QC73" s="2316"/>
      <c r="QD73" s="2316"/>
      <c r="QE73" s="2316"/>
      <c r="QF73" s="2316"/>
      <c r="QG73" s="2316"/>
      <c r="QH73" s="2316"/>
      <c r="QI73" s="2316"/>
      <c r="QJ73" s="2316"/>
      <c r="QK73" s="2316"/>
      <c r="QL73" s="2316"/>
      <c r="QM73" s="2316"/>
      <c r="QN73" s="2316"/>
      <c r="QO73" s="2316"/>
      <c r="QP73" s="2316"/>
      <c r="QQ73" s="2316"/>
      <c r="QR73" s="2316"/>
      <c r="QS73" s="2316"/>
      <c r="QT73" s="2316"/>
      <c r="QU73" s="2316"/>
      <c r="QV73" s="2316"/>
      <c r="QW73" s="2316"/>
      <c r="QX73" s="2316"/>
      <c r="QY73" s="2316"/>
      <c r="QZ73" s="2316"/>
      <c r="RA73" s="2316"/>
      <c r="RB73" s="2316"/>
      <c r="RC73" s="2316"/>
      <c r="RD73" s="2316"/>
      <c r="RE73" s="2316"/>
      <c r="RF73" s="2316"/>
      <c r="RG73" s="2316"/>
      <c r="RH73" s="2316"/>
      <c r="RI73" s="2316"/>
      <c r="RJ73" s="2316"/>
      <c r="RK73" s="2316"/>
      <c r="RL73" s="2316"/>
      <c r="RM73" s="2316"/>
      <c r="RN73" s="2316"/>
      <c r="RO73" s="2316"/>
      <c r="RP73" s="2316"/>
      <c r="RQ73" s="2316"/>
      <c r="RR73" s="2316"/>
      <c r="RS73" s="2316"/>
      <c r="RT73" s="2316"/>
      <c r="RU73" s="2316"/>
      <c r="RV73" s="2316"/>
      <c r="RW73" s="2316"/>
      <c r="RX73" s="2316"/>
      <c r="RY73" s="2316"/>
      <c r="RZ73" s="2316"/>
      <c r="SA73" s="2316"/>
    </row>
    <row r="74" spans="1:495" customFormat="1">
      <c r="C74" s="2268"/>
      <c r="D74" s="3585"/>
      <c r="E74" s="3585"/>
      <c r="F74" s="3585"/>
      <c r="G74" s="8"/>
      <c r="H74" s="2339" t="s">
        <v>4809</v>
      </c>
      <c r="I74" s="2270"/>
      <c r="J74" s="1"/>
      <c r="K74" s="2327" t="str">
        <f>IF(OR(K57=0,$P73="",K$67=0),"",$P73*K$67)</f>
        <v/>
      </c>
      <c r="L74" s="2327" t="str">
        <f>IF(OR(L57=0,$P73="",L$67=0),"",$P73*L$67)</f>
        <v/>
      </c>
      <c r="M74" s="2327" t="str">
        <f>IF(OR(M57=0,$P73="",M$67=0),"",$P73*M$67)</f>
        <v/>
      </c>
      <c r="N74" s="2327" t="str">
        <f>IF(OR(N57=0,$P73="",N$67=0),"",$P73*N$67)</f>
        <v/>
      </c>
      <c r="O74" s="2327" t="str">
        <f>IF(OR(O57=0,$P73="",O$67=0),"",$P73*O$67)</f>
        <v/>
      </c>
      <c r="P74" s="2328" t="str">
        <f t="shared" ref="P74" si="362">IF(OR($P73="",P$67=0),"",$P73*P$67)</f>
        <v/>
      </c>
      <c r="S74" s="3503"/>
      <c r="T74" s="3504"/>
      <c r="U74" s="3504"/>
      <c r="V74" s="3504"/>
      <c r="W74" s="3505"/>
      <c r="X74" s="2473"/>
      <c r="Y74" s="2473"/>
      <c r="Z74" s="2473"/>
      <c r="AA74" s="2473"/>
      <c r="AB74" s="2473"/>
      <c r="AC74" s="2473"/>
      <c r="AD74" s="2473"/>
      <c r="AE74" s="2473"/>
      <c r="AF74" s="2473"/>
      <c r="AG74" s="2473"/>
      <c r="AH74" s="2473"/>
      <c r="AI74" s="2473"/>
      <c r="AJ74" s="2473"/>
      <c r="AK74" s="2473"/>
      <c r="AL74" s="2473"/>
      <c r="AM74" s="2473"/>
      <c r="AN74" s="2473"/>
      <c r="AO74" s="2473"/>
      <c r="AP74" s="2473"/>
      <c r="AQ74" s="2473"/>
      <c r="AR74" s="2473"/>
      <c r="AS74" s="2473"/>
      <c r="AT74" s="2473"/>
      <c r="AU74" s="2473"/>
      <c r="AV74" s="2473"/>
      <c r="AW74" s="2473"/>
      <c r="AX74" s="2473"/>
      <c r="AY74" s="2473"/>
      <c r="AZ74" s="2473"/>
      <c r="BA74" s="2473"/>
      <c r="BB74" s="2473"/>
      <c r="BC74" s="2473"/>
      <c r="BD74" s="2473"/>
      <c r="BE74" s="2473"/>
      <c r="BF74" s="2473"/>
      <c r="BG74" s="2473"/>
      <c r="BH74" s="2473"/>
      <c r="BI74" s="2473"/>
      <c r="BJ74" s="2473"/>
      <c r="BK74" s="2473"/>
      <c r="BL74" s="2473"/>
      <c r="BM74" s="2473"/>
      <c r="BN74" s="2473"/>
      <c r="BO74" s="2473"/>
      <c r="BP74" s="2473"/>
      <c r="BQ74" s="2473"/>
      <c r="BR74" s="2473"/>
      <c r="BS74" s="2473"/>
      <c r="BT74" s="2473"/>
      <c r="BU74" s="2473"/>
      <c r="BV74" s="2473"/>
      <c r="BW74" s="2473"/>
      <c r="BX74" s="2473"/>
      <c r="BY74" s="2473"/>
      <c r="BZ74" s="2473"/>
      <c r="CA74" s="2473"/>
      <c r="CB74" s="2473"/>
      <c r="CC74" s="2473"/>
      <c r="CD74" s="2473"/>
      <c r="CE74" s="2473"/>
      <c r="CF74" s="2473"/>
      <c r="CG74" s="2473"/>
      <c r="CH74" s="2473"/>
      <c r="CI74" s="2473"/>
      <c r="CJ74" s="2473"/>
      <c r="CK74" s="2473"/>
      <c r="CL74" s="2473"/>
      <c r="CM74" s="2473"/>
      <c r="CN74" s="2473"/>
      <c r="CO74" s="2473"/>
      <c r="CP74" s="2473"/>
      <c r="CQ74" s="2473"/>
      <c r="CR74" s="2473"/>
      <c r="CS74" s="2473"/>
      <c r="CT74" s="2473"/>
      <c r="CU74" s="2473"/>
      <c r="CV74" s="2473"/>
      <c r="CW74" s="2473"/>
      <c r="CX74" s="2473"/>
      <c r="CY74" s="2473"/>
      <c r="CZ74" s="2473"/>
      <c r="DA74" s="2473"/>
      <c r="DB74" s="2473"/>
      <c r="DC74" s="2473"/>
      <c r="DD74" s="2473"/>
      <c r="DE74" s="2473"/>
      <c r="DF74" s="2473"/>
      <c r="DG74" s="2473"/>
      <c r="DH74" s="2473"/>
      <c r="DI74" s="2473"/>
      <c r="DJ74" s="2473"/>
      <c r="DK74" s="2473"/>
      <c r="DL74" s="2473"/>
      <c r="DM74" s="2473"/>
      <c r="DN74" s="2473"/>
      <c r="DO74" s="2473"/>
      <c r="DP74" s="2473"/>
      <c r="DQ74" s="2473"/>
      <c r="DR74" s="2473"/>
      <c r="DS74" s="2473"/>
      <c r="DT74" s="2473"/>
      <c r="DU74" s="2473"/>
      <c r="DV74" s="2473"/>
      <c r="DW74" s="2473"/>
      <c r="DX74" s="2473"/>
      <c r="DY74" s="2473"/>
      <c r="DZ74" s="2473"/>
      <c r="EA74" s="2473"/>
      <c r="EB74" s="2473"/>
      <c r="EC74" s="2473"/>
      <c r="ED74" s="2473"/>
      <c r="EE74" s="2473"/>
      <c r="EF74" s="2473"/>
      <c r="EG74" s="2473"/>
      <c r="EH74" s="2473"/>
      <c r="EI74" s="2473"/>
      <c r="EJ74" s="2473"/>
      <c r="EK74" s="2473"/>
      <c r="EL74" s="2473"/>
      <c r="EM74" s="2473"/>
      <c r="EN74" s="2473"/>
      <c r="EO74" s="2473"/>
      <c r="EP74" s="2473"/>
      <c r="EQ74" s="2473"/>
      <c r="ER74" s="2473"/>
      <c r="ES74" s="2473"/>
      <c r="ET74" s="2473"/>
      <c r="EU74" s="2473"/>
      <c r="EV74" s="2473"/>
      <c r="EW74" s="2473"/>
      <c r="EX74" s="2473"/>
      <c r="EY74" s="2473"/>
      <c r="EZ74" s="2473"/>
      <c r="FA74" s="2473"/>
      <c r="FB74" s="2473"/>
      <c r="FC74" s="2473"/>
      <c r="FD74" s="2473"/>
      <c r="FE74" s="2473"/>
      <c r="FF74" s="2473"/>
      <c r="FG74" s="2473"/>
      <c r="FH74" s="2473"/>
      <c r="FI74" s="2473"/>
      <c r="FJ74" s="2473"/>
      <c r="FK74" s="2473"/>
      <c r="FL74" s="2473"/>
      <c r="FM74" s="2473"/>
      <c r="FN74" s="2473"/>
      <c r="FO74" s="2473"/>
      <c r="FP74" s="2473"/>
      <c r="FQ74" s="2473"/>
      <c r="FR74" s="2473"/>
      <c r="FS74" s="2473"/>
      <c r="FT74" s="2473"/>
      <c r="FU74" s="2473"/>
      <c r="FV74" s="2473"/>
      <c r="FW74" s="2473"/>
      <c r="FX74" s="2473"/>
      <c r="FY74" s="2473"/>
      <c r="FZ74" s="2473"/>
      <c r="GA74" s="2473"/>
      <c r="GB74" s="2473"/>
      <c r="GC74" s="2473"/>
      <c r="GD74" s="2473"/>
      <c r="GE74" s="2473"/>
      <c r="GF74" s="2473"/>
      <c r="GG74" s="2473"/>
      <c r="GH74" s="2473"/>
      <c r="GI74" s="2473"/>
      <c r="GJ74" s="2473"/>
      <c r="GK74" s="2473"/>
      <c r="GL74" s="2473"/>
      <c r="GM74" s="2473"/>
      <c r="GN74" s="2473"/>
      <c r="GO74" s="2473"/>
      <c r="GP74" s="2473"/>
      <c r="GQ74" s="2473"/>
      <c r="GR74" s="2473"/>
      <c r="GS74" s="2473"/>
      <c r="GT74" s="2473"/>
      <c r="GU74" s="2473"/>
      <c r="GV74" s="2473"/>
      <c r="GW74" s="2473"/>
      <c r="GX74" s="2473"/>
      <c r="GY74" s="2473"/>
      <c r="GZ74" s="2473"/>
      <c r="HA74" s="2473"/>
      <c r="HB74" s="2473"/>
      <c r="HC74" s="2473"/>
      <c r="HD74" s="2473"/>
      <c r="HE74" s="2473"/>
      <c r="HF74" s="2473"/>
      <c r="HG74" s="2473"/>
      <c r="HH74" s="2473"/>
      <c r="HI74" s="2473"/>
      <c r="HJ74" s="2473"/>
      <c r="HK74" s="2473"/>
      <c r="HL74" s="2473"/>
      <c r="HM74" s="2473"/>
      <c r="HN74" s="2473"/>
      <c r="HO74" s="2473"/>
      <c r="HP74" s="2473"/>
      <c r="HQ74" s="2473"/>
      <c r="HR74" s="2473"/>
      <c r="HS74" s="2473"/>
      <c r="HT74" s="2473"/>
      <c r="HU74" s="2473"/>
      <c r="HV74" s="2473"/>
      <c r="HW74" s="2473"/>
      <c r="HX74" s="2473"/>
      <c r="HY74" s="2473"/>
      <c r="HZ74" s="2473"/>
      <c r="IA74" s="2473"/>
      <c r="IB74" s="2473"/>
      <c r="IC74" s="2473"/>
      <c r="ID74" s="2473"/>
      <c r="IE74" s="2473"/>
      <c r="IF74" s="2473"/>
      <c r="IG74" s="2473"/>
      <c r="IH74" s="2473"/>
      <c r="II74" s="2473"/>
      <c r="IJ74" s="2473"/>
      <c r="IK74" s="2473"/>
      <c r="IL74" s="2473"/>
      <c r="IM74" s="2473"/>
      <c r="IN74" s="2473"/>
      <c r="IO74" s="2473"/>
      <c r="IP74" s="2473"/>
      <c r="IQ74" s="2473"/>
      <c r="IR74" s="2473"/>
      <c r="IS74" s="2473"/>
      <c r="IT74" s="2473"/>
      <c r="IU74" s="2473"/>
      <c r="IV74" s="2473"/>
      <c r="IW74" s="2473"/>
      <c r="IX74" s="2473"/>
      <c r="IY74" s="2473"/>
      <c r="IZ74" s="2473"/>
      <c r="JA74" s="2473"/>
      <c r="JB74" s="2473"/>
      <c r="JC74" s="2473"/>
      <c r="JD74" s="2473"/>
      <c r="JE74" s="2473"/>
      <c r="JF74" s="2473"/>
      <c r="JG74" s="2473"/>
      <c r="JH74" s="2473"/>
      <c r="JI74" s="2473"/>
      <c r="JJ74" s="2473"/>
      <c r="JK74" s="2473"/>
      <c r="JL74" s="2473"/>
      <c r="JM74" s="2473"/>
      <c r="JN74" s="2473"/>
      <c r="JO74" s="2473"/>
      <c r="JP74" s="2473"/>
      <c r="JQ74" s="2473"/>
      <c r="JR74" s="2473"/>
      <c r="JS74" s="2473"/>
      <c r="JT74" s="2473"/>
      <c r="JU74" s="2473"/>
      <c r="JV74" s="2473"/>
      <c r="JW74" s="2473"/>
      <c r="JX74" s="2473"/>
      <c r="JY74" s="2473"/>
      <c r="JZ74" s="2473"/>
      <c r="KA74" s="2473"/>
      <c r="KB74" s="2473"/>
      <c r="KC74" s="2473"/>
      <c r="KD74" s="2473"/>
      <c r="KE74" s="2473"/>
      <c r="KF74" s="2473"/>
      <c r="KG74" s="2473"/>
      <c r="KH74" s="2473"/>
      <c r="KI74" s="2473"/>
      <c r="KJ74" s="2473"/>
      <c r="KK74" s="2473"/>
      <c r="KL74" s="2473"/>
      <c r="KM74" s="2473"/>
      <c r="KN74" s="2473"/>
      <c r="KO74" s="2473"/>
      <c r="KP74" s="2473"/>
      <c r="KQ74" s="2473"/>
      <c r="KR74" s="2473"/>
      <c r="KS74" s="2473"/>
      <c r="KT74" s="2473"/>
      <c r="KU74" s="2473"/>
      <c r="KV74" s="2473"/>
      <c r="KW74" s="2473"/>
      <c r="KX74" s="2473"/>
      <c r="KY74" s="2473"/>
      <c r="KZ74" s="2473"/>
      <c r="LA74" s="2473"/>
      <c r="LB74" s="2473"/>
      <c r="LC74" s="2473"/>
      <c r="LD74" s="2473"/>
      <c r="LE74" s="2473"/>
      <c r="LF74" s="2473"/>
      <c r="LG74" s="2473"/>
      <c r="LH74" s="2473"/>
      <c r="LI74" s="2473"/>
      <c r="LJ74" s="2473"/>
      <c r="LK74" s="2473"/>
      <c r="LL74" s="2473"/>
      <c r="LM74" s="2473"/>
      <c r="LN74" s="2473"/>
      <c r="LO74" s="2473"/>
      <c r="LP74" s="2473"/>
      <c r="LQ74" s="2473"/>
      <c r="LR74" s="2473"/>
      <c r="LS74" s="2473"/>
      <c r="LT74" s="2473"/>
      <c r="LU74" s="2473"/>
      <c r="LV74" s="2473"/>
      <c r="LW74" s="2473"/>
      <c r="LX74" s="2473"/>
      <c r="LY74" s="2473"/>
      <c r="LZ74" s="2473"/>
      <c r="MA74" s="2473"/>
      <c r="MB74" s="2473"/>
      <c r="MC74" s="2473"/>
      <c r="MD74" s="2473"/>
      <c r="ME74" s="2473"/>
      <c r="MF74" s="2473"/>
      <c r="MG74" s="2473"/>
      <c r="MH74" s="2473"/>
      <c r="MI74" s="2473"/>
      <c r="MJ74" s="2473"/>
      <c r="MK74" s="2473"/>
      <c r="ML74" s="2473"/>
      <c r="MM74" s="2473"/>
      <c r="MN74" s="2473"/>
      <c r="MO74" s="2473"/>
      <c r="MP74" s="2473"/>
      <c r="MQ74" s="2473"/>
      <c r="MR74" s="2473"/>
      <c r="MS74" s="2473"/>
      <c r="MT74" s="2473"/>
      <c r="MU74" s="2473"/>
      <c r="MV74" s="2473"/>
      <c r="MW74" s="2473"/>
      <c r="MX74" s="2473"/>
      <c r="MY74" s="2473"/>
      <c r="MZ74" s="2473"/>
      <c r="NA74" s="2473"/>
      <c r="NB74" s="2473"/>
      <c r="NC74" s="2473"/>
      <c r="ND74" s="2473"/>
      <c r="NE74" s="2316"/>
      <c r="NF74" s="2316"/>
      <c r="NG74" s="2316"/>
      <c r="NH74" s="2316"/>
      <c r="NI74" s="2316"/>
      <c r="NJ74" s="2316"/>
      <c r="NK74" s="2316"/>
      <c r="NL74" s="2316"/>
      <c r="NM74" s="2316"/>
      <c r="NN74" s="2316"/>
      <c r="NO74" s="2316"/>
      <c r="NP74" s="2316"/>
      <c r="NQ74" s="2316"/>
      <c r="NR74" s="2316"/>
      <c r="NS74" s="2316"/>
      <c r="NT74" s="2316"/>
      <c r="NU74" s="2316"/>
      <c r="NV74" s="2316"/>
      <c r="NW74" s="2316"/>
      <c r="NX74" s="2316"/>
      <c r="NY74" s="2316"/>
      <c r="NZ74" s="2316"/>
      <c r="OA74" s="2316"/>
      <c r="OB74" s="2316"/>
      <c r="OC74" s="2316"/>
      <c r="OD74" s="2316"/>
      <c r="OE74" s="2316"/>
      <c r="OF74" s="2316"/>
      <c r="OG74" s="2316"/>
      <c r="OH74" s="2316"/>
      <c r="OI74" s="2316"/>
      <c r="OJ74" s="2316"/>
      <c r="OK74" s="2316"/>
      <c r="OL74" s="2316"/>
      <c r="OM74" s="2316"/>
      <c r="ON74" s="2316"/>
      <c r="OO74" s="2316"/>
      <c r="OP74" s="2316"/>
      <c r="OQ74" s="2316"/>
      <c r="OR74" s="2316"/>
      <c r="OS74" s="2316"/>
      <c r="OT74" s="2316"/>
      <c r="OU74" s="2316"/>
      <c r="OV74" s="2316"/>
      <c r="OW74" s="2316"/>
      <c r="OX74" s="2316"/>
      <c r="OY74" s="2316"/>
      <c r="OZ74" s="2316"/>
      <c r="PA74" s="2316"/>
      <c r="PB74" s="2316"/>
      <c r="PC74" s="2316"/>
      <c r="PD74" s="2316"/>
      <c r="PE74" s="2316"/>
      <c r="PF74" s="2316"/>
      <c r="PG74" s="2316"/>
      <c r="PH74" s="2316"/>
      <c r="PI74" s="2316"/>
      <c r="PJ74" s="2316"/>
      <c r="PK74" s="2316"/>
      <c r="PL74" s="2316"/>
      <c r="PM74" s="2316"/>
      <c r="PN74" s="2316"/>
      <c r="PO74" s="2316"/>
      <c r="PP74" s="2316"/>
      <c r="PQ74" s="2316"/>
      <c r="PR74" s="2316"/>
      <c r="PS74" s="2316"/>
      <c r="PT74" s="2316"/>
      <c r="PU74" s="2316"/>
      <c r="PV74" s="2316"/>
      <c r="PW74" s="2316"/>
      <c r="PX74" s="2316"/>
      <c r="PY74" s="2316"/>
      <c r="PZ74" s="2316"/>
      <c r="QA74" s="2316"/>
      <c r="QB74" s="2316"/>
      <c r="QC74" s="2316"/>
      <c r="QD74" s="2316"/>
      <c r="QE74" s="2316"/>
      <c r="QF74" s="2316"/>
      <c r="QG74" s="2316"/>
      <c r="QH74" s="2316"/>
      <c r="QI74" s="2316"/>
      <c r="QJ74" s="2316"/>
      <c r="QK74" s="2316"/>
      <c r="QL74" s="2316"/>
      <c r="QM74" s="2316"/>
      <c r="QN74" s="2316"/>
      <c r="QO74" s="2316"/>
      <c r="QP74" s="2316"/>
      <c r="QQ74" s="2316"/>
      <c r="QR74" s="2316"/>
      <c r="QS74" s="2316"/>
      <c r="QT74" s="2316"/>
      <c r="QU74" s="2316"/>
      <c r="QV74" s="2316"/>
      <c r="QW74" s="2316"/>
      <c r="QX74" s="2316"/>
      <c r="QY74" s="2316"/>
      <c r="QZ74" s="2316"/>
      <c r="RA74" s="2316"/>
      <c r="RB74" s="2316"/>
      <c r="RC74" s="2316"/>
      <c r="RD74" s="2316"/>
      <c r="RE74" s="2316"/>
      <c r="RF74" s="2316"/>
      <c r="RG74" s="2316"/>
      <c r="RH74" s="2316"/>
      <c r="RI74" s="2316"/>
      <c r="RJ74" s="2316"/>
      <c r="RK74" s="2316"/>
      <c r="RL74" s="2316"/>
      <c r="RM74" s="2316"/>
      <c r="RN74" s="2316"/>
      <c r="RO74" s="2316"/>
      <c r="RP74" s="2316"/>
      <c r="RQ74" s="2316"/>
      <c r="RR74" s="2316"/>
      <c r="RS74" s="2316"/>
      <c r="RT74" s="2316"/>
      <c r="RU74" s="2316"/>
      <c r="RV74" s="2316"/>
      <c r="RW74" s="2316"/>
      <c r="RX74" s="2316"/>
      <c r="RY74" s="2316"/>
      <c r="RZ74" s="2316"/>
      <c r="SA74" s="2316"/>
    </row>
    <row r="75" spans="1:495" customFormat="1">
      <c r="C75" s="2268"/>
      <c r="D75" s="3585"/>
      <c r="E75" s="3585"/>
      <c r="F75" s="3585"/>
      <c r="G75" s="2485" t="str">
        <f>IF(AND(K75="",L75="",M75="",N75="",O75=""),"",IF(OR(K75&gt;2,L75&gt;2,M75&gt;2,N75&gt;2,O75&gt;2,K75&lt;-2,L75&lt;-2,M75&lt;-2,N75&lt;-2,O75&lt;-2),"Not Equal","Equal"))</f>
        <v/>
      </c>
      <c r="H75" s="2340" t="s">
        <v>4810</v>
      </c>
      <c r="I75" s="2272"/>
      <c r="J75" s="1"/>
      <c r="K75" s="2329" t="str">
        <f t="shared" ref="K75:P75" si="363">IF(OR(K74="",K57=0),"", K57-K74)</f>
        <v/>
      </c>
      <c r="L75" s="2329" t="str">
        <f t="shared" si="363"/>
        <v/>
      </c>
      <c r="M75" s="2329" t="str">
        <f t="shared" si="363"/>
        <v/>
      </c>
      <c r="N75" s="2329" t="str">
        <f t="shared" si="363"/>
        <v/>
      </c>
      <c r="O75" s="2329" t="str">
        <f t="shared" si="363"/>
        <v/>
      </c>
      <c r="P75" s="2329" t="str">
        <f t="shared" si="363"/>
        <v/>
      </c>
      <c r="S75" s="3503"/>
      <c r="T75" s="3504"/>
      <c r="U75" s="3504"/>
      <c r="V75" s="3504"/>
      <c r="W75" s="3505"/>
      <c r="X75" s="2473"/>
      <c r="Y75" s="2473"/>
      <c r="Z75" s="2473"/>
      <c r="AA75" s="2473"/>
      <c r="AB75" s="2473"/>
      <c r="AC75" s="2473"/>
      <c r="AD75" s="2473"/>
      <c r="AE75" s="2473"/>
      <c r="AF75" s="2473"/>
      <c r="AG75" s="2473"/>
      <c r="AH75" s="2473"/>
      <c r="AI75" s="2473"/>
      <c r="AJ75" s="2473"/>
      <c r="AK75" s="2473"/>
      <c r="AL75" s="2473"/>
      <c r="AM75" s="2473"/>
      <c r="AN75" s="2473"/>
      <c r="AO75" s="2473"/>
      <c r="AP75" s="2473"/>
      <c r="AQ75" s="2473"/>
      <c r="AR75" s="2473"/>
      <c r="AS75" s="2473"/>
      <c r="AT75" s="2473"/>
      <c r="AU75" s="2473"/>
      <c r="AV75" s="2473"/>
      <c r="AW75" s="2473"/>
      <c r="AX75" s="2473"/>
      <c r="AY75" s="2473"/>
      <c r="AZ75" s="2473"/>
      <c r="BA75" s="2473"/>
      <c r="BB75" s="2473"/>
      <c r="BC75" s="2473"/>
      <c r="BD75" s="2473"/>
      <c r="BE75" s="2473"/>
      <c r="BF75" s="2473"/>
      <c r="BG75" s="2473"/>
      <c r="BH75" s="2473"/>
      <c r="BI75" s="2473"/>
      <c r="BJ75" s="2473"/>
      <c r="BK75" s="2473"/>
      <c r="BL75" s="2473"/>
      <c r="BM75" s="2473"/>
      <c r="BN75" s="2473"/>
      <c r="BO75" s="2473"/>
      <c r="BP75" s="2473"/>
      <c r="BQ75" s="2473"/>
      <c r="BR75" s="2473"/>
      <c r="BS75" s="2473"/>
      <c r="BT75" s="2473"/>
      <c r="BU75" s="2473"/>
      <c r="BV75" s="2473"/>
      <c r="BW75" s="2473"/>
      <c r="BX75" s="2473"/>
      <c r="BY75" s="2473"/>
      <c r="BZ75" s="2473"/>
      <c r="CA75" s="2473"/>
      <c r="CB75" s="2473"/>
      <c r="CC75" s="2473"/>
      <c r="CD75" s="2473"/>
      <c r="CE75" s="2473"/>
      <c r="CF75" s="2473"/>
      <c r="CG75" s="2473"/>
      <c r="CH75" s="2473"/>
      <c r="CI75" s="2473"/>
      <c r="CJ75" s="2473"/>
      <c r="CK75" s="2473"/>
      <c r="CL75" s="2473"/>
      <c r="CM75" s="2473"/>
      <c r="CN75" s="2473"/>
      <c r="CO75" s="2473"/>
      <c r="CP75" s="2473"/>
      <c r="CQ75" s="2473"/>
      <c r="CR75" s="2473"/>
      <c r="CS75" s="2473"/>
      <c r="CT75" s="2473"/>
      <c r="CU75" s="2473"/>
      <c r="CV75" s="2473"/>
      <c r="CW75" s="2473"/>
      <c r="CX75" s="2473"/>
      <c r="CY75" s="2473"/>
      <c r="CZ75" s="2473"/>
      <c r="DA75" s="2473"/>
      <c r="DB75" s="2473"/>
      <c r="DC75" s="2473"/>
      <c r="DD75" s="2473"/>
      <c r="DE75" s="2473"/>
      <c r="DF75" s="2473"/>
      <c r="DG75" s="2473"/>
      <c r="DH75" s="2473"/>
      <c r="DI75" s="2473"/>
      <c r="DJ75" s="2473"/>
      <c r="DK75" s="2473"/>
      <c r="DL75" s="2473"/>
      <c r="DM75" s="2473"/>
      <c r="DN75" s="2473"/>
      <c r="DO75" s="2473"/>
      <c r="DP75" s="2473"/>
      <c r="DQ75" s="2473"/>
      <c r="DR75" s="2473"/>
      <c r="DS75" s="2473"/>
      <c r="DT75" s="2473"/>
      <c r="DU75" s="2473"/>
      <c r="DV75" s="2473"/>
      <c r="DW75" s="2473"/>
      <c r="DX75" s="2473"/>
      <c r="DY75" s="2473"/>
      <c r="DZ75" s="2473"/>
      <c r="EA75" s="2473"/>
      <c r="EB75" s="2473"/>
      <c r="EC75" s="2473"/>
      <c r="ED75" s="2473"/>
      <c r="EE75" s="2473"/>
      <c r="EF75" s="2473"/>
      <c r="EG75" s="2473"/>
      <c r="EH75" s="2473"/>
      <c r="EI75" s="2473"/>
      <c r="EJ75" s="2473"/>
      <c r="EK75" s="2473"/>
      <c r="EL75" s="2473"/>
      <c r="EM75" s="2473"/>
      <c r="EN75" s="2473"/>
      <c r="EO75" s="2473"/>
      <c r="EP75" s="2473"/>
      <c r="EQ75" s="2473"/>
      <c r="ER75" s="2473"/>
      <c r="ES75" s="2473"/>
      <c r="ET75" s="2473"/>
      <c r="EU75" s="2473"/>
      <c r="EV75" s="2473"/>
      <c r="EW75" s="2473"/>
      <c r="EX75" s="2473"/>
      <c r="EY75" s="2473"/>
      <c r="EZ75" s="2473"/>
      <c r="FA75" s="2473"/>
      <c r="FB75" s="2473"/>
      <c r="FC75" s="2473"/>
      <c r="FD75" s="2473"/>
      <c r="FE75" s="2473"/>
      <c r="FF75" s="2473"/>
      <c r="FG75" s="2473"/>
      <c r="FH75" s="2473"/>
      <c r="FI75" s="2473"/>
      <c r="FJ75" s="2473"/>
      <c r="FK75" s="2473"/>
      <c r="FL75" s="2473"/>
      <c r="FM75" s="2473"/>
      <c r="FN75" s="2473"/>
      <c r="FO75" s="2473"/>
      <c r="FP75" s="2473"/>
      <c r="FQ75" s="2473"/>
      <c r="FR75" s="2473"/>
      <c r="FS75" s="2473"/>
      <c r="FT75" s="2473"/>
      <c r="FU75" s="2473"/>
      <c r="FV75" s="2473"/>
      <c r="FW75" s="2473"/>
      <c r="FX75" s="2473"/>
      <c r="FY75" s="2473"/>
      <c r="FZ75" s="2473"/>
      <c r="GA75" s="2473"/>
      <c r="GB75" s="2473"/>
      <c r="GC75" s="2473"/>
      <c r="GD75" s="2473"/>
      <c r="GE75" s="2473"/>
      <c r="GF75" s="2473"/>
      <c r="GG75" s="2473"/>
      <c r="GH75" s="2473"/>
      <c r="GI75" s="2473"/>
      <c r="GJ75" s="2473"/>
      <c r="GK75" s="2473"/>
      <c r="GL75" s="2473"/>
      <c r="GM75" s="2473"/>
      <c r="GN75" s="2473"/>
      <c r="GO75" s="2473"/>
      <c r="GP75" s="2473"/>
      <c r="GQ75" s="2473"/>
      <c r="GR75" s="2473"/>
      <c r="GS75" s="2473"/>
      <c r="GT75" s="2473"/>
      <c r="GU75" s="2473"/>
      <c r="GV75" s="2473"/>
      <c r="GW75" s="2473"/>
      <c r="GX75" s="2473"/>
      <c r="GY75" s="2473"/>
      <c r="GZ75" s="2473"/>
      <c r="HA75" s="2473"/>
      <c r="HB75" s="2473"/>
      <c r="HC75" s="2473"/>
      <c r="HD75" s="2473"/>
      <c r="HE75" s="2473"/>
      <c r="HF75" s="2473"/>
      <c r="HG75" s="2473"/>
      <c r="HH75" s="2473"/>
      <c r="HI75" s="2473"/>
      <c r="HJ75" s="2473"/>
      <c r="HK75" s="2473"/>
      <c r="HL75" s="2473"/>
      <c r="HM75" s="2473"/>
      <c r="HN75" s="2473"/>
      <c r="HO75" s="2473"/>
      <c r="HP75" s="2473"/>
      <c r="HQ75" s="2473"/>
      <c r="HR75" s="2473"/>
      <c r="HS75" s="2473"/>
      <c r="HT75" s="2473"/>
      <c r="HU75" s="2473"/>
      <c r="HV75" s="2473"/>
      <c r="HW75" s="2473"/>
      <c r="HX75" s="2473"/>
      <c r="HY75" s="2473"/>
      <c r="HZ75" s="2473"/>
      <c r="IA75" s="2473"/>
      <c r="IB75" s="2473"/>
      <c r="IC75" s="2473"/>
      <c r="ID75" s="2473"/>
      <c r="IE75" s="2473"/>
      <c r="IF75" s="2473"/>
      <c r="IG75" s="2473"/>
      <c r="IH75" s="2473"/>
      <c r="II75" s="2473"/>
      <c r="IJ75" s="2473"/>
      <c r="IK75" s="2473"/>
      <c r="IL75" s="2473"/>
      <c r="IM75" s="2473"/>
      <c r="IN75" s="2473"/>
      <c r="IO75" s="2473"/>
      <c r="IP75" s="2473"/>
      <c r="IQ75" s="2473"/>
      <c r="IR75" s="2473"/>
      <c r="IS75" s="2473"/>
      <c r="IT75" s="2473"/>
      <c r="IU75" s="2473"/>
      <c r="IV75" s="2473"/>
      <c r="IW75" s="2473"/>
      <c r="IX75" s="2473"/>
      <c r="IY75" s="2473"/>
      <c r="IZ75" s="2473"/>
      <c r="JA75" s="2473"/>
      <c r="JB75" s="2473"/>
      <c r="JC75" s="2473"/>
      <c r="JD75" s="2473"/>
      <c r="JE75" s="2473"/>
      <c r="JF75" s="2473"/>
      <c r="JG75" s="2473"/>
      <c r="JH75" s="2473"/>
      <c r="JI75" s="2473"/>
      <c r="JJ75" s="2473"/>
      <c r="JK75" s="2473"/>
      <c r="JL75" s="2473"/>
      <c r="JM75" s="2473"/>
      <c r="JN75" s="2473"/>
      <c r="JO75" s="2473"/>
      <c r="JP75" s="2473"/>
      <c r="JQ75" s="2473"/>
      <c r="JR75" s="2473"/>
      <c r="JS75" s="2473"/>
      <c r="JT75" s="2473"/>
      <c r="JU75" s="2473"/>
      <c r="JV75" s="2473"/>
      <c r="JW75" s="2473"/>
      <c r="JX75" s="2473"/>
      <c r="JY75" s="2473"/>
      <c r="JZ75" s="2473"/>
      <c r="KA75" s="2473"/>
      <c r="KB75" s="2473"/>
      <c r="KC75" s="2473"/>
      <c r="KD75" s="2473"/>
      <c r="KE75" s="2473"/>
      <c r="KF75" s="2473"/>
      <c r="KG75" s="2473"/>
      <c r="KH75" s="2473"/>
      <c r="KI75" s="2473"/>
      <c r="KJ75" s="2473"/>
      <c r="KK75" s="2473"/>
      <c r="KL75" s="2473"/>
      <c r="KM75" s="2473"/>
      <c r="KN75" s="2473"/>
      <c r="KO75" s="2473"/>
      <c r="KP75" s="2473"/>
      <c r="KQ75" s="2473"/>
      <c r="KR75" s="2473"/>
      <c r="KS75" s="2473"/>
      <c r="KT75" s="2473"/>
      <c r="KU75" s="2473"/>
      <c r="KV75" s="2473"/>
      <c r="KW75" s="2473"/>
      <c r="KX75" s="2473"/>
      <c r="KY75" s="2473"/>
      <c r="KZ75" s="2473"/>
      <c r="LA75" s="2473"/>
      <c r="LB75" s="2473"/>
      <c r="LC75" s="2473"/>
      <c r="LD75" s="2473"/>
      <c r="LE75" s="2473"/>
      <c r="LF75" s="2473"/>
      <c r="LG75" s="2473"/>
      <c r="LH75" s="2473"/>
      <c r="LI75" s="2473"/>
      <c r="LJ75" s="2473"/>
      <c r="LK75" s="2473"/>
      <c r="LL75" s="2473"/>
      <c r="LM75" s="2473"/>
      <c r="LN75" s="2473"/>
      <c r="LO75" s="2473"/>
      <c r="LP75" s="2473"/>
      <c r="LQ75" s="2473"/>
      <c r="LR75" s="2473"/>
      <c r="LS75" s="2473"/>
      <c r="LT75" s="2473"/>
      <c r="LU75" s="2473"/>
      <c r="LV75" s="2473"/>
      <c r="LW75" s="2473"/>
      <c r="LX75" s="2473"/>
      <c r="LY75" s="2473"/>
      <c r="LZ75" s="2473"/>
      <c r="MA75" s="2473"/>
      <c r="MB75" s="2473"/>
      <c r="MC75" s="2473"/>
      <c r="MD75" s="2473"/>
      <c r="ME75" s="2473"/>
      <c r="MF75" s="2473"/>
      <c r="MG75" s="2473"/>
      <c r="MH75" s="2473"/>
      <c r="MI75" s="2473"/>
      <c r="MJ75" s="2473"/>
      <c r="MK75" s="2473"/>
      <c r="ML75" s="2473"/>
      <c r="MM75" s="2473"/>
      <c r="MN75" s="2473"/>
      <c r="MO75" s="2473"/>
      <c r="MP75" s="2473"/>
      <c r="MQ75" s="2473"/>
      <c r="MR75" s="2473"/>
      <c r="MS75" s="2473"/>
      <c r="MT75" s="2473"/>
      <c r="MU75" s="2473"/>
      <c r="MV75" s="2473"/>
      <c r="MW75" s="2473"/>
      <c r="MX75" s="2473"/>
      <c r="MY75" s="2473"/>
      <c r="MZ75" s="2473"/>
      <c r="NA75" s="2473"/>
      <c r="NB75" s="2473"/>
      <c r="NC75" s="2473"/>
      <c r="ND75" s="2473"/>
      <c r="NE75" s="2316"/>
      <c r="NF75" s="2316"/>
      <c r="NG75" s="2316"/>
      <c r="NH75" s="2316"/>
      <c r="NI75" s="2316"/>
      <c r="NJ75" s="2316"/>
      <c r="NK75" s="2316"/>
      <c r="NL75" s="2316"/>
      <c r="NM75" s="2316"/>
      <c r="NN75" s="2316"/>
      <c r="NO75" s="2316"/>
      <c r="NP75" s="2316"/>
      <c r="NQ75" s="2316"/>
      <c r="NR75" s="2316"/>
      <c r="NS75" s="2316"/>
      <c r="NT75" s="2316"/>
      <c r="NU75" s="2316"/>
      <c r="NV75" s="2316"/>
      <c r="NW75" s="2316"/>
      <c r="NX75" s="2316"/>
      <c r="NY75" s="2316"/>
      <c r="NZ75" s="2316"/>
      <c r="OA75" s="2316"/>
      <c r="OB75" s="2316"/>
      <c r="OC75" s="2316"/>
      <c r="OD75" s="2316"/>
      <c r="OE75" s="2316"/>
      <c r="OF75" s="2316"/>
      <c r="OG75" s="2316"/>
      <c r="OH75" s="2316"/>
      <c r="OI75" s="2316"/>
      <c r="OJ75" s="2316"/>
      <c r="OK75" s="2316"/>
      <c r="OL75" s="2316"/>
      <c r="OM75" s="2316"/>
      <c r="ON75" s="2316"/>
      <c r="OO75" s="2316"/>
      <c r="OP75" s="2316"/>
      <c r="OQ75" s="2316"/>
      <c r="OR75" s="2316"/>
      <c r="OS75" s="2316"/>
      <c r="OT75" s="2316"/>
      <c r="OU75" s="2316"/>
      <c r="OV75" s="2316"/>
      <c r="OW75" s="2316"/>
      <c r="OX75" s="2316"/>
      <c r="OY75" s="2316"/>
      <c r="OZ75" s="2316"/>
      <c r="PA75" s="2316"/>
      <c r="PB75" s="2316"/>
      <c r="PC75" s="2316"/>
      <c r="PD75" s="2316"/>
      <c r="PE75" s="2316"/>
      <c r="PF75" s="2316"/>
      <c r="PG75" s="2316"/>
      <c r="PH75" s="2316"/>
      <c r="PI75" s="2316"/>
      <c r="PJ75" s="2316"/>
      <c r="PK75" s="2316"/>
      <c r="PL75" s="2316"/>
      <c r="PM75" s="2316"/>
      <c r="PN75" s="2316"/>
      <c r="PO75" s="2316"/>
      <c r="PP75" s="2316"/>
      <c r="PQ75" s="2316"/>
      <c r="PR75" s="2316"/>
      <c r="PS75" s="2316"/>
      <c r="PT75" s="2316"/>
      <c r="PU75" s="2316"/>
      <c r="PV75" s="2316"/>
      <c r="PW75" s="2316"/>
      <c r="PX75" s="2316"/>
      <c r="PY75" s="2316"/>
      <c r="PZ75" s="2316"/>
      <c r="QA75" s="2316"/>
      <c r="QB75" s="2316"/>
      <c r="QC75" s="2316"/>
      <c r="QD75" s="2316"/>
      <c r="QE75" s="2316"/>
      <c r="QF75" s="2316"/>
      <c r="QG75" s="2316"/>
      <c r="QH75" s="2316"/>
      <c r="QI75" s="2316"/>
      <c r="QJ75" s="2316"/>
      <c r="QK75" s="2316"/>
      <c r="QL75" s="2316"/>
      <c r="QM75" s="2316"/>
      <c r="QN75" s="2316"/>
      <c r="QO75" s="2316"/>
      <c r="QP75" s="2316"/>
      <c r="QQ75" s="2316"/>
      <c r="QR75" s="2316"/>
      <c r="QS75" s="2316"/>
      <c r="QT75" s="2316"/>
      <c r="QU75" s="2316"/>
      <c r="QV75" s="2316"/>
      <c r="QW75" s="2316"/>
      <c r="QX75" s="2316"/>
      <c r="QY75" s="2316"/>
      <c r="QZ75" s="2316"/>
      <c r="RA75" s="2316"/>
      <c r="RB75" s="2316"/>
      <c r="RC75" s="2316"/>
      <c r="RD75" s="2316"/>
      <c r="RE75" s="2316"/>
      <c r="RF75" s="2316"/>
      <c r="RG75" s="2316"/>
      <c r="RH75" s="2316"/>
      <c r="RI75" s="2316"/>
      <c r="RJ75" s="2316"/>
      <c r="RK75" s="2316"/>
      <c r="RL75" s="2316"/>
      <c r="RM75" s="2316"/>
      <c r="RN75" s="2316"/>
      <c r="RO75" s="2316"/>
      <c r="RP75" s="2316"/>
      <c r="RQ75" s="2316"/>
      <c r="RR75" s="2316"/>
      <c r="RS75" s="2316"/>
      <c r="RT75" s="2316"/>
      <c r="RU75" s="2316"/>
      <c r="RV75" s="2316"/>
      <c r="RW75" s="2316"/>
      <c r="RX75" s="2316"/>
      <c r="RY75" s="2316"/>
      <c r="RZ75" s="2316"/>
      <c r="SA75" s="2316"/>
    </row>
    <row r="76" spans="1:495" customFormat="1">
      <c r="B76" s="2022"/>
      <c r="C76" s="2266" t="s">
        <v>4785</v>
      </c>
      <c r="D76" s="3585"/>
      <c r="E76" s="3585"/>
      <c r="F76" s="3585"/>
      <c r="G76" s="8"/>
      <c r="H76" s="2339" t="s">
        <v>1127</v>
      </c>
      <c r="I76" s="2270"/>
      <c r="J76" s="1"/>
      <c r="K76" s="2332" t="str">
        <f t="shared" ref="K76:P76" si="364">IF(OR(K58=0,K$67=0),"",K58/K$67)</f>
        <v/>
      </c>
      <c r="L76" s="2333">
        <f t="shared" si="364"/>
        <v>1</v>
      </c>
      <c r="M76" s="2333">
        <f t="shared" si="364"/>
        <v>1</v>
      </c>
      <c r="N76" s="2333">
        <f t="shared" si="364"/>
        <v>1</v>
      </c>
      <c r="O76" s="2333" t="str">
        <f t="shared" si="364"/>
        <v/>
      </c>
      <c r="P76" s="2334">
        <f t="shared" si="364"/>
        <v>1</v>
      </c>
      <c r="S76" s="3503"/>
      <c r="T76" s="3504"/>
      <c r="U76" s="3504"/>
      <c r="V76" s="3504"/>
      <c r="W76" s="3505"/>
      <c r="X76" s="2473"/>
      <c r="Y76" s="2473"/>
      <c r="Z76" s="2473"/>
      <c r="AA76" s="2473"/>
      <c r="AB76" s="2473"/>
      <c r="AC76" s="2473"/>
      <c r="AD76" s="2473"/>
      <c r="AE76" s="2473"/>
      <c r="AF76" s="2473"/>
      <c r="AG76" s="2473"/>
      <c r="AH76" s="2473"/>
      <c r="AI76" s="2473"/>
      <c r="AJ76" s="2473"/>
      <c r="AK76" s="2473"/>
      <c r="AL76" s="2473"/>
      <c r="AM76" s="2473"/>
      <c r="AN76" s="2473"/>
      <c r="AO76" s="2473"/>
      <c r="AP76" s="2473"/>
      <c r="AQ76" s="2473"/>
      <c r="AR76" s="2473"/>
      <c r="AS76" s="2473"/>
      <c r="AT76" s="2473"/>
      <c r="AU76" s="2473"/>
      <c r="AV76" s="2473"/>
      <c r="AW76" s="2473"/>
      <c r="AX76" s="2473"/>
      <c r="AY76" s="2473"/>
      <c r="AZ76" s="2473"/>
      <c r="BA76" s="2473"/>
      <c r="BB76" s="2473"/>
      <c r="BC76" s="2473"/>
      <c r="BD76" s="2473"/>
      <c r="BE76" s="2473"/>
      <c r="BF76" s="2473"/>
      <c r="BG76" s="2473"/>
      <c r="BH76" s="2473"/>
      <c r="BI76" s="2473"/>
      <c r="BJ76" s="2473"/>
      <c r="BK76" s="2473"/>
      <c r="BL76" s="2473"/>
      <c r="BM76" s="2473"/>
      <c r="BN76" s="2473"/>
      <c r="BO76" s="2473"/>
      <c r="BP76" s="2473"/>
      <c r="BQ76" s="2473"/>
      <c r="BR76" s="2473"/>
      <c r="BS76" s="2473"/>
      <c r="BT76" s="2473"/>
      <c r="BU76" s="2473"/>
      <c r="BV76" s="2473"/>
      <c r="BW76" s="2473"/>
      <c r="BX76" s="2473"/>
      <c r="BY76" s="2473"/>
      <c r="BZ76" s="2473"/>
      <c r="CA76" s="2473"/>
      <c r="CB76" s="2473"/>
      <c r="CC76" s="2473"/>
      <c r="CD76" s="2473"/>
      <c r="CE76" s="2473"/>
      <c r="CF76" s="2473"/>
      <c r="CG76" s="2473"/>
      <c r="CH76" s="2473"/>
      <c r="CI76" s="2473"/>
      <c r="CJ76" s="2473"/>
      <c r="CK76" s="2473"/>
      <c r="CL76" s="2473"/>
      <c r="CM76" s="2473"/>
      <c r="CN76" s="2473"/>
      <c r="CO76" s="2473"/>
      <c r="CP76" s="2473"/>
      <c r="CQ76" s="2473"/>
      <c r="CR76" s="2473"/>
      <c r="CS76" s="2473"/>
      <c r="CT76" s="2473"/>
      <c r="CU76" s="2473"/>
      <c r="CV76" s="2473"/>
      <c r="CW76" s="2473"/>
      <c r="CX76" s="2473"/>
      <c r="CY76" s="2473"/>
      <c r="CZ76" s="2473"/>
      <c r="DA76" s="2473"/>
      <c r="DB76" s="2473"/>
      <c r="DC76" s="2473"/>
      <c r="DD76" s="2473"/>
      <c r="DE76" s="2473"/>
      <c r="DF76" s="2473"/>
      <c r="DG76" s="2473"/>
      <c r="DH76" s="2473"/>
      <c r="DI76" s="2473"/>
      <c r="DJ76" s="2473"/>
      <c r="DK76" s="2473"/>
      <c r="DL76" s="2473"/>
      <c r="DM76" s="2473"/>
      <c r="DN76" s="2473"/>
      <c r="DO76" s="2473"/>
      <c r="DP76" s="2473"/>
      <c r="DQ76" s="2473"/>
      <c r="DR76" s="2473"/>
      <c r="DS76" s="2473"/>
      <c r="DT76" s="2473"/>
      <c r="DU76" s="2473"/>
      <c r="DV76" s="2473"/>
      <c r="DW76" s="2473"/>
      <c r="DX76" s="2473"/>
      <c r="DY76" s="2473"/>
      <c r="DZ76" s="2473"/>
      <c r="EA76" s="2473"/>
      <c r="EB76" s="2473"/>
      <c r="EC76" s="2473"/>
      <c r="ED76" s="2473"/>
      <c r="EE76" s="2473"/>
      <c r="EF76" s="2473"/>
      <c r="EG76" s="2473"/>
      <c r="EH76" s="2473"/>
      <c r="EI76" s="2473"/>
      <c r="EJ76" s="2473"/>
      <c r="EK76" s="2473"/>
      <c r="EL76" s="2473"/>
      <c r="EM76" s="2473"/>
      <c r="EN76" s="2473"/>
      <c r="EO76" s="2473"/>
      <c r="EP76" s="2473"/>
      <c r="EQ76" s="2473"/>
      <c r="ER76" s="2473"/>
      <c r="ES76" s="2473"/>
      <c r="ET76" s="2473"/>
      <c r="EU76" s="2473"/>
      <c r="EV76" s="2473"/>
      <c r="EW76" s="2473"/>
      <c r="EX76" s="2473"/>
      <c r="EY76" s="2473"/>
      <c r="EZ76" s="2473"/>
      <c r="FA76" s="2473"/>
      <c r="FB76" s="2473"/>
      <c r="FC76" s="2473"/>
      <c r="FD76" s="2473"/>
      <c r="FE76" s="2473"/>
      <c r="FF76" s="2473"/>
      <c r="FG76" s="2473"/>
      <c r="FH76" s="2473"/>
      <c r="FI76" s="2473"/>
      <c r="FJ76" s="2473"/>
      <c r="FK76" s="2473"/>
      <c r="FL76" s="2473"/>
      <c r="FM76" s="2473"/>
      <c r="FN76" s="2473"/>
      <c r="FO76" s="2473"/>
      <c r="FP76" s="2473"/>
      <c r="FQ76" s="2473"/>
      <c r="FR76" s="2473"/>
      <c r="FS76" s="2473"/>
      <c r="FT76" s="2473"/>
      <c r="FU76" s="2473"/>
      <c r="FV76" s="2473"/>
      <c r="FW76" s="2473"/>
      <c r="FX76" s="2473"/>
      <c r="FY76" s="2473"/>
      <c r="FZ76" s="2473"/>
      <c r="GA76" s="2473"/>
      <c r="GB76" s="2473"/>
      <c r="GC76" s="2473"/>
      <c r="GD76" s="2473"/>
      <c r="GE76" s="2473"/>
      <c r="GF76" s="2473"/>
      <c r="GG76" s="2473"/>
      <c r="GH76" s="2473"/>
      <c r="GI76" s="2473"/>
      <c r="GJ76" s="2473"/>
      <c r="GK76" s="2473"/>
      <c r="GL76" s="2473"/>
      <c r="GM76" s="2473"/>
      <c r="GN76" s="2473"/>
      <c r="GO76" s="2473"/>
      <c r="GP76" s="2473"/>
      <c r="GQ76" s="2473"/>
      <c r="GR76" s="2473"/>
      <c r="GS76" s="2473"/>
      <c r="GT76" s="2473"/>
      <c r="GU76" s="2473"/>
      <c r="GV76" s="2473"/>
      <c r="GW76" s="2473"/>
      <c r="GX76" s="2473"/>
      <c r="GY76" s="2473"/>
      <c r="GZ76" s="2473"/>
      <c r="HA76" s="2473"/>
      <c r="HB76" s="2473"/>
      <c r="HC76" s="2473"/>
      <c r="HD76" s="2473"/>
      <c r="HE76" s="2473"/>
      <c r="HF76" s="2473"/>
      <c r="HG76" s="2473"/>
      <c r="HH76" s="2473"/>
      <c r="HI76" s="2473"/>
      <c r="HJ76" s="2473"/>
      <c r="HK76" s="2473"/>
      <c r="HL76" s="2473"/>
      <c r="HM76" s="2473"/>
      <c r="HN76" s="2473"/>
      <c r="HO76" s="2473"/>
      <c r="HP76" s="2473"/>
      <c r="HQ76" s="2473"/>
      <c r="HR76" s="2473"/>
      <c r="HS76" s="2473"/>
      <c r="HT76" s="2473"/>
      <c r="HU76" s="2473"/>
      <c r="HV76" s="2473"/>
      <c r="HW76" s="2473"/>
      <c r="HX76" s="2473"/>
      <c r="HY76" s="2473"/>
      <c r="HZ76" s="2473"/>
      <c r="IA76" s="2473"/>
      <c r="IB76" s="2473"/>
      <c r="IC76" s="2473"/>
      <c r="ID76" s="2473"/>
      <c r="IE76" s="2473"/>
      <c r="IF76" s="2473"/>
      <c r="IG76" s="2473"/>
      <c r="IH76" s="2473"/>
      <c r="II76" s="2473"/>
      <c r="IJ76" s="2473"/>
      <c r="IK76" s="2473"/>
      <c r="IL76" s="2473"/>
      <c r="IM76" s="2473"/>
      <c r="IN76" s="2473"/>
      <c r="IO76" s="2473"/>
      <c r="IP76" s="2473"/>
      <c r="IQ76" s="2473"/>
      <c r="IR76" s="2473"/>
      <c r="IS76" s="2473"/>
      <c r="IT76" s="2473"/>
      <c r="IU76" s="2473"/>
      <c r="IV76" s="2473"/>
      <c r="IW76" s="2473"/>
      <c r="IX76" s="2473"/>
      <c r="IY76" s="2473"/>
      <c r="IZ76" s="2473"/>
      <c r="JA76" s="2473"/>
      <c r="JB76" s="2473"/>
      <c r="JC76" s="2473"/>
      <c r="JD76" s="2473"/>
      <c r="JE76" s="2473"/>
      <c r="JF76" s="2473"/>
      <c r="JG76" s="2473"/>
      <c r="JH76" s="2473"/>
      <c r="JI76" s="2473"/>
      <c r="JJ76" s="2473"/>
      <c r="JK76" s="2473"/>
      <c r="JL76" s="2473"/>
      <c r="JM76" s="2473"/>
      <c r="JN76" s="2473"/>
      <c r="JO76" s="2473"/>
      <c r="JP76" s="2473"/>
      <c r="JQ76" s="2473"/>
      <c r="JR76" s="2473"/>
      <c r="JS76" s="2473"/>
      <c r="JT76" s="2473"/>
      <c r="JU76" s="2473"/>
      <c r="JV76" s="2473"/>
      <c r="JW76" s="2473"/>
      <c r="JX76" s="2473"/>
      <c r="JY76" s="2473"/>
      <c r="JZ76" s="2473"/>
      <c r="KA76" s="2473"/>
      <c r="KB76" s="2473"/>
      <c r="KC76" s="2473"/>
      <c r="KD76" s="2473"/>
      <c r="KE76" s="2473"/>
      <c r="KF76" s="2473"/>
      <c r="KG76" s="2473"/>
      <c r="KH76" s="2473"/>
      <c r="KI76" s="2473"/>
      <c r="KJ76" s="2473"/>
      <c r="KK76" s="2473"/>
      <c r="KL76" s="2473"/>
      <c r="KM76" s="2473"/>
      <c r="KN76" s="2473"/>
      <c r="KO76" s="2473"/>
      <c r="KP76" s="2473"/>
      <c r="KQ76" s="2473"/>
      <c r="KR76" s="2473"/>
      <c r="KS76" s="2473"/>
      <c r="KT76" s="2473"/>
      <c r="KU76" s="2473"/>
      <c r="KV76" s="2473"/>
      <c r="KW76" s="2473"/>
      <c r="KX76" s="2473"/>
      <c r="KY76" s="2473"/>
      <c r="KZ76" s="2473"/>
      <c r="LA76" s="2473"/>
      <c r="LB76" s="2473"/>
      <c r="LC76" s="2473"/>
      <c r="LD76" s="2473"/>
      <c r="LE76" s="2473"/>
      <c r="LF76" s="2473"/>
      <c r="LG76" s="2473"/>
      <c r="LH76" s="2473"/>
      <c r="LI76" s="2473"/>
      <c r="LJ76" s="2473"/>
      <c r="LK76" s="2473"/>
      <c r="LL76" s="2473"/>
      <c r="LM76" s="2473"/>
      <c r="LN76" s="2473"/>
      <c r="LO76" s="2473"/>
      <c r="LP76" s="2473"/>
      <c r="LQ76" s="2473"/>
      <c r="LR76" s="2473"/>
      <c r="LS76" s="2473"/>
      <c r="LT76" s="2473"/>
      <c r="LU76" s="2473"/>
      <c r="LV76" s="2473"/>
      <c r="LW76" s="2473"/>
      <c r="LX76" s="2473"/>
      <c r="LY76" s="2473"/>
      <c r="LZ76" s="2473"/>
      <c r="MA76" s="2473"/>
      <c r="MB76" s="2473"/>
      <c r="MC76" s="2473"/>
      <c r="MD76" s="2473"/>
      <c r="ME76" s="2473"/>
      <c r="MF76" s="2473"/>
      <c r="MG76" s="2473"/>
      <c r="MH76" s="2473"/>
      <c r="MI76" s="2473"/>
      <c r="MJ76" s="2473"/>
      <c r="MK76" s="2473"/>
      <c r="ML76" s="2473"/>
      <c r="MM76" s="2473"/>
      <c r="MN76" s="2473"/>
      <c r="MO76" s="2473"/>
      <c r="MP76" s="2473"/>
      <c r="MQ76" s="2473"/>
      <c r="MR76" s="2473"/>
      <c r="MS76" s="2473"/>
      <c r="MT76" s="2473"/>
      <c r="MU76" s="2473"/>
      <c r="MV76" s="2473"/>
      <c r="MW76" s="2473"/>
      <c r="MX76" s="2473"/>
      <c r="MY76" s="2473"/>
      <c r="MZ76" s="2473"/>
      <c r="NA76" s="2473"/>
      <c r="NB76" s="2473"/>
      <c r="NC76" s="2473"/>
      <c r="ND76" s="2473"/>
      <c r="NE76" s="2316"/>
      <c r="NF76" s="2316"/>
      <c r="NG76" s="2316"/>
      <c r="NH76" s="2316"/>
      <c r="NI76" s="2316"/>
      <c r="NJ76" s="2316"/>
      <c r="NK76" s="2316"/>
      <c r="NL76" s="2316"/>
      <c r="NM76" s="2316"/>
      <c r="NN76" s="2316"/>
      <c r="NO76" s="2316"/>
      <c r="NP76" s="2316"/>
      <c r="NQ76" s="2316"/>
      <c r="NR76" s="2316"/>
      <c r="NS76" s="2316"/>
      <c r="NT76" s="2316"/>
      <c r="NU76" s="2316"/>
      <c r="NV76" s="2316"/>
      <c r="NW76" s="2316"/>
      <c r="NX76" s="2316"/>
      <c r="NY76" s="2316"/>
      <c r="NZ76" s="2316"/>
      <c r="OA76" s="2316"/>
      <c r="OB76" s="2316"/>
      <c r="OC76" s="2316"/>
      <c r="OD76" s="2316"/>
      <c r="OE76" s="2316"/>
      <c r="OF76" s="2316"/>
      <c r="OG76" s="2316"/>
      <c r="OH76" s="2316"/>
      <c r="OI76" s="2316"/>
      <c r="OJ76" s="2316"/>
      <c r="OK76" s="2316"/>
      <c r="OL76" s="2316"/>
      <c r="OM76" s="2316"/>
      <c r="ON76" s="2316"/>
      <c r="OO76" s="2316"/>
      <c r="OP76" s="2316"/>
      <c r="OQ76" s="2316"/>
      <c r="OR76" s="2316"/>
      <c r="OS76" s="2316"/>
      <c r="OT76" s="2316"/>
      <c r="OU76" s="2316"/>
      <c r="OV76" s="2316"/>
      <c r="OW76" s="2316"/>
      <c r="OX76" s="2316"/>
      <c r="OY76" s="2316"/>
      <c r="OZ76" s="2316"/>
      <c r="PA76" s="2316"/>
      <c r="PB76" s="2316"/>
      <c r="PC76" s="2316"/>
      <c r="PD76" s="2316"/>
      <c r="PE76" s="2316"/>
      <c r="PF76" s="2316"/>
      <c r="PG76" s="2316"/>
      <c r="PH76" s="2316"/>
      <c r="PI76" s="2316"/>
      <c r="PJ76" s="2316"/>
      <c r="PK76" s="2316"/>
      <c r="PL76" s="2316"/>
      <c r="PM76" s="2316"/>
      <c r="PN76" s="2316"/>
      <c r="PO76" s="2316"/>
      <c r="PP76" s="2316"/>
      <c r="PQ76" s="2316"/>
      <c r="PR76" s="2316"/>
      <c r="PS76" s="2316"/>
      <c r="PT76" s="2316"/>
      <c r="PU76" s="2316"/>
      <c r="PV76" s="2316"/>
      <c r="PW76" s="2316"/>
      <c r="PX76" s="2316"/>
      <c r="PY76" s="2316"/>
      <c r="PZ76" s="2316"/>
      <c r="QA76" s="2316"/>
      <c r="QB76" s="2316"/>
      <c r="QC76" s="2316"/>
      <c r="QD76" s="2316"/>
      <c r="QE76" s="2316"/>
      <c r="QF76" s="2316"/>
      <c r="QG76" s="2316"/>
      <c r="QH76" s="2316"/>
      <c r="QI76" s="2316"/>
      <c r="QJ76" s="2316"/>
      <c r="QK76" s="2316"/>
      <c r="QL76" s="2316"/>
      <c r="QM76" s="2316"/>
      <c r="QN76" s="2316"/>
      <c r="QO76" s="2316"/>
      <c r="QP76" s="2316"/>
      <c r="QQ76" s="2316"/>
      <c r="QR76" s="2316"/>
      <c r="QS76" s="2316"/>
      <c r="QT76" s="2316"/>
      <c r="QU76" s="2316"/>
      <c r="QV76" s="2316"/>
      <c r="QW76" s="2316"/>
      <c r="QX76" s="2316"/>
      <c r="QY76" s="2316"/>
      <c r="QZ76" s="2316"/>
      <c r="RA76" s="2316"/>
      <c r="RB76" s="2316"/>
      <c r="RC76" s="2316"/>
      <c r="RD76" s="2316"/>
      <c r="RE76" s="2316"/>
      <c r="RF76" s="2316"/>
      <c r="RG76" s="2316"/>
      <c r="RH76" s="2316"/>
      <c r="RI76" s="2316"/>
      <c r="RJ76" s="2316"/>
      <c r="RK76" s="2316"/>
      <c r="RL76" s="2316"/>
      <c r="RM76" s="2316"/>
      <c r="RN76" s="2316"/>
      <c r="RO76" s="2316"/>
      <c r="RP76" s="2316"/>
      <c r="RQ76" s="2316"/>
      <c r="RR76" s="2316"/>
      <c r="RS76" s="2316"/>
      <c r="RT76" s="2316"/>
      <c r="RU76" s="2316"/>
      <c r="RV76" s="2316"/>
      <c r="RW76" s="2316"/>
      <c r="RX76" s="2316"/>
      <c r="RY76" s="2316"/>
      <c r="RZ76" s="2316"/>
      <c r="SA76" s="2316"/>
    </row>
    <row r="77" spans="1:495" customFormat="1" ht="15.75" customHeight="1">
      <c r="B77" s="2022"/>
      <c r="C77" s="2266"/>
      <c r="D77" s="3585"/>
      <c r="E77" s="3585"/>
      <c r="F77" s="3585"/>
      <c r="G77" s="8"/>
      <c r="H77" s="2339" t="s">
        <v>4809</v>
      </c>
      <c r="I77" s="2270"/>
      <c r="J77" s="1"/>
      <c r="K77" s="2327" t="str">
        <f>IF(OR(K58=0,$P76="",K$67=0),"",$P76*K$67)</f>
        <v/>
      </c>
      <c r="L77" s="2327">
        <f>IF(OR(L58=0,$P76="",L$67=0),"",$P76*L$67)</f>
        <v>18</v>
      </c>
      <c r="M77" s="2327">
        <f>IF(OR(M58=0,$P76="",M$67=0),"",$P76*M$67)</f>
        <v>106</v>
      </c>
      <c r="N77" s="2327">
        <f>IF(OR(N58=0,$P76="",N$67=0),"",$P76*N$67)</f>
        <v>76</v>
      </c>
      <c r="O77" s="2327" t="str">
        <f>IF(OR(O58=0,$P76="",O$67=0),"",$P76*O$67)</f>
        <v/>
      </c>
      <c r="P77" s="2328">
        <f t="shared" ref="P77" si="365">IF(OR($P76="",P$67=0),"",$P76*P$67)</f>
        <v>200</v>
      </c>
      <c r="S77" s="3507"/>
      <c r="T77" s="3508"/>
      <c r="U77" s="3508"/>
      <c r="V77" s="3508"/>
      <c r="W77" s="3509"/>
      <c r="X77" s="2473"/>
      <c r="Y77" s="2473"/>
      <c r="Z77" s="2473"/>
      <c r="AA77" s="2473"/>
      <c r="AB77" s="2473"/>
      <c r="AC77" s="2473"/>
      <c r="AD77" s="2473"/>
      <c r="AE77" s="2473"/>
      <c r="AF77" s="2473"/>
      <c r="AG77" s="2473"/>
      <c r="AH77" s="2473"/>
      <c r="AI77" s="2473"/>
      <c r="AJ77" s="2473"/>
      <c r="AK77" s="2473"/>
      <c r="AL77" s="2473"/>
      <c r="AM77" s="2473"/>
      <c r="AN77" s="2473"/>
      <c r="AO77" s="2473"/>
      <c r="AP77" s="2473"/>
      <c r="AQ77" s="2473"/>
      <c r="AR77" s="2473"/>
      <c r="AS77" s="2473"/>
      <c r="AT77" s="2473"/>
      <c r="AU77" s="2473"/>
      <c r="AV77" s="2473"/>
      <c r="AW77" s="2473"/>
      <c r="AX77" s="2473"/>
      <c r="AY77" s="2473"/>
      <c r="AZ77" s="2473"/>
      <c r="BA77" s="2473"/>
      <c r="BB77" s="2473"/>
      <c r="BC77" s="2473"/>
      <c r="BD77" s="2473"/>
      <c r="BE77" s="2473"/>
      <c r="BF77" s="2473"/>
      <c r="BG77" s="2473"/>
      <c r="BH77" s="2473"/>
      <c r="BI77" s="2473"/>
      <c r="BJ77" s="2473"/>
      <c r="BK77" s="2473"/>
      <c r="BL77" s="2473"/>
      <c r="BM77" s="2473"/>
      <c r="BN77" s="2473"/>
      <c r="BO77" s="2473"/>
      <c r="BP77" s="2473"/>
      <c r="BQ77" s="2473"/>
      <c r="BR77" s="2473"/>
      <c r="BS77" s="2473"/>
      <c r="BT77" s="2473"/>
      <c r="BU77" s="2473"/>
      <c r="BV77" s="2473"/>
      <c r="BW77" s="2473"/>
      <c r="BX77" s="2473"/>
      <c r="BY77" s="2473"/>
      <c r="BZ77" s="2473"/>
      <c r="CA77" s="2473"/>
      <c r="CB77" s="2473"/>
      <c r="CC77" s="2473"/>
      <c r="CD77" s="2473"/>
      <c r="CE77" s="2473"/>
      <c r="CF77" s="2473"/>
      <c r="CG77" s="2473"/>
      <c r="CH77" s="2473"/>
      <c r="CI77" s="2473"/>
      <c r="CJ77" s="2473"/>
      <c r="CK77" s="2473"/>
      <c r="CL77" s="2473"/>
      <c r="CM77" s="2473"/>
      <c r="CN77" s="2473"/>
      <c r="CO77" s="2473"/>
      <c r="CP77" s="2473"/>
      <c r="CQ77" s="2473"/>
      <c r="CR77" s="2473"/>
      <c r="CS77" s="2473"/>
      <c r="CT77" s="2473"/>
      <c r="CU77" s="2473"/>
      <c r="CV77" s="2473"/>
      <c r="CW77" s="2473"/>
      <c r="CX77" s="2473"/>
      <c r="CY77" s="2473"/>
      <c r="CZ77" s="2473"/>
      <c r="DA77" s="2473"/>
      <c r="DB77" s="2473"/>
      <c r="DC77" s="2473"/>
      <c r="DD77" s="2473"/>
      <c r="DE77" s="2473"/>
      <c r="DF77" s="2473"/>
      <c r="DG77" s="2473"/>
      <c r="DH77" s="2473"/>
      <c r="DI77" s="2473"/>
      <c r="DJ77" s="2473"/>
      <c r="DK77" s="2473"/>
      <c r="DL77" s="2473"/>
      <c r="DM77" s="2473"/>
      <c r="DN77" s="2473"/>
      <c r="DO77" s="2473"/>
      <c r="DP77" s="2473"/>
      <c r="DQ77" s="2473"/>
      <c r="DR77" s="2473"/>
      <c r="DS77" s="2473"/>
      <c r="DT77" s="2473"/>
      <c r="DU77" s="2473"/>
      <c r="DV77" s="2473"/>
      <c r="DW77" s="2473"/>
      <c r="DX77" s="2473"/>
      <c r="DY77" s="2473"/>
      <c r="DZ77" s="2473"/>
      <c r="EA77" s="2473"/>
      <c r="EB77" s="2473"/>
      <c r="EC77" s="2473"/>
      <c r="ED77" s="2473"/>
      <c r="EE77" s="2473"/>
      <c r="EF77" s="2473"/>
      <c r="EG77" s="2473"/>
      <c r="EH77" s="2473"/>
      <c r="EI77" s="2473"/>
      <c r="EJ77" s="2473"/>
      <c r="EK77" s="2473"/>
      <c r="EL77" s="2473"/>
      <c r="EM77" s="2473"/>
      <c r="EN77" s="2473"/>
      <c r="EO77" s="2473"/>
      <c r="EP77" s="2473"/>
      <c r="EQ77" s="2473"/>
      <c r="ER77" s="2473"/>
      <c r="ES77" s="2473"/>
      <c r="ET77" s="2473"/>
      <c r="EU77" s="2473"/>
      <c r="EV77" s="2473"/>
      <c r="EW77" s="2473"/>
      <c r="EX77" s="2473"/>
      <c r="EY77" s="2473"/>
      <c r="EZ77" s="2473"/>
      <c r="FA77" s="2473"/>
      <c r="FB77" s="2473"/>
      <c r="FC77" s="2473"/>
      <c r="FD77" s="2473"/>
      <c r="FE77" s="2473"/>
      <c r="FF77" s="2473"/>
      <c r="FG77" s="2473"/>
      <c r="FH77" s="2473"/>
      <c r="FI77" s="2473"/>
      <c r="FJ77" s="2473"/>
      <c r="FK77" s="2473"/>
      <c r="FL77" s="2473"/>
      <c r="FM77" s="2473"/>
      <c r="FN77" s="2473"/>
      <c r="FO77" s="2473"/>
      <c r="FP77" s="2473"/>
      <c r="FQ77" s="2473"/>
      <c r="FR77" s="2473"/>
      <c r="FS77" s="2473"/>
      <c r="FT77" s="2473"/>
      <c r="FU77" s="2473"/>
      <c r="FV77" s="2473"/>
      <c r="FW77" s="2473"/>
      <c r="FX77" s="2473"/>
      <c r="FY77" s="2473"/>
      <c r="FZ77" s="2473"/>
      <c r="GA77" s="2473"/>
      <c r="GB77" s="2473"/>
      <c r="GC77" s="2473"/>
      <c r="GD77" s="2473"/>
      <c r="GE77" s="2473"/>
      <c r="GF77" s="2473"/>
      <c r="GG77" s="2473"/>
      <c r="GH77" s="2473"/>
      <c r="GI77" s="2473"/>
      <c r="GJ77" s="2473"/>
      <c r="GK77" s="2473"/>
      <c r="GL77" s="2473"/>
      <c r="GM77" s="2473"/>
      <c r="GN77" s="2473"/>
      <c r="GO77" s="2473"/>
      <c r="GP77" s="2473"/>
      <c r="GQ77" s="2473"/>
      <c r="GR77" s="2473"/>
      <c r="GS77" s="2473"/>
      <c r="GT77" s="2473"/>
      <c r="GU77" s="2473"/>
      <c r="GV77" s="2473"/>
      <c r="GW77" s="2473"/>
      <c r="GX77" s="2473"/>
      <c r="GY77" s="2473"/>
      <c r="GZ77" s="2473"/>
      <c r="HA77" s="2473"/>
      <c r="HB77" s="2473"/>
      <c r="HC77" s="2473"/>
      <c r="HD77" s="2473"/>
      <c r="HE77" s="2473"/>
      <c r="HF77" s="2473"/>
      <c r="HG77" s="2473"/>
      <c r="HH77" s="2473"/>
      <c r="HI77" s="2473"/>
      <c r="HJ77" s="2473"/>
      <c r="HK77" s="2473"/>
      <c r="HL77" s="2473"/>
      <c r="HM77" s="2473"/>
      <c r="HN77" s="2473"/>
      <c r="HO77" s="2473"/>
      <c r="HP77" s="2473"/>
      <c r="HQ77" s="2473"/>
      <c r="HR77" s="2473"/>
      <c r="HS77" s="2473"/>
      <c r="HT77" s="2473"/>
      <c r="HU77" s="2473"/>
      <c r="HV77" s="2473"/>
      <c r="HW77" s="2473"/>
      <c r="HX77" s="2473"/>
      <c r="HY77" s="2473"/>
      <c r="HZ77" s="2473"/>
      <c r="IA77" s="2473"/>
      <c r="IB77" s="2473"/>
      <c r="IC77" s="2473"/>
      <c r="ID77" s="2473"/>
      <c r="IE77" s="2473"/>
      <c r="IF77" s="2473"/>
      <c r="IG77" s="2473"/>
      <c r="IH77" s="2473"/>
      <c r="II77" s="2473"/>
      <c r="IJ77" s="2473"/>
      <c r="IK77" s="2473"/>
      <c r="IL77" s="2473"/>
      <c r="IM77" s="2473"/>
      <c r="IN77" s="2473"/>
      <c r="IO77" s="2473"/>
      <c r="IP77" s="2473"/>
      <c r="IQ77" s="2473"/>
      <c r="IR77" s="2473"/>
      <c r="IS77" s="2473"/>
      <c r="IT77" s="2473"/>
      <c r="IU77" s="2473"/>
      <c r="IV77" s="2473"/>
      <c r="IW77" s="2473"/>
      <c r="IX77" s="2473"/>
      <c r="IY77" s="2473"/>
      <c r="IZ77" s="2473"/>
      <c r="JA77" s="2473"/>
      <c r="JB77" s="2473"/>
      <c r="JC77" s="2473"/>
      <c r="JD77" s="2473"/>
      <c r="JE77" s="2473"/>
      <c r="JF77" s="2473"/>
      <c r="JG77" s="2473"/>
      <c r="JH77" s="2473"/>
      <c r="JI77" s="2473"/>
      <c r="JJ77" s="2473"/>
      <c r="JK77" s="2473"/>
      <c r="JL77" s="2473"/>
      <c r="JM77" s="2473"/>
      <c r="JN77" s="2473"/>
      <c r="JO77" s="2473"/>
      <c r="JP77" s="2473"/>
      <c r="JQ77" s="2473"/>
      <c r="JR77" s="2473"/>
      <c r="JS77" s="2473"/>
      <c r="JT77" s="2473"/>
      <c r="JU77" s="2473"/>
      <c r="JV77" s="2473"/>
      <c r="JW77" s="2473"/>
      <c r="JX77" s="2473"/>
      <c r="JY77" s="2473"/>
      <c r="JZ77" s="2473"/>
      <c r="KA77" s="2473"/>
      <c r="KB77" s="2473"/>
      <c r="KC77" s="2473"/>
      <c r="KD77" s="2473"/>
      <c r="KE77" s="2473"/>
      <c r="KF77" s="2473"/>
      <c r="KG77" s="2473"/>
      <c r="KH77" s="2473"/>
      <c r="KI77" s="2473"/>
      <c r="KJ77" s="2473"/>
      <c r="KK77" s="2473"/>
      <c r="KL77" s="2473"/>
      <c r="KM77" s="2473"/>
      <c r="KN77" s="2473"/>
      <c r="KO77" s="2473"/>
      <c r="KP77" s="2473"/>
      <c r="KQ77" s="2473"/>
      <c r="KR77" s="2473"/>
      <c r="KS77" s="2473"/>
      <c r="KT77" s="2473"/>
      <c r="KU77" s="2473"/>
      <c r="KV77" s="2473"/>
      <c r="KW77" s="2473"/>
      <c r="KX77" s="2473"/>
      <c r="KY77" s="2473"/>
      <c r="KZ77" s="2473"/>
      <c r="LA77" s="2473"/>
      <c r="LB77" s="2473"/>
      <c r="LC77" s="2473"/>
      <c r="LD77" s="2473"/>
      <c r="LE77" s="2473"/>
      <c r="LF77" s="2473"/>
      <c r="LG77" s="2473"/>
      <c r="LH77" s="2473"/>
      <c r="LI77" s="2473"/>
      <c r="LJ77" s="2473"/>
      <c r="LK77" s="2473"/>
      <c r="LL77" s="2473"/>
      <c r="LM77" s="2473"/>
      <c r="LN77" s="2473"/>
      <c r="LO77" s="2473"/>
      <c r="LP77" s="2473"/>
      <c r="LQ77" s="2473"/>
      <c r="LR77" s="2473"/>
      <c r="LS77" s="2473"/>
      <c r="LT77" s="2473"/>
      <c r="LU77" s="2473"/>
      <c r="LV77" s="2473"/>
      <c r="LW77" s="2473"/>
      <c r="LX77" s="2473"/>
      <c r="LY77" s="2473"/>
      <c r="LZ77" s="2473"/>
      <c r="MA77" s="2473"/>
      <c r="MB77" s="2473"/>
      <c r="MC77" s="2473"/>
      <c r="MD77" s="2473"/>
      <c r="ME77" s="2473"/>
      <c r="MF77" s="2473"/>
      <c r="MG77" s="2473"/>
      <c r="MH77" s="2473"/>
      <c r="MI77" s="2473"/>
      <c r="MJ77" s="2473"/>
      <c r="MK77" s="2473"/>
      <c r="ML77" s="2473"/>
      <c r="MM77" s="2473"/>
      <c r="MN77" s="2473"/>
      <c r="MO77" s="2473"/>
      <c r="MP77" s="2473"/>
      <c r="MQ77" s="2473"/>
      <c r="MR77" s="2473"/>
      <c r="MS77" s="2473"/>
      <c r="MT77" s="2473"/>
      <c r="MU77" s="2473"/>
      <c r="MV77" s="2473"/>
      <c r="MW77" s="2473"/>
      <c r="MX77" s="2473"/>
      <c r="MY77" s="2473"/>
      <c r="MZ77" s="2473"/>
      <c r="NA77" s="2473"/>
      <c r="NB77" s="2473"/>
      <c r="NC77" s="2473"/>
      <c r="ND77" s="2473"/>
      <c r="NE77" s="2316"/>
      <c r="NF77" s="2316"/>
      <c r="NG77" s="2316"/>
      <c r="NH77" s="2316"/>
      <c r="NI77" s="2316"/>
      <c r="NJ77" s="2316"/>
      <c r="NK77" s="2316"/>
      <c r="NL77" s="2316"/>
      <c r="NM77" s="2316"/>
      <c r="NN77" s="2316"/>
      <c r="NO77" s="2316"/>
      <c r="NP77" s="2316"/>
      <c r="NQ77" s="2316"/>
      <c r="NR77" s="2316"/>
      <c r="NS77" s="2316"/>
      <c r="NT77" s="2316"/>
      <c r="NU77" s="2316"/>
      <c r="NV77" s="2316"/>
      <c r="NW77" s="2316"/>
      <c r="NX77" s="2316"/>
      <c r="NY77" s="2316"/>
      <c r="NZ77" s="2316"/>
      <c r="OA77" s="2316"/>
      <c r="OB77" s="2316"/>
      <c r="OC77" s="2316"/>
      <c r="OD77" s="2316"/>
      <c r="OE77" s="2316"/>
      <c r="OF77" s="2316"/>
      <c r="OG77" s="2316"/>
      <c r="OH77" s="2316"/>
      <c r="OI77" s="2316"/>
      <c r="OJ77" s="2316"/>
      <c r="OK77" s="2316"/>
      <c r="OL77" s="2316"/>
      <c r="OM77" s="2316"/>
      <c r="ON77" s="2316"/>
      <c r="OO77" s="2316"/>
      <c r="OP77" s="2316"/>
      <c r="OQ77" s="2316"/>
      <c r="OR77" s="2316"/>
      <c r="OS77" s="2316"/>
      <c r="OT77" s="2316"/>
      <c r="OU77" s="2316"/>
      <c r="OV77" s="2316"/>
      <c r="OW77" s="2316"/>
      <c r="OX77" s="2316"/>
      <c r="OY77" s="2316"/>
      <c r="OZ77" s="2316"/>
      <c r="PA77" s="2316"/>
      <c r="PB77" s="2316"/>
      <c r="PC77" s="2316"/>
      <c r="PD77" s="2316"/>
      <c r="PE77" s="2316"/>
      <c r="PF77" s="2316"/>
      <c r="PG77" s="2316"/>
      <c r="PH77" s="2316"/>
      <c r="PI77" s="2316"/>
      <c r="PJ77" s="2316"/>
      <c r="PK77" s="2316"/>
      <c r="PL77" s="2316"/>
      <c r="PM77" s="2316"/>
      <c r="PN77" s="2316"/>
      <c r="PO77" s="2316"/>
      <c r="PP77" s="2316"/>
      <c r="PQ77" s="2316"/>
      <c r="PR77" s="2316"/>
      <c r="PS77" s="2316"/>
      <c r="PT77" s="2316"/>
      <c r="PU77" s="2316"/>
      <c r="PV77" s="2316"/>
      <c r="PW77" s="2316"/>
      <c r="PX77" s="2316"/>
      <c r="PY77" s="2316"/>
      <c r="PZ77" s="2316"/>
      <c r="QA77" s="2316"/>
      <c r="QB77" s="2316"/>
      <c r="QC77" s="2316"/>
      <c r="QD77" s="2316"/>
      <c r="QE77" s="2316"/>
      <c r="QF77" s="2316"/>
      <c r="QG77" s="2316"/>
      <c r="QH77" s="2316"/>
      <c r="QI77" s="2316"/>
      <c r="QJ77" s="2316"/>
      <c r="QK77" s="2316"/>
      <c r="QL77" s="2316"/>
      <c r="QM77" s="2316"/>
      <c r="QN77" s="2316"/>
      <c r="QO77" s="2316"/>
      <c r="QP77" s="2316"/>
      <c r="QQ77" s="2316"/>
      <c r="QR77" s="2316"/>
      <c r="QS77" s="2316"/>
      <c r="QT77" s="2316"/>
      <c r="QU77" s="2316"/>
      <c r="QV77" s="2316"/>
      <c r="QW77" s="2316"/>
      <c r="QX77" s="2316"/>
      <c r="QY77" s="2316"/>
      <c r="QZ77" s="2316"/>
      <c r="RA77" s="2316"/>
      <c r="RB77" s="2316"/>
      <c r="RC77" s="2316"/>
      <c r="RD77" s="2316"/>
      <c r="RE77" s="2316"/>
      <c r="RF77" s="2316"/>
      <c r="RG77" s="2316"/>
      <c r="RH77" s="2316"/>
      <c r="RI77" s="2316"/>
      <c r="RJ77" s="2316"/>
      <c r="RK77" s="2316"/>
      <c r="RL77" s="2316"/>
      <c r="RM77" s="2316"/>
      <c r="RN77" s="2316"/>
      <c r="RO77" s="2316"/>
      <c r="RP77" s="2316"/>
      <c r="RQ77" s="2316"/>
      <c r="RR77" s="2316"/>
      <c r="RS77" s="2316"/>
      <c r="RT77" s="2316"/>
      <c r="RU77" s="2316"/>
      <c r="RV77" s="2316"/>
      <c r="RW77" s="2316"/>
      <c r="RX77" s="2316"/>
      <c r="RY77" s="2316"/>
      <c r="RZ77" s="2316"/>
      <c r="SA77" s="2316"/>
    </row>
    <row r="78" spans="1:495" customFormat="1" ht="15.75" customHeight="1">
      <c r="B78" s="2022"/>
      <c r="C78" s="2266"/>
      <c r="D78" s="2269"/>
      <c r="E78" s="2269"/>
      <c r="F78" s="8"/>
      <c r="G78" s="2485" t="str">
        <f>IF(AND(K78="",L78="",M78="",N78="",O78=""),"",IF(OR(K78&gt;2,L78&gt;2,M78&gt;2,N78&gt;2,O78&gt;2,K78&lt;-2,L78&lt;-2,M78&lt;-2,N78&lt;-2,O78&lt;-2),"Not Equal","Equal"))</f>
        <v>Not Equal</v>
      </c>
      <c r="H78" s="2340" t="s">
        <v>4810</v>
      </c>
      <c r="I78" s="2272"/>
      <c r="J78" s="1"/>
      <c r="K78" s="2329" t="str">
        <f t="shared" ref="K78:P78" si="366">IF(OR(K77="",K58=0),"", K58-K77)</f>
        <v/>
      </c>
      <c r="L78" s="2329">
        <f t="shared" si="366"/>
        <v>0</v>
      </c>
      <c r="M78" s="2329">
        <f t="shared" si="366"/>
        <v>0</v>
      </c>
      <c r="N78" s="2329">
        <f t="shared" si="366"/>
        <v>0</v>
      </c>
      <c r="O78" s="2329" t="str">
        <f t="shared" si="366"/>
        <v/>
      </c>
      <c r="P78" s="2329">
        <f t="shared" si="366"/>
        <v>0</v>
      </c>
      <c r="X78" s="2473"/>
      <c r="Y78" s="2473"/>
      <c r="Z78" s="2473"/>
      <c r="AA78" s="2473"/>
      <c r="AB78" s="2473"/>
      <c r="AC78" s="2473"/>
      <c r="AD78" s="2473"/>
      <c r="AE78" s="2473"/>
      <c r="AF78" s="2473"/>
      <c r="AG78" s="2473"/>
      <c r="AH78" s="2473"/>
      <c r="AI78" s="2473"/>
      <c r="AJ78" s="2473"/>
      <c r="AK78" s="2473"/>
      <c r="AL78" s="2473"/>
      <c r="AM78" s="2473"/>
      <c r="AN78" s="2473"/>
      <c r="AO78" s="2473"/>
      <c r="AP78" s="2473"/>
      <c r="AQ78" s="2473"/>
      <c r="AR78" s="2473"/>
      <c r="AS78" s="2473"/>
      <c r="AT78" s="2473"/>
      <c r="AU78" s="2473"/>
      <c r="AV78" s="2473"/>
      <c r="AW78" s="2473"/>
      <c r="AX78" s="2473"/>
      <c r="AY78" s="2473"/>
      <c r="AZ78" s="2473"/>
      <c r="BA78" s="2473"/>
      <c r="BB78" s="2473"/>
      <c r="BC78" s="2473"/>
      <c r="BD78" s="2473"/>
      <c r="BE78" s="2473"/>
      <c r="BF78" s="2473"/>
      <c r="BG78" s="2473"/>
      <c r="BH78" s="2473"/>
      <c r="BI78" s="2473"/>
      <c r="BJ78" s="2473"/>
      <c r="BK78" s="2473"/>
      <c r="BL78" s="2473"/>
      <c r="BM78" s="2473"/>
      <c r="BN78" s="2473"/>
      <c r="BO78" s="2473"/>
      <c r="BP78" s="2473"/>
      <c r="BQ78" s="2473"/>
      <c r="BR78" s="2473"/>
      <c r="BS78" s="2473"/>
      <c r="BT78" s="2473"/>
      <c r="BU78" s="2473"/>
      <c r="BV78" s="2473"/>
      <c r="BW78" s="2473"/>
      <c r="BX78" s="2473"/>
      <c r="BY78" s="2473"/>
      <c r="BZ78" s="2473"/>
      <c r="CA78" s="2473"/>
      <c r="CB78" s="2473"/>
      <c r="CC78" s="2473"/>
      <c r="CD78" s="2473"/>
      <c r="CE78" s="2473"/>
      <c r="CF78" s="2473"/>
      <c r="CG78" s="2473"/>
      <c r="CH78" s="2473"/>
      <c r="CI78" s="2473"/>
      <c r="CJ78" s="2473"/>
      <c r="CK78" s="2473"/>
      <c r="CL78" s="2473"/>
      <c r="CM78" s="2473"/>
      <c r="CN78" s="2473"/>
      <c r="CO78" s="2473"/>
      <c r="CP78" s="2473"/>
      <c r="CQ78" s="2473"/>
      <c r="CR78" s="2473"/>
      <c r="CS78" s="2473"/>
      <c r="CT78" s="2473"/>
      <c r="CU78" s="2473"/>
      <c r="CV78" s="2473"/>
      <c r="CW78" s="2473"/>
      <c r="CX78" s="2473"/>
      <c r="CY78" s="2473"/>
      <c r="CZ78" s="2473"/>
      <c r="DA78" s="2473"/>
      <c r="DB78" s="2473"/>
      <c r="DC78" s="2473"/>
      <c r="DD78" s="2473"/>
      <c r="DE78" s="2473"/>
      <c r="DF78" s="2473"/>
      <c r="DG78" s="2473"/>
      <c r="DH78" s="2473"/>
      <c r="DI78" s="2473"/>
      <c r="DJ78" s="2473"/>
      <c r="DK78" s="2473"/>
      <c r="DL78" s="2473"/>
      <c r="DM78" s="2473"/>
      <c r="DN78" s="2473"/>
      <c r="DO78" s="2473"/>
      <c r="DP78" s="2473"/>
      <c r="DQ78" s="2473"/>
      <c r="DR78" s="2473"/>
      <c r="DS78" s="2473"/>
      <c r="DT78" s="2473"/>
      <c r="DU78" s="2473"/>
      <c r="DV78" s="2473"/>
      <c r="DW78" s="2473"/>
      <c r="DX78" s="2473"/>
      <c r="DY78" s="2473"/>
      <c r="DZ78" s="2473"/>
      <c r="EA78" s="2473"/>
      <c r="EB78" s="2473"/>
      <c r="EC78" s="2473"/>
      <c r="ED78" s="2473"/>
      <c r="EE78" s="2473"/>
      <c r="EF78" s="2473"/>
      <c r="EG78" s="2473"/>
      <c r="EH78" s="2473"/>
      <c r="EI78" s="2473"/>
      <c r="EJ78" s="2473"/>
      <c r="EK78" s="2473"/>
      <c r="EL78" s="2473"/>
      <c r="EM78" s="2473"/>
      <c r="EN78" s="2473"/>
      <c r="EO78" s="2473"/>
      <c r="EP78" s="2473"/>
      <c r="EQ78" s="2473"/>
      <c r="ER78" s="2473"/>
      <c r="ES78" s="2473"/>
      <c r="ET78" s="2473"/>
      <c r="EU78" s="2473"/>
      <c r="EV78" s="2473"/>
      <c r="EW78" s="2473"/>
      <c r="EX78" s="2473"/>
      <c r="EY78" s="2473"/>
      <c r="EZ78" s="2473"/>
      <c r="FA78" s="2473"/>
      <c r="FB78" s="2473"/>
      <c r="FC78" s="2473"/>
      <c r="FD78" s="2473"/>
      <c r="FE78" s="2473"/>
      <c r="FF78" s="2473"/>
      <c r="FG78" s="2473"/>
      <c r="FH78" s="2473"/>
      <c r="FI78" s="2473"/>
      <c r="FJ78" s="2473"/>
      <c r="FK78" s="2473"/>
      <c r="FL78" s="2473"/>
      <c r="FM78" s="2473"/>
      <c r="FN78" s="2473"/>
      <c r="FO78" s="2473"/>
      <c r="FP78" s="2473"/>
      <c r="FQ78" s="2473"/>
      <c r="FR78" s="2473"/>
      <c r="FS78" s="2473"/>
      <c r="FT78" s="2473"/>
      <c r="FU78" s="2473"/>
      <c r="FV78" s="2473"/>
      <c r="FW78" s="2473"/>
      <c r="FX78" s="2473"/>
      <c r="FY78" s="2473"/>
      <c r="FZ78" s="2473"/>
      <c r="GA78" s="2473"/>
      <c r="GB78" s="2473"/>
      <c r="GC78" s="2473"/>
      <c r="GD78" s="2473"/>
      <c r="GE78" s="2473"/>
      <c r="GF78" s="2473"/>
      <c r="GG78" s="2473"/>
      <c r="GH78" s="2473"/>
      <c r="GI78" s="2473"/>
      <c r="GJ78" s="2473"/>
      <c r="GK78" s="2473"/>
      <c r="GL78" s="2473"/>
      <c r="GM78" s="2473"/>
      <c r="GN78" s="2473"/>
      <c r="GO78" s="2473"/>
      <c r="GP78" s="2473"/>
      <c r="GQ78" s="2473"/>
      <c r="GR78" s="2473"/>
      <c r="GS78" s="2473"/>
      <c r="GT78" s="2473"/>
      <c r="GU78" s="2473"/>
      <c r="GV78" s="2473"/>
      <c r="GW78" s="2473"/>
      <c r="GX78" s="2473"/>
      <c r="GY78" s="2473"/>
      <c r="GZ78" s="2473"/>
      <c r="HA78" s="2473"/>
      <c r="HB78" s="2473"/>
      <c r="HC78" s="2473"/>
      <c r="HD78" s="2473"/>
      <c r="HE78" s="2473"/>
      <c r="HF78" s="2473"/>
      <c r="HG78" s="2473"/>
      <c r="HH78" s="2473"/>
      <c r="HI78" s="2473"/>
      <c r="HJ78" s="2473"/>
      <c r="HK78" s="2473"/>
      <c r="HL78" s="2473"/>
      <c r="HM78" s="2473"/>
      <c r="HN78" s="2473"/>
      <c r="HO78" s="2473"/>
      <c r="HP78" s="2473"/>
      <c r="HQ78" s="2473"/>
      <c r="HR78" s="2473"/>
      <c r="HS78" s="2473"/>
      <c r="HT78" s="2473"/>
      <c r="HU78" s="2473"/>
      <c r="HV78" s="2473"/>
      <c r="HW78" s="2473"/>
      <c r="HX78" s="2473"/>
      <c r="HY78" s="2473"/>
      <c r="HZ78" s="2473"/>
      <c r="IA78" s="2473"/>
      <c r="IB78" s="2473"/>
      <c r="IC78" s="2473"/>
      <c r="ID78" s="2473"/>
      <c r="IE78" s="2473"/>
      <c r="IF78" s="2473"/>
      <c r="IG78" s="2473"/>
      <c r="IH78" s="2473"/>
      <c r="II78" s="2473"/>
      <c r="IJ78" s="2473"/>
      <c r="IK78" s="2473"/>
      <c r="IL78" s="2473"/>
      <c r="IM78" s="2473"/>
      <c r="IN78" s="2473"/>
      <c r="IO78" s="2473"/>
      <c r="IP78" s="2473"/>
      <c r="IQ78" s="2473"/>
      <c r="IR78" s="2473"/>
      <c r="IS78" s="2473"/>
      <c r="IT78" s="2473"/>
      <c r="IU78" s="2473"/>
      <c r="IV78" s="2473"/>
      <c r="IW78" s="2473"/>
      <c r="IX78" s="2473"/>
      <c r="IY78" s="2473"/>
      <c r="IZ78" s="2473"/>
      <c r="JA78" s="2473"/>
      <c r="JB78" s="2473"/>
      <c r="JC78" s="2473"/>
      <c r="JD78" s="2473"/>
      <c r="JE78" s="2473"/>
      <c r="JF78" s="2473"/>
      <c r="JG78" s="2473"/>
      <c r="JH78" s="2473"/>
      <c r="JI78" s="2473"/>
      <c r="JJ78" s="2473"/>
      <c r="JK78" s="2473"/>
      <c r="JL78" s="2473"/>
      <c r="JM78" s="2473"/>
      <c r="JN78" s="2473"/>
      <c r="JO78" s="2473"/>
      <c r="JP78" s="2473"/>
      <c r="JQ78" s="2473"/>
      <c r="JR78" s="2473"/>
      <c r="JS78" s="2473"/>
      <c r="JT78" s="2473"/>
      <c r="JU78" s="2473"/>
      <c r="JV78" s="2473"/>
      <c r="JW78" s="2473"/>
      <c r="JX78" s="2473"/>
      <c r="JY78" s="2473"/>
      <c r="JZ78" s="2473"/>
      <c r="KA78" s="2473"/>
      <c r="KB78" s="2473"/>
      <c r="KC78" s="2473"/>
      <c r="KD78" s="2473"/>
      <c r="KE78" s="2473"/>
      <c r="KF78" s="2473"/>
      <c r="KG78" s="2473"/>
      <c r="KH78" s="2473"/>
      <c r="KI78" s="2473"/>
      <c r="KJ78" s="2473"/>
      <c r="KK78" s="2473"/>
      <c r="KL78" s="2473"/>
      <c r="KM78" s="2473"/>
      <c r="KN78" s="2473"/>
      <c r="KO78" s="2473"/>
      <c r="KP78" s="2473"/>
      <c r="KQ78" s="2473"/>
      <c r="KR78" s="2473"/>
      <c r="KS78" s="2473"/>
      <c r="KT78" s="2473"/>
      <c r="KU78" s="2473"/>
      <c r="KV78" s="2473"/>
      <c r="KW78" s="2473"/>
      <c r="KX78" s="2473"/>
      <c r="KY78" s="2473"/>
      <c r="KZ78" s="2473"/>
      <c r="LA78" s="2473"/>
      <c r="LB78" s="2473"/>
      <c r="LC78" s="2473"/>
      <c r="LD78" s="2473"/>
      <c r="LE78" s="2473"/>
      <c r="LF78" s="2473"/>
      <c r="LG78" s="2473"/>
      <c r="LH78" s="2473"/>
      <c r="LI78" s="2473"/>
      <c r="LJ78" s="2473"/>
      <c r="LK78" s="2473"/>
      <c r="LL78" s="2473"/>
      <c r="LM78" s="2473"/>
      <c r="LN78" s="2473"/>
      <c r="LO78" s="2473"/>
      <c r="LP78" s="2473"/>
      <c r="LQ78" s="2473"/>
      <c r="LR78" s="2473"/>
      <c r="LS78" s="2473"/>
      <c r="LT78" s="2473"/>
      <c r="LU78" s="2473"/>
      <c r="LV78" s="2473"/>
      <c r="LW78" s="2473"/>
      <c r="LX78" s="2473"/>
      <c r="LY78" s="2473"/>
      <c r="LZ78" s="2473"/>
      <c r="MA78" s="2473"/>
      <c r="MB78" s="2473"/>
      <c r="MC78" s="2473"/>
      <c r="MD78" s="2473"/>
      <c r="ME78" s="2473"/>
      <c r="MF78" s="2473"/>
      <c r="MG78" s="2473"/>
      <c r="MH78" s="2473"/>
      <c r="MI78" s="2473"/>
      <c r="MJ78" s="2473"/>
      <c r="MK78" s="2473"/>
      <c r="ML78" s="2473"/>
      <c r="MM78" s="2473"/>
      <c r="MN78" s="2473"/>
      <c r="MO78" s="2473"/>
      <c r="MP78" s="2473"/>
      <c r="MQ78" s="2473"/>
      <c r="MR78" s="2473"/>
      <c r="MS78" s="2473"/>
      <c r="MT78" s="2473"/>
      <c r="MU78" s="2473"/>
      <c r="MV78" s="2473"/>
      <c r="MW78" s="2473"/>
      <c r="MX78" s="2473"/>
      <c r="MY78" s="2473"/>
      <c r="MZ78" s="2473"/>
      <c r="NA78" s="2473"/>
      <c r="NB78" s="2473"/>
      <c r="NC78" s="2473"/>
      <c r="ND78" s="2473"/>
      <c r="NE78" s="2316"/>
      <c r="NF78" s="2316"/>
      <c r="NG78" s="2316"/>
      <c r="NH78" s="2316"/>
      <c r="NI78" s="2316"/>
      <c r="NJ78" s="2316"/>
      <c r="NK78" s="2316"/>
      <c r="NL78" s="2316"/>
      <c r="NM78" s="2316"/>
      <c r="NN78" s="2316"/>
      <c r="NO78" s="2316"/>
      <c r="NP78" s="2316"/>
      <c r="NQ78" s="2316"/>
      <c r="NR78" s="2316"/>
      <c r="NS78" s="2316"/>
      <c r="NT78" s="2316"/>
      <c r="NU78" s="2316"/>
      <c r="NV78" s="2316"/>
      <c r="NW78" s="2316"/>
      <c r="NX78" s="2316"/>
      <c r="NY78" s="2316"/>
      <c r="NZ78" s="2316"/>
      <c r="OA78" s="2316"/>
      <c r="OB78" s="2316"/>
      <c r="OC78" s="2316"/>
      <c r="OD78" s="2316"/>
      <c r="OE78" s="2316"/>
      <c r="OF78" s="2316"/>
      <c r="OG78" s="2316"/>
      <c r="OH78" s="2316"/>
      <c r="OI78" s="2316"/>
      <c r="OJ78" s="2316"/>
      <c r="OK78" s="2316"/>
      <c r="OL78" s="2316"/>
      <c r="OM78" s="2316"/>
      <c r="ON78" s="2316"/>
      <c r="OO78" s="2316"/>
      <c r="OP78" s="2316"/>
      <c r="OQ78" s="2316"/>
      <c r="OR78" s="2316"/>
      <c r="OS78" s="2316"/>
      <c r="OT78" s="2316"/>
      <c r="OU78" s="2316"/>
      <c r="OV78" s="2316"/>
      <c r="OW78" s="2316"/>
      <c r="OX78" s="2316"/>
      <c r="OY78" s="2316"/>
      <c r="OZ78" s="2316"/>
      <c r="PA78" s="2316"/>
      <c r="PB78" s="2316"/>
      <c r="PC78" s="2316"/>
      <c r="PD78" s="2316"/>
      <c r="PE78" s="2316"/>
      <c r="PF78" s="2316"/>
      <c r="PG78" s="2316"/>
      <c r="PH78" s="2316"/>
      <c r="PI78" s="2316"/>
      <c r="PJ78" s="2316"/>
      <c r="PK78" s="2316"/>
      <c r="PL78" s="2316"/>
      <c r="PM78" s="2316"/>
      <c r="PN78" s="2316"/>
      <c r="PO78" s="2316"/>
      <c r="PP78" s="2316"/>
      <c r="PQ78" s="2316"/>
      <c r="PR78" s="2316"/>
      <c r="PS78" s="2316"/>
      <c r="PT78" s="2316"/>
      <c r="PU78" s="2316"/>
      <c r="PV78" s="2316"/>
      <c r="PW78" s="2316"/>
      <c r="PX78" s="2316"/>
      <c r="PY78" s="2316"/>
      <c r="PZ78" s="2316"/>
      <c r="QA78" s="2316"/>
      <c r="QB78" s="2316"/>
      <c r="QC78" s="2316"/>
      <c r="QD78" s="2316"/>
      <c r="QE78" s="2316"/>
      <c r="QF78" s="2316"/>
      <c r="QG78" s="2316"/>
      <c r="QH78" s="2316"/>
      <c r="QI78" s="2316"/>
      <c r="QJ78" s="2316"/>
      <c r="QK78" s="2316"/>
      <c r="QL78" s="2316"/>
      <c r="QM78" s="2316"/>
      <c r="QN78" s="2316"/>
      <c r="QO78" s="2316"/>
      <c r="QP78" s="2316"/>
      <c r="QQ78" s="2316"/>
      <c r="QR78" s="2316"/>
      <c r="QS78" s="2316"/>
      <c r="QT78" s="2316"/>
      <c r="QU78" s="2316"/>
      <c r="QV78" s="2316"/>
      <c r="QW78" s="2316"/>
      <c r="QX78" s="2316"/>
      <c r="QY78" s="2316"/>
      <c r="QZ78" s="2316"/>
      <c r="RA78" s="2316"/>
      <c r="RB78" s="2316"/>
      <c r="RC78" s="2316"/>
      <c r="RD78" s="2316"/>
      <c r="RE78" s="2316"/>
      <c r="RF78" s="2316"/>
      <c r="RG78" s="2316"/>
      <c r="RH78" s="2316"/>
      <c r="RI78" s="2316"/>
      <c r="RJ78" s="2316"/>
      <c r="RK78" s="2316"/>
      <c r="RL78" s="2316"/>
      <c r="RM78" s="2316"/>
      <c r="RN78" s="2316"/>
      <c r="RO78" s="2316"/>
      <c r="RP78" s="2316"/>
      <c r="RQ78" s="2316"/>
      <c r="RR78" s="2316"/>
      <c r="RS78" s="2316"/>
      <c r="RT78" s="2316"/>
      <c r="RU78" s="2316"/>
      <c r="RV78" s="2316"/>
      <c r="RW78" s="2316"/>
      <c r="RX78" s="2316"/>
      <c r="RY78" s="2316"/>
      <c r="RZ78" s="2316"/>
      <c r="SA78" s="2316"/>
    </row>
    <row r="79" spans="1:495" customFormat="1">
      <c r="B79" s="2022"/>
      <c r="C79" s="2266" t="s">
        <v>4785</v>
      </c>
      <c r="D79" s="2265"/>
      <c r="E79" s="2265"/>
      <c r="F79" s="8"/>
      <c r="G79" s="8"/>
      <c r="H79" s="2339" t="s">
        <v>115</v>
      </c>
      <c r="I79" s="2270"/>
      <c r="J79" s="1"/>
      <c r="K79" s="2332" t="str">
        <f t="shared" ref="K79:P79" si="367">IF(OR(K59=0,K$67=0),"",K59/K$67)</f>
        <v/>
      </c>
      <c r="L79" s="2333" t="str">
        <f t="shared" si="367"/>
        <v/>
      </c>
      <c r="M79" s="2333" t="str">
        <f t="shared" si="367"/>
        <v/>
      </c>
      <c r="N79" s="2333" t="str">
        <f t="shared" si="367"/>
        <v/>
      </c>
      <c r="O79" s="2333" t="str">
        <f t="shared" si="367"/>
        <v/>
      </c>
      <c r="P79" s="2334" t="str">
        <f t="shared" si="367"/>
        <v/>
      </c>
      <c r="X79" s="2473"/>
      <c r="Y79" s="2473"/>
      <c r="Z79" s="2473"/>
      <c r="AA79" s="2473"/>
      <c r="AB79" s="2473"/>
      <c r="AC79" s="2473"/>
      <c r="AD79" s="2473"/>
      <c r="AE79" s="2473"/>
      <c r="AF79" s="2473"/>
      <c r="AG79" s="2473"/>
      <c r="AH79" s="2473"/>
      <c r="AI79" s="2473"/>
      <c r="AJ79" s="2473"/>
      <c r="AK79" s="2473"/>
      <c r="AL79" s="2473"/>
      <c r="AM79" s="2473"/>
      <c r="AN79" s="2473"/>
      <c r="AO79" s="2473"/>
      <c r="AP79" s="2473"/>
      <c r="AQ79" s="2473"/>
      <c r="AR79" s="2473"/>
      <c r="AS79" s="2473"/>
      <c r="AT79" s="2473"/>
      <c r="AU79" s="2473"/>
      <c r="AV79" s="2473"/>
      <c r="AW79" s="2473"/>
      <c r="AX79" s="2473"/>
      <c r="AY79" s="2473"/>
      <c r="AZ79" s="2473"/>
      <c r="BA79" s="2473"/>
      <c r="BB79" s="2473"/>
      <c r="BC79" s="2473"/>
      <c r="BD79" s="2473"/>
      <c r="BE79" s="2473"/>
      <c r="BF79" s="2473"/>
      <c r="BG79" s="2473"/>
      <c r="BH79" s="2473"/>
      <c r="BI79" s="2473"/>
      <c r="BJ79" s="2473"/>
      <c r="BK79" s="2473"/>
      <c r="BL79" s="2473"/>
      <c r="BM79" s="2473"/>
      <c r="BN79" s="2473"/>
      <c r="BO79" s="2473"/>
      <c r="BP79" s="2473"/>
      <c r="BQ79" s="2473"/>
      <c r="BR79" s="2473"/>
      <c r="BS79" s="2473"/>
      <c r="BT79" s="2473"/>
      <c r="BU79" s="2473"/>
      <c r="BV79" s="2473"/>
      <c r="BW79" s="2473"/>
      <c r="BX79" s="2473"/>
      <c r="BY79" s="2473"/>
      <c r="BZ79" s="2473"/>
      <c r="CA79" s="2473"/>
      <c r="CB79" s="2473"/>
      <c r="CC79" s="2473"/>
      <c r="CD79" s="2473"/>
      <c r="CE79" s="2473"/>
      <c r="CF79" s="2473"/>
      <c r="CG79" s="2473"/>
      <c r="CH79" s="2473"/>
      <c r="CI79" s="2473"/>
      <c r="CJ79" s="2473"/>
      <c r="CK79" s="2473"/>
      <c r="CL79" s="2473"/>
      <c r="CM79" s="2473"/>
      <c r="CN79" s="2473"/>
      <c r="CO79" s="2473"/>
      <c r="CP79" s="2473"/>
      <c r="CQ79" s="2473"/>
      <c r="CR79" s="2473"/>
      <c r="CS79" s="2473"/>
      <c r="CT79" s="2473"/>
      <c r="CU79" s="2473"/>
      <c r="CV79" s="2473"/>
      <c r="CW79" s="2473"/>
      <c r="CX79" s="2473"/>
      <c r="CY79" s="2473"/>
      <c r="CZ79" s="2473"/>
      <c r="DA79" s="2473"/>
      <c r="DB79" s="2473"/>
      <c r="DC79" s="2473"/>
      <c r="DD79" s="2473"/>
      <c r="DE79" s="2473"/>
      <c r="DF79" s="2473"/>
      <c r="DG79" s="2473"/>
      <c r="DH79" s="2473"/>
      <c r="DI79" s="2473"/>
      <c r="DJ79" s="2473"/>
      <c r="DK79" s="2473"/>
      <c r="DL79" s="2473"/>
      <c r="DM79" s="2473"/>
      <c r="DN79" s="2473"/>
      <c r="DO79" s="2473"/>
      <c r="DP79" s="2473"/>
      <c r="DQ79" s="2473"/>
      <c r="DR79" s="2473"/>
      <c r="DS79" s="2473"/>
      <c r="DT79" s="2473"/>
      <c r="DU79" s="2473"/>
      <c r="DV79" s="2473"/>
      <c r="DW79" s="2473"/>
      <c r="DX79" s="2473"/>
      <c r="DY79" s="2473"/>
      <c r="DZ79" s="2473"/>
      <c r="EA79" s="2473"/>
      <c r="EB79" s="2473"/>
      <c r="EC79" s="2473"/>
      <c r="ED79" s="2473"/>
      <c r="EE79" s="2473"/>
      <c r="EF79" s="2473"/>
      <c r="EG79" s="2473"/>
      <c r="EH79" s="2473"/>
      <c r="EI79" s="2473"/>
      <c r="EJ79" s="2473"/>
      <c r="EK79" s="2473"/>
      <c r="EL79" s="2473"/>
      <c r="EM79" s="2473"/>
      <c r="EN79" s="2473"/>
      <c r="EO79" s="2473"/>
      <c r="EP79" s="2473"/>
      <c r="EQ79" s="2473"/>
      <c r="ER79" s="2473"/>
      <c r="ES79" s="2473"/>
      <c r="ET79" s="2473"/>
      <c r="EU79" s="2473"/>
      <c r="EV79" s="2473"/>
      <c r="EW79" s="2473"/>
      <c r="EX79" s="2473"/>
      <c r="EY79" s="2473"/>
      <c r="EZ79" s="2473"/>
      <c r="FA79" s="2473"/>
      <c r="FB79" s="2473"/>
      <c r="FC79" s="2473"/>
      <c r="FD79" s="2473"/>
      <c r="FE79" s="2473"/>
      <c r="FF79" s="2473"/>
      <c r="FG79" s="2473"/>
      <c r="FH79" s="2473"/>
      <c r="FI79" s="2473"/>
      <c r="FJ79" s="2473"/>
      <c r="FK79" s="2473"/>
      <c r="FL79" s="2473"/>
      <c r="FM79" s="2473"/>
      <c r="FN79" s="2473"/>
      <c r="FO79" s="2473"/>
      <c r="FP79" s="2473"/>
      <c r="FQ79" s="2473"/>
      <c r="FR79" s="2473"/>
      <c r="FS79" s="2473"/>
      <c r="FT79" s="2473"/>
      <c r="FU79" s="2473"/>
      <c r="FV79" s="2473"/>
      <c r="FW79" s="2473"/>
      <c r="FX79" s="2473"/>
      <c r="FY79" s="2473"/>
      <c r="FZ79" s="2473"/>
      <c r="GA79" s="2473"/>
      <c r="GB79" s="2473"/>
      <c r="GC79" s="2473"/>
      <c r="GD79" s="2473"/>
      <c r="GE79" s="2473"/>
      <c r="GF79" s="2473"/>
      <c r="GG79" s="2473"/>
      <c r="GH79" s="2473"/>
      <c r="GI79" s="2473"/>
      <c r="GJ79" s="2473"/>
      <c r="GK79" s="2473"/>
      <c r="GL79" s="2473"/>
      <c r="GM79" s="2473"/>
      <c r="GN79" s="2473"/>
      <c r="GO79" s="2473"/>
      <c r="GP79" s="2473"/>
      <c r="GQ79" s="2473"/>
      <c r="GR79" s="2473"/>
      <c r="GS79" s="2473"/>
      <c r="GT79" s="2473"/>
      <c r="GU79" s="2473"/>
      <c r="GV79" s="2473"/>
      <c r="GW79" s="2473"/>
      <c r="GX79" s="2473"/>
      <c r="GY79" s="2473"/>
      <c r="GZ79" s="2473"/>
      <c r="HA79" s="2473"/>
      <c r="HB79" s="2473"/>
      <c r="HC79" s="2473"/>
      <c r="HD79" s="2473"/>
      <c r="HE79" s="2473"/>
      <c r="HF79" s="2473"/>
      <c r="HG79" s="2473"/>
      <c r="HH79" s="2473"/>
      <c r="HI79" s="2473"/>
      <c r="HJ79" s="2473"/>
      <c r="HK79" s="2473"/>
      <c r="HL79" s="2473"/>
      <c r="HM79" s="2473"/>
      <c r="HN79" s="2473"/>
      <c r="HO79" s="2473"/>
      <c r="HP79" s="2473"/>
      <c r="HQ79" s="2473"/>
      <c r="HR79" s="2473"/>
      <c r="HS79" s="2473"/>
      <c r="HT79" s="2473"/>
      <c r="HU79" s="2473"/>
      <c r="HV79" s="2473"/>
      <c r="HW79" s="2473"/>
      <c r="HX79" s="2473"/>
      <c r="HY79" s="2473"/>
      <c r="HZ79" s="2473"/>
      <c r="IA79" s="2473"/>
      <c r="IB79" s="2473"/>
      <c r="IC79" s="2473"/>
      <c r="ID79" s="2473"/>
      <c r="IE79" s="2473"/>
      <c r="IF79" s="2473"/>
      <c r="IG79" s="2473"/>
      <c r="IH79" s="2473"/>
      <c r="II79" s="2473"/>
      <c r="IJ79" s="2473"/>
      <c r="IK79" s="2473"/>
      <c r="IL79" s="2473"/>
      <c r="IM79" s="2473"/>
      <c r="IN79" s="2473"/>
      <c r="IO79" s="2473"/>
      <c r="IP79" s="2473"/>
      <c r="IQ79" s="2473"/>
      <c r="IR79" s="2473"/>
      <c r="IS79" s="2473"/>
      <c r="IT79" s="2473"/>
      <c r="IU79" s="2473"/>
      <c r="IV79" s="2473"/>
      <c r="IW79" s="2473"/>
      <c r="IX79" s="2473"/>
      <c r="IY79" s="2473"/>
      <c r="IZ79" s="2473"/>
      <c r="JA79" s="2473"/>
      <c r="JB79" s="2473"/>
      <c r="JC79" s="2473"/>
      <c r="JD79" s="2473"/>
      <c r="JE79" s="2473"/>
      <c r="JF79" s="2473"/>
      <c r="JG79" s="2473"/>
      <c r="JH79" s="2473"/>
      <c r="JI79" s="2473"/>
      <c r="JJ79" s="2473"/>
      <c r="JK79" s="2473"/>
      <c r="JL79" s="2473"/>
      <c r="JM79" s="2473"/>
      <c r="JN79" s="2473"/>
      <c r="JO79" s="2473"/>
      <c r="JP79" s="2473"/>
      <c r="JQ79" s="2473"/>
      <c r="JR79" s="2473"/>
      <c r="JS79" s="2473"/>
      <c r="JT79" s="2473"/>
      <c r="JU79" s="2473"/>
      <c r="JV79" s="2473"/>
      <c r="JW79" s="2473"/>
      <c r="JX79" s="2473"/>
      <c r="JY79" s="2473"/>
      <c r="JZ79" s="2473"/>
      <c r="KA79" s="2473"/>
      <c r="KB79" s="2473"/>
      <c r="KC79" s="2473"/>
      <c r="KD79" s="2473"/>
      <c r="KE79" s="2473"/>
      <c r="KF79" s="2473"/>
      <c r="KG79" s="2473"/>
      <c r="KH79" s="2473"/>
      <c r="KI79" s="2473"/>
      <c r="KJ79" s="2473"/>
      <c r="KK79" s="2473"/>
      <c r="KL79" s="2473"/>
      <c r="KM79" s="2473"/>
      <c r="KN79" s="2473"/>
      <c r="KO79" s="2473"/>
      <c r="KP79" s="2473"/>
      <c r="KQ79" s="2473"/>
      <c r="KR79" s="2473"/>
      <c r="KS79" s="2473"/>
      <c r="KT79" s="2473"/>
      <c r="KU79" s="2473"/>
      <c r="KV79" s="2473"/>
      <c r="KW79" s="2473"/>
      <c r="KX79" s="2473"/>
      <c r="KY79" s="2473"/>
      <c r="KZ79" s="2473"/>
      <c r="LA79" s="2473"/>
      <c r="LB79" s="2473"/>
      <c r="LC79" s="2473"/>
      <c r="LD79" s="2473"/>
      <c r="LE79" s="2473"/>
      <c r="LF79" s="2473"/>
      <c r="LG79" s="2473"/>
      <c r="LH79" s="2473"/>
      <c r="LI79" s="2473"/>
      <c r="LJ79" s="2473"/>
      <c r="LK79" s="2473"/>
      <c r="LL79" s="2473"/>
      <c r="LM79" s="2473"/>
      <c r="LN79" s="2473"/>
      <c r="LO79" s="2473"/>
      <c r="LP79" s="2473"/>
      <c r="LQ79" s="2473"/>
      <c r="LR79" s="2473"/>
      <c r="LS79" s="2473"/>
      <c r="LT79" s="2473"/>
      <c r="LU79" s="2473"/>
      <c r="LV79" s="2473"/>
      <c r="LW79" s="2473"/>
      <c r="LX79" s="2473"/>
      <c r="LY79" s="2473"/>
      <c r="LZ79" s="2473"/>
      <c r="MA79" s="2473"/>
      <c r="MB79" s="2473"/>
      <c r="MC79" s="2473"/>
      <c r="MD79" s="2473"/>
      <c r="ME79" s="2473"/>
      <c r="MF79" s="2473"/>
      <c r="MG79" s="2473"/>
      <c r="MH79" s="2473"/>
      <c r="MI79" s="2473"/>
      <c r="MJ79" s="2473"/>
      <c r="MK79" s="2473"/>
      <c r="ML79" s="2473"/>
      <c r="MM79" s="2473"/>
      <c r="MN79" s="2473"/>
      <c r="MO79" s="2473"/>
      <c r="MP79" s="2473"/>
      <c r="MQ79" s="2473"/>
      <c r="MR79" s="2473"/>
      <c r="MS79" s="2473"/>
      <c r="MT79" s="2473"/>
      <c r="MU79" s="2473"/>
      <c r="MV79" s="2473"/>
      <c r="MW79" s="2473"/>
      <c r="MX79" s="2473"/>
      <c r="MY79" s="2473"/>
      <c r="MZ79" s="2473"/>
      <c r="NA79" s="2473"/>
      <c r="NB79" s="2473"/>
      <c r="NC79" s="2473"/>
      <c r="ND79" s="2473"/>
      <c r="NE79" s="2316"/>
      <c r="NF79" s="2316"/>
      <c r="NG79" s="2316"/>
      <c r="NH79" s="2316"/>
      <c r="NI79" s="2316"/>
      <c r="NJ79" s="2316"/>
      <c r="NK79" s="2316"/>
      <c r="NL79" s="2316"/>
      <c r="NM79" s="2316"/>
      <c r="NN79" s="2316"/>
      <c r="NO79" s="2316"/>
      <c r="NP79" s="2316"/>
      <c r="NQ79" s="2316"/>
      <c r="NR79" s="2316"/>
      <c r="NS79" s="2316"/>
      <c r="NT79" s="2316"/>
      <c r="NU79" s="2316"/>
      <c r="NV79" s="2316"/>
      <c r="NW79" s="2316"/>
      <c r="NX79" s="2316"/>
      <c r="NY79" s="2316"/>
      <c r="NZ79" s="2316"/>
      <c r="OA79" s="2316"/>
      <c r="OB79" s="2316"/>
      <c r="OC79" s="2316"/>
      <c r="OD79" s="2316"/>
      <c r="OE79" s="2316"/>
      <c r="OF79" s="2316"/>
      <c r="OG79" s="2316"/>
      <c r="OH79" s="2316"/>
      <c r="OI79" s="2316"/>
      <c r="OJ79" s="2316"/>
      <c r="OK79" s="2316"/>
      <c r="OL79" s="2316"/>
      <c r="OM79" s="2316"/>
      <c r="ON79" s="2316"/>
      <c r="OO79" s="2316"/>
      <c r="OP79" s="2316"/>
      <c r="OQ79" s="2316"/>
      <c r="OR79" s="2316"/>
      <c r="OS79" s="2316"/>
      <c r="OT79" s="2316"/>
      <c r="OU79" s="2316"/>
      <c r="OV79" s="2316"/>
      <c r="OW79" s="2316"/>
      <c r="OX79" s="2316"/>
      <c r="OY79" s="2316"/>
      <c r="OZ79" s="2316"/>
      <c r="PA79" s="2316"/>
      <c r="PB79" s="2316"/>
      <c r="PC79" s="2316"/>
      <c r="PD79" s="2316"/>
      <c r="PE79" s="2316"/>
      <c r="PF79" s="2316"/>
      <c r="PG79" s="2316"/>
      <c r="PH79" s="2316"/>
      <c r="PI79" s="2316"/>
      <c r="PJ79" s="2316"/>
      <c r="PK79" s="2316"/>
      <c r="PL79" s="2316"/>
      <c r="PM79" s="2316"/>
      <c r="PN79" s="2316"/>
      <c r="PO79" s="2316"/>
      <c r="PP79" s="2316"/>
      <c r="PQ79" s="2316"/>
      <c r="PR79" s="2316"/>
      <c r="PS79" s="2316"/>
      <c r="PT79" s="2316"/>
      <c r="PU79" s="2316"/>
      <c r="PV79" s="2316"/>
      <c r="PW79" s="2316"/>
      <c r="PX79" s="2316"/>
      <c r="PY79" s="2316"/>
      <c r="PZ79" s="2316"/>
      <c r="QA79" s="2316"/>
      <c r="QB79" s="2316"/>
      <c r="QC79" s="2316"/>
      <c r="QD79" s="2316"/>
      <c r="QE79" s="2316"/>
      <c r="QF79" s="2316"/>
      <c r="QG79" s="2316"/>
      <c r="QH79" s="2316"/>
      <c r="QI79" s="2316"/>
      <c r="QJ79" s="2316"/>
      <c r="QK79" s="2316"/>
      <c r="QL79" s="2316"/>
      <c r="QM79" s="2316"/>
      <c r="QN79" s="2316"/>
      <c r="QO79" s="2316"/>
      <c r="QP79" s="2316"/>
      <c r="QQ79" s="2316"/>
      <c r="QR79" s="2316"/>
      <c r="QS79" s="2316"/>
      <c r="QT79" s="2316"/>
      <c r="QU79" s="2316"/>
      <c r="QV79" s="2316"/>
      <c r="QW79" s="2316"/>
      <c r="QX79" s="2316"/>
      <c r="QY79" s="2316"/>
      <c r="QZ79" s="2316"/>
      <c r="RA79" s="2316"/>
      <c r="RB79" s="2316"/>
      <c r="RC79" s="2316"/>
      <c r="RD79" s="2316"/>
      <c r="RE79" s="2316"/>
      <c r="RF79" s="2316"/>
      <c r="RG79" s="2316"/>
      <c r="RH79" s="2316"/>
      <c r="RI79" s="2316"/>
      <c r="RJ79" s="2316"/>
      <c r="RK79" s="2316"/>
      <c r="RL79" s="2316"/>
      <c r="RM79" s="2316"/>
      <c r="RN79" s="2316"/>
      <c r="RO79" s="2316"/>
      <c r="RP79" s="2316"/>
      <c r="RQ79" s="2316"/>
      <c r="RR79" s="2316"/>
      <c r="RS79" s="2316"/>
      <c r="RT79" s="2316"/>
      <c r="RU79" s="2316"/>
      <c r="RV79" s="2316"/>
      <c r="RW79" s="2316"/>
      <c r="RX79" s="2316"/>
      <c r="RY79" s="2316"/>
      <c r="RZ79" s="2316"/>
      <c r="SA79" s="2316"/>
    </row>
    <row r="80" spans="1:495" customFormat="1">
      <c r="B80" s="2022"/>
      <c r="C80" s="2266"/>
      <c r="D80" s="2265"/>
      <c r="E80" s="2265"/>
      <c r="F80" s="8"/>
      <c r="G80" s="8"/>
      <c r="H80" s="2339" t="s">
        <v>4809</v>
      </c>
      <c r="I80" s="2270"/>
      <c r="J80" s="1"/>
      <c r="K80" s="2327" t="str">
        <f>IF(OR(K59=0,$P79="",K$67=0),"",$P79*K$67)</f>
        <v/>
      </c>
      <c r="L80" s="2327" t="str">
        <f>IF(OR(L59=0,$P79="",L$67=0),"",$P79*L$67)</f>
        <v/>
      </c>
      <c r="M80" s="2327" t="str">
        <f>IF(OR(M59=0,$P79="",M$67=0),"",$P79*M$67)</f>
        <v/>
      </c>
      <c r="N80" s="2327" t="str">
        <f>IF(OR(N59=0,$P79="",N$67=0),"",$P79*N$67)</f>
        <v/>
      </c>
      <c r="O80" s="2327" t="str">
        <f>IF(OR(O59=0,$P79="",O$67=0),"",$P79*O$67)</f>
        <v/>
      </c>
      <c r="P80" s="2328" t="str">
        <f t="shared" ref="P80" si="368">IF(OR($P79="",P$67=0),"",$P79*P$67)</f>
        <v/>
      </c>
      <c r="X80" s="2473"/>
      <c r="Y80" s="2473"/>
      <c r="Z80" s="2473"/>
      <c r="AA80" s="2473"/>
      <c r="AB80" s="2473"/>
      <c r="AC80" s="2473"/>
      <c r="AD80" s="2473"/>
      <c r="AE80" s="2473"/>
      <c r="AF80" s="2473"/>
      <c r="AG80" s="2473"/>
      <c r="AH80" s="2473"/>
      <c r="AI80" s="2473"/>
      <c r="AJ80" s="2473"/>
      <c r="AK80" s="2473"/>
      <c r="AL80" s="2473"/>
      <c r="AM80" s="2473"/>
      <c r="AN80" s="2473"/>
      <c r="AO80" s="2473"/>
      <c r="AP80" s="2473"/>
      <c r="AQ80" s="2473"/>
      <c r="AR80" s="2473"/>
      <c r="AS80" s="2473"/>
      <c r="AT80" s="2473"/>
      <c r="AU80" s="2473"/>
      <c r="AV80" s="2473"/>
      <c r="AW80" s="2473"/>
      <c r="AX80" s="2473"/>
      <c r="AY80" s="2473"/>
      <c r="AZ80" s="2473"/>
      <c r="BA80" s="2473"/>
      <c r="BB80" s="2473"/>
      <c r="BC80" s="2473"/>
      <c r="BD80" s="2473"/>
      <c r="BE80" s="2473"/>
      <c r="BF80" s="2473"/>
      <c r="BG80" s="2473"/>
      <c r="BH80" s="2473"/>
      <c r="BI80" s="2473"/>
      <c r="BJ80" s="2473"/>
      <c r="BK80" s="2473"/>
      <c r="BL80" s="2473"/>
      <c r="BM80" s="2473"/>
      <c r="BN80" s="2473"/>
      <c r="BO80" s="2473"/>
      <c r="BP80" s="2473"/>
      <c r="BQ80" s="2473"/>
      <c r="BR80" s="2473"/>
      <c r="BS80" s="2473"/>
      <c r="BT80" s="2473"/>
      <c r="BU80" s="2473"/>
      <c r="BV80" s="2473"/>
      <c r="BW80" s="2473"/>
      <c r="BX80" s="2473"/>
      <c r="BY80" s="2473"/>
      <c r="BZ80" s="2473"/>
      <c r="CA80" s="2473"/>
      <c r="CB80" s="2473"/>
      <c r="CC80" s="2473"/>
      <c r="CD80" s="2473"/>
      <c r="CE80" s="2473"/>
      <c r="CF80" s="2473"/>
      <c r="CG80" s="2473"/>
      <c r="CH80" s="2473"/>
      <c r="CI80" s="2473"/>
      <c r="CJ80" s="2473"/>
      <c r="CK80" s="2473"/>
      <c r="CL80" s="2473"/>
      <c r="CM80" s="2473"/>
      <c r="CN80" s="2473"/>
      <c r="CO80" s="2473"/>
      <c r="CP80" s="2473"/>
      <c r="CQ80" s="2473"/>
      <c r="CR80" s="2473"/>
      <c r="CS80" s="2473"/>
      <c r="CT80" s="2473"/>
      <c r="CU80" s="2473"/>
      <c r="CV80" s="2473"/>
      <c r="CW80" s="2473"/>
      <c r="CX80" s="2473"/>
      <c r="CY80" s="2473"/>
      <c r="CZ80" s="2473"/>
      <c r="DA80" s="2473"/>
      <c r="DB80" s="2473"/>
      <c r="DC80" s="2473"/>
      <c r="DD80" s="2473"/>
      <c r="DE80" s="2473"/>
      <c r="DF80" s="2473"/>
      <c r="DG80" s="2473"/>
      <c r="DH80" s="2473"/>
      <c r="DI80" s="2473"/>
      <c r="DJ80" s="2473"/>
      <c r="DK80" s="2473"/>
      <c r="DL80" s="2473"/>
      <c r="DM80" s="2473"/>
      <c r="DN80" s="2473"/>
      <c r="DO80" s="2473"/>
      <c r="DP80" s="2473"/>
      <c r="DQ80" s="2473"/>
      <c r="DR80" s="2473"/>
      <c r="DS80" s="2473"/>
      <c r="DT80" s="2473"/>
      <c r="DU80" s="2473"/>
      <c r="DV80" s="2473"/>
      <c r="DW80" s="2473"/>
      <c r="DX80" s="2473"/>
      <c r="DY80" s="2473"/>
      <c r="DZ80" s="2473"/>
      <c r="EA80" s="2473"/>
      <c r="EB80" s="2473"/>
      <c r="EC80" s="2473"/>
      <c r="ED80" s="2473"/>
      <c r="EE80" s="2473"/>
      <c r="EF80" s="2473"/>
      <c r="EG80" s="2473"/>
      <c r="EH80" s="2473"/>
      <c r="EI80" s="2473"/>
      <c r="EJ80" s="2473"/>
      <c r="EK80" s="2473"/>
      <c r="EL80" s="2473"/>
      <c r="EM80" s="2473"/>
      <c r="EN80" s="2473"/>
      <c r="EO80" s="2473"/>
      <c r="EP80" s="2473"/>
      <c r="EQ80" s="2473"/>
      <c r="ER80" s="2473"/>
      <c r="ES80" s="2473"/>
      <c r="ET80" s="2473"/>
      <c r="EU80" s="2473"/>
      <c r="EV80" s="2473"/>
      <c r="EW80" s="2473"/>
      <c r="EX80" s="2473"/>
      <c r="EY80" s="2473"/>
      <c r="EZ80" s="2473"/>
      <c r="FA80" s="2473"/>
      <c r="FB80" s="2473"/>
      <c r="FC80" s="2473"/>
      <c r="FD80" s="2473"/>
      <c r="FE80" s="2473"/>
      <c r="FF80" s="2473"/>
      <c r="FG80" s="2473"/>
      <c r="FH80" s="2473"/>
      <c r="FI80" s="2473"/>
      <c r="FJ80" s="2473"/>
      <c r="FK80" s="2473"/>
      <c r="FL80" s="2473"/>
      <c r="FM80" s="2473"/>
      <c r="FN80" s="2473"/>
      <c r="FO80" s="2473"/>
      <c r="FP80" s="2473"/>
      <c r="FQ80" s="2473"/>
      <c r="FR80" s="2473"/>
      <c r="FS80" s="2473"/>
      <c r="FT80" s="2473"/>
      <c r="FU80" s="2473"/>
      <c r="FV80" s="2473"/>
      <c r="FW80" s="2473"/>
      <c r="FX80" s="2473"/>
      <c r="FY80" s="2473"/>
      <c r="FZ80" s="2473"/>
      <c r="GA80" s="2473"/>
      <c r="GB80" s="2473"/>
      <c r="GC80" s="2473"/>
      <c r="GD80" s="2473"/>
      <c r="GE80" s="2473"/>
      <c r="GF80" s="2473"/>
      <c r="GG80" s="2473"/>
      <c r="GH80" s="2473"/>
      <c r="GI80" s="2473"/>
      <c r="GJ80" s="2473"/>
      <c r="GK80" s="2473"/>
      <c r="GL80" s="2473"/>
      <c r="GM80" s="2473"/>
      <c r="GN80" s="2473"/>
      <c r="GO80" s="2473"/>
      <c r="GP80" s="2473"/>
      <c r="GQ80" s="2473"/>
      <c r="GR80" s="2473"/>
      <c r="GS80" s="2473"/>
      <c r="GT80" s="2473"/>
      <c r="GU80" s="2473"/>
      <c r="GV80" s="2473"/>
      <c r="GW80" s="2473"/>
      <c r="GX80" s="2473"/>
      <c r="GY80" s="2473"/>
      <c r="GZ80" s="2473"/>
      <c r="HA80" s="2473"/>
      <c r="HB80" s="2473"/>
      <c r="HC80" s="2473"/>
      <c r="HD80" s="2473"/>
      <c r="HE80" s="2473"/>
      <c r="HF80" s="2473"/>
      <c r="HG80" s="2473"/>
      <c r="HH80" s="2473"/>
      <c r="HI80" s="2473"/>
      <c r="HJ80" s="2473"/>
      <c r="HK80" s="2473"/>
      <c r="HL80" s="2473"/>
      <c r="HM80" s="2473"/>
      <c r="HN80" s="2473"/>
      <c r="HO80" s="2473"/>
      <c r="HP80" s="2473"/>
      <c r="HQ80" s="2473"/>
      <c r="HR80" s="2473"/>
      <c r="HS80" s="2473"/>
      <c r="HT80" s="2473"/>
      <c r="HU80" s="2473"/>
      <c r="HV80" s="2473"/>
      <c r="HW80" s="2473"/>
      <c r="HX80" s="2473"/>
      <c r="HY80" s="2473"/>
      <c r="HZ80" s="2473"/>
      <c r="IA80" s="2473"/>
      <c r="IB80" s="2473"/>
      <c r="IC80" s="2473"/>
      <c r="ID80" s="2473"/>
      <c r="IE80" s="2473"/>
      <c r="IF80" s="2473"/>
      <c r="IG80" s="2473"/>
      <c r="IH80" s="2473"/>
      <c r="II80" s="2473"/>
      <c r="IJ80" s="2473"/>
      <c r="IK80" s="2473"/>
      <c r="IL80" s="2473"/>
      <c r="IM80" s="2473"/>
      <c r="IN80" s="2473"/>
      <c r="IO80" s="2473"/>
      <c r="IP80" s="2473"/>
      <c r="IQ80" s="2473"/>
      <c r="IR80" s="2473"/>
      <c r="IS80" s="2473"/>
      <c r="IT80" s="2473"/>
      <c r="IU80" s="2473"/>
      <c r="IV80" s="2473"/>
      <c r="IW80" s="2473"/>
      <c r="IX80" s="2473"/>
      <c r="IY80" s="2473"/>
      <c r="IZ80" s="2473"/>
      <c r="JA80" s="2473"/>
      <c r="JB80" s="2473"/>
      <c r="JC80" s="2473"/>
      <c r="JD80" s="2473"/>
      <c r="JE80" s="2473"/>
      <c r="JF80" s="2473"/>
      <c r="JG80" s="2473"/>
      <c r="JH80" s="2473"/>
      <c r="JI80" s="2473"/>
      <c r="JJ80" s="2473"/>
      <c r="JK80" s="2473"/>
      <c r="JL80" s="2473"/>
      <c r="JM80" s="2473"/>
      <c r="JN80" s="2473"/>
      <c r="JO80" s="2473"/>
      <c r="JP80" s="2473"/>
      <c r="JQ80" s="2473"/>
      <c r="JR80" s="2473"/>
      <c r="JS80" s="2473"/>
      <c r="JT80" s="2473"/>
      <c r="JU80" s="2473"/>
      <c r="JV80" s="2473"/>
      <c r="JW80" s="2473"/>
      <c r="JX80" s="2473"/>
      <c r="JY80" s="2473"/>
      <c r="JZ80" s="2473"/>
      <c r="KA80" s="2473"/>
      <c r="KB80" s="2473"/>
      <c r="KC80" s="2473"/>
      <c r="KD80" s="2473"/>
      <c r="KE80" s="2473"/>
      <c r="KF80" s="2473"/>
      <c r="KG80" s="2473"/>
      <c r="KH80" s="2473"/>
      <c r="KI80" s="2473"/>
      <c r="KJ80" s="2473"/>
      <c r="KK80" s="2473"/>
      <c r="KL80" s="2473"/>
      <c r="KM80" s="2473"/>
      <c r="KN80" s="2473"/>
      <c r="KO80" s="2473"/>
      <c r="KP80" s="2473"/>
      <c r="KQ80" s="2473"/>
      <c r="KR80" s="2473"/>
      <c r="KS80" s="2473"/>
      <c r="KT80" s="2473"/>
      <c r="KU80" s="2473"/>
      <c r="KV80" s="2473"/>
      <c r="KW80" s="2473"/>
      <c r="KX80" s="2473"/>
      <c r="KY80" s="2473"/>
      <c r="KZ80" s="2473"/>
      <c r="LA80" s="2473"/>
      <c r="LB80" s="2473"/>
      <c r="LC80" s="2473"/>
      <c r="LD80" s="2473"/>
      <c r="LE80" s="2473"/>
      <c r="LF80" s="2473"/>
      <c r="LG80" s="2473"/>
      <c r="LH80" s="2473"/>
      <c r="LI80" s="2473"/>
      <c r="LJ80" s="2473"/>
      <c r="LK80" s="2473"/>
      <c r="LL80" s="2473"/>
      <c r="LM80" s="2473"/>
      <c r="LN80" s="2473"/>
      <c r="LO80" s="2473"/>
      <c r="LP80" s="2473"/>
      <c r="LQ80" s="2473"/>
      <c r="LR80" s="2473"/>
      <c r="LS80" s="2473"/>
      <c r="LT80" s="2473"/>
      <c r="LU80" s="2473"/>
      <c r="LV80" s="2473"/>
      <c r="LW80" s="2473"/>
      <c r="LX80" s="2473"/>
      <c r="LY80" s="2473"/>
      <c r="LZ80" s="2473"/>
      <c r="MA80" s="2473"/>
      <c r="MB80" s="2473"/>
      <c r="MC80" s="2473"/>
      <c r="MD80" s="2473"/>
      <c r="ME80" s="2473"/>
      <c r="MF80" s="2473"/>
      <c r="MG80" s="2473"/>
      <c r="MH80" s="2473"/>
      <c r="MI80" s="2473"/>
      <c r="MJ80" s="2473"/>
      <c r="MK80" s="2473"/>
      <c r="ML80" s="2473"/>
      <c r="MM80" s="2473"/>
      <c r="MN80" s="2473"/>
      <c r="MO80" s="2473"/>
      <c r="MP80" s="2473"/>
      <c r="MQ80" s="2473"/>
      <c r="MR80" s="2473"/>
      <c r="MS80" s="2473"/>
      <c r="MT80" s="2473"/>
      <c r="MU80" s="2473"/>
      <c r="MV80" s="2473"/>
      <c r="MW80" s="2473"/>
      <c r="MX80" s="2473"/>
      <c r="MY80" s="2473"/>
      <c r="MZ80" s="2473"/>
      <c r="NA80" s="2473"/>
      <c r="NB80" s="2473"/>
      <c r="NC80" s="2473"/>
      <c r="ND80" s="2473"/>
      <c r="NE80" s="2316"/>
      <c r="NF80" s="2316"/>
      <c r="NG80" s="2316"/>
      <c r="NH80" s="2316"/>
      <c r="NI80" s="2316"/>
      <c r="NJ80" s="2316"/>
      <c r="NK80" s="2316"/>
      <c r="NL80" s="2316"/>
      <c r="NM80" s="2316"/>
      <c r="NN80" s="2316"/>
      <c r="NO80" s="2316"/>
      <c r="NP80" s="2316"/>
      <c r="NQ80" s="2316"/>
      <c r="NR80" s="2316"/>
      <c r="NS80" s="2316"/>
      <c r="NT80" s="2316"/>
      <c r="NU80" s="2316"/>
      <c r="NV80" s="2316"/>
      <c r="NW80" s="2316"/>
      <c r="NX80" s="2316"/>
      <c r="NY80" s="2316"/>
      <c r="NZ80" s="2316"/>
      <c r="OA80" s="2316"/>
      <c r="OB80" s="2316"/>
      <c r="OC80" s="2316"/>
      <c r="OD80" s="2316"/>
      <c r="OE80" s="2316"/>
      <c r="OF80" s="2316"/>
      <c r="OG80" s="2316"/>
      <c r="OH80" s="2316"/>
      <c r="OI80" s="2316"/>
      <c r="OJ80" s="2316"/>
      <c r="OK80" s="2316"/>
      <c r="OL80" s="2316"/>
      <c r="OM80" s="2316"/>
      <c r="ON80" s="2316"/>
      <c r="OO80" s="2316"/>
      <c r="OP80" s="2316"/>
      <c r="OQ80" s="2316"/>
      <c r="OR80" s="2316"/>
      <c r="OS80" s="2316"/>
      <c r="OT80" s="2316"/>
      <c r="OU80" s="2316"/>
      <c r="OV80" s="2316"/>
      <c r="OW80" s="2316"/>
      <c r="OX80" s="2316"/>
      <c r="OY80" s="2316"/>
      <c r="OZ80" s="2316"/>
      <c r="PA80" s="2316"/>
      <c r="PB80" s="2316"/>
      <c r="PC80" s="2316"/>
      <c r="PD80" s="2316"/>
      <c r="PE80" s="2316"/>
      <c r="PF80" s="2316"/>
      <c r="PG80" s="2316"/>
      <c r="PH80" s="2316"/>
      <c r="PI80" s="2316"/>
      <c r="PJ80" s="2316"/>
      <c r="PK80" s="2316"/>
      <c r="PL80" s="2316"/>
      <c r="PM80" s="2316"/>
      <c r="PN80" s="2316"/>
      <c r="PO80" s="2316"/>
      <c r="PP80" s="2316"/>
      <c r="PQ80" s="2316"/>
      <c r="PR80" s="2316"/>
      <c r="PS80" s="2316"/>
      <c r="PT80" s="2316"/>
      <c r="PU80" s="2316"/>
      <c r="PV80" s="2316"/>
      <c r="PW80" s="2316"/>
      <c r="PX80" s="2316"/>
      <c r="PY80" s="2316"/>
      <c r="PZ80" s="2316"/>
      <c r="QA80" s="2316"/>
      <c r="QB80" s="2316"/>
      <c r="QC80" s="2316"/>
      <c r="QD80" s="2316"/>
      <c r="QE80" s="2316"/>
      <c r="QF80" s="2316"/>
      <c r="QG80" s="2316"/>
      <c r="QH80" s="2316"/>
      <c r="QI80" s="2316"/>
      <c r="QJ80" s="2316"/>
      <c r="QK80" s="2316"/>
      <c r="QL80" s="2316"/>
      <c r="QM80" s="2316"/>
      <c r="QN80" s="2316"/>
      <c r="QO80" s="2316"/>
      <c r="QP80" s="2316"/>
      <c r="QQ80" s="2316"/>
      <c r="QR80" s="2316"/>
      <c r="QS80" s="2316"/>
      <c r="QT80" s="2316"/>
      <c r="QU80" s="2316"/>
      <c r="QV80" s="2316"/>
      <c r="QW80" s="2316"/>
      <c r="QX80" s="2316"/>
      <c r="QY80" s="2316"/>
      <c r="QZ80" s="2316"/>
      <c r="RA80" s="2316"/>
      <c r="RB80" s="2316"/>
      <c r="RC80" s="2316"/>
      <c r="RD80" s="2316"/>
      <c r="RE80" s="2316"/>
      <c r="RF80" s="2316"/>
      <c r="RG80" s="2316"/>
      <c r="RH80" s="2316"/>
      <c r="RI80" s="2316"/>
      <c r="RJ80" s="2316"/>
      <c r="RK80" s="2316"/>
      <c r="RL80" s="2316"/>
      <c r="RM80" s="2316"/>
      <c r="RN80" s="2316"/>
      <c r="RO80" s="2316"/>
      <c r="RP80" s="2316"/>
      <c r="RQ80" s="2316"/>
      <c r="RR80" s="2316"/>
      <c r="RS80" s="2316"/>
      <c r="RT80" s="2316"/>
      <c r="RU80" s="2316"/>
      <c r="RV80" s="2316"/>
      <c r="RW80" s="2316"/>
      <c r="RX80" s="2316"/>
      <c r="RY80" s="2316"/>
      <c r="RZ80" s="2316"/>
      <c r="SA80" s="2316"/>
    </row>
    <row r="81" spans="1:495" customFormat="1">
      <c r="B81" s="2022"/>
      <c r="C81" s="2266"/>
      <c r="D81" s="2265"/>
      <c r="E81" s="2265"/>
      <c r="F81" s="8"/>
      <c r="G81" s="2485" t="str">
        <f>IF(AND(K81="",L81="",M81="",N81="",O81=""),"",IF(OR(K81&gt;2,L81&gt;2,M81&gt;2,N81&gt;2,O81&gt;2,K81&lt;-2,L81&lt;-2,M81&lt;-2,N81&lt;-2,O81&lt;-2),"Not Equal","Equal"))</f>
        <v/>
      </c>
      <c r="H81" s="2340" t="s">
        <v>4810</v>
      </c>
      <c r="I81" s="2272"/>
      <c r="J81" s="1"/>
      <c r="K81" s="2329" t="str">
        <f t="shared" ref="K81:P81" si="369">IF(OR(K80="",K59=0),"", K59-K80)</f>
        <v/>
      </c>
      <c r="L81" s="2329" t="str">
        <f t="shared" si="369"/>
        <v/>
      </c>
      <c r="M81" s="2329" t="str">
        <f t="shared" si="369"/>
        <v/>
      </c>
      <c r="N81" s="2329" t="str">
        <f t="shared" si="369"/>
        <v/>
      </c>
      <c r="O81" s="2329" t="str">
        <f t="shared" si="369"/>
        <v/>
      </c>
      <c r="P81" s="2329" t="str">
        <f t="shared" si="369"/>
        <v/>
      </c>
      <c r="X81" s="2473"/>
      <c r="Y81" s="2473"/>
      <c r="Z81" s="2473"/>
      <c r="AA81" s="2473"/>
      <c r="AB81" s="2473"/>
      <c r="AC81" s="2473"/>
      <c r="AD81" s="2473"/>
      <c r="AE81" s="2473"/>
      <c r="AF81" s="2473"/>
      <c r="AG81" s="2473"/>
      <c r="AH81" s="2473"/>
      <c r="AI81" s="2473"/>
      <c r="AJ81" s="2473"/>
      <c r="AK81" s="2473"/>
      <c r="AL81" s="2473"/>
      <c r="AM81" s="2473"/>
      <c r="AN81" s="2473"/>
      <c r="AO81" s="2473"/>
      <c r="AP81" s="2473"/>
      <c r="AQ81" s="2473"/>
      <c r="AR81" s="2473"/>
      <c r="AS81" s="2473"/>
      <c r="AT81" s="2473"/>
      <c r="AU81" s="2473"/>
      <c r="AV81" s="2473"/>
      <c r="AW81" s="2473"/>
      <c r="AX81" s="2473"/>
      <c r="AY81" s="2473"/>
      <c r="AZ81" s="2473"/>
      <c r="BA81" s="2473"/>
      <c r="BB81" s="2473"/>
      <c r="BC81" s="2473"/>
      <c r="BD81" s="2473"/>
      <c r="BE81" s="2473"/>
      <c r="BF81" s="2473"/>
      <c r="BG81" s="2473"/>
      <c r="BH81" s="2473"/>
      <c r="BI81" s="2473"/>
      <c r="BJ81" s="2473"/>
      <c r="BK81" s="2473"/>
      <c r="BL81" s="2473"/>
      <c r="BM81" s="2473"/>
      <c r="BN81" s="2473"/>
      <c r="BO81" s="2473"/>
      <c r="BP81" s="2473"/>
      <c r="BQ81" s="2473"/>
      <c r="BR81" s="2473"/>
      <c r="BS81" s="2473"/>
      <c r="BT81" s="2473"/>
      <c r="BU81" s="2473"/>
      <c r="BV81" s="2473"/>
      <c r="BW81" s="2473"/>
      <c r="BX81" s="2473"/>
      <c r="BY81" s="2473"/>
      <c r="BZ81" s="2473"/>
      <c r="CA81" s="2473"/>
      <c r="CB81" s="2473"/>
      <c r="CC81" s="2473"/>
      <c r="CD81" s="2473"/>
      <c r="CE81" s="2473"/>
      <c r="CF81" s="2473"/>
      <c r="CG81" s="2473"/>
      <c r="CH81" s="2473"/>
      <c r="CI81" s="2473"/>
      <c r="CJ81" s="2473"/>
      <c r="CK81" s="2473"/>
      <c r="CL81" s="2473"/>
      <c r="CM81" s="2473"/>
      <c r="CN81" s="2473"/>
      <c r="CO81" s="2473"/>
      <c r="CP81" s="2473"/>
      <c r="CQ81" s="2473"/>
      <c r="CR81" s="2473"/>
      <c r="CS81" s="2473"/>
      <c r="CT81" s="2473"/>
      <c r="CU81" s="2473"/>
      <c r="CV81" s="2473"/>
      <c r="CW81" s="2473"/>
      <c r="CX81" s="2473"/>
      <c r="CY81" s="2473"/>
      <c r="CZ81" s="2473"/>
      <c r="DA81" s="2473"/>
      <c r="DB81" s="2473"/>
      <c r="DC81" s="2473"/>
      <c r="DD81" s="2473"/>
      <c r="DE81" s="2473"/>
      <c r="DF81" s="2473"/>
      <c r="DG81" s="2473"/>
      <c r="DH81" s="2473"/>
      <c r="DI81" s="2473"/>
      <c r="DJ81" s="2473"/>
      <c r="DK81" s="2473"/>
      <c r="DL81" s="2473"/>
      <c r="DM81" s="2473"/>
      <c r="DN81" s="2473"/>
      <c r="DO81" s="2473"/>
      <c r="DP81" s="2473"/>
      <c r="DQ81" s="2473"/>
      <c r="DR81" s="2473"/>
      <c r="DS81" s="2473"/>
      <c r="DT81" s="2473"/>
      <c r="DU81" s="2473"/>
      <c r="DV81" s="2473"/>
      <c r="DW81" s="2473"/>
      <c r="DX81" s="2473"/>
      <c r="DY81" s="2473"/>
      <c r="DZ81" s="2473"/>
      <c r="EA81" s="2473"/>
      <c r="EB81" s="2473"/>
      <c r="EC81" s="2473"/>
      <c r="ED81" s="2473"/>
      <c r="EE81" s="2473"/>
      <c r="EF81" s="2473"/>
      <c r="EG81" s="2473"/>
      <c r="EH81" s="2473"/>
      <c r="EI81" s="2473"/>
      <c r="EJ81" s="2473"/>
      <c r="EK81" s="2473"/>
      <c r="EL81" s="2473"/>
      <c r="EM81" s="2473"/>
      <c r="EN81" s="2473"/>
      <c r="EO81" s="2473"/>
      <c r="EP81" s="2473"/>
      <c r="EQ81" s="2473"/>
      <c r="ER81" s="2473"/>
      <c r="ES81" s="2473"/>
      <c r="ET81" s="2473"/>
      <c r="EU81" s="2473"/>
      <c r="EV81" s="2473"/>
      <c r="EW81" s="2473"/>
      <c r="EX81" s="2473"/>
      <c r="EY81" s="2473"/>
      <c r="EZ81" s="2473"/>
      <c r="FA81" s="2473"/>
      <c r="FB81" s="2473"/>
      <c r="FC81" s="2473"/>
      <c r="FD81" s="2473"/>
      <c r="FE81" s="2473"/>
      <c r="FF81" s="2473"/>
      <c r="FG81" s="2473"/>
      <c r="FH81" s="2473"/>
      <c r="FI81" s="2473"/>
      <c r="FJ81" s="2473"/>
      <c r="FK81" s="2473"/>
      <c r="FL81" s="2473"/>
      <c r="FM81" s="2473"/>
      <c r="FN81" s="2473"/>
      <c r="FO81" s="2473"/>
      <c r="FP81" s="2473"/>
      <c r="FQ81" s="2473"/>
      <c r="FR81" s="2473"/>
      <c r="FS81" s="2473"/>
      <c r="FT81" s="2473"/>
      <c r="FU81" s="2473"/>
      <c r="FV81" s="2473"/>
      <c r="FW81" s="2473"/>
      <c r="FX81" s="2473"/>
      <c r="FY81" s="2473"/>
      <c r="FZ81" s="2473"/>
      <c r="GA81" s="2473"/>
      <c r="GB81" s="2473"/>
      <c r="GC81" s="2473"/>
      <c r="GD81" s="2473"/>
      <c r="GE81" s="2473"/>
      <c r="GF81" s="2473"/>
      <c r="GG81" s="2473"/>
      <c r="GH81" s="2473"/>
      <c r="GI81" s="2473"/>
      <c r="GJ81" s="2473"/>
      <c r="GK81" s="2473"/>
      <c r="GL81" s="2473"/>
      <c r="GM81" s="2473"/>
      <c r="GN81" s="2473"/>
      <c r="GO81" s="2473"/>
      <c r="GP81" s="2473"/>
      <c r="GQ81" s="2473"/>
      <c r="GR81" s="2473"/>
      <c r="GS81" s="2473"/>
      <c r="GT81" s="2473"/>
      <c r="GU81" s="2473"/>
      <c r="GV81" s="2473"/>
      <c r="GW81" s="2473"/>
      <c r="GX81" s="2473"/>
      <c r="GY81" s="2473"/>
      <c r="GZ81" s="2473"/>
      <c r="HA81" s="2473"/>
      <c r="HB81" s="2473"/>
      <c r="HC81" s="2473"/>
      <c r="HD81" s="2473"/>
      <c r="HE81" s="2473"/>
      <c r="HF81" s="2473"/>
      <c r="HG81" s="2473"/>
      <c r="HH81" s="2473"/>
      <c r="HI81" s="2473"/>
      <c r="HJ81" s="2473"/>
      <c r="HK81" s="2473"/>
      <c r="HL81" s="2473"/>
      <c r="HM81" s="2473"/>
      <c r="HN81" s="2473"/>
      <c r="HO81" s="2473"/>
      <c r="HP81" s="2473"/>
      <c r="HQ81" s="2473"/>
      <c r="HR81" s="2473"/>
      <c r="HS81" s="2473"/>
      <c r="HT81" s="2473"/>
      <c r="HU81" s="2473"/>
      <c r="HV81" s="2473"/>
      <c r="HW81" s="2473"/>
      <c r="HX81" s="2473"/>
      <c r="HY81" s="2473"/>
      <c r="HZ81" s="2473"/>
      <c r="IA81" s="2473"/>
      <c r="IB81" s="2473"/>
      <c r="IC81" s="2473"/>
      <c r="ID81" s="2473"/>
      <c r="IE81" s="2473"/>
      <c r="IF81" s="2473"/>
      <c r="IG81" s="2473"/>
      <c r="IH81" s="2473"/>
      <c r="II81" s="2473"/>
      <c r="IJ81" s="2473"/>
      <c r="IK81" s="2473"/>
      <c r="IL81" s="2473"/>
      <c r="IM81" s="2473"/>
      <c r="IN81" s="2473"/>
      <c r="IO81" s="2473"/>
      <c r="IP81" s="2473"/>
      <c r="IQ81" s="2473"/>
      <c r="IR81" s="2473"/>
      <c r="IS81" s="2473"/>
      <c r="IT81" s="2473"/>
      <c r="IU81" s="2473"/>
      <c r="IV81" s="2473"/>
      <c r="IW81" s="2473"/>
      <c r="IX81" s="2473"/>
      <c r="IY81" s="2473"/>
      <c r="IZ81" s="2473"/>
      <c r="JA81" s="2473"/>
      <c r="JB81" s="2473"/>
      <c r="JC81" s="2473"/>
      <c r="JD81" s="2473"/>
      <c r="JE81" s="2473"/>
      <c r="JF81" s="2473"/>
      <c r="JG81" s="2473"/>
      <c r="JH81" s="2473"/>
      <c r="JI81" s="2473"/>
      <c r="JJ81" s="2473"/>
      <c r="JK81" s="2473"/>
      <c r="JL81" s="2473"/>
      <c r="JM81" s="2473"/>
      <c r="JN81" s="2473"/>
      <c r="JO81" s="2473"/>
      <c r="JP81" s="2473"/>
      <c r="JQ81" s="2473"/>
      <c r="JR81" s="2473"/>
      <c r="JS81" s="2473"/>
      <c r="JT81" s="2473"/>
      <c r="JU81" s="2473"/>
      <c r="JV81" s="2473"/>
      <c r="JW81" s="2473"/>
      <c r="JX81" s="2473"/>
      <c r="JY81" s="2473"/>
      <c r="JZ81" s="2473"/>
      <c r="KA81" s="2473"/>
      <c r="KB81" s="2473"/>
      <c r="KC81" s="2473"/>
      <c r="KD81" s="2473"/>
      <c r="KE81" s="2473"/>
      <c r="KF81" s="2473"/>
      <c r="KG81" s="2473"/>
      <c r="KH81" s="2473"/>
      <c r="KI81" s="2473"/>
      <c r="KJ81" s="2473"/>
      <c r="KK81" s="2473"/>
      <c r="KL81" s="2473"/>
      <c r="KM81" s="2473"/>
      <c r="KN81" s="2473"/>
      <c r="KO81" s="2473"/>
      <c r="KP81" s="2473"/>
      <c r="KQ81" s="2473"/>
      <c r="KR81" s="2473"/>
      <c r="KS81" s="2473"/>
      <c r="KT81" s="2473"/>
      <c r="KU81" s="2473"/>
      <c r="KV81" s="2473"/>
      <c r="KW81" s="2473"/>
      <c r="KX81" s="2473"/>
      <c r="KY81" s="2473"/>
      <c r="KZ81" s="2473"/>
      <c r="LA81" s="2473"/>
      <c r="LB81" s="2473"/>
      <c r="LC81" s="2473"/>
      <c r="LD81" s="2473"/>
      <c r="LE81" s="2473"/>
      <c r="LF81" s="2473"/>
      <c r="LG81" s="2473"/>
      <c r="LH81" s="2473"/>
      <c r="LI81" s="2473"/>
      <c r="LJ81" s="2473"/>
      <c r="LK81" s="2473"/>
      <c r="LL81" s="2473"/>
      <c r="LM81" s="2473"/>
      <c r="LN81" s="2473"/>
      <c r="LO81" s="2473"/>
      <c r="LP81" s="2473"/>
      <c r="LQ81" s="2473"/>
      <c r="LR81" s="2473"/>
      <c r="LS81" s="2473"/>
      <c r="LT81" s="2473"/>
      <c r="LU81" s="2473"/>
      <c r="LV81" s="2473"/>
      <c r="LW81" s="2473"/>
      <c r="LX81" s="2473"/>
      <c r="LY81" s="2473"/>
      <c r="LZ81" s="2473"/>
      <c r="MA81" s="2473"/>
      <c r="MB81" s="2473"/>
      <c r="MC81" s="2473"/>
      <c r="MD81" s="2473"/>
      <c r="ME81" s="2473"/>
      <c r="MF81" s="2473"/>
      <c r="MG81" s="2473"/>
      <c r="MH81" s="2473"/>
      <c r="MI81" s="2473"/>
      <c r="MJ81" s="2473"/>
      <c r="MK81" s="2473"/>
      <c r="ML81" s="2473"/>
      <c r="MM81" s="2473"/>
      <c r="MN81" s="2473"/>
      <c r="MO81" s="2473"/>
      <c r="MP81" s="2473"/>
      <c r="MQ81" s="2473"/>
      <c r="MR81" s="2473"/>
      <c r="MS81" s="2473"/>
      <c r="MT81" s="2473"/>
      <c r="MU81" s="2473"/>
      <c r="MV81" s="2473"/>
      <c r="MW81" s="2473"/>
      <c r="MX81" s="2473"/>
      <c r="MY81" s="2473"/>
      <c r="MZ81" s="2473"/>
      <c r="NA81" s="2473"/>
      <c r="NB81" s="2473"/>
      <c r="NC81" s="2473"/>
      <c r="ND81" s="2473"/>
      <c r="NE81" s="2316"/>
      <c r="NF81" s="2316"/>
      <c r="NG81" s="2316"/>
      <c r="NH81" s="2316"/>
      <c r="NI81" s="2316"/>
      <c r="NJ81" s="2316"/>
      <c r="NK81" s="2316"/>
      <c r="NL81" s="2316"/>
      <c r="NM81" s="2316"/>
      <c r="NN81" s="2316"/>
      <c r="NO81" s="2316"/>
      <c r="NP81" s="2316"/>
      <c r="NQ81" s="2316"/>
      <c r="NR81" s="2316"/>
      <c r="NS81" s="2316"/>
      <c r="NT81" s="2316"/>
      <c r="NU81" s="2316"/>
      <c r="NV81" s="2316"/>
      <c r="NW81" s="2316"/>
      <c r="NX81" s="2316"/>
      <c r="NY81" s="2316"/>
      <c r="NZ81" s="2316"/>
      <c r="OA81" s="2316"/>
      <c r="OB81" s="2316"/>
      <c r="OC81" s="2316"/>
      <c r="OD81" s="2316"/>
      <c r="OE81" s="2316"/>
      <c r="OF81" s="2316"/>
      <c r="OG81" s="2316"/>
      <c r="OH81" s="2316"/>
      <c r="OI81" s="2316"/>
      <c r="OJ81" s="2316"/>
      <c r="OK81" s="2316"/>
      <c r="OL81" s="2316"/>
      <c r="OM81" s="2316"/>
      <c r="ON81" s="2316"/>
      <c r="OO81" s="2316"/>
      <c r="OP81" s="2316"/>
      <c r="OQ81" s="2316"/>
      <c r="OR81" s="2316"/>
      <c r="OS81" s="2316"/>
      <c r="OT81" s="2316"/>
      <c r="OU81" s="2316"/>
      <c r="OV81" s="2316"/>
      <c r="OW81" s="2316"/>
      <c r="OX81" s="2316"/>
      <c r="OY81" s="2316"/>
      <c r="OZ81" s="2316"/>
      <c r="PA81" s="2316"/>
      <c r="PB81" s="2316"/>
      <c r="PC81" s="2316"/>
      <c r="PD81" s="2316"/>
      <c r="PE81" s="2316"/>
      <c r="PF81" s="2316"/>
      <c r="PG81" s="2316"/>
      <c r="PH81" s="2316"/>
      <c r="PI81" s="2316"/>
      <c r="PJ81" s="2316"/>
      <c r="PK81" s="2316"/>
      <c r="PL81" s="2316"/>
      <c r="PM81" s="2316"/>
      <c r="PN81" s="2316"/>
      <c r="PO81" s="2316"/>
      <c r="PP81" s="2316"/>
      <c r="PQ81" s="2316"/>
      <c r="PR81" s="2316"/>
      <c r="PS81" s="2316"/>
      <c r="PT81" s="2316"/>
      <c r="PU81" s="2316"/>
      <c r="PV81" s="2316"/>
      <c r="PW81" s="2316"/>
      <c r="PX81" s="2316"/>
      <c r="PY81" s="2316"/>
      <c r="PZ81" s="2316"/>
      <c r="QA81" s="2316"/>
      <c r="QB81" s="2316"/>
      <c r="QC81" s="2316"/>
      <c r="QD81" s="2316"/>
      <c r="QE81" s="2316"/>
      <c r="QF81" s="2316"/>
      <c r="QG81" s="2316"/>
      <c r="QH81" s="2316"/>
      <c r="QI81" s="2316"/>
      <c r="QJ81" s="2316"/>
      <c r="QK81" s="2316"/>
      <c r="QL81" s="2316"/>
      <c r="QM81" s="2316"/>
      <c r="QN81" s="2316"/>
      <c r="QO81" s="2316"/>
      <c r="QP81" s="2316"/>
      <c r="QQ81" s="2316"/>
      <c r="QR81" s="2316"/>
      <c r="QS81" s="2316"/>
      <c r="QT81" s="2316"/>
      <c r="QU81" s="2316"/>
      <c r="QV81" s="2316"/>
      <c r="QW81" s="2316"/>
      <c r="QX81" s="2316"/>
      <c r="QY81" s="2316"/>
      <c r="QZ81" s="2316"/>
      <c r="RA81" s="2316"/>
      <c r="RB81" s="2316"/>
      <c r="RC81" s="2316"/>
      <c r="RD81" s="2316"/>
      <c r="RE81" s="2316"/>
      <c r="RF81" s="2316"/>
      <c r="RG81" s="2316"/>
      <c r="RH81" s="2316"/>
      <c r="RI81" s="2316"/>
      <c r="RJ81" s="2316"/>
      <c r="RK81" s="2316"/>
      <c r="RL81" s="2316"/>
      <c r="RM81" s="2316"/>
      <c r="RN81" s="2316"/>
      <c r="RO81" s="2316"/>
      <c r="RP81" s="2316"/>
      <c r="RQ81" s="2316"/>
      <c r="RR81" s="2316"/>
      <c r="RS81" s="2316"/>
      <c r="RT81" s="2316"/>
      <c r="RU81" s="2316"/>
      <c r="RV81" s="2316"/>
      <c r="RW81" s="2316"/>
      <c r="RX81" s="2316"/>
      <c r="RY81" s="2316"/>
      <c r="RZ81" s="2316"/>
      <c r="SA81" s="2316"/>
    </row>
    <row r="82" spans="1:495" customFormat="1">
      <c r="B82" s="2022"/>
      <c r="C82" s="2266" t="s">
        <v>4785</v>
      </c>
      <c r="D82" s="2265"/>
      <c r="E82" s="2265"/>
      <c r="F82" s="8"/>
      <c r="G82" s="8"/>
      <c r="H82" s="2339" t="s">
        <v>4129</v>
      </c>
      <c r="I82" s="2270"/>
      <c r="J82" s="1"/>
      <c r="K82" s="2332" t="str">
        <f t="shared" ref="K82:P82" si="370">IF(OR(K60=0,K$67=0),"",K60/K$67)</f>
        <v/>
      </c>
      <c r="L82" s="2333" t="str">
        <f t="shared" si="370"/>
        <v/>
      </c>
      <c r="M82" s="2333" t="str">
        <f t="shared" si="370"/>
        <v/>
      </c>
      <c r="N82" s="2333" t="str">
        <f t="shared" si="370"/>
        <v/>
      </c>
      <c r="O82" s="2333" t="str">
        <f t="shared" si="370"/>
        <v/>
      </c>
      <c r="P82" s="2334" t="str">
        <f t="shared" si="370"/>
        <v/>
      </c>
      <c r="X82" s="2473"/>
      <c r="Y82" s="2473"/>
      <c r="Z82" s="2473"/>
      <c r="AA82" s="2473"/>
      <c r="AB82" s="2473"/>
      <c r="AC82" s="2473"/>
      <c r="AD82" s="2473"/>
      <c r="AE82" s="2473"/>
      <c r="AF82" s="2473"/>
      <c r="AG82" s="2473"/>
      <c r="AH82" s="2473"/>
      <c r="AI82" s="2473"/>
      <c r="AJ82" s="2473"/>
      <c r="AK82" s="2473"/>
      <c r="AL82" s="2473"/>
      <c r="AM82" s="2473"/>
      <c r="AN82" s="2473"/>
      <c r="AO82" s="2473"/>
      <c r="AP82" s="2473"/>
      <c r="AQ82" s="2473"/>
      <c r="AR82" s="2473"/>
      <c r="AS82" s="2473"/>
      <c r="AT82" s="2473"/>
      <c r="AU82" s="2473"/>
      <c r="AV82" s="2473"/>
      <c r="AW82" s="2473"/>
      <c r="AX82" s="2473"/>
      <c r="AY82" s="2473"/>
      <c r="AZ82" s="2473"/>
      <c r="BA82" s="2473"/>
      <c r="BB82" s="2473"/>
      <c r="BC82" s="2473"/>
      <c r="BD82" s="2473"/>
      <c r="BE82" s="2473"/>
      <c r="BF82" s="2473"/>
      <c r="BG82" s="2473"/>
      <c r="BH82" s="2473"/>
      <c r="BI82" s="2473"/>
      <c r="BJ82" s="2473"/>
      <c r="BK82" s="2473"/>
      <c r="BL82" s="2473"/>
      <c r="BM82" s="2473"/>
      <c r="BN82" s="2473"/>
      <c r="BO82" s="2473"/>
      <c r="BP82" s="2473"/>
      <c r="BQ82" s="2473"/>
      <c r="BR82" s="2473"/>
      <c r="BS82" s="2473"/>
      <c r="BT82" s="2473"/>
      <c r="BU82" s="2473"/>
      <c r="BV82" s="2473"/>
      <c r="BW82" s="2473"/>
      <c r="BX82" s="2473"/>
      <c r="BY82" s="2473"/>
      <c r="BZ82" s="2473"/>
      <c r="CA82" s="2473"/>
      <c r="CB82" s="2473"/>
      <c r="CC82" s="2473"/>
      <c r="CD82" s="2473"/>
      <c r="CE82" s="2473"/>
      <c r="CF82" s="2473"/>
      <c r="CG82" s="2473"/>
      <c r="CH82" s="2473"/>
      <c r="CI82" s="2473"/>
      <c r="CJ82" s="2473"/>
      <c r="CK82" s="2473"/>
      <c r="CL82" s="2473"/>
      <c r="CM82" s="2473"/>
      <c r="CN82" s="2473"/>
      <c r="CO82" s="2473"/>
      <c r="CP82" s="2473"/>
      <c r="CQ82" s="2473"/>
      <c r="CR82" s="2473"/>
      <c r="CS82" s="2473"/>
      <c r="CT82" s="2473"/>
      <c r="CU82" s="2473"/>
      <c r="CV82" s="2473"/>
      <c r="CW82" s="2473"/>
      <c r="CX82" s="2473"/>
      <c r="CY82" s="2473"/>
      <c r="CZ82" s="2473"/>
      <c r="DA82" s="2473"/>
      <c r="DB82" s="2473"/>
      <c r="DC82" s="2473"/>
      <c r="DD82" s="2473"/>
      <c r="DE82" s="2473"/>
      <c r="DF82" s="2473"/>
      <c r="DG82" s="2473"/>
      <c r="DH82" s="2473"/>
      <c r="DI82" s="2473"/>
      <c r="DJ82" s="2473"/>
      <c r="DK82" s="2473"/>
      <c r="DL82" s="2473"/>
      <c r="DM82" s="2473"/>
      <c r="DN82" s="2473"/>
      <c r="DO82" s="2473"/>
      <c r="DP82" s="2473"/>
      <c r="DQ82" s="2473"/>
      <c r="DR82" s="2473"/>
      <c r="DS82" s="2473"/>
      <c r="DT82" s="2473"/>
      <c r="DU82" s="2473"/>
      <c r="DV82" s="2473"/>
      <c r="DW82" s="2473"/>
      <c r="DX82" s="2473"/>
      <c r="DY82" s="2473"/>
      <c r="DZ82" s="2473"/>
      <c r="EA82" s="2473"/>
      <c r="EB82" s="2473"/>
      <c r="EC82" s="2473"/>
      <c r="ED82" s="2473"/>
      <c r="EE82" s="2473"/>
      <c r="EF82" s="2473"/>
      <c r="EG82" s="2473"/>
      <c r="EH82" s="2473"/>
      <c r="EI82" s="2473"/>
      <c r="EJ82" s="2473"/>
      <c r="EK82" s="2473"/>
      <c r="EL82" s="2473"/>
      <c r="EM82" s="2473"/>
      <c r="EN82" s="2473"/>
      <c r="EO82" s="2473"/>
      <c r="EP82" s="2473"/>
      <c r="EQ82" s="2473"/>
      <c r="ER82" s="2473"/>
      <c r="ES82" s="2473"/>
      <c r="ET82" s="2473"/>
      <c r="EU82" s="2473"/>
      <c r="EV82" s="2473"/>
      <c r="EW82" s="2473"/>
      <c r="EX82" s="2473"/>
      <c r="EY82" s="2473"/>
      <c r="EZ82" s="2473"/>
      <c r="FA82" s="2473"/>
      <c r="FB82" s="2473"/>
      <c r="FC82" s="2473"/>
      <c r="FD82" s="2473"/>
      <c r="FE82" s="2473"/>
      <c r="FF82" s="2473"/>
      <c r="FG82" s="2473"/>
      <c r="FH82" s="2473"/>
      <c r="FI82" s="2473"/>
      <c r="FJ82" s="2473"/>
      <c r="FK82" s="2473"/>
      <c r="FL82" s="2473"/>
      <c r="FM82" s="2473"/>
      <c r="FN82" s="2473"/>
      <c r="FO82" s="2473"/>
      <c r="FP82" s="2473"/>
      <c r="FQ82" s="2473"/>
      <c r="FR82" s="2473"/>
      <c r="FS82" s="2473"/>
      <c r="FT82" s="2473"/>
      <c r="FU82" s="2473"/>
      <c r="FV82" s="2473"/>
      <c r="FW82" s="2473"/>
      <c r="FX82" s="2473"/>
      <c r="FY82" s="2473"/>
      <c r="FZ82" s="2473"/>
      <c r="GA82" s="2473"/>
      <c r="GB82" s="2473"/>
      <c r="GC82" s="2473"/>
      <c r="GD82" s="2473"/>
      <c r="GE82" s="2473"/>
      <c r="GF82" s="2473"/>
      <c r="GG82" s="2473"/>
      <c r="GH82" s="2473"/>
      <c r="GI82" s="2473"/>
      <c r="GJ82" s="2473"/>
      <c r="GK82" s="2473"/>
      <c r="GL82" s="2473"/>
      <c r="GM82" s="2473"/>
      <c r="GN82" s="2473"/>
      <c r="GO82" s="2473"/>
      <c r="GP82" s="2473"/>
      <c r="GQ82" s="2473"/>
      <c r="GR82" s="2473"/>
      <c r="GS82" s="2473"/>
      <c r="GT82" s="2473"/>
      <c r="GU82" s="2473"/>
      <c r="GV82" s="2473"/>
      <c r="GW82" s="2473"/>
      <c r="GX82" s="2473"/>
      <c r="GY82" s="2473"/>
      <c r="GZ82" s="2473"/>
      <c r="HA82" s="2473"/>
      <c r="HB82" s="2473"/>
      <c r="HC82" s="2473"/>
      <c r="HD82" s="2473"/>
      <c r="HE82" s="2473"/>
      <c r="HF82" s="2473"/>
      <c r="HG82" s="2473"/>
      <c r="HH82" s="2473"/>
      <c r="HI82" s="2473"/>
      <c r="HJ82" s="2473"/>
      <c r="HK82" s="2473"/>
      <c r="HL82" s="2473"/>
      <c r="HM82" s="2473"/>
      <c r="HN82" s="2473"/>
      <c r="HO82" s="2473"/>
      <c r="HP82" s="2473"/>
      <c r="HQ82" s="2473"/>
      <c r="HR82" s="2473"/>
      <c r="HS82" s="2473"/>
      <c r="HT82" s="2473"/>
      <c r="HU82" s="2473"/>
      <c r="HV82" s="2473"/>
      <c r="HW82" s="2473"/>
      <c r="HX82" s="2473"/>
      <c r="HY82" s="2473"/>
      <c r="HZ82" s="2473"/>
      <c r="IA82" s="2473"/>
      <c r="IB82" s="2473"/>
      <c r="IC82" s="2473"/>
      <c r="ID82" s="2473"/>
      <c r="IE82" s="2473"/>
      <c r="IF82" s="2473"/>
      <c r="IG82" s="2473"/>
      <c r="IH82" s="2473"/>
      <c r="II82" s="2473"/>
      <c r="IJ82" s="2473"/>
      <c r="IK82" s="2473"/>
      <c r="IL82" s="2473"/>
      <c r="IM82" s="2473"/>
      <c r="IN82" s="2473"/>
      <c r="IO82" s="2473"/>
      <c r="IP82" s="2473"/>
      <c r="IQ82" s="2473"/>
      <c r="IR82" s="2473"/>
      <c r="IS82" s="2473"/>
      <c r="IT82" s="2473"/>
      <c r="IU82" s="2473"/>
      <c r="IV82" s="2473"/>
      <c r="IW82" s="2473"/>
      <c r="IX82" s="2473"/>
      <c r="IY82" s="2473"/>
      <c r="IZ82" s="2473"/>
      <c r="JA82" s="2473"/>
      <c r="JB82" s="2473"/>
      <c r="JC82" s="2473"/>
      <c r="JD82" s="2473"/>
      <c r="JE82" s="2473"/>
      <c r="JF82" s="2473"/>
      <c r="JG82" s="2473"/>
      <c r="JH82" s="2473"/>
      <c r="JI82" s="2473"/>
      <c r="JJ82" s="2473"/>
      <c r="JK82" s="2473"/>
      <c r="JL82" s="2473"/>
      <c r="JM82" s="2473"/>
      <c r="JN82" s="2473"/>
      <c r="JO82" s="2473"/>
      <c r="JP82" s="2473"/>
      <c r="JQ82" s="2473"/>
      <c r="JR82" s="2473"/>
      <c r="JS82" s="2473"/>
      <c r="JT82" s="2473"/>
      <c r="JU82" s="2473"/>
      <c r="JV82" s="2473"/>
      <c r="JW82" s="2473"/>
      <c r="JX82" s="2473"/>
      <c r="JY82" s="2473"/>
      <c r="JZ82" s="2473"/>
      <c r="KA82" s="2473"/>
      <c r="KB82" s="2473"/>
      <c r="KC82" s="2473"/>
      <c r="KD82" s="2473"/>
      <c r="KE82" s="2473"/>
      <c r="KF82" s="2473"/>
      <c r="KG82" s="2473"/>
      <c r="KH82" s="2473"/>
      <c r="KI82" s="2473"/>
      <c r="KJ82" s="2473"/>
      <c r="KK82" s="2473"/>
      <c r="KL82" s="2473"/>
      <c r="KM82" s="2473"/>
      <c r="KN82" s="2473"/>
      <c r="KO82" s="2473"/>
      <c r="KP82" s="2473"/>
      <c r="KQ82" s="2473"/>
      <c r="KR82" s="2473"/>
      <c r="KS82" s="2473"/>
      <c r="KT82" s="2473"/>
      <c r="KU82" s="2473"/>
      <c r="KV82" s="2473"/>
      <c r="KW82" s="2473"/>
      <c r="KX82" s="2473"/>
      <c r="KY82" s="2473"/>
      <c r="KZ82" s="2473"/>
      <c r="LA82" s="2473"/>
      <c r="LB82" s="2473"/>
      <c r="LC82" s="2473"/>
      <c r="LD82" s="2473"/>
      <c r="LE82" s="2473"/>
      <c r="LF82" s="2473"/>
      <c r="LG82" s="2473"/>
      <c r="LH82" s="2473"/>
      <c r="LI82" s="2473"/>
      <c r="LJ82" s="2473"/>
      <c r="LK82" s="2473"/>
      <c r="LL82" s="2473"/>
      <c r="LM82" s="2473"/>
      <c r="LN82" s="2473"/>
      <c r="LO82" s="2473"/>
      <c r="LP82" s="2473"/>
      <c r="LQ82" s="2473"/>
      <c r="LR82" s="2473"/>
      <c r="LS82" s="2473"/>
      <c r="LT82" s="2473"/>
      <c r="LU82" s="2473"/>
      <c r="LV82" s="2473"/>
      <c r="LW82" s="2473"/>
      <c r="LX82" s="2473"/>
      <c r="LY82" s="2473"/>
      <c r="LZ82" s="2473"/>
      <c r="MA82" s="2473"/>
      <c r="MB82" s="2473"/>
      <c r="MC82" s="2473"/>
      <c r="MD82" s="2473"/>
      <c r="ME82" s="2473"/>
      <c r="MF82" s="2473"/>
      <c r="MG82" s="2473"/>
      <c r="MH82" s="2473"/>
      <c r="MI82" s="2473"/>
      <c r="MJ82" s="2473"/>
      <c r="MK82" s="2473"/>
      <c r="ML82" s="2473"/>
      <c r="MM82" s="2473"/>
      <c r="MN82" s="2473"/>
      <c r="MO82" s="2473"/>
      <c r="MP82" s="2473"/>
      <c r="MQ82" s="2473"/>
      <c r="MR82" s="2473"/>
      <c r="MS82" s="2473"/>
      <c r="MT82" s="2473"/>
      <c r="MU82" s="2473"/>
      <c r="MV82" s="2473"/>
      <c r="MW82" s="2473"/>
      <c r="MX82" s="2473"/>
      <c r="MY82" s="2473"/>
      <c r="MZ82" s="2473"/>
      <c r="NA82" s="2473"/>
      <c r="NB82" s="2473"/>
      <c r="NC82" s="2473"/>
      <c r="ND82" s="2473"/>
      <c r="NE82" s="2316"/>
      <c r="NF82" s="2316"/>
      <c r="NG82" s="2316"/>
      <c r="NH82" s="2316"/>
      <c r="NI82" s="2316"/>
      <c r="NJ82" s="2316"/>
      <c r="NK82" s="2316"/>
      <c r="NL82" s="2316"/>
      <c r="NM82" s="2316"/>
      <c r="NN82" s="2316"/>
      <c r="NO82" s="2316"/>
      <c r="NP82" s="2316"/>
      <c r="NQ82" s="2316"/>
      <c r="NR82" s="2316"/>
      <c r="NS82" s="2316"/>
      <c r="NT82" s="2316"/>
      <c r="NU82" s="2316"/>
      <c r="NV82" s="2316"/>
      <c r="NW82" s="2316"/>
      <c r="NX82" s="2316"/>
      <c r="NY82" s="2316"/>
      <c r="NZ82" s="2316"/>
      <c r="OA82" s="2316"/>
      <c r="OB82" s="2316"/>
      <c r="OC82" s="2316"/>
      <c r="OD82" s="2316"/>
      <c r="OE82" s="2316"/>
      <c r="OF82" s="2316"/>
      <c r="OG82" s="2316"/>
      <c r="OH82" s="2316"/>
      <c r="OI82" s="2316"/>
      <c r="OJ82" s="2316"/>
      <c r="OK82" s="2316"/>
      <c r="OL82" s="2316"/>
      <c r="OM82" s="2316"/>
      <c r="ON82" s="2316"/>
      <c r="OO82" s="2316"/>
      <c r="OP82" s="2316"/>
      <c r="OQ82" s="2316"/>
      <c r="OR82" s="2316"/>
      <c r="OS82" s="2316"/>
      <c r="OT82" s="2316"/>
      <c r="OU82" s="2316"/>
      <c r="OV82" s="2316"/>
      <c r="OW82" s="2316"/>
      <c r="OX82" s="2316"/>
      <c r="OY82" s="2316"/>
      <c r="OZ82" s="2316"/>
      <c r="PA82" s="2316"/>
      <c r="PB82" s="2316"/>
      <c r="PC82" s="2316"/>
      <c r="PD82" s="2316"/>
      <c r="PE82" s="2316"/>
      <c r="PF82" s="2316"/>
      <c r="PG82" s="2316"/>
      <c r="PH82" s="2316"/>
      <c r="PI82" s="2316"/>
      <c r="PJ82" s="2316"/>
      <c r="PK82" s="2316"/>
      <c r="PL82" s="2316"/>
      <c r="PM82" s="2316"/>
      <c r="PN82" s="2316"/>
      <c r="PO82" s="2316"/>
      <c r="PP82" s="2316"/>
      <c r="PQ82" s="2316"/>
      <c r="PR82" s="2316"/>
      <c r="PS82" s="2316"/>
      <c r="PT82" s="2316"/>
      <c r="PU82" s="2316"/>
      <c r="PV82" s="2316"/>
      <c r="PW82" s="2316"/>
      <c r="PX82" s="2316"/>
      <c r="PY82" s="2316"/>
      <c r="PZ82" s="2316"/>
      <c r="QA82" s="2316"/>
      <c r="QB82" s="2316"/>
      <c r="QC82" s="2316"/>
      <c r="QD82" s="2316"/>
      <c r="QE82" s="2316"/>
      <c r="QF82" s="2316"/>
      <c r="QG82" s="2316"/>
      <c r="QH82" s="2316"/>
      <c r="QI82" s="2316"/>
      <c r="QJ82" s="2316"/>
      <c r="QK82" s="2316"/>
      <c r="QL82" s="2316"/>
      <c r="QM82" s="2316"/>
      <c r="QN82" s="2316"/>
      <c r="QO82" s="2316"/>
      <c r="QP82" s="2316"/>
      <c r="QQ82" s="2316"/>
      <c r="QR82" s="2316"/>
      <c r="QS82" s="2316"/>
      <c r="QT82" s="2316"/>
      <c r="QU82" s="2316"/>
      <c r="QV82" s="2316"/>
      <c r="QW82" s="2316"/>
      <c r="QX82" s="2316"/>
      <c r="QY82" s="2316"/>
      <c r="QZ82" s="2316"/>
      <c r="RA82" s="2316"/>
      <c r="RB82" s="2316"/>
      <c r="RC82" s="2316"/>
      <c r="RD82" s="2316"/>
      <c r="RE82" s="2316"/>
      <c r="RF82" s="2316"/>
      <c r="RG82" s="2316"/>
      <c r="RH82" s="2316"/>
      <c r="RI82" s="2316"/>
      <c r="RJ82" s="2316"/>
      <c r="RK82" s="2316"/>
      <c r="RL82" s="2316"/>
      <c r="RM82" s="2316"/>
      <c r="RN82" s="2316"/>
      <c r="RO82" s="2316"/>
      <c r="RP82" s="2316"/>
      <c r="RQ82" s="2316"/>
      <c r="RR82" s="2316"/>
      <c r="RS82" s="2316"/>
      <c r="RT82" s="2316"/>
      <c r="RU82" s="2316"/>
      <c r="RV82" s="2316"/>
      <c r="RW82" s="2316"/>
      <c r="RX82" s="2316"/>
      <c r="RY82" s="2316"/>
      <c r="RZ82" s="2316"/>
      <c r="SA82" s="2316"/>
    </row>
    <row r="83" spans="1:495" customFormat="1">
      <c r="B83" s="2022"/>
      <c r="C83" s="2266"/>
      <c r="D83" s="8"/>
      <c r="E83" s="8"/>
      <c r="F83" s="8"/>
      <c r="G83" s="8"/>
      <c r="H83" s="2339" t="s">
        <v>4809</v>
      </c>
      <c r="I83" s="2270"/>
      <c r="J83" s="1"/>
      <c r="K83" s="2327" t="str">
        <f>IF(OR(K60=0,$P82="",K$67=0),"",$P82*K$67)</f>
        <v/>
      </c>
      <c r="L83" s="2327" t="str">
        <f>IF(OR(L60=0,$P82="",L$67=0),"",$P82*L$67)</f>
        <v/>
      </c>
      <c r="M83" s="2327" t="str">
        <f>IF(OR(M60=0,$P82="",M$67=0),"",$P82*M$67)</f>
        <v/>
      </c>
      <c r="N83" s="2327" t="str">
        <f>IF(OR(N60=0,$P82="",N$67=0),"",$P82*N$67)</f>
        <v/>
      </c>
      <c r="O83" s="2327" t="str">
        <f>IF(OR(O60=0,$P82="",O$67=0),"",$P82*O$67)</f>
        <v/>
      </c>
      <c r="P83" s="2328" t="str">
        <f t="shared" ref="P83" si="371">IF(OR($P82="",P$67=0),"",$P82*P$67)</f>
        <v/>
      </c>
      <c r="X83" s="2473"/>
      <c r="Y83" s="2473"/>
      <c r="Z83" s="2473"/>
      <c r="AA83" s="2473"/>
      <c r="AB83" s="2473"/>
      <c r="AC83" s="2473"/>
      <c r="AD83" s="2473"/>
      <c r="AE83" s="2473"/>
      <c r="AF83" s="2473"/>
      <c r="AG83" s="2473"/>
      <c r="AH83" s="2473"/>
      <c r="AI83" s="2473"/>
      <c r="AJ83" s="2473"/>
      <c r="AK83" s="2473"/>
      <c r="AL83" s="2473"/>
      <c r="AM83" s="2473"/>
      <c r="AN83" s="2473"/>
      <c r="AO83" s="2473"/>
      <c r="AP83" s="2473"/>
      <c r="AQ83" s="2473"/>
      <c r="AR83" s="2473"/>
      <c r="AS83" s="2473"/>
      <c r="AT83" s="2473"/>
      <c r="AU83" s="2473"/>
      <c r="AV83" s="2473"/>
      <c r="AW83" s="2473"/>
      <c r="AX83" s="2473"/>
      <c r="AY83" s="2473"/>
      <c r="AZ83" s="2473"/>
      <c r="BA83" s="2473"/>
      <c r="BB83" s="2473"/>
      <c r="BC83" s="2473"/>
      <c r="BD83" s="2473"/>
      <c r="BE83" s="2473"/>
      <c r="BF83" s="2473"/>
      <c r="BG83" s="2473"/>
      <c r="BH83" s="2473"/>
      <c r="BI83" s="2473"/>
      <c r="BJ83" s="2473"/>
      <c r="BK83" s="2473"/>
      <c r="BL83" s="2473"/>
      <c r="BM83" s="2473"/>
      <c r="BN83" s="2473"/>
      <c r="BO83" s="2473"/>
      <c r="BP83" s="2473"/>
      <c r="BQ83" s="2473"/>
      <c r="BR83" s="2473"/>
      <c r="BS83" s="2473"/>
      <c r="BT83" s="2473"/>
      <c r="BU83" s="2473"/>
      <c r="BV83" s="2473"/>
      <c r="BW83" s="2473"/>
      <c r="BX83" s="2473"/>
      <c r="BY83" s="2473"/>
      <c r="BZ83" s="2473"/>
      <c r="CA83" s="2473"/>
      <c r="CB83" s="2473"/>
      <c r="CC83" s="2473"/>
      <c r="CD83" s="2473"/>
      <c r="CE83" s="2473"/>
      <c r="CF83" s="2473"/>
      <c r="CG83" s="2473"/>
      <c r="CH83" s="2473"/>
      <c r="CI83" s="2473"/>
      <c r="CJ83" s="2473"/>
      <c r="CK83" s="2473"/>
      <c r="CL83" s="2473"/>
      <c r="CM83" s="2473"/>
      <c r="CN83" s="2473"/>
      <c r="CO83" s="2473"/>
      <c r="CP83" s="2473"/>
      <c r="CQ83" s="2473"/>
      <c r="CR83" s="2473"/>
      <c r="CS83" s="2473"/>
      <c r="CT83" s="2473"/>
      <c r="CU83" s="2473"/>
      <c r="CV83" s="2473"/>
      <c r="CW83" s="2473"/>
      <c r="CX83" s="2473"/>
      <c r="CY83" s="2473"/>
      <c r="CZ83" s="2473"/>
      <c r="DA83" s="2473"/>
      <c r="DB83" s="2473"/>
      <c r="DC83" s="2473"/>
      <c r="DD83" s="2473"/>
      <c r="DE83" s="2473"/>
      <c r="DF83" s="2473"/>
      <c r="DG83" s="2473"/>
      <c r="DH83" s="2473"/>
      <c r="DI83" s="2473"/>
      <c r="DJ83" s="2473"/>
      <c r="DK83" s="2473"/>
      <c r="DL83" s="2473"/>
      <c r="DM83" s="2473"/>
      <c r="DN83" s="2473"/>
      <c r="DO83" s="2473"/>
      <c r="DP83" s="2473"/>
      <c r="DQ83" s="2473"/>
      <c r="DR83" s="2473"/>
      <c r="DS83" s="2473"/>
      <c r="DT83" s="2473"/>
      <c r="DU83" s="2473"/>
      <c r="DV83" s="2473"/>
      <c r="DW83" s="2473"/>
      <c r="DX83" s="2473"/>
      <c r="DY83" s="2473"/>
      <c r="DZ83" s="2473"/>
      <c r="EA83" s="2473"/>
      <c r="EB83" s="2473"/>
      <c r="EC83" s="2473"/>
      <c r="ED83" s="2473"/>
      <c r="EE83" s="2473"/>
      <c r="EF83" s="2473"/>
      <c r="EG83" s="2473"/>
      <c r="EH83" s="2473"/>
      <c r="EI83" s="2473"/>
      <c r="EJ83" s="2473"/>
      <c r="EK83" s="2473"/>
      <c r="EL83" s="2473"/>
      <c r="EM83" s="2473"/>
      <c r="EN83" s="2473"/>
      <c r="EO83" s="2473"/>
      <c r="EP83" s="2473"/>
      <c r="EQ83" s="2473"/>
      <c r="ER83" s="2473"/>
      <c r="ES83" s="2473"/>
      <c r="ET83" s="2473"/>
      <c r="EU83" s="2473"/>
      <c r="EV83" s="2473"/>
      <c r="EW83" s="2473"/>
      <c r="EX83" s="2473"/>
      <c r="EY83" s="2473"/>
      <c r="EZ83" s="2473"/>
      <c r="FA83" s="2473"/>
      <c r="FB83" s="2473"/>
      <c r="FC83" s="2473"/>
      <c r="FD83" s="2473"/>
      <c r="FE83" s="2473"/>
      <c r="FF83" s="2473"/>
      <c r="FG83" s="2473"/>
      <c r="FH83" s="2473"/>
      <c r="FI83" s="2473"/>
      <c r="FJ83" s="2473"/>
      <c r="FK83" s="2473"/>
      <c r="FL83" s="2473"/>
      <c r="FM83" s="2473"/>
      <c r="FN83" s="2473"/>
      <c r="FO83" s="2473"/>
      <c r="FP83" s="2473"/>
      <c r="FQ83" s="2473"/>
      <c r="FR83" s="2473"/>
      <c r="FS83" s="2473"/>
      <c r="FT83" s="2473"/>
      <c r="FU83" s="2473"/>
      <c r="FV83" s="2473"/>
      <c r="FW83" s="2473"/>
      <c r="FX83" s="2473"/>
      <c r="FY83" s="2473"/>
      <c r="FZ83" s="2473"/>
      <c r="GA83" s="2473"/>
      <c r="GB83" s="2473"/>
      <c r="GC83" s="2473"/>
      <c r="GD83" s="2473"/>
      <c r="GE83" s="2473"/>
      <c r="GF83" s="2473"/>
      <c r="GG83" s="2473"/>
      <c r="GH83" s="2473"/>
      <c r="GI83" s="2473"/>
      <c r="GJ83" s="2473"/>
      <c r="GK83" s="2473"/>
      <c r="GL83" s="2473"/>
      <c r="GM83" s="2473"/>
      <c r="GN83" s="2473"/>
      <c r="GO83" s="2473"/>
      <c r="GP83" s="2473"/>
      <c r="GQ83" s="2473"/>
      <c r="GR83" s="2473"/>
      <c r="GS83" s="2473"/>
      <c r="GT83" s="2473"/>
      <c r="GU83" s="2473"/>
      <c r="GV83" s="2473"/>
      <c r="GW83" s="2473"/>
      <c r="GX83" s="2473"/>
      <c r="GY83" s="2473"/>
      <c r="GZ83" s="2473"/>
      <c r="HA83" s="2473"/>
      <c r="HB83" s="2473"/>
      <c r="HC83" s="2473"/>
      <c r="HD83" s="2473"/>
      <c r="HE83" s="2473"/>
      <c r="HF83" s="2473"/>
      <c r="HG83" s="2473"/>
      <c r="HH83" s="2473"/>
      <c r="HI83" s="2473"/>
      <c r="HJ83" s="2473"/>
      <c r="HK83" s="2473"/>
      <c r="HL83" s="2473"/>
      <c r="HM83" s="2473"/>
      <c r="HN83" s="2473"/>
      <c r="HO83" s="2473"/>
      <c r="HP83" s="2473"/>
      <c r="HQ83" s="2473"/>
      <c r="HR83" s="2473"/>
      <c r="HS83" s="2473"/>
      <c r="HT83" s="2473"/>
      <c r="HU83" s="2473"/>
      <c r="HV83" s="2473"/>
      <c r="HW83" s="2473"/>
      <c r="HX83" s="2473"/>
      <c r="HY83" s="2473"/>
      <c r="HZ83" s="2473"/>
      <c r="IA83" s="2473"/>
      <c r="IB83" s="2473"/>
      <c r="IC83" s="2473"/>
      <c r="ID83" s="2473"/>
      <c r="IE83" s="2473"/>
      <c r="IF83" s="2473"/>
      <c r="IG83" s="2473"/>
      <c r="IH83" s="2473"/>
      <c r="II83" s="2473"/>
      <c r="IJ83" s="2473"/>
      <c r="IK83" s="2473"/>
      <c r="IL83" s="2473"/>
      <c r="IM83" s="2473"/>
      <c r="IN83" s="2473"/>
      <c r="IO83" s="2473"/>
      <c r="IP83" s="2473"/>
      <c r="IQ83" s="2473"/>
      <c r="IR83" s="2473"/>
      <c r="IS83" s="2473"/>
      <c r="IT83" s="2473"/>
      <c r="IU83" s="2473"/>
      <c r="IV83" s="2473"/>
      <c r="IW83" s="2473"/>
      <c r="IX83" s="2473"/>
      <c r="IY83" s="2473"/>
      <c r="IZ83" s="2473"/>
      <c r="JA83" s="2473"/>
      <c r="JB83" s="2473"/>
      <c r="JC83" s="2473"/>
      <c r="JD83" s="2473"/>
      <c r="JE83" s="2473"/>
      <c r="JF83" s="2473"/>
      <c r="JG83" s="2473"/>
      <c r="JH83" s="2473"/>
      <c r="JI83" s="2473"/>
      <c r="JJ83" s="2473"/>
      <c r="JK83" s="2473"/>
      <c r="JL83" s="2473"/>
      <c r="JM83" s="2473"/>
      <c r="JN83" s="2473"/>
      <c r="JO83" s="2473"/>
      <c r="JP83" s="2473"/>
      <c r="JQ83" s="2473"/>
      <c r="JR83" s="2473"/>
      <c r="JS83" s="2473"/>
      <c r="JT83" s="2473"/>
      <c r="JU83" s="2473"/>
      <c r="JV83" s="2473"/>
      <c r="JW83" s="2473"/>
      <c r="JX83" s="2473"/>
      <c r="JY83" s="2473"/>
      <c r="JZ83" s="2473"/>
      <c r="KA83" s="2473"/>
      <c r="KB83" s="2473"/>
      <c r="KC83" s="2473"/>
      <c r="KD83" s="2473"/>
      <c r="KE83" s="2473"/>
      <c r="KF83" s="2473"/>
      <c r="KG83" s="2473"/>
      <c r="KH83" s="2473"/>
      <c r="KI83" s="2473"/>
      <c r="KJ83" s="2473"/>
      <c r="KK83" s="2473"/>
      <c r="KL83" s="2473"/>
      <c r="KM83" s="2473"/>
      <c r="KN83" s="2473"/>
      <c r="KO83" s="2473"/>
      <c r="KP83" s="2473"/>
      <c r="KQ83" s="2473"/>
      <c r="KR83" s="2473"/>
      <c r="KS83" s="2473"/>
      <c r="KT83" s="2473"/>
      <c r="KU83" s="2473"/>
      <c r="KV83" s="2473"/>
      <c r="KW83" s="2473"/>
      <c r="KX83" s="2473"/>
      <c r="KY83" s="2473"/>
      <c r="KZ83" s="2473"/>
      <c r="LA83" s="2473"/>
      <c r="LB83" s="2473"/>
      <c r="LC83" s="2473"/>
      <c r="LD83" s="2473"/>
      <c r="LE83" s="2473"/>
      <c r="LF83" s="2473"/>
      <c r="LG83" s="2473"/>
      <c r="LH83" s="2473"/>
      <c r="LI83" s="2473"/>
      <c r="LJ83" s="2473"/>
      <c r="LK83" s="2473"/>
      <c r="LL83" s="2473"/>
      <c r="LM83" s="2473"/>
      <c r="LN83" s="2473"/>
      <c r="LO83" s="2473"/>
      <c r="LP83" s="2473"/>
      <c r="LQ83" s="2473"/>
      <c r="LR83" s="2473"/>
      <c r="LS83" s="2473"/>
      <c r="LT83" s="2473"/>
      <c r="LU83" s="2473"/>
      <c r="LV83" s="2473"/>
      <c r="LW83" s="2473"/>
      <c r="LX83" s="2473"/>
      <c r="LY83" s="2473"/>
      <c r="LZ83" s="2473"/>
      <c r="MA83" s="2473"/>
      <c r="MB83" s="2473"/>
      <c r="MC83" s="2473"/>
      <c r="MD83" s="2473"/>
      <c r="ME83" s="2473"/>
      <c r="MF83" s="2473"/>
      <c r="MG83" s="2473"/>
      <c r="MH83" s="2473"/>
      <c r="MI83" s="2473"/>
      <c r="MJ83" s="2473"/>
      <c r="MK83" s="2473"/>
      <c r="ML83" s="2473"/>
      <c r="MM83" s="2473"/>
      <c r="MN83" s="2473"/>
      <c r="MO83" s="2473"/>
      <c r="MP83" s="2473"/>
      <c r="MQ83" s="2473"/>
      <c r="MR83" s="2473"/>
      <c r="MS83" s="2473"/>
      <c r="MT83" s="2473"/>
      <c r="MU83" s="2473"/>
      <c r="MV83" s="2473"/>
      <c r="MW83" s="2473"/>
      <c r="MX83" s="2473"/>
      <c r="MY83" s="2473"/>
      <c r="MZ83" s="2473"/>
      <c r="NA83" s="2473"/>
      <c r="NB83" s="2473"/>
      <c r="NC83" s="2473"/>
      <c r="ND83" s="2473"/>
      <c r="NE83" s="2316"/>
      <c r="NF83" s="2316"/>
      <c r="NG83" s="2316"/>
      <c r="NH83" s="2316"/>
      <c r="NI83" s="2316"/>
      <c r="NJ83" s="2316"/>
      <c r="NK83" s="2316"/>
      <c r="NL83" s="2316"/>
      <c r="NM83" s="2316"/>
      <c r="NN83" s="2316"/>
      <c r="NO83" s="2316"/>
      <c r="NP83" s="2316"/>
      <c r="NQ83" s="2316"/>
      <c r="NR83" s="2316"/>
      <c r="NS83" s="2316"/>
      <c r="NT83" s="2316"/>
      <c r="NU83" s="2316"/>
      <c r="NV83" s="2316"/>
      <c r="NW83" s="2316"/>
      <c r="NX83" s="2316"/>
      <c r="NY83" s="2316"/>
      <c r="NZ83" s="2316"/>
      <c r="OA83" s="2316"/>
      <c r="OB83" s="2316"/>
      <c r="OC83" s="2316"/>
      <c r="OD83" s="2316"/>
      <c r="OE83" s="2316"/>
      <c r="OF83" s="2316"/>
      <c r="OG83" s="2316"/>
      <c r="OH83" s="2316"/>
      <c r="OI83" s="2316"/>
      <c r="OJ83" s="2316"/>
      <c r="OK83" s="2316"/>
      <c r="OL83" s="2316"/>
      <c r="OM83" s="2316"/>
      <c r="ON83" s="2316"/>
      <c r="OO83" s="2316"/>
      <c r="OP83" s="2316"/>
      <c r="OQ83" s="2316"/>
      <c r="OR83" s="2316"/>
      <c r="OS83" s="2316"/>
      <c r="OT83" s="2316"/>
      <c r="OU83" s="2316"/>
      <c r="OV83" s="2316"/>
      <c r="OW83" s="2316"/>
      <c r="OX83" s="2316"/>
      <c r="OY83" s="2316"/>
      <c r="OZ83" s="2316"/>
      <c r="PA83" s="2316"/>
      <c r="PB83" s="2316"/>
      <c r="PC83" s="2316"/>
      <c r="PD83" s="2316"/>
      <c r="PE83" s="2316"/>
      <c r="PF83" s="2316"/>
      <c r="PG83" s="2316"/>
      <c r="PH83" s="2316"/>
      <c r="PI83" s="2316"/>
      <c r="PJ83" s="2316"/>
      <c r="PK83" s="2316"/>
      <c r="PL83" s="2316"/>
      <c r="PM83" s="2316"/>
      <c r="PN83" s="2316"/>
      <c r="PO83" s="2316"/>
      <c r="PP83" s="2316"/>
      <c r="PQ83" s="2316"/>
      <c r="PR83" s="2316"/>
      <c r="PS83" s="2316"/>
      <c r="PT83" s="2316"/>
      <c r="PU83" s="2316"/>
      <c r="PV83" s="2316"/>
      <c r="PW83" s="2316"/>
      <c r="PX83" s="2316"/>
      <c r="PY83" s="2316"/>
      <c r="PZ83" s="2316"/>
      <c r="QA83" s="2316"/>
      <c r="QB83" s="2316"/>
      <c r="QC83" s="2316"/>
      <c r="QD83" s="2316"/>
      <c r="QE83" s="2316"/>
      <c r="QF83" s="2316"/>
      <c r="QG83" s="2316"/>
      <c r="QH83" s="2316"/>
      <c r="QI83" s="2316"/>
      <c r="QJ83" s="2316"/>
      <c r="QK83" s="2316"/>
      <c r="QL83" s="2316"/>
      <c r="QM83" s="2316"/>
      <c r="QN83" s="2316"/>
      <c r="QO83" s="2316"/>
      <c r="QP83" s="2316"/>
      <c r="QQ83" s="2316"/>
      <c r="QR83" s="2316"/>
      <c r="QS83" s="2316"/>
      <c r="QT83" s="2316"/>
      <c r="QU83" s="2316"/>
      <c r="QV83" s="2316"/>
      <c r="QW83" s="2316"/>
      <c r="QX83" s="2316"/>
      <c r="QY83" s="2316"/>
      <c r="QZ83" s="2316"/>
      <c r="RA83" s="2316"/>
      <c r="RB83" s="2316"/>
      <c r="RC83" s="2316"/>
      <c r="RD83" s="2316"/>
      <c r="RE83" s="2316"/>
      <c r="RF83" s="2316"/>
      <c r="RG83" s="2316"/>
      <c r="RH83" s="2316"/>
      <c r="RI83" s="2316"/>
      <c r="RJ83" s="2316"/>
      <c r="RK83" s="2316"/>
      <c r="RL83" s="2316"/>
      <c r="RM83" s="2316"/>
      <c r="RN83" s="2316"/>
      <c r="RO83" s="2316"/>
      <c r="RP83" s="2316"/>
      <c r="RQ83" s="2316"/>
      <c r="RR83" s="2316"/>
      <c r="RS83" s="2316"/>
      <c r="RT83" s="2316"/>
      <c r="RU83" s="2316"/>
      <c r="RV83" s="2316"/>
      <c r="RW83" s="2316"/>
      <c r="RX83" s="2316"/>
      <c r="RY83" s="2316"/>
      <c r="RZ83" s="2316"/>
      <c r="SA83" s="2316"/>
    </row>
    <row r="84" spans="1:495" customFormat="1">
      <c r="B84" s="2022"/>
      <c r="C84" s="2266"/>
      <c r="D84" s="8"/>
      <c r="E84" s="8"/>
      <c r="F84" s="8"/>
      <c r="G84" s="2485" t="str">
        <f>IF(AND(K84="",L84="",M84="",N84="",O84=""),"",IF(OR(K84&gt;2,L84&gt;2,M84&gt;2,N84&gt;2,O84&gt;2,K84&lt;-2,L84&lt;-2,M84&lt;-2,N84&lt;-2,O84&lt;-2),"Not Equal","Equal"))</f>
        <v/>
      </c>
      <c r="H84" s="2340" t="s">
        <v>4810</v>
      </c>
      <c r="I84" s="2272"/>
      <c r="J84" s="1"/>
      <c r="K84" s="2329" t="str">
        <f t="shared" ref="K84:P84" si="372">IF(OR(K83="",K60=0),"", K60-K83)</f>
        <v/>
      </c>
      <c r="L84" s="2329" t="str">
        <f t="shared" si="372"/>
        <v/>
      </c>
      <c r="M84" s="2329" t="str">
        <f t="shared" si="372"/>
        <v/>
      </c>
      <c r="N84" s="2329" t="str">
        <f t="shared" si="372"/>
        <v/>
      </c>
      <c r="O84" s="2329" t="str">
        <f t="shared" si="372"/>
        <v/>
      </c>
      <c r="P84" s="2329" t="str">
        <f t="shared" si="372"/>
        <v/>
      </c>
      <c r="X84" s="2473"/>
      <c r="Y84" s="2473"/>
      <c r="Z84" s="2473"/>
      <c r="AA84" s="2473"/>
      <c r="AB84" s="2473"/>
      <c r="AC84" s="2473"/>
      <c r="AD84" s="2473"/>
      <c r="AE84" s="2473"/>
      <c r="AF84" s="2473"/>
      <c r="AG84" s="2473"/>
      <c r="AH84" s="2473"/>
      <c r="AI84" s="2473"/>
      <c r="AJ84" s="2473"/>
      <c r="AK84" s="2473"/>
      <c r="AL84" s="2473"/>
      <c r="AM84" s="2473"/>
      <c r="AN84" s="2473"/>
      <c r="AO84" s="2473"/>
      <c r="AP84" s="2473"/>
      <c r="AQ84" s="2473"/>
      <c r="AR84" s="2473"/>
      <c r="AS84" s="2473"/>
      <c r="AT84" s="2473"/>
      <c r="AU84" s="2473"/>
      <c r="AV84" s="2473"/>
      <c r="AW84" s="2473"/>
      <c r="AX84" s="2473"/>
      <c r="AY84" s="2473"/>
      <c r="AZ84" s="2473"/>
      <c r="BA84" s="2473"/>
      <c r="BB84" s="2473"/>
      <c r="BC84" s="2473"/>
      <c r="BD84" s="2473"/>
      <c r="BE84" s="2473"/>
      <c r="BF84" s="2473"/>
      <c r="BG84" s="2473"/>
      <c r="BH84" s="2473"/>
      <c r="BI84" s="2473"/>
      <c r="BJ84" s="2473"/>
      <c r="BK84" s="2473"/>
      <c r="BL84" s="2473"/>
      <c r="BM84" s="2473"/>
      <c r="BN84" s="2473"/>
      <c r="BO84" s="2473"/>
      <c r="BP84" s="2473"/>
      <c r="BQ84" s="2473"/>
      <c r="BR84" s="2473"/>
      <c r="BS84" s="2473"/>
      <c r="BT84" s="2473"/>
      <c r="BU84" s="2473"/>
      <c r="BV84" s="2473"/>
      <c r="BW84" s="2473"/>
      <c r="BX84" s="2473"/>
      <c r="BY84" s="2473"/>
      <c r="BZ84" s="2473"/>
      <c r="CA84" s="2473"/>
      <c r="CB84" s="2473"/>
      <c r="CC84" s="2473"/>
      <c r="CD84" s="2473"/>
      <c r="CE84" s="2473"/>
      <c r="CF84" s="2473"/>
      <c r="CG84" s="2473"/>
      <c r="CH84" s="2473"/>
      <c r="CI84" s="2473"/>
      <c r="CJ84" s="2473"/>
      <c r="CK84" s="2473"/>
      <c r="CL84" s="2473"/>
      <c r="CM84" s="2473"/>
      <c r="CN84" s="2473"/>
      <c r="CO84" s="2473"/>
      <c r="CP84" s="2473"/>
      <c r="CQ84" s="2473"/>
      <c r="CR84" s="2473"/>
      <c r="CS84" s="2473"/>
      <c r="CT84" s="2473"/>
      <c r="CU84" s="2473"/>
      <c r="CV84" s="2473"/>
      <c r="CW84" s="2473"/>
      <c r="CX84" s="2473"/>
      <c r="CY84" s="2473"/>
      <c r="CZ84" s="2473"/>
      <c r="DA84" s="2473"/>
      <c r="DB84" s="2473"/>
      <c r="DC84" s="2473"/>
      <c r="DD84" s="2473"/>
      <c r="DE84" s="2473"/>
      <c r="DF84" s="2473"/>
      <c r="DG84" s="2473"/>
      <c r="DH84" s="2473"/>
      <c r="DI84" s="2473"/>
      <c r="DJ84" s="2473"/>
      <c r="DK84" s="2473"/>
      <c r="DL84" s="2473"/>
      <c r="DM84" s="2473"/>
      <c r="DN84" s="2473"/>
      <c r="DO84" s="2473"/>
      <c r="DP84" s="2473"/>
      <c r="DQ84" s="2473"/>
      <c r="DR84" s="2473"/>
      <c r="DS84" s="2473"/>
      <c r="DT84" s="2473"/>
      <c r="DU84" s="2473"/>
      <c r="DV84" s="2473"/>
      <c r="DW84" s="2473"/>
      <c r="DX84" s="2473"/>
      <c r="DY84" s="2473"/>
      <c r="DZ84" s="2473"/>
      <c r="EA84" s="2473"/>
      <c r="EB84" s="2473"/>
      <c r="EC84" s="2473"/>
      <c r="ED84" s="2473"/>
      <c r="EE84" s="2473"/>
      <c r="EF84" s="2473"/>
      <c r="EG84" s="2473"/>
      <c r="EH84" s="2473"/>
      <c r="EI84" s="2473"/>
      <c r="EJ84" s="2473"/>
      <c r="EK84" s="2473"/>
      <c r="EL84" s="2473"/>
      <c r="EM84" s="2473"/>
      <c r="EN84" s="2473"/>
      <c r="EO84" s="2473"/>
      <c r="EP84" s="2473"/>
      <c r="EQ84" s="2473"/>
      <c r="ER84" s="2473"/>
      <c r="ES84" s="2473"/>
      <c r="ET84" s="2473"/>
      <c r="EU84" s="2473"/>
      <c r="EV84" s="2473"/>
      <c r="EW84" s="2473"/>
      <c r="EX84" s="2473"/>
      <c r="EY84" s="2473"/>
      <c r="EZ84" s="2473"/>
      <c r="FA84" s="2473"/>
      <c r="FB84" s="2473"/>
      <c r="FC84" s="2473"/>
      <c r="FD84" s="2473"/>
      <c r="FE84" s="2473"/>
      <c r="FF84" s="2473"/>
      <c r="FG84" s="2473"/>
      <c r="FH84" s="2473"/>
      <c r="FI84" s="2473"/>
      <c r="FJ84" s="2473"/>
      <c r="FK84" s="2473"/>
      <c r="FL84" s="2473"/>
      <c r="FM84" s="2473"/>
      <c r="FN84" s="2473"/>
      <c r="FO84" s="2473"/>
      <c r="FP84" s="2473"/>
      <c r="FQ84" s="2473"/>
      <c r="FR84" s="2473"/>
      <c r="FS84" s="2473"/>
      <c r="FT84" s="2473"/>
      <c r="FU84" s="2473"/>
      <c r="FV84" s="2473"/>
      <c r="FW84" s="2473"/>
      <c r="FX84" s="2473"/>
      <c r="FY84" s="2473"/>
      <c r="FZ84" s="2473"/>
      <c r="GA84" s="2473"/>
      <c r="GB84" s="2473"/>
      <c r="GC84" s="2473"/>
      <c r="GD84" s="2473"/>
      <c r="GE84" s="2473"/>
      <c r="GF84" s="2473"/>
      <c r="GG84" s="2473"/>
      <c r="GH84" s="2473"/>
      <c r="GI84" s="2473"/>
      <c r="GJ84" s="2473"/>
      <c r="GK84" s="2473"/>
      <c r="GL84" s="2473"/>
      <c r="GM84" s="2473"/>
      <c r="GN84" s="2473"/>
      <c r="GO84" s="2473"/>
      <c r="GP84" s="2473"/>
      <c r="GQ84" s="2473"/>
      <c r="GR84" s="2473"/>
      <c r="GS84" s="2473"/>
      <c r="GT84" s="2473"/>
      <c r="GU84" s="2473"/>
      <c r="GV84" s="2473"/>
      <c r="GW84" s="2473"/>
      <c r="GX84" s="2473"/>
      <c r="GY84" s="2473"/>
      <c r="GZ84" s="2473"/>
      <c r="HA84" s="2473"/>
      <c r="HB84" s="2473"/>
      <c r="HC84" s="2473"/>
      <c r="HD84" s="2473"/>
      <c r="HE84" s="2473"/>
      <c r="HF84" s="2473"/>
      <c r="HG84" s="2473"/>
      <c r="HH84" s="2473"/>
      <c r="HI84" s="2473"/>
      <c r="HJ84" s="2473"/>
      <c r="HK84" s="2473"/>
      <c r="HL84" s="2473"/>
      <c r="HM84" s="2473"/>
      <c r="HN84" s="2473"/>
      <c r="HO84" s="2473"/>
      <c r="HP84" s="2473"/>
      <c r="HQ84" s="2473"/>
      <c r="HR84" s="2473"/>
      <c r="HS84" s="2473"/>
      <c r="HT84" s="2473"/>
      <c r="HU84" s="2473"/>
      <c r="HV84" s="2473"/>
      <c r="HW84" s="2473"/>
      <c r="HX84" s="2473"/>
      <c r="HY84" s="2473"/>
      <c r="HZ84" s="2473"/>
      <c r="IA84" s="2473"/>
      <c r="IB84" s="2473"/>
      <c r="IC84" s="2473"/>
      <c r="ID84" s="2473"/>
      <c r="IE84" s="2473"/>
      <c r="IF84" s="2473"/>
      <c r="IG84" s="2473"/>
      <c r="IH84" s="2473"/>
      <c r="II84" s="2473"/>
      <c r="IJ84" s="2473"/>
      <c r="IK84" s="2473"/>
      <c r="IL84" s="2473"/>
      <c r="IM84" s="2473"/>
      <c r="IN84" s="2473"/>
      <c r="IO84" s="2473"/>
      <c r="IP84" s="2473"/>
      <c r="IQ84" s="2473"/>
      <c r="IR84" s="2473"/>
      <c r="IS84" s="2473"/>
      <c r="IT84" s="2473"/>
      <c r="IU84" s="2473"/>
      <c r="IV84" s="2473"/>
      <c r="IW84" s="2473"/>
      <c r="IX84" s="2473"/>
      <c r="IY84" s="2473"/>
      <c r="IZ84" s="2473"/>
      <c r="JA84" s="2473"/>
      <c r="JB84" s="2473"/>
      <c r="JC84" s="2473"/>
      <c r="JD84" s="2473"/>
      <c r="JE84" s="2473"/>
      <c r="JF84" s="2473"/>
      <c r="JG84" s="2473"/>
      <c r="JH84" s="2473"/>
      <c r="JI84" s="2473"/>
      <c r="JJ84" s="2473"/>
      <c r="JK84" s="2473"/>
      <c r="JL84" s="2473"/>
      <c r="JM84" s="2473"/>
      <c r="JN84" s="2473"/>
      <c r="JO84" s="2473"/>
      <c r="JP84" s="2473"/>
      <c r="JQ84" s="2473"/>
      <c r="JR84" s="2473"/>
      <c r="JS84" s="2473"/>
      <c r="JT84" s="2473"/>
      <c r="JU84" s="2473"/>
      <c r="JV84" s="2473"/>
      <c r="JW84" s="2473"/>
      <c r="JX84" s="2473"/>
      <c r="JY84" s="2473"/>
      <c r="JZ84" s="2473"/>
      <c r="KA84" s="2473"/>
      <c r="KB84" s="2473"/>
      <c r="KC84" s="2473"/>
      <c r="KD84" s="2473"/>
      <c r="KE84" s="2473"/>
      <c r="KF84" s="2473"/>
      <c r="KG84" s="2473"/>
      <c r="KH84" s="2473"/>
      <c r="KI84" s="2473"/>
      <c r="KJ84" s="2473"/>
      <c r="KK84" s="2473"/>
      <c r="KL84" s="2473"/>
      <c r="KM84" s="2473"/>
      <c r="KN84" s="2473"/>
      <c r="KO84" s="2473"/>
      <c r="KP84" s="2473"/>
      <c r="KQ84" s="2473"/>
      <c r="KR84" s="2473"/>
      <c r="KS84" s="2473"/>
      <c r="KT84" s="2473"/>
      <c r="KU84" s="2473"/>
      <c r="KV84" s="2473"/>
      <c r="KW84" s="2473"/>
      <c r="KX84" s="2473"/>
      <c r="KY84" s="2473"/>
      <c r="KZ84" s="2473"/>
      <c r="LA84" s="2473"/>
      <c r="LB84" s="2473"/>
      <c r="LC84" s="2473"/>
      <c r="LD84" s="2473"/>
      <c r="LE84" s="2473"/>
      <c r="LF84" s="2473"/>
      <c r="LG84" s="2473"/>
      <c r="LH84" s="2473"/>
      <c r="LI84" s="2473"/>
      <c r="LJ84" s="2473"/>
      <c r="LK84" s="2473"/>
      <c r="LL84" s="2473"/>
      <c r="LM84" s="2473"/>
      <c r="LN84" s="2473"/>
      <c r="LO84" s="2473"/>
      <c r="LP84" s="2473"/>
      <c r="LQ84" s="2473"/>
      <c r="LR84" s="2473"/>
      <c r="LS84" s="2473"/>
      <c r="LT84" s="2473"/>
      <c r="LU84" s="2473"/>
      <c r="LV84" s="2473"/>
      <c r="LW84" s="2473"/>
      <c r="LX84" s="2473"/>
      <c r="LY84" s="2473"/>
      <c r="LZ84" s="2473"/>
      <c r="MA84" s="2473"/>
      <c r="MB84" s="2473"/>
      <c r="MC84" s="2473"/>
      <c r="MD84" s="2473"/>
      <c r="ME84" s="2473"/>
      <c r="MF84" s="2473"/>
      <c r="MG84" s="2473"/>
      <c r="MH84" s="2473"/>
      <c r="MI84" s="2473"/>
      <c r="MJ84" s="2473"/>
      <c r="MK84" s="2473"/>
      <c r="ML84" s="2473"/>
      <c r="MM84" s="2473"/>
      <c r="MN84" s="2473"/>
      <c r="MO84" s="2473"/>
      <c r="MP84" s="2473"/>
      <c r="MQ84" s="2473"/>
      <c r="MR84" s="2473"/>
      <c r="MS84" s="2473"/>
      <c r="MT84" s="2473"/>
      <c r="MU84" s="2473"/>
      <c r="MV84" s="2473"/>
      <c r="MW84" s="2473"/>
      <c r="MX84" s="2473"/>
      <c r="MY84" s="2473"/>
      <c r="MZ84" s="2473"/>
      <c r="NA84" s="2473"/>
      <c r="NB84" s="2473"/>
      <c r="NC84" s="2473"/>
      <c r="ND84" s="2473"/>
      <c r="NE84" s="2316"/>
      <c r="NF84" s="2316"/>
      <c r="NG84" s="2316"/>
      <c r="NH84" s="2316"/>
      <c r="NI84" s="2316"/>
      <c r="NJ84" s="2316"/>
      <c r="NK84" s="2316"/>
      <c r="NL84" s="2316"/>
      <c r="NM84" s="2316"/>
      <c r="NN84" s="2316"/>
      <c r="NO84" s="2316"/>
      <c r="NP84" s="2316"/>
      <c r="NQ84" s="2316"/>
      <c r="NR84" s="2316"/>
      <c r="NS84" s="2316"/>
      <c r="NT84" s="2316"/>
      <c r="NU84" s="2316"/>
      <c r="NV84" s="2316"/>
      <c r="NW84" s="2316"/>
      <c r="NX84" s="2316"/>
      <c r="NY84" s="2316"/>
      <c r="NZ84" s="2316"/>
      <c r="OA84" s="2316"/>
      <c r="OB84" s="2316"/>
      <c r="OC84" s="2316"/>
      <c r="OD84" s="2316"/>
      <c r="OE84" s="2316"/>
      <c r="OF84" s="2316"/>
      <c r="OG84" s="2316"/>
      <c r="OH84" s="2316"/>
      <c r="OI84" s="2316"/>
      <c r="OJ84" s="2316"/>
      <c r="OK84" s="2316"/>
      <c r="OL84" s="2316"/>
      <c r="OM84" s="2316"/>
      <c r="ON84" s="2316"/>
      <c r="OO84" s="2316"/>
      <c r="OP84" s="2316"/>
      <c r="OQ84" s="2316"/>
      <c r="OR84" s="2316"/>
      <c r="OS84" s="2316"/>
      <c r="OT84" s="2316"/>
      <c r="OU84" s="2316"/>
      <c r="OV84" s="2316"/>
      <c r="OW84" s="2316"/>
      <c r="OX84" s="2316"/>
      <c r="OY84" s="2316"/>
      <c r="OZ84" s="2316"/>
      <c r="PA84" s="2316"/>
      <c r="PB84" s="2316"/>
      <c r="PC84" s="2316"/>
      <c r="PD84" s="2316"/>
      <c r="PE84" s="2316"/>
      <c r="PF84" s="2316"/>
      <c r="PG84" s="2316"/>
      <c r="PH84" s="2316"/>
      <c r="PI84" s="2316"/>
      <c r="PJ84" s="2316"/>
      <c r="PK84" s="2316"/>
      <c r="PL84" s="2316"/>
      <c r="PM84" s="2316"/>
      <c r="PN84" s="2316"/>
      <c r="PO84" s="2316"/>
      <c r="PP84" s="2316"/>
      <c r="PQ84" s="2316"/>
      <c r="PR84" s="2316"/>
      <c r="PS84" s="2316"/>
      <c r="PT84" s="2316"/>
      <c r="PU84" s="2316"/>
      <c r="PV84" s="2316"/>
      <c r="PW84" s="2316"/>
      <c r="PX84" s="2316"/>
      <c r="PY84" s="2316"/>
      <c r="PZ84" s="2316"/>
      <c r="QA84" s="2316"/>
      <c r="QB84" s="2316"/>
      <c r="QC84" s="2316"/>
      <c r="QD84" s="2316"/>
      <c r="QE84" s="2316"/>
      <c r="QF84" s="2316"/>
      <c r="QG84" s="2316"/>
      <c r="QH84" s="2316"/>
      <c r="QI84" s="2316"/>
      <c r="QJ84" s="2316"/>
      <c r="QK84" s="2316"/>
      <c r="QL84" s="2316"/>
      <c r="QM84" s="2316"/>
      <c r="QN84" s="2316"/>
      <c r="QO84" s="2316"/>
      <c r="QP84" s="2316"/>
      <c r="QQ84" s="2316"/>
      <c r="QR84" s="2316"/>
      <c r="QS84" s="2316"/>
      <c r="QT84" s="2316"/>
      <c r="QU84" s="2316"/>
      <c r="QV84" s="2316"/>
      <c r="QW84" s="2316"/>
      <c r="QX84" s="2316"/>
      <c r="QY84" s="2316"/>
      <c r="QZ84" s="2316"/>
      <c r="RA84" s="2316"/>
      <c r="RB84" s="2316"/>
      <c r="RC84" s="2316"/>
      <c r="RD84" s="2316"/>
      <c r="RE84" s="2316"/>
      <c r="RF84" s="2316"/>
      <c r="RG84" s="2316"/>
      <c r="RH84" s="2316"/>
      <c r="RI84" s="2316"/>
      <c r="RJ84" s="2316"/>
      <c r="RK84" s="2316"/>
      <c r="RL84" s="2316"/>
      <c r="RM84" s="2316"/>
      <c r="RN84" s="2316"/>
      <c r="RO84" s="2316"/>
      <c r="RP84" s="2316"/>
      <c r="RQ84" s="2316"/>
      <c r="RR84" s="2316"/>
      <c r="RS84" s="2316"/>
      <c r="RT84" s="2316"/>
      <c r="RU84" s="2316"/>
      <c r="RV84" s="2316"/>
      <c r="RW84" s="2316"/>
      <c r="RX84" s="2316"/>
      <c r="RY84" s="2316"/>
      <c r="RZ84" s="2316"/>
      <c r="SA84" s="2316"/>
    </row>
    <row r="85" spans="1:495" customFormat="1">
      <c r="B85" s="2022"/>
      <c r="C85" s="2266" t="s">
        <v>4785</v>
      </c>
      <c r="D85" s="8"/>
      <c r="E85" s="8"/>
      <c r="F85" s="8"/>
      <c r="G85" s="8"/>
      <c r="H85" s="2339" t="s">
        <v>4130</v>
      </c>
      <c r="I85" s="2270"/>
      <c r="J85" s="1"/>
      <c r="K85" s="2332" t="str">
        <f t="shared" ref="K85:P85" si="373">IF(OR(K61=0,K$67=0),"",K61/K$67)</f>
        <v/>
      </c>
      <c r="L85" s="2333" t="str">
        <f t="shared" si="373"/>
        <v/>
      </c>
      <c r="M85" s="2333" t="str">
        <f t="shared" si="373"/>
        <v/>
      </c>
      <c r="N85" s="2333" t="str">
        <f t="shared" si="373"/>
        <v/>
      </c>
      <c r="O85" s="2333" t="str">
        <f t="shared" si="373"/>
        <v/>
      </c>
      <c r="P85" s="2334" t="str">
        <f t="shared" si="373"/>
        <v/>
      </c>
      <c r="X85" s="2473"/>
      <c r="Y85" s="2473"/>
      <c r="Z85" s="2473"/>
      <c r="AA85" s="2473"/>
      <c r="AB85" s="2473"/>
      <c r="AC85" s="2473"/>
      <c r="AD85" s="2473"/>
      <c r="AE85" s="2473"/>
      <c r="AF85" s="2473"/>
      <c r="AG85" s="2473"/>
      <c r="AH85" s="2473"/>
      <c r="AI85" s="2473"/>
      <c r="AJ85" s="2473"/>
      <c r="AK85" s="2473"/>
      <c r="AL85" s="2473"/>
      <c r="AM85" s="2473"/>
      <c r="AN85" s="2473"/>
      <c r="AO85" s="2473"/>
      <c r="AP85" s="2473"/>
      <c r="AQ85" s="2473"/>
      <c r="AR85" s="2473"/>
      <c r="AS85" s="2473"/>
      <c r="AT85" s="2473"/>
      <c r="AU85" s="2473"/>
      <c r="AV85" s="2473"/>
      <c r="AW85" s="2473"/>
      <c r="AX85" s="2473"/>
      <c r="AY85" s="2473"/>
      <c r="AZ85" s="2473"/>
      <c r="BA85" s="2473"/>
      <c r="BB85" s="2473"/>
      <c r="BC85" s="2473"/>
      <c r="BD85" s="2473"/>
      <c r="BE85" s="2473"/>
      <c r="BF85" s="2473"/>
      <c r="BG85" s="2473"/>
      <c r="BH85" s="2473"/>
      <c r="BI85" s="2473"/>
      <c r="BJ85" s="2473"/>
      <c r="BK85" s="2473"/>
      <c r="BL85" s="2473"/>
      <c r="BM85" s="2473"/>
      <c r="BN85" s="2473"/>
      <c r="BO85" s="2473"/>
      <c r="BP85" s="2473"/>
      <c r="BQ85" s="2473"/>
      <c r="BR85" s="2473"/>
      <c r="BS85" s="2473"/>
      <c r="BT85" s="2473"/>
      <c r="BU85" s="2473"/>
      <c r="BV85" s="2473"/>
      <c r="BW85" s="2473"/>
      <c r="BX85" s="2473"/>
      <c r="BY85" s="2473"/>
      <c r="BZ85" s="2473"/>
      <c r="CA85" s="2473"/>
      <c r="CB85" s="2473"/>
      <c r="CC85" s="2473"/>
      <c r="CD85" s="2473"/>
      <c r="CE85" s="2473"/>
      <c r="CF85" s="2473"/>
      <c r="CG85" s="2473"/>
      <c r="CH85" s="2473"/>
      <c r="CI85" s="2473"/>
      <c r="CJ85" s="2473"/>
      <c r="CK85" s="2473"/>
      <c r="CL85" s="2473"/>
      <c r="CM85" s="2473"/>
      <c r="CN85" s="2473"/>
      <c r="CO85" s="2473"/>
      <c r="CP85" s="2473"/>
      <c r="CQ85" s="2473"/>
      <c r="CR85" s="2473"/>
      <c r="CS85" s="2473"/>
      <c r="CT85" s="2473"/>
      <c r="CU85" s="2473"/>
      <c r="CV85" s="2473"/>
      <c r="CW85" s="2473"/>
      <c r="CX85" s="2473"/>
      <c r="CY85" s="2473"/>
      <c r="CZ85" s="2473"/>
      <c r="DA85" s="2473"/>
      <c r="DB85" s="2473"/>
      <c r="DC85" s="2473"/>
      <c r="DD85" s="2473"/>
      <c r="DE85" s="2473"/>
      <c r="DF85" s="2473"/>
      <c r="DG85" s="2473"/>
      <c r="DH85" s="2473"/>
      <c r="DI85" s="2473"/>
      <c r="DJ85" s="2473"/>
      <c r="DK85" s="2473"/>
      <c r="DL85" s="2473"/>
      <c r="DM85" s="2473"/>
      <c r="DN85" s="2473"/>
      <c r="DO85" s="2473"/>
      <c r="DP85" s="2473"/>
      <c r="DQ85" s="2473"/>
      <c r="DR85" s="2473"/>
      <c r="DS85" s="2473"/>
      <c r="DT85" s="2473"/>
      <c r="DU85" s="2473"/>
      <c r="DV85" s="2473"/>
      <c r="DW85" s="2473"/>
      <c r="DX85" s="2473"/>
      <c r="DY85" s="2473"/>
      <c r="DZ85" s="2473"/>
      <c r="EA85" s="2473"/>
      <c r="EB85" s="2473"/>
      <c r="EC85" s="2473"/>
      <c r="ED85" s="2473"/>
      <c r="EE85" s="2473"/>
      <c r="EF85" s="2473"/>
      <c r="EG85" s="2473"/>
      <c r="EH85" s="2473"/>
      <c r="EI85" s="2473"/>
      <c r="EJ85" s="2473"/>
      <c r="EK85" s="2473"/>
      <c r="EL85" s="2473"/>
      <c r="EM85" s="2473"/>
      <c r="EN85" s="2473"/>
      <c r="EO85" s="2473"/>
      <c r="EP85" s="2473"/>
      <c r="EQ85" s="2473"/>
      <c r="ER85" s="2473"/>
      <c r="ES85" s="2473"/>
      <c r="ET85" s="2473"/>
      <c r="EU85" s="2473"/>
      <c r="EV85" s="2473"/>
      <c r="EW85" s="2473"/>
      <c r="EX85" s="2473"/>
      <c r="EY85" s="2473"/>
      <c r="EZ85" s="2473"/>
      <c r="FA85" s="2473"/>
      <c r="FB85" s="2473"/>
      <c r="FC85" s="2473"/>
      <c r="FD85" s="2473"/>
      <c r="FE85" s="2473"/>
      <c r="FF85" s="2473"/>
      <c r="FG85" s="2473"/>
      <c r="FH85" s="2473"/>
      <c r="FI85" s="2473"/>
      <c r="FJ85" s="2473"/>
      <c r="FK85" s="2473"/>
      <c r="FL85" s="2473"/>
      <c r="FM85" s="2473"/>
      <c r="FN85" s="2473"/>
      <c r="FO85" s="2473"/>
      <c r="FP85" s="2473"/>
      <c r="FQ85" s="2473"/>
      <c r="FR85" s="2473"/>
      <c r="FS85" s="2473"/>
      <c r="FT85" s="2473"/>
      <c r="FU85" s="2473"/>
      <c r="FV85" s="2473"/>
      <c r="FW85" s="2473"/>
      <c r="FX85" s="2473"/>
      <c r="FY85" s="2473"/>
      <c r="FZ85" s="2473"/>
      <c r="GA85" s="2473"/>
      <c r="GB85" s="2473"/>
      <c r="GC85" s="2473"/>
      <c r="GD85" s="2473"/>
      <c r="GE85" s="2473"/>
      <c r="GF85" s="2473"/>
      <c r="GG85" s="2473"/>
      <c r="GH85" s="2473"/>
      <c r="GI85" s="2473"/>
      <c r="GJ85" s="2473"/>
      <c r="GK85" s="2473"/>
      <c r="GL85" s="2473"/>
      <c r="GM85" s="2473"/>
      <c r="GN85" s="2473"/>
      <c r="GO85" s="2473"/>
      <c r="GP85" s="2473"/>
      <c r="GQ85" s="2473"/>
      <c r="GR85" s="2473"/>
      <c r="GS85" s="2473"/>
      <c r="GT85" s="2473"/>
      <c r="GU85" s="2473"/>
      <c r="GV85" s="2473"/>
      <c r="GW85" s="2473"/>
      <c r="GX85" s="2473"/>
      <c r="GY85" s="2473"/>
      <c r="GZ85" s="2473"/>
      <c r="HA85" s="2473"/>
      <c r="HB85" s="2473"/>
      <c r="HC85" s="2473"/>
      <c r="HD85" s="2473"/>
      <c r="HE85" s="2473"/>
      <c r="HF85" s="2473"/>
      <c r="HG85" s="2473"/>
      <c r="HH85" s="2473"/>
      <c r="HI85" s="2473"/>
      <c r="HJ85" s="2473"/>
      <c r="HK85" s="2473"/>
      <c r="HL85" s="2473"/>
      <c r="HM85" s="2473"/>
      <c r="HN85" s="2473"/>
      <c r="HO85" s="2473"/>
      <c r="HP85" s="2473"/>
      <c r="HQ85" s="2473"/>
      <c r="HR85" s="2473"/>
      <c r="HS85" s="2473"/>
      <c r="HT85" s="2473"/>
      <c r="HU85" s="2473"/>
      <c r="HV85" s="2473"/>
      <c r="HW85" s="2473"/>
      <c r="HX85" s="2473"/>
      <c r="HY85" s="2473"/>
      <c r="HZ85" s="2473"/>
      <c r="IA85" s="2473"/>
      <c r="IB85" s="2473"/>
      <c r="IC85" s="2473"/>
      <c r="ID85" s="2473"/>
      <c r="IE85" s="2473"/>
      <c r="IF85" s="2473"/>
      <c r="IG85" s="2473"/>
      <c r="IH85" s="2473"/>
      <c r="II85" s="2473"/>
      <c r="IJ85" s="2473"/>
      <c r="IK85" s="2473"/>
      <c r="IL85" s="2473"/>
      <c r="IM85" s="2473"/>
      <c r="IN85" s="2473"/>
      <c r="IO85" s="2473"/>
      <c r="IP85" s="2473"/>
      <c r="IQ85" s="2473"/>
      <c r="IR85" s="2473"/>
      <c r="IS85" s="2473"/>
      <c r="IT85" s="2473"/>
      <c r="IU85" s="2473"/>
      <c r="IV85" s="2473"/>
      <c r="IW85" s="2473"/>
      <c r="IX85" s="2473"/>
      <c r="IY85" s="2473"/>
      <c r="IZ85" s="2473"/>
      <c r="JA85" s="2473"/>
      <c r="JB85" s="2473"/>
      <c r="JC85" s="2473"/>
      <c r="JD85" s="2473"/>
      <c r="JE85" s="2473"/>
      <c r="JF85" s="2473"/>
      <c r="JG85" s="2473"/>
      <c r="JH85" s="2473"/>
      <c r="JI85" s="2473"/>
      <c r="JJ85" s="2473"/>
      <c r="JK85" s="2473"/>
      <c r="JL85" s="2473"/>
      <c r="JM85" s="2473"/>
      <c r="JN85" s="2473"/>
      <c r="JO85" s="2473"/>
      <c r="JP85" s="2473"/>
      <c r="JQ85" s="2473"/>
      <c r="JR85" s="2473"/>
      <c r="JS85" s="2473"/>
      <c r="JT85" s="2473"/>
      <c r="JU85" s="2473"/>
      <c r="JV85" s="2473"/>
      <c r="JW85" s="2473"/>
      <c r="JX85" s="2473"/>
      <c r="JY85" s="2473"/>
      <c r="JZ85" s="2473"/>
      <c r="KA85" s="2473"/>
      <c r="KB85" s="2473"/>
      <c r="KC85" s="2473"/>
      <c r="KD85" s="2473"/>
      <c r="KE85" s="2473"/>
      <c r="KF85" s="2473"/>
      <c r="KG85" s="2473"/>
      <c r="KH85" s="2473"/>
      <c r="KI85" s="2473"/>
      <c r="KJ85" s="2473"/>
      <c r="KK85" s="2473"/>
      <c r="KL85" s="2473"/>
      <c r="KM85" s="2473"/>
      <c r="KN85" s="2473"/>
      <c r="KO85" s="2473"/>
      <c r="KP85" s="2473"/>
      <c r="KQ85" s="2473"/>
      <c r="KR85" s="2473"/>
      <c r="KS85" s="2473"/>
      <c r="KT85" s="2473"/>
      <c r="KU85" s="2473"/>
      <c r="KV85" s="2473"/>
      <c r="KW85" s="2473"/>
      <c r="KX85" s="2473"/>
      <c r="KY85" s="2473"/>
      <c r="KZ85" s="2473"/>
      <c r="LA85" s="2473"/>
      <c r="LB85" s="2473"/>
      <c r="LC85" s="2473"/>
      <c r="LD85" s="2473"/>
      <c r="LE85" s="2473"/>
      <c r="LF85" s="2473"/>
      <c r="LG85" s="2473"/>
      <c r="LH85" s="2473"/>
      <c r="LI85" s="2473"/>
      <c r="LJ85" s="2473"/>
      <c r="LK85" s="2473"/>
      <c r="LL85" s="2473"/>
      <c r="LM85" s="2473"/>
      <c r="LN85" s="2473"/>
      <c r="LO85" s="2473"/>
      <c r="LP85" s="2473"/>
      <c r="LQ85" s="2473"/>
      <c r="LR85" s="2473"/>
      <c r="LS85" s="2473"/>
      <c r="LT85" s="2473"/>
      <c r="LU85" s="2473"/>
      <c r="LV85" s="2473"/>
      <c r="LW85" s="2473"/>
      <c r="LX85" s="2473"/>
      <c r="LY85" s="2473"/>
      <c r="LZ85" s="2473"/>
      <c r="MA85" s="2473"/>
      <c r="MB85" s="2473"/>
      <c r="MC85" s="2473"/>
      <c r="MD85" s="2473"/>
      <c r="ME85" s="2473"/>
      <c r="MF85" s="2473"/>
      <c r="MG85" s="2473"/>
      <c r="MH85" s="2473"/>
      <c r="MI85" s="2473"/>
      <c r="MJ85" s="2473"/>
      <c r="MK85" s="2473"/>
      <c r="ML85" s="2473"/>
      <c r="MM85" s="2473"/>
      <c r="MN85" s="2473"/>
      <c r="MO85" s="2473"/>
      <c r="MP85" s="2473"/>
      <c r="MQ85" s="2473"/>
      <c r="MR85" s="2473"/>
      <c r="MS85" s="2473"/>
      <c r="MT85" s="2473"/>
      <c r="MU85" s="2473"/>
      <c r="MV85" s="2473"/>
      <c r="MW85" s="2473"/>
      <c r="MX85" s="2473"/>
      <c r="MY85" s="2473"/>
      <c r="MZ85" s="2473"/>
      <c r="NA85" s="2473"/>
      <c r="NB85" s="2473"/>
      <c r="NC85" s="2473"/>
      <c r="ND85" s="2473"/>
      <c r="NE85" s="2316"/>
      <c r="NF85" s="2316"/>
      <c r="NG85" s="2316"/>
      <c r="NH85" s="2316"/>
      <c r="NI85" s="2316"/>
      <c r="NJ85" s="2316"/>
      <c r="NK85" s="2316"/>
      <c r="NL85" s="2316"/>
      <c r="NM85" s="2316"/>
      <c r="NN85" s="2316"/>
      <c r="NO85" s="2316"/>
      <c r="NP85" s="2316"/>
      <c r="NQ85" s="2316"/>
      <c r="NR85" s="2316"/>
      <c r="NS85" s="2316"/>
      <c r="NT85" s="2316"/>
      <c r="NU85" s="2316"/>
      <c r="NV85" s="2316"/>
      <c r="NW85" s="2316"/>
      <c r="NX85" s="2316"/>
      <c r="NY85" s="2316"/>
      <c r="NZ85" s="2316"/>
      <c r="OA85" s="2316"/>
      <c r="OB85" s="2316"/>
      <c r="OC85" s="2316"/>
      <c r="OD85" s="2316"/>
      <c r="OE85" s="2316"/>
      <c r="OF85" s="2316"/>
      <c r="OG85" s="2316"/>
      <c r="OH85" s="2316"/>
      <c r="OI85" s="2316"/>
      <c r="OJ85" s="2316"/>
      <c r="OK85" s="2316"/>
      <c r="OL85" s="2316"/>
      <c r="OM85" s="2316"/>
      <c r="ON85" s="2316"/>
      <c r="OO85" s="2316"/>
      <c r="OP85" s="2316"/>
      <c r="OQ85" s="2316"/>
      <c r="OR85" s="2316"/>
      <c r="OS85" s="2316"/>
      <c r="OT85" s="2316"/>
      <c r="OU85" s="2316"/>
      <c r="OV85" s="2316"/>
      <c r="OW85" s="2316"/>
      <c r="OX85" s="2316"/>
      <c r="OY85" s="2316"/>
      <c r="OZ85" s="2316"/>
      <c r="PA85" s="2316"/>
      <c r="PB85" s="2316"/>
      <c r="PC85" s="2316"/>
      <c r="PD85" s="2316"/>
      <c r="PE85" s="2316"/>
      <c r="PF85" s="2316"/>
      <c r="PG85" s="2316"/>
      <c r="PH85" s="2316"/>
      <c r="PI85" s="2316"/>
      <c r="PJ85" s="2316"/>
      <c r="PK85" s="2316"/>
      <c r="PL85" s="2316"/>
      <c r="PM85" s="2316"/>
      <c r="PN85" s="2316"/>
      <c r="PO85" s="2316"/>
      <c r="PP85" s="2316"/>
      <c r="PQ85" s="2316"/>
      <c r="PR85" s="2316"/>
      <c r="PS85" s="2316"/>
      <c r="PT85" s="2316"/>
      <c r="PU85" s="2316"/>
      <c r="PV85" s="2316"/>
      <c r="PW85" s="2316"/>
      <c r="PX85" s="2316"/>
      <c r="PY85" s="2316"/>
      <c r="PZ85" s="2316"/>
      <c r="QA85" s="2316"/>
      <c r="QB85" s="2316"/>
      <c r="QC85" s="2316"/>
      <c r="QD85" s="2316"/>
      <c r="QE85" s="2316"/>
      <c r="QF85" s="2316"/>
      <c r="QG85" s="2316"/>
      <c r="QH85" s="2316"/>
      <c r="QI85" s="2316"/>
      <c r="QJ85" s="2316"/>
      <c r="QK85" s="2316"/>
      <c r="QL85" s="2316"/>
      <c r="QM85" s="2316"/>
      <c r="QN85" s="2316"/>
      <c r="QO85" s="2316"/>
      <c r="QP85" s="2316"/>
      <c r="QQ85" s="2316"/>
      <c r="QR85" s="2316"/>
      <c r="QS85" s="2316"/>
      <c r="QT85" s="2316"/>
      <c r="QU85" s="2316"/>
      <c r="QV85" s="2316"/>
      <c r="QW85" s="2316"/>
      <c r="QX85" s="2316"/>
      <c r="QY85" s="2316"/>
      <c r="QZ85" s="2316"/>
      <c r="RA85" s="2316"/>
      <c r="RB85" s="2316"/>
      <c r="RC85" s="2316"/>
      <c r="RD85" s="2316"/>
      <c r="RE85" s="2316"/>
      <c r="RF85" s="2316"/>
      <c r="RG85" s="2316"/>
      <c r="RH85" s="2316"/>
      <c r="RI85" s="2316"/>
      <c r="RJ85" s="2316"/>
      <c r="RK85" s="2316"/>
      <c r="RL85" s="2316"/>
      <c r="RM85" s="2316"/>
      <c r="RN85" s="2316"/>
      <c r="RO85" s="2316"/>
      <c r="RP85" s="2316"/>
      <c r="RQ85" s="2316"/>
      <c r="RR85" s="2316"/>
      <c r="RS85" s="2316"/>
      <c r="RT85" s="2316"/>
      <c r="RU85" s="2316"/>
      <c r="RV85" s="2316"/>
      <c r="RW85" s="2316"/>
      <c r="RX85" s="2316"/>
      <c r="RY85" s="2316"/>
      <c r="RZ85" s="2316"/>
      <c r="SA85" s="2316"/>
    </row>
    <row r="86" spans="1:495" customFormat="1">
      <c r="B86" s="2022"/>
      <c r="C86" s="2266"/>
      <c r="D86" s="8"/>
      <c r="E86" s="8"/>
      <c r="F86" s="8"/>
      <c r="G86" s="8"/>
      <c r="H86" s="2339" t="s">
        <v>4809</v>
      </c>
      <c r="I86" s="2270"/>
      <c r="J86" s="1"/>
      <c r="K86" s="2327" t="str">
        <f>IF(OR(K61=0,$P85="",K$67=0),"",$P85*K$67)</f>
        <v/>
      </c>
      <c r="L86" s="2327" t="str">
        <f>IF(OR(L61=0,$P85="",L$67=0),"",$P85*L$67)</f>
        <v/>
      </c>
      <c r="M86" s="2327" t="str">
        <f>IF(OR(M61=0,$P85="",M$67=0),"",$P85*M$67)</f>
        <v/>
      </c>
      <c r="N86" s="2327" t="str">
        <f>IF(OR(N61=0,$P85="",N$67=0),"",$P85*N$67)</f>
        <v/>
      </c>
      <c r="O86" s="2327" t="str">
        <f>IF(OR(O61=0,$P85="",O$67=0),"",$P85*O$67)</f>
        <v/>
      </c>
      <c r="P86" s="2328" t="str">
        <f t="shared" ref="P86" si="374">IF(OR($P85="",P$67=0),"",$P85*P$67)</f>
        <v/>
      </c>
      <c r="X86" s="2473"/>
      <c r="Y86" s="2473"/>
      <c r="Z86" s="2473"/>
      <c r="AA86" s="2473"/>
      <c r="AB86" s="2473"/>
      <c r="AC86" s="2473"/>
      <c r="AD86" s="2473"/>
      <c r="AE86" s="2473"/>
      <c r="AF86" s="2473"/>
      <c r="AG86" s="2473"/>
      <c r="AH86" s="2473"/>
      <c r="AI86" s="2473"/>
      <c r="AJ86" s="2473"/>
      <c r="AK86" s="2473"/>
      <c r="AL86" s="2473"/>
      <c r="AM86" s="2473"/>
      <c r="AN86" s="2473"/>
      <c r="AO86" s="2473"/>
      <c r="AP86" s="2473"/>
      <c r="AQ86" s="2473"/>
      <c r="AR86" s="2473"/>
      <c r="AS86" s="2473"/>
      <c r="AT86" s="2473"/>
      <c r="AU86" s="2473"/>
      <c r="AV86" s="2473"/>
      <c r="AW86" s="2473"/>
      <c r="AX86" s="2473"/>
      <c r="AY86" s="2473"/>
      <c r="AZ86" s="2473"/>
      <c r="BA86" s="2473"/>
      <c r="BB86" s="2473"/>
      <c r="BC86" s="2473"/>
      <c r="BD86" s="2473"/>
      <c r="BE86" s="2473"/>
      <c r="BF86" s="2473"/>
      <c r="BG86" s="2473"/>
      <c r="BH86" s="2473"/>
      <c r="BI86" s="2473"/>
      <c r="BJ86" s="2473"/>
      <c r="BK86" s="2473"/>
      <c r="BL86" s="2473"/>
      <c r="BM86" s="2473"/>
      <c r="BN86" s="2473"/>
      <c r="BO86" s="2473"/>
      <c r="BP86" s="2473"/>
      <c r="BQ86" s="2473"/>
      <c r="BR86" s="2473"/>
      <c r="BS86" s="2473"/>
      <c r="BT86" s="2473"/>
      <c r="BU86" s="2473"/>
      <c r="BV86" s="2473"/>
      <c r="BW86" s="2473"/>
      <c r="BX86" s="2473"/>
      <c r="BY86" s="2473"/>
      <c r="BZ86" s="2473"/>
      <c r="CA86" s="2473"/>
      <c r="CB86" s="2473"/>
      <c r="CC86" s="2473"/>
      <c r="CD86" s="2473"/>
      <c r="CE86" s="2473"/>
      <c r="CF86" s="2473"/>
      <c r="CG86" s="2473"/>
      <c r="CH86" s="2473"/>
      <c r="CI86" s="2473"/>
      <c r="CJ86" s="2473"/>
      <c r="CK86" s="2473"/>
      <c r="CL86" s="2473"/>
      <c r="CM86" s="2473"/>
      <c r="CN86" s="2473"/>
      <c r="CO86" s="2473"/>
      <c r="CP86" s="2473"/>
      <c r="CQ86" s="2473"/>
      <c r="CR86" s="2473"/>
      <c r="CS86" s="2473"/>
      <c r="CT86" s="2473"/>
      <c r="CU86" s="2473"/>
      <c r="CV86" s="2473"/>
      <c r="CW86" s="2473"/>
      <c r="CX86" s="2473"/>
      <c r="CY86" s="2473"/>
      <c r="CZ86" s="2473"/>
      <c r="DA86" s="2473"/>
      <c r="DB86" s="2473"/>
      <c r="DC86" s="2473"/>
      <c r="DD86" s="2473"/>
      <c r="DE86" s="2473"/>
      <c r="DF86" s="2473"/>
      <c r="DG86" s="2473"/>
      <c r="DH86" s="2473"/>
      <c r="DI86" s="2473"/>
      <c r="DJ86" s="2473"/>
      <c r="DK86" s="2473"/>
      <c r="DL86" s="2473"/>
      <c r="DM86" s="2473"/>
      <c r="DN86" s="2473"/>
      <c r="DO86" s="2473"/>
      <c r="DP86" s="2473"/>
      <c r="DQ86" s="2473"/>
      <c r="DR86" s="2473"/>
      <c r="DS86" s="2473"/>
      <c r="DT86" s="2473"/>
      <c r="DU86" s="2473"/>
      <c r="DV86" s="2473"/>
      <c r="DW86" s="2473"/>
      <c r="DX86" s="2473"/>
      <c r="DY86" s="2473"/>
      <c r="DZ86" s="2473"/>
      <c r="EA86" s="2473"/>
      <c r="EB86" s="2473"/>
      <c r="EC86" s="2473"/>
      <c r="ED86" s="2473"/>
      <c r="EE86" s="2473"/>
      <c r="EF86" s="2473"/>
      <c r="EG86" s="2473"/>
      <c r="EH86" s="2473"/>
      <c r="EI86" s="2473"/>
      <c r="EJ86" s="2473"/>
      <c r="EK86" s="2473"/>
      <c r="EL86" s="2473"/>
      <c r="EM86" s="2473"/>
      <c r="EN86" s="2473"/>
      <c r="EO86" s="2473"/>
      <c r="EP86" s="2473"/>
      <c r="EQ86" s="2473"/>
      <c r="ER86" s="2473"/>
      <c r="ES86" s="2473"/>
      <c r="ET86" s="2473"/>
      <c r="EU86" s="2473"/>
      <c r="EV86" s="2473"/>
      <c r="EW86" s="2473"/>
      <c r="EX86" s="2473"/>
      <c r="EY86" s="2473"/>
      <c r="EZ86" s="2473"/>
      <c r="FA86" s="2473"/>
      <c r="FB86" s="2473"/>
      <c r="FC86" s="2473"/>
      <c r="FD86" s="2473"/>
      <c r="FE86" s="2473"/>
      <c r="FF86" s="2473"/>
      <c r="FG86" s="2473"/>
      <c r="FH86" s="2473"/>
      <c r="FI86" s="2473"/>
      <c r="FJ86" s="2473"/>
      <c r="FK86" s="2473"/>
      <c r="FL86" s="2473"/>
      <c r="FM86" s="2473"/>
      <c r="FN86" s="2473"/>
      <c r="FO86" s="2473"/>
      <c r="FP86" s="2473"/>
      <c r="FQ86" s="2473"/>
      <c r="FR86" s="2473"/>
      <c r="FS86" s="2473"/>
      <c r="FT86" s="2473"/>
      <c r="FU86" s="2473"/>
      <c r="FV86" s="2473"/>
      <c r="FW86" s="2473"/>
      <c r="FX86" s="2473"/>
      <c r="FY86" s="2473"/>
      <c r="FZ86" s="2473"/>
      <c r="GA86" s="2473"/>
      <c r="GB86" s="2473"/>
      <c r="GC86" s="2473"/>
      <c r="GD86" s="2473"/>
      <c r="GE86" s="2473"/>
      <c r="GF86" s="2473"/>
      <c r="GG86" s="2473"/>
      <c r="GH86" s="2473"/>
      <c r="GI86" s="2473"/>
      <c r="GJ86" s="2473"/>
      <c r="GK86" s="2473"/>
      <c r="GL86" s="2473"/>
      <c r="GM86" s="2473"/>
      <c r="GN86" s="2473"/>
      <c r="GO86" s="2473"/>
      <c r="GP86" s="2473"/>
      <c r="GQ86" s="2473"/>
      <c r="GR86" s="2473"/>
      <c r="GS86" s="2473"/>
      <c r="GT86" s="2473"/>
      <c r="GU86" s="2473"/>
      <c r="GV86" s="2473"/>
      <c r="GW86" s="2473"/>
      <c r="GX86" s="2473"/>
      <c r="GY86" s="2473"/>
      <c r="GZ86" s="2473"/>
      <c r="HA86" s="2473"/>
      <c r="HB86" s="2473"/>
      <c r="HC86" s="2473"/>
      <c r="HD86" s="2473"/>
      <c r="HE86" s="2473"/>
      <c r="HF86" s="2473"/>
      <c r="HG86" s="2473"/>
      <c r="HH86" s="2473"/>
      <c r="HI86" s="2473"/>
      <c r="HJ86" s="2473"/>
      <c r="HK86" s="2473"/>
      <c r="HL86" s="2473"/>
      <c r="HM86" s="2473"/>
      <c r="HN86" s="2473"/>
      <c r="HO86" s="2473"/>
      <c r="HP86" s="2473"/>
      <c r="HQ86" s="2473"/>
      <c r="HR86" s="2473"/>
      <c r="HS86" s="2473"/>
      <c r="HT86" s="2473"/>
      <c r="HU86" s="2473"/>
      <c r="HV86" s="2473"/>
      <c r="HW86" s="2473"/>
      <c r="HX86" s="2473"/>
      <c r="HY86" s="2473"/>
      <c r="HZ86" s="2473"/>
      <c r="IA86" s="2473"/>
      <c r="IB86" s="2473"/>
      <c r="IC86" s="2473"/>
      <c r="ID86" s="2473"/>
      <c r="IE86" s="2473"/>
      <c r="IF86" s="2473"/>
      <c r="IG86" s="2473"/>
      <c r="IH86" s="2473"/>
      <c r="II86" s="2473"/>
      <c r="IJ86" s="2473"/>
      <c r="IK86" s="2473"/>
      <c r="IL86" s="2473"/>
      <c r="IM86" s="2473"/>
      <c r="IN86" s="2473"/>
      <c r="IO86" s="2473"/>
      <c r="IP86" s="2473"/>
      <c r="IQ86" s="2473"/>
      <c r="IR86" s="2473"/>
      <c r="IS86" s="2473"/>
      <c r="IT86" s="2473"/>
      <c r="IU86" s="2473"/>
      <c r="IV86" s="2473"/>
      <c r="IW86" s="2473"/>
      <c r="IX86" s="2473"/>
      <c r="IY86" s="2473"/>
      <c r="IZ86" s="2473"/>
      <c r="JA86" s="2473"/>
      <c r="JB86" s="2473"/>
      <c r="JC86" s="2473"/>
      <c r="JD86" s="2473"/>
      <c r="JE86" s="2473"/>
      <c r="JF86" s="2473"/>
      <c r="JG86" s="2473"/>
      <c r="JH86" s="2473"/>
      <c r="JI86" s="2473"/>
      <c r="JJ86" s="2473"/>
      <c r="JK86" s="2473"/>
      <c r="JL86" s="2473"/>
      <c r="JM86" s="2473"/>
      <c r="JN86" s="2473"/>
      <c r="JO86" s="2473"/>
      <c r="JP86" s="2473"/>
      <c r="JQ86" s="2473"/>
      <c r="JR86" s="2473"/>
      <c r="JS86" s="2473"/>
      <c r="JT86" s="2473"/>
      <c r="JU86" s="2473"/>
      <c r="JV86" s="2473"/>
      <c r="JW86" s="2473"/>
      <c r="JX86" s="2473"/>
      <c r="JY86" s="2473"/>
      <c r="JZ86" s="2473"/>
      <c r="KA86" s="2473"/>
      <c r="KB86" s="2473"/>
      <c r="KC86" s="2473"/>
      <c r="KD86" s="2473"/>
      <c r="KE86" s="2473"/>
      <c r="KF86" s="2473"/>
      <c r="KG86" s="2473"/>
      <c r="KH86" s="2473"/>
      <c r="KI86" s="2473"/>
      <c r="KJ86" s="2473"/>
      <c r="KK86" s="2473"/>
      <c r="KL86" s="2473"/>
      <c r="KM86" s="2473"/>
      <c r="KN86" s="2473"/>
      <c r="KO86" s="2473"/>
      <c r="KP86" s="2473"/>
      <c r="KQ86" s="2473"/>
      <c r="KR86" s="2473"/>
      <c r="KS86" s="2473"/>
      <c r="KT86" s="2473"/>
      <c r="KU86" s="2473"/>
      <c r="KV86" s="2473"/>
      <c r="KW86" s="2473"/>
      <c r="KX86" s="2473"/>
      <c r="KY86" s="2473"/>
      <c r="KZ86" s="2473"/>
      <c r="LA86" s="2473"/>
      <c r="LB86" s="2473"/>
      <c r="LC86" s="2473"/>
      <c r="LD86" s="2473"/>
      <c r="LE86" s="2473"/>
      <c r="LF86" s="2473"/>
      <c r="LG86" s="2473"/>
      <c r="LH86" s="2473"/>
      <c r="LI86" s="2473"/>
      <c r="LJ86" s="2473"/>
      <c r="LK86" s="2473"/>
      <c r="LL86" s="2473"/>
      <c r="LM86" s="2473"/>
      <c r="LN86" s="2473"/>
      <c r="LO86" s="2473"/>
      <c r="LP86" s="2473"/>
      <c r="LQ86" s="2473"/>
      <c r="LR86" s="2473"/>
      <c r="LS86" s="2473"/>
      <c r="LT86" s="2473"/>
      <c r="LU86" s="2473"/>
      <c r="LV86" s="2473"/>
      <c r="LW86" s="2473"/>
      <c r="LX86" s="2473"/>
      <c r="LY86" s="2473"/>
      <c r="LZ86" s="2473"/>
      <c r="MA86" s="2473"/>
      <c r="MB86" s="2473"/>
      <c r="MC86" s="2473"/>
      <c r="MD86" s="2473"/>
      <c r="ME86" s="2473"/>
      <c r="MF86" s="2473"/>
      <c r="MG86" s="2473"/>
      <c r="MH86" s="2473"/>
      <c r="MI86" s="2473"/>
      <c r="MJ86" s="2473"/>
      <c r="MK86" s="2473"/>
      <c r="ML86" s="2473"/>
      <c r="MM86" s="2473"/>
      <c r="MN86" s="2473"/>
      <c r="MO86" s="2473"/>
      <c r="MP86" s="2473"/>
      <c r="MQ86" s="2473"/>
      <c r="MR86" s="2473"/>
      <c r="MS86" s="2473"/>
      <c r="MT86" s="2473"/>
      <c r="MU86" s="2473"/>
      <c r="MV86" s="2473"/>
      <c r="MW86" s="2473"/>
      <c r="MX86" s="2473"/>
      <c r="MY86" s="2473"/>
      <c r="MZ86" s="2473"/>
      <c r="NA86" s="2473"/>
      <c r="NB86" s="2473"/>
      <c r="NC86" s="2473"/>
      <c r="ND86" s="2473"/>
      <c r="NE86" s="2316"/>
      <c r="NF86" s="2316"/>
      <c r="NG86" s="2316"/>
      <c r="NH86" s="2316"/>
      <c r="NI86" s="2316"/>
      <c r="NJ86" s="2316"/>
      <c r="NK86" s="2316"/>
      <c r="NL86" s="2316"/>
      <c r="NM86" s="2316"/>
      <c r="NN86" s="2316"/>
      <c r="NO86" s="2316"/>
      <c r="NP86" s="2316"/>
      <c r="NQ86" s="2316"/>
      <c r="NR86" s="2316"/>
      <c r="NS86" s="2316"/>
      <c r="NT86" s="2316"/>
      <c r="NU86" s="2316"/>
      <c r="NV86" s="2316"/>
      <c r="NW86" s="2316"/>
      <c r="NX86" s="2316"/>
      <c r="NY86" s="2316"/>
      <c r="NZ86" s="2316"/>
      <c r="OA86" s="2316"/>
      <c r="OB86" s="2316"/>
      <c r="OC86" s="2316"/>
      <c r="OD86" s="2316"/>
      <c r="OE86" s="2316"/>
      <c r="OF86" s="2316"/>
      <c r="OG86" s="2316"/>
      <c r="OH86" s="2316"/>
      <c r="OI86" s="2316"/>
      <c r="OJ86" s="2316"/>
      <c r="OK86" s="2316"/>
      <c r="OL86" s="2316"/>
      <c r="OM86" s="2316"/>
      <c r="ON86" s="2316"/>
      <c r="OO86" s="2316"/>
      <c r="OP86" s="2316"/>
      <c r="OQ86" s="2316"/>
      <c r="OR86" s="2316"/>
      <c r="OS86" s="2316"/>
      <c r="OT86" s="2316"/>
      <c r="OU86" s="2316"/>
      <c r="OV86" s="2316"/>
      <c r="OW86" s="2316"/>
      <c r="OX86" s="2316"/>
      <c r="OY86" s="2316"/>
      <c r="OZ86" s="2316"/>
      <c r="PA86" s="2316"/>
      <c r="PB86" s="2316"/>
      <c r="PC86" s="2316"/>
      <c r="PD86" s="2316"/>
      <c r="PE86" s="2316"/>
      <c r="PF86" s="2316"/>
      <c r="PG86" s="2316"/>
      <c r="PH86" s="2316"/>
      <c r="PI86" s="2316"/>
      <c r="PJ86" s="2316"/>
      <c r="PK86" s="2316"/>
      <c r="PL86" s="2316"/>
      <c r="PM86" s="2316"/>
      <c r="PN86" s="2316"/>
      <c r="PO86" s="2316"/>
      <c r="PP86" s="2316"/>
      <c r="PQ86" s="2316"/>
      <c r="PR86" s="2316"/>
      <c r="PS86" s="2316"/>
      <c r="PT86" s="2316"/>
      <c r="PU86" s="2316"/>
      <c r="PV86" s="2316"/>
      <c r="PW86" s="2316"/>
      <c r="PX86" s="2316"/>
      <c r="PY86" s="2316"/>
      <c r="PZ86" s="2316"/>
      <c r="QA86" s="2316"/>
      <c r="QB86" s="2316"/>
      <c r="QC86" s="2316"/>
      <c r="QD86" s="2316"/>
      <c r="QE86" s="2316"/>
      <c r="QF86" s="2316"/>
      <c r="QG86" s="2316"/>
      <c r="QH86" s="2316"/>
      <c r="QI86" s="2316"/>
      <c r="QJ86" s="2316"/>
      <c r="QK86" s="2316"/>
      <c r="QL86" s="2316"/>
      <c r="QM86" s="2316"/>
      <c r="QN86" s="2316"/>
      <c r="QO86" s="2316"/>
      <c r="QP86" s="2316"/>
      <c r="QQ86" s="2316"/>
      <c r="QR86" s="2316"/>
      <c r="QS86" s="2316"/>
      <c r="QT86" s="2316"/>
      <c r="QU86" s="2316"/>
      <c r="QV86" s="2316"/>
      <c r="QW86" s="2316"/>
      <c r="QX86" s="2316"/>
      <c r="QY86" s="2316"/>
      <c r="QZ86" s="2316"/>
      <c r="RA86" s="2316"/>
      <c r="RB86" s="2316"/>
      <c r="RC86" s="2316"/>
      <c r="RD86" s="2316"/>
      <c r="RE86" s="2316"/>
      <c r="RF86" s="2316"/>
      <c r="RG86" s="2316"/>
      <c r="RH86" s="2316"/>
      <c r="RI86" s="2316"/>
      <c r="RJ86" s="2316"/>
      <c r="RK86" s="2316"/>
      <c r="RL86" s="2316"/>
      <c r="RM86" s="2316"/>
      <c r="RN86" s="2316"/>
      <c r="RO86" s="2316"/>
      <c r="RP86" s="2316"/>
      <c r="RQ86" s="2316"/>
      <c r="RR86" s="2316"/>
      <c r="RS86" s="2316"/>
      <c r="RT86" s="2316"/>
      <c r="RU86" s="2316"/>
      <c r="RV86" s="2316"/>
      <c r="RW86" s="2316"/>
      <c r="RX86" s="2316"/>
      <c r="RY86" s="2316"/>
      <c r="RZ86" s="2316"/>
      <c r="SA86" s="2316"/>
    </row>
    <row r="87" spans="1:495" customFormat="1">
      <c r="B87" s="2022"/>
      <c r="C87" s="2266"/>
      <c r="D87" s="8"/>
      <c r="E87" s="8"/>
      <c r="F87" s="8"/>
      <c r="G87" s="2485" t="str">
        <f>IF(AND(K87="",L87="",M87="",N87="",O87=""),"",IF(OR(K87&gt;2,L87&gt;2,M87&gt;2,N87&gt;2,O87&gt;2,K87&lt;-2,L87&lt;-2,M87&lt;-2,N87&lt;-2,O87&lt;-2),"Not Equal","Equal"))</f>
        <v/>
      </c>
      <c r="H87" s="2340" t="s">
        <v>4810</v>
      </c>
      <c r="I87" s="2272"/>
      <c r="J87" s="1"/>
      <c r="K87" s="2329" t="str">
        <f t="shared" ref="K87:P87" si="375">IF(OR(K86="",K61=0),"", K61-K86)</f>
        <v/>
      </c>
      <c r="L87" s="2329" t="str">
        <f t="shared" si="375"/>
        <v/>
      </c>
      <c r="M87" s="2329" t="str">
        <f t="shared" si="375"/>
        <v/>
      </c>
      <c r="N87" s="2329" t="str">
        <f t="shared" si="375"/>
        <v/>
      </c>
      <c r="O87" s="2329" t="str">
        <f t="shared" si="375"/>
        <v/>
      </c>
      <c r="P87" s="2329" t="str">
        <f t="shared" si="375"/>
        <v/>
      </c>
      <c r="X87" s="2473"/>
      <c r="Y87" s="2473"/>
      <c r="Z87" s="2473"/>
      <c r="AA87" s="2473"/>
      <c r="AB87" s="2473"/>
      <c r="AC87" s="2473"/>
      <c r="AD87" s="2473"/>
      <c r="AE87" s="2473"/>
      <c r="AF87" s="2473"/>
      <c r="AG87" s="2473"/>
      <c r="AH87" s="2473"/>
      <c r="AI87" s="2473"/>
      <c r="AJ87" s="2473"/>
      <c r="AK87" s="2473"/>
      <c r="AL87" s="2473"/>
      <c r="AM87" s="2473"/>
      <c r="AN87" s="2473"/>
      <c r="AO87" s="2473"/>
      <c r="AP87" s="2473"/>
      <c r="AQ87" s="2473"/>
      <c r="AR87" s="2473"/>
      <c r="AS87" s="2473"/>
      <c r="AT87" s="2473"/>
      <c r="AU87" s="2473"/>
      <c r="AV87" s="2473"/>
      <c r="AW87" s="2473"/>
      <c r="AX87" s="2473"/>
      <c r="AY87" s="2473"/>
      <c r="AZ87" s="2473"/>
      <c r="BA87" s="2473"/>
      <c r="BB87" s="2473"/>
      <c r="BC87" s="2473"/>
      <c r="BD87" s="2473"/>
      <c r="BE87" s="2473"/>
      <c r="BF87" s="2473"/>
      <c r="BG87" s="2473"/>
      <c r="BH87" s="2473"/>
      <c r="BI87" s="2473"/>
      <c r="BJ87" s="2473"/>
      <c r="BK87" s="2473"/>
      <c r="BL87" s="2473"/>
      <c r="BM87" s="2473"/>
      <c r="BN87" s="2473"/>
      <c r="BO87" s="2473"/>
      <c r="BP87" s="2473"/>
      <c r="BQ87" s="2473"/>
      <c r="BR87" s="2473"/>
      <c r="BS87" s="2473"/>
      <c r="BT87" s="2473"/>
      <c r="BU87" s="2473"/>
      <c r="BV87" s="2473"/>
      <c r="BW87" s="2473"/>
      <c r="BX87" s="2473"/>
      <c r="BY87" s="2473"/>
      <c r="BZ87" s="2473"/>
      <c r="CA87" s="2473"/>
      <c r="CB87" s="2473"/>
      <c r="CC87" s="2473"/>
      <c r="CD87" s="2473"/>
      <c r="CE87" s="2473"/>
      <c r="CF87" s="2473"/>
      <c r="CG87" s="2473"/>
      <c r="CH87" s="2473"/>
      <c r="CI87" s="2473"/>
      <c r="CJ87" s="2473"/>
      <c r="CK87" s="2473"/>
      <c r="CL87" s="2473"/>
      <c r="CM87" s="2473"/>
      <c r="CN87" s="2473"/>
      <c r="CO87" s="2473"/>
      <c r="CP87" s="2473"/>
      <c r="CQ87" s="2473"/>
      <c r="CR87" s="2473"/>
      <c r="CS87" s="2473"/>
      <c r="CT87" s="2473"/>
      <c r="CU87" s="2473"/>
      <c r="CV87" s="2473"/>
      <c r="CW87" s="2473"/>
      <c r="CX87" s="2473"/>
      <c r="CY87" s="2473"/>
      <c r="CZ87" s="2473"/>
      <c r="DA87" s="2473"/>
      <c r="DB87" s="2473"/>
      <c r="DC87" s="2473"/>
      <c r="DD87" s="2473"/>
      <c r="DE87" s="2473"/>
      <c r="DF87" s="2473"/>
      <c r="DG87" s="2473"/>
      <c r="DH87" s="2473"/>
      <c r="DI87" s="2473"/>
      <c r="DJ87" s="2473"/>
      <c r="DK87" s="2473"/>
      <c r="DL87" s="2473"/>
      <c r="DM87" s="2473"/>
      <c r="DN87" s="2473"/>
      <c r="DO87" s="2473"/>
      <c r="DP87" s="2473"/>
      <c r="DQ87" s="2473"/>
      <c r="DR87" s="2473"/>
      <c r="DS87" s="2473"/>
      <c r="DT87" s="2473"/>
      <c r="DU87" s="2473"/>
      <c r="DV87" s="2473"/>
      <c r="DW87" s="2473"/>
      <c r="DX87" s="2473"/>
      <c r="DY87" s="2473"/>
      <c r="DZ87" s="2473"/>
      <c r="EA87" s="2473"/>
      <c r="EB87" s="2473"/>
      <c r="EC87" s="2473"/>
      <c r="ED87" s="2473"/>
      <c r="EE87" s="2473"/>
      <c r="EF87" s="2473"/>
      <c r="EG87" s="2473"/>
      <c r="EH87" s="2473"/>
      <c r="EI87" s="2473"/>
      <c r="EJ87" s="2473"/>
      <c r="EK87" s="2473"/>
      <c r="EL87" s="2473"/>
      <c r="EM87" s="2473"/>
      <c r="EN87" s="2473"/>
      <c r="EO87" s="2473"/>
      <c r="EP87" s="2473"/>
      <c r="EQ87" s="2473"/>
      <c r="ER87" s="2473"/>
      <c r="ES87" s="2473"/>
      <c r="ET87" s="2473"/>
      <c r="EU87" s="2473"/>
      <c r="EV87" s="2473"/>
      <c r="EW87" s="2473"/>
      <c r="EX87" s="2473"/>
      <c r="EY87" s="2473"/>
      <c r="EZ87" s="2473"/>
      <c r="FA87" s="2473"/>
      <c r="FB87" s="2473"/>
      <c r="FC87" s="2473"/>
      <c r="FD87" s="2473"/>
      <c r="FE87" s="2473"/>
      <c r="FF87" s="2473"/>
      <c r="FG87" s="2473"/>
      <c r="FH87" s="2473"/>
      <c r="FI87" s="2473"/>
      <c r="FJ87" s="2473"/>
      <c r="FK87" s="2473"/>
      <c r="FL87" s="2473"/>
      <c r="FM87" s="2473"/>
      <c r="FN87" s="2473"/>
      <c r="FO87" s="2473"/>
      <c r="FP87" s="2473"/>
      <c r="FQ87" s="2473"/>
      <c r="FR87" s="2473"/>
      <c r="FS87" s="2473"/>
      <c r="FT87" s="2473"/>
      <c r="FU87" s="2473"/>
      <c r="FV87" s="2473"/>
      <c r="FW87" s="2473"/>
      <c r="FX87" s="2473"/>
      <c r="FY87" s="2473"/>
      <c r="FZ87" s="2473"/>
      <c r="GA87" s="2473"/>
      <c r="GB87" s="2473"/>
      <c r="GC87" s="2473"/>
      <c r="GD87" s="2473"/>
      <c r="GE87" s="2473"/>
      <c r="GF87" s="2473"/>
      <c r="GG87" s="2473"/>
      <c r="GH87" s="2473"/>
      <c r="GI87" s="2473"/>
      <c r="GJ87" s="2473"/>
      <c r="GK87" s="2473"/>
      <c r="GL87" s="2473"/>
      <c r="GM87" s="2473"/>
      <c r="GN87" s="2473"/>
      <c r="GO87" s="2473"/>
      <c r="GP87" s="2473"/>
      <c r="GQ87" s="2473"/>
      <c r="GR87" s="2473"/>
      <c r="GS87" s="2473"/>
      <c r="GT87" s="2473"/>
      <c r="GU87" s="2473"/>
      <c r="GV87" s="2473"/>
      <c r="GW87" s="2473"/>
      <c r="GX87" s="2473"/>
      <c r="GY87" s="2473"/>
      <c r="GZ87" s="2473"/>
      <c r="HA87" s="2473"/>
      <c r="HB87" s="2473"/>
      <c r="HC87" s="2473"/>
      <c r="HD87" s="2473"/>
      <c r="HE87" s="2473"/>
      <c r="HF87" s="2473"/>
      <c r="HG87" s="2473"/>
      <c r="HH87" s="2473"/>
      <c r="HI87" s="2473"/>
      <c r="HJ87" s="2473"/>
      <c r="HK87" s="2473"/>
      <c r="HL87" s="2473"/>
      <c r="HM87" s="2473"/>
      <c r="HN87" s="2473"/>
      <c r="HO87" s="2473"/>
      <c r="HP87" s="2473"/>
      <c r="HQ87" s="2473"/>
      <c r="HR87" s="2473"/>
      <c r="HS87" s="2473"/>
      <c r="HT87" s="2473"/>
      <c r="HU87" s="2473"/>
      <c r="HV87" s="2473"/>
      <c r="HW87" s="2473"/>
      <c r="HX87" s="2473"/>
      <c r="HY87" s="2473"/>
      <c r="HZ87" s="2473"/>
      <c r="IA87" s="2473"/>
      <c r="IB87" s="2473"/>
      <c r="IC87" s="2473"/>
      <c r="ID87" s="2473"/>
      <c r="IE87" s="2473"/>
      <c r="IF87" s="2473"/>
      <c r="IG87" s="2473"/>
      <c r="IH87" s="2473"/>
      <c r="II87" s="2473"/>
      <c r="IJ87" s="2473"/>
      <c r="IK87" s="2473"/>
      <c r="IL87" s="2473"/>
      <c r="IM87" s="2473"/>
      <c r="IN87" s="2473"/>
      <c r="IO87" s="2473"/>
      <c r="IP87" s="2473"/>
      <c r="IQ87" s="2473"/>
      <c r="IR87" s="2473"/>
      <c r="IS87" s="2473"/>
      <c r="IT87" s="2473"/>
      <c r="IU87" s="2473"/>
      <c r="IV87" s="2473"/>
      <c r="IW87" s="2473"/>
      <c r="IX87" s="2473"/>
      <c r="IY87" s="2473"/>
      <c r="IZ87" s="2473"/>
      <c r="JA87" s="2473"/>
      <c r="JB87" s="2473"/>
      <c r="JC87" s="2473"/>
      <c r="JD87" s="2473"/>
      <c r="JE87" s="2473"/>
      <c r="JF87" s="2473"/>
      <c r="JG87" s="2473"/>
      <c r="JH87" s="2473"/>
      <c r="JI87" s="2473"/>
      <c r="JJ87" s="2473"/>
      <c r="JK87" s="2473"/>
      <c r="JL87" s="2473"/>
      <c r="JM87" s="2473"/>
      <c r="JN87" s="2473"/>
      <c r="JO87" s="2473"/>
      <c r="JP87" s="2473"/>
      <c r="JQ87" s="2473"/>
      <c r="JR87" s="2473"/>
      <c r="JS87" s="2473"/>
      <c r="JT87" s="2473"/>
      <c r="JU87" s="2473"/>
      <c r="JV87" s="2473"/>
      <c r="JW87" s="2473"/>
      <c r="JX87" s="2473"/>
      <c r="JY87" s="2473"/>
      <c r="JZ87" s="2473"/>
      <c r="KA87" s="2473"/>
      <c r="KB87" s="2473"/>
      <c r="KC87" s="2473"/>
      <c r="KD87" s="2473"/>
      <c r="KE87" s="2473"/>
      <c r="KF87" s="2473"/>
      <c r="KG87" s="2473"/>
      <c r="KH87" s="2473"/>
      <c r="KI87" s="2473"/>
      <c r="KJ87" s="2473"/>
      <c r="KK87" s="2473"/>
      <c r="KL87" s="2473"/>
      <c r="KM87" s="2473"/>
      <c r="KN87" s="2473"/>
      <c r="KO87" s="2473"/>
      <c r="KP87" s="2473"/>
      <c r="KQ87" s="2473"/>
      <c r="KR87" s="2473"/>
      <c r="KS87" s="2473"/>
      <c r="KT87" s="2473"/>
      <c r="KU87" s="2473"/>
      <c r="KV87" s="2473"/>
      <c r="KW87" s="2473"/>
      <c r="KX87" s="2473"/>
      <c r="KY87" s="2473"/>
      <c r="KZ87" s="2473"/>
      <c r="LA87" s="2473"/>
      <c r="LB87" s="2473"/>
      <c r="LC87" s="2473"/>
      <c r="LD87" s="2473"/>
      <c r="LE87" s="2473"/>
      <c r="LF87" s="2473"/>
      <c r="LG87" s="2473"/>
      <c r="LH87" s="2473"/>
      <c r="LI87" s="2473"/>
      <c r="LJ87" s="2473"/>
      <c r="LK87" s="2473"/>
      <c r="LL87" s="2473"/>
      <c r="LM87" s="2473"/>
      <c r="LN87" s="2473"/>
      <c r="LO87" s="2473"/>
      <c r="LP87" s="2473"/>
      <c r="LQ87" s="2473"/>
      <c r="LR87" s="2473"/>
      <c r="LS87" s="2473"/>
      <c r="LT87" s="2473"/>
      <c r="LU87" s="2473"/>
      <c r="LV87" s="2473"/>
      <c r="LW87" s="2473"/>
      <c r="LX87" s="2473"/>
      <c r="LY87" s="2473"/>
      <c r="LZ87" s="2473"/>
      <c r="MA87" s="2473"/>
      <c r="MB87" s="2473"/>
      <c r="MC87" s="2473"/>
      <c r="MD87" s="2473"/>
      <c r="ME87" s="2473"/>
      <c r="MF87" s="2473"/>
      <c r="MG87" s="2473"/>
      <c r="MH87" s="2473"/>
      <c r="MI87" s="2473"/>
      <c r="MJ87" s="2473"/>
      <c r="MK87" s="2473"/>
      <c r="ML87" s="2473"/>
      <c r="MM87" s="2473"/>
      <c r="MN87" s="2473"/>
      <c r="MO87" s="2473"/>
      <c r="MP87" s="2473"/>
      <c r="MQ87" s="2473"/>
      <c r="MR87" s="2473"/>
      <c r="MS87" s="2473"/>
      <c r="MT87" s="2473"/>
      <c r="MU87" s="2473"/>
      <c r="MV87" s="2473"/>
      <c r="MW87" s="2473"/>
      <c r="MX87" s="2473"/>
      <c r="MY87" s="2473"/>
      <c r="MZ87" s="2473"/>
      <c r="NA87" s="2473"/>
      <c r="NB87" s="2473"/>
      <c r="NC87" s="2473"/>
      <c r="ND87" s="2473"/>
      <c r="NE87" s="2316"/>
      <c r="NF87" s="2316"/>
      <c r="NG87" s="2316"/>
      <c r="NH87" s="2316"/>
      <c r="NI87" s="2316"/>
      <c r="NJ87" s="2316"/>
      <c r="NK87" s="2316"/>
      <c r="NL87" s="2316"/>
      <c r="NM87" s="2316"/>
      <c r="NN87" s="2316"/>
      <c r="NO87" s="2316"/>
      <c r="NP87" s="2316"/>
      <c r="NQ87" s="2316"/>
      <c r="NR87" s="2316"/>
      <c r="NS87" s="2316"/>
      <c r="NT87" s="2316"/>
      <c r="NU87" s="2316"/>
      <c r="NV87" s="2316"/>
      <c r="NW87" s="2316"/>
      <c r="NX87" s="2316"/>
      <c r="NY87" s="2316"/>
      <c r="NZ87" s="2316"/>
      <c r="OA87" s="2316"/>
      <c r="OB87" s="2316"/>
      <c r="OC87" s="2316"/>
      <c r="OD87" s="2316"/>
      <c r="OE87" s="2316"/>
      <c r="OF87" s="2316"/>
      <c r="OG87" s="2316"/>
      <c r="OH87" s="2316"/>
      <c r="OI87" s="2316"/>
      <c r="OJ87" s="2316"/>
      <c r="OK87" s="2316"/>
      <c r="OL87" s="2316"/>
      <c r="OM87" s="2316"/>
      <c r="ON87" s="2316"/>
      <c r="OO87" s="2316"/>
      <c r="OP87" s="2316"/>
      <c r="OQ87" s="2316"/>
      <c r="OR87" s="2316"/>
      <c r="OS87" s="2316"/>
      <c r="OT87" s="2316"/>
      <c r="OU87" s="2316"/>
      <c r="OV87" s="2316"/>
      <c r="OW87" s="2316"/>
      <c r="OX87" s="2316"/>
      <c r="OY87" s="2316"/>
      <c r="OZ87" s="2316"/>
      <c r="PA87" s="2316"/>
      <c r="PB87" s="2316"/>
      <c r="PC87" s="2316"/>
      <c r="PD87" s="2316"/>
      <c r="PE87" s="2316"/>
      <c r="PF87" s="2316"/>
      <c r="PG87" s="2316"/>
      <c r="PH87" s="2316"/>
      <c r="PI87" s="2316"/>
      <c r="PJ87" s="2316"/>
      <c r="PK87" s="2316"/>
      <c r="PL87" s="2316"/>
      <c r="PM87" s="2316"/>
      <c r="PN87" s="2316"/>
      <c r="PO87" s="2316"/>
      <c r="PP87" s="2316"/>
      <c r="PQ87" s="2316"/>
      <c r="PR87" s="2316"/>
      <c r="PS87" s="2316"/>
      <c r="PT87" s="2316"/>
      <c r="PU87" s="2316"/>
      <c r="PV87" s="2316"/>
      <c r="PW87" s="2316"/>
      <c r="PX87" s="2316"/>
      <c r="PY87" s="2316"/>
      <c r="PZ87" s="2316"/>
      <c r="QA87" s="2316"/>
      <c r="QB87" s="2316"/>
      <c r="QC87" s="2316"/>
      <c r="QD87" s="2316"/>
      <c r="QE87" s="2316"/>
      <c r="QF87" s="2316"/>
      <c r="QG87" s="2316"/>
      <c r="QH87" s="2316"/>
      <c r="QI87" s="2316"/>
      <c r="QJ87" s="2316"/>
      <c r="QK87" s="2316"/>
      <c r="QL87" s="2316"/>
      <c r="QM87" s="2316"/>
      <c r="QN87" s="2316"/>
      <c r="QO87" s="2316"/>
      <c r="QP87" s="2316"/>
      <c r="QQ87" s="2316"/>
      <c r="QR87" s="2316"/>
      <c r="QS87" s="2316"/>
      <c r="QT87" s="2316"/>
      <c r="QU87" s="2316"/>
      <c r="QV87" s="2316"/>
      <c r="QW87" s="2316"/>
      <c r="QX87" s="2316"/>
      <c r="QY87" s="2316"/>
      <c r="QZ87" s="2316"/>
      <c r="RA87" s="2316"/>
      <c r="RB87" s="2316"/>
      <c r="RC87" s="2316"/>
      <c r="RD87" s="2316"/>
      <c r="RE87" s="2316"/>
      <c r="RF87" s="2316"/>
      <c r="RG87" s="2316"/>
      <c r="RH87" s="2316"/>
      <c r="RI87" s="2316"/>
      <c r="RJ87" s="2316"/>
      <c r="RK87" s="2316"/>
      <c r="RL87" s="2316"/>
      <c r="RM87" s="2316"/>
      <c r="RN87" s="2316"/>
      <c r="RO87" s="2316"/>
      <c r="RP87" s="2316"/>
      <c r="RQ87" s="2316"/>
      <c r="RR87" s="2316"/>
      <c r="RS87" s="2316"/>
      <c r="RT87" s="2316"/>
      <c r="RU87" s="2316"/>
      <c r="RV87" s="2316"/>
      <c r="RW87" s="2316"/>
      <c r="RX87" s="2316"/>
      <c r="RY87" s="2316"/>
      <c r="RZ87" s="2316"/>
      <c r="SA87" s="2316"/>
    </row>
    <row r="88" spans="1:495" customFormat="1">
      <c r="B88" s="2022"/>
      <c r="C88" s="2266" t="s">
        <v>4785</v>
      </c>
      <c r="D88" s="8"/>
      <c r="E88" s="8"/>
      <c r="F88" s="8"/>
      <c r="G88" s="8"/>
      <c r="H88" s="2341" t="s">
        <v>4131</v>
      </c>
      <c r="I88" s="2273"/>
      <c r="J88" s="1"/>
      <c r="K88" s="2332" t="str">
        <f t="shared" ref="K88:P88" si="376">IF(OR(K62=0,K$67=0),"",K62/K$67)</f>
        <v/>
      </c>
      <c r="L88" s="2333" t="str">
        <f t="shared" si="376"/>
        <v/>
      </c>
      <c r="M88" s="2333" t="str">
        <f t="shared" si="376"/>
        <v/>
      </c>
      <c r="N88" s="2333" t="str">
        <f t="shared" si="376"/>
        <v/>
      </c>
      <c r="O88" s="2333" t="str">
        <f t="shared" si="376"/>
        <v/>
      </c>
      <c r="P88" s="2334" t="str">
        <f t="shared" si="376"/>
        <v/>
      </c>
      <c r="X88" s="2473"/>
      <c r="Y88" s="2473"/>
      <c r="Z88" s="2473"/>
      <c r="AA88" s="2473"/>
      <c r="AB88" s="2473"/>
      <c r="AC88" s="2473"/>
      <c r="AD88" s="2473"/>
      <c r="AE88" s="2473"/>
      <c r="AF88" s="2473"/>
      <c r="AG88" s="2473"/>
      <c r="AH88" s="2473"/>
      <c r="AI88" s="2473"/>
      <c r="AJ88" s="2473"/>
      <c r="AK88" s="2473"/>
      <c r="AL88" s="2473"/>
      <c r="AM88" s="2473"/>
      <c r="AN88" s="2473"/>
      <c r="AO88" s="2473"/>
      <c r="AP88" s="2473"/>
      <c r="AQ88" s="2473"/>
      <c r="AR88" s="2473"/>
      <c r="AS88" s="2473"/>
      <c r="AT88" s="2473"/>
      <c r="AU88" s="2473"/>
      <c r="AV88" s="2473"/>
      <c r="AW88" s="2473"/>
      <c r="AX88" s="2473"/>
      <c r="AY88" s="2473"/>
      <c r="AZ88" s="2473"/>
      <c r="BA88" s="2473"/>
      <c r="BB88" s="2473"/>
      <c r="BC88" s="2473"/>
      <c r="BD88" s="2473"/>
      <c r="BE88" s="2473"/>
      <c r="BF88" s="2473"/>
      <c r="BG88" s="2473"/>
      <c r="BH88" s="2473"/>
      <c r="BI88" s="2473"/>
      <c r="BJ88" s="2473"/>
      <c r="BK88" s="2473"/>
      <c r="BL88" s="2473"/>
      <c r="BM88" s="2473"/>
      <c r="BN88" s="2473"/>
      <c r="BO88" s="2473"/>
      <c r="BP88" s="2473"/>
      <c r="BQ88" s="2473"/>
      <c r="BR88" s="2473"/>
      <c r="BS88" s="2473"/>
      <c r="BT88" s="2473"/>
      <c r="BU88" s="2473"/>
      <c r="BV88" s="2473"/>
      <c r="BW88" s="2473"/>
      <c r="BX88" s="2473"/>
      <c r="BY88" s="2473"/>
      <c r="BZ88" s="2473"/>
      <c r="CA88" s="2473"/>
      <c r="CB88" s="2473"/>
      <c r="CC88" s="2473"/>
      <c r="CD88" s="2473"/>
      <c r="CE88" s="2473"/>
      <c r="CF88" s="2473"/>
      <c r="CG88" s="2473"/>
      <c r="CH88" s="2473"/>
      <c r="CI88" s="2473"/>
      <c r="CJ88" s="2473"/>
      <c r="CK88" s="2473"/>
      <c r="CL88" s="2473"/>
      <c r="CM88" s="2473"/>
      <c r="CN88" s="2473"/>
      <c r="CO88" s="2473"/>
      <c r="CP88" s="2473"/>
      <c r="CQ88" s="2473"/>
      <c r="CR88" s="2473"/>
      <c r="CS88" s="2473"/>
      <c r="CT88" s="2473"/>
      <c r="CU88" s="2473"/>
      <c r="CV88" s="2473"/>
      <c r="CW88" s="2473"/>
      <c r="CX88" s="2473"/>
      <c r="CY88" s="2473"/>
      <c r="CZ88" s="2473"/>
      <c r="DA88" s="2473"/>
      <c r="DB88" s="2473"/>
      <c r="DC88" s="2473"/>
      <c r="DD88" s="2473"/>
      <c r="DE88" s="2473"/>
      <c r="DF88" s="2473"/>
      <c r="DG88" s="2473"/>
      <c r="DH88" s="2473"/>
      <c r="DI88" s="2473"/>
      <c r="DJ88" s="2473"/>
      <c r="DK88" s="2473"/>
      <c r="DL88" s="2473"/>
      <c r="DM88" s="2473"/>
      <c r="DN88" s="2473"/>
      <c r="DO88" s="2473"/>
      <c r="DP88" s="2473"/>
      <c r="DQ88" s="2473"/>
      <c r="DR88" s="2473"/>
      <c r="DS88" s="2473"/>
      <c r="DT88" s="2473"/>
      <c r="DU88" s="2473"/>
      <c r="DV88" s="2473"/>
      <c r="DW88" s="2473"/>
      <c r="DX88" s="2473"/>
      <c r="DY88" s="2473"/>
      <c r="DZ88" s="2473"/>
      <c r="EA88" s="2473"/>
      <c r="EB88" s="2473"/>
      <c r="EC88" s="2473"/>
      <c r="ED88" s="2473"/>
      <c r="EE88" s="2473"/>
      <c r="EF88" s="2473"/>
      <c r="EG88" s="2473"/>
      <c r="EH88" s="2473"/>
      <c r="EI88" s="2473"/>
      <c r="EJ88" s="2473"/>
      <c r="EK88" s="2473"/>
      <c r="EL88" s="2473"/>
      <c r="EM88" s="2473"/>
      <c r="EN88" s="2473"/>
      <c r="EO88" s="2473"/>
      <c r="EP88" s="2473"/>
      <c r="EQ88" s="2473"/>
      <c r="ER88" s="2473"/>
      <c r="ES88" s="2473"/>
      <c r="ET88" s="2473"/>
      <c r="EU88" s="2473"/>
      <c r="EV88" s="2473"/>
      <c r="EW88" s="2473"/>
      <c r="EX88" s="2473"/>
      <c r="EY88" s="2473"/>
      <c r="EZ88" s="2473"/>
      <c r="FA88" s="2473"/>
      <c r="FB88" s="2473"/>
      <c r="FC88" s="2473"/>
      <c r="FD88" s="2473"/>
      <c r="FE88" s="2473"/>
      <c r="FF88" s="2473"/>
      <c r="FG88" s="2473"/>
      <c r="FH88" s="2473"/>
      <c r="FI88" s="2473"/>
      <c r="FJ88" s="2473"/>
      <c r="FK88" s="2473"/>
      <c r="FL88" s="2473"/>
      <c r="FM88" s="2473"/>
      <c r="FN88" s="2473"/>
      <c r="FO88" s="2473"/>
      <c r="FP88" s="2473"/>
      <c r="FQ88" s="2473"/>
      <c r="FR88" s="2473"/>
      <c r="FS88" s="2473"/>
      <c r="FT88" s="2473"/>
      <c r="FU88" s="2473"/>
      <c r="FV88" s="2473"/>
      <c r="FW88" s="2473"/>
      <c r="FX88" s="2473"/>
      <c r="FY88" s="2473"/>
      <c r="FZ88" s="2473"/>
      <c r="GA88" s="2473"/>
      <c r="GB88" s="2473"/>
      <c r="GC88" s="2473"/>
      <c r="GD88" s="2473"/>
      <c r="GE88" s="2473"/>
      <c r="GF88" s="2473"/>
      <c r="GG88" s="2473"/>
      <c r="GH88" s="2473"/>
      <c r="GI88" s="2473"/>
      <c r="GJ88" s="2473"/>
      <c r="GK88" s="2473"/>
      <c r="GL88" s="2473"/>
      <c r="GM88" s="2473"/>
      <c r="GN88" s="2473"/>
      <c r="GO88" s="2473"/>
      <c r="GP88" s="2473"/>
      <c r="GQ88" s="2473"/>
      <c r="GR88" s="2473"/>
      <c r="GS88" s="2473"/>
      <c r="GT88" s="2473"/>
      <c r="GU88" s="2473"/>
      <c r="GV88" s="2473"/>
      <c r="GW88" s="2473"/>
      <c r="GX88" s="2473"/>
      <c r="GY88" s="2473"/>
      <c r="GZ88" s="2473"/>
      <c r="HA88" s="2473"/>
      <c r="HB88" s="2473"/>
      <c r="HC88" s="2473"/>
      <c r="HD88" s="2473"/>
      <c r="HE88" s="2473"/>
      <c r="HF88" s="2473"/>
      <c r="HG88" s="2473"/>
      <c r="HH88" s="2473"/>
      <c r="HI88" s="2473"/>
      <c r="HJ88" s="2473"/>
      <c r="HK88" s="2473"/>
      <c r="HL88" s="2473"/>
      <c r="HM88" s="2473"/>
      <c r="HN88" s="2473"/>
      <c r="HO88" s="2473"/>
      <c r="HP88" s="2473"/>
      <c r="HQ88" s="2473"/>
      <c r="HR88" s="2473"/>
      <c r="HS88" s="2473"/>
      <c r="HT88" s="2473"/>
      <c r="HU88" s="2473"/>
      <c r="HV88" s="2473"/>
      <c r="HW88" s="2473"/>
      <c r="HX88" s="2473"/>
      <c r="HY88" s="2473"/>
      <c r="HZ88" s="2473"/>
      <c r="IA88" s="2473"/>
      <c r="IB88" s="2473"/>
      <c r="IC88" s="2473"/>
      <c r="ID88" s="2473"/>
      <c r="IE88" s="2473"/>
      <c r="IF88" s="2473"/>
      <c r="IG88" s="2473"/>
      <c r="IH88" s="2473"/>
      <c r="II88" s="2473"/>
      <c r="IJ88" s="2473"/>
      <c r="IK88" s="2473"/>
      <c r="IL88" s="2473"/>
      <c r="IM88" s="2473"/>
      <c r="IN88" s="2473"/>
      <c r="IO88" s="2473"/>
      <c r="IP88" s="2473"/>
      <c r="IQ88" s="2473"/>
      <c r="IR88" s="2473"/>
      <c r="IS88" s="2473"/>
      <c r="IT88" s="2473"/>
      <c r="IU88" s="2473"/>
      <c r="IV88" s="2473"/>
      <c r="IW88" s="2473"/>
      <c r="IX88" s="2473"/>
      <c r="IY88" s="2473"/>
      <c r="IZ88" s="2473"/>
      <c r="JA88" s="2473"/>
      <c r="JB88" s="2473"/>
      <c r="JC88" s="2473"/>
      <c r="JD88" s="2473"/>
      <c r="JE88" s="2473"/>
      <c r="JF88" s="2473"/>
      <c r="JG88" s="2473"/>
      <c r="JH88" s="2473"/>
      <c r="JI88" s="2473"/>
      <c r="JJ88" s="2473"/>
      <c r="JK88" s="2473"/>
      <c r="JL88" s="2473"/>
      <c r="JM88" s="2473"/>
      <c r="JN88" s="2473"/>
      <c r="JO88" s="2473"/>
      <c r="JP88" s="2473"/>
      <c r="JQ88" s="2473"/>
      <c r="JR88" s="2473"/>
      <c r="JS88" s="2473"/>
      <c r="JT88" s="2473"/>
      <c r="JU88" s="2473"/>
      <c r="JV88" s="2473"/>
      <c r="JW88" s="2473"/>
      <c r="JX88" s="2473"/>
      <c r="JY88" s="2473"/>
      <c r="JZ88" s="2473"/>
      <c r="KA88" s="2473"/>
      <c r="KB88" s="2473"/>
      <c r="KC88" s="2473"/>
      <c r="KD88" s="2473"/>
      <c r="KE88" s="2473"/>
      <c r="KF88" s="2473"/>
      <c r="KG88" s="2473"/>
      <c r="KH88" s="2473"/>
      <c r="KI88" s="2473"/>
      <c r="KJ88" s="2473"/>
      <c r="KK88" s="2473"/>
      <c r="KL88" s="2473"/>
      <c r="KM88" s="2473"/>
      <c r="KN88" s="2473"/>
      <c r="KO88" s="2473"/>
      <c r="KP88" s="2473"/>
      <c r="KQ88" s="2473"/>
      <c r="KR88" s="2473"/>
      <c r="KS88" s="2473"/>
      <c r="KT88" s="2473"/>
      <c r="KU88" s="2473"/>
      <c r="KV88" s="2473"/>
      <c r="KW88" s="2473"/>
      <c r="KX88" s="2473"/>
      <c r="KY88" s="2473"/>
      <c r="KZ88" s="2473"/>
      <c r="LA88" s="2473"/>
      <c r="LB88" s="2473"/>
      <c r="LC88" s="2473"/>
      <c r="LD88" s="2473"/>
      <c r="LE88" s="2473"/>
      <c r="LF88" s="2473"/>
      <c r="LG88" s="2473"/>
      <c r="LH88" s="2473"/>
      <c r="LI88" s="2473"/>
      <c r="LJ88" s="2473"/>
      <c r="LK88" s="2473"/>
      <c r="LL88" s="2473"/>
      <c r="LM88" s="2473"/>
      <c r="LN88" s="2473"/>
      <c r="LO88" s="2473"/>
      <c r="LP88" s="2473"/>
      <c r="LQ88" s="2473"/>
      <c r="LR88" s="2473"/>
      <c r="LS88" s="2473"/>
      <c r="LT88" s="2473"/>
      <c r="LU88" s="2473"/>
      <c r="LV88" s="2473"/>
      <c r="LW88" s="2473"/>
      <c r="LX88" s="2473"/>
      <c r="LY88" s="2473"/>
      <c r="LZ88" s="2473"/>
      <c r="MA88" s="2473"/>
      <c r="MB88" s="2473"/>
      <c r="MC88" s="2473"/>
      <c r="MD88" s="2473"/>
      <c r="ME88" s="2473"/>
      <c r="MF88" s="2473"/>
      <c r="MG88" s="2473"/>
      <c r="MH88" s="2473"/>
      <c r="MI88" s="2473"/>
      <c r="MJ88" s="2473"/>
      <c r="MK88" s="2473"/>
      <c r="ML88" s="2473"/>
      <c r="MM88" s="2473"/>
      <c r="MN88" s="2473"/>
      <c r="MO88" s="2473"/>
      <c r="MP88" s="2473"/>
      <c r="MQ88" s="2473"/>
      <c r="MR88" s="2473"/>
      <c r="MS88" s="2473"/>
      <c r="MT88" s="2473"/>
      <c r="MU88" s="2473"/>
      <c r="MV88" s="2473"/>
      <c r="MW88" s="2473"/>
      <c r="MX88" s="2473"/>
      <c r="MY88" s="2473"/>
      <c r="MZ88" s="2473"/>
      <c r="NA88" s="2473"/>
      <c r="NB88" s="2473"/>
      <c r="NC88" s="2473"/>
      <c r="ND88" s="2473"/>
      <c r="NE88" s="2316"/>
      <c r="NF88" s="2316"/>
      <c r="NG88" s="2316"/>
      <c r="NH88" s="2316"/>
      <c r="NI88" s="2316"/>
      <c r="NJ88" s="2316"/>
      <c r="NK88" s="2316"/>
      <c r="NL88" s="2316"/>
      <c r="NM88" s="2316"/>
      <c r="NN88" s="2316"/>
      <c r="NO88" s="2316"/>
      <c r="NP88" s="2316"/>
      <c r="NQ88" s="2316"/>
      <c r="NR88" s="2316"/>
      <c r="NS88" s="2316"/>
      <c r="NT88" s="2316"/>
      <c r="NU88" s="2316"/>
      <c r="NV88" s="2316"/>
      <c r="NW88" s="2316"/>
      <c r="NX88" s="2316"/>
      <c r="NY88" s="2316"/>
      <c r="NZ88" s="2316"/>
      <c r="OA88" s="2316"/>
      <c r="OB88" s="2316"/>
      <c r="OC88" s="2316"/>
      <c r="OD88" s="2316"/>
      <c r="OE88" s="2316"/>
      <c r="OF88" s="2316"/>
      <c r="OG88" s="2316"/>
      <c r="OH88" s="2316"/>
      <c r="OI88" s="2316"/>
      <c r="OJ88" s="2316"/>
      <c r="OK88" s="2316"/>
      <c r="OL88" s="2316"/>
      <c r="OM88" s="2316"/>
      <c r="ON88" s="2316"/>
      <c r="OO88" s="2316"/>
      <c r="OP88" s="2316"/>
      <c r="OQ88" s="2316"/>
      <c r="OR88" s="2316"/>
      <c r="OS88" s="2316"/>
      <c r="OT88" s="2316"/>
      <c r="OU88" s="2316"/>
      <c r="OV88" s="2316"/>
      <c r="OW88" s="2316"/>
      <c r="OX88" s="2316"/>
      <c r="OY88" s="2316"/>
      <c r="OZ88" s="2316"/>
      <c r="PA88" s="2316"/>
      <c r="PB88" s="2316"/>
      <c r="PC88" s="2316"/>
      <c r="PD88" s="2316"/>
      <c r="PE88" s="2316"/>
      <c r="PF88" s="2316"/>
      <c r="PG88" s="2316"/>
      <c r="PH88" s="2316"/>
      <c r="PI88" s="2316"/>
      <c r="PJ88" s="2316"/>
      <c r="PK88" s="2316"/>
      <c r="PL88" s="2316"/>
      <c r="PM88" s="2316"/>
      <c r="PN88" s="2316"/>
      <c r="PO88" s="2316"/>
      <c r="PP88" s="2316"/>
      <c r="PQ88" s="2316"/>
      <c r="PR88" s="2316"/>
      <c r="PS88" s="2316"/>
      <c r="PT88" s="2316"/>
      <c r="PU88" s="2316"/>
      <c r="PV88" s="2316"/>
      <c r="PW88" s="2316"/>
      <c r="PX88" s="2316"/>
      <c r="PY88" s="2316"/>
      <c r="PZ88" s="2316"/>
      <c r="QA88" s="2316"/>
      <c r="QB88" s="2316"/>
      <c r="QC88" s="2316"/>
      <c r="QD88" s="2316"/>
      <c r="QE88" s="2316"/>
      <c r="QF88" s="2316"/>
      <c r="QG88" s="2316"/>
      <c r="QH88" s="2316"/>
      <c r="QI88" s="2316"/>
      <c r="QJ88" s="2316"/>
      <c r="QK88" s="2316"/>
      <c r="QL88" s="2316"/>
      <c r="QM88" s="2316"/>
      <c r="QN88" s="2316"/>
      <c r="QO88" s="2316"/>
      <c r="QP88" s="2316"/>
      <c r="QQ88" s="2316"/>
      <c r="QR88" s="2316"/>
      <c r="QS88" s="2316"/>
      <c r="QT88" s="2316"/>
      <c r="QU88" s="2316"/>
      <c r="QV88" s="2316"/>
      <c r="QW88" s="2316"/>
      <c r="QX88" s="2316"/>
      <c r="QY88" s="2316"/>
      <c r="QZ88" s="2316"/>
      <c r="RA88" s="2316"/>
      <c r="RB88" s="2316"/>
      <c r="RC88" s="2316"/>
      <c r="RD88" s="2316"/>
      <c r="RE88" s="2316"/>
      <c r="RF88" s="2316"/>
      <c r="RG88" s="2316"/>
      <c r="RH88" s="2316"/>
      <c r="RI88" s="2316"/>
      <c r="RJ88" s="2316"/>
      <c r="RK88" s="2316"/>
      <c r="RL88" s="2316"/>
      <c r="RM88" s="2316"/>
      <c r="RN88" s="2316"/>
      <c r="RO88" s="2316"/>
      <c r="RP88" s="2316"/>
      <c r="RQ88" s="2316"/>
      <c r="RR88" s="2316"/>
      <c r="RS88" s="2316"/>
      <c r="RT88" s="2316"/>
      <c r="RU88" s="2316"/>
      <c r="RV88" s="2316"/>
      <c r="RW88" s="2316"/>
      <c r="RX88" s="2316"/>
      <c r="RY88" s="2316"/>
      <c r="RZ88" s="2316"/>
      <c r="SA88" s="2316"/>
    </row>
    <row r="89" spans="1:495" customFormat="1">
      <c r="B89" s="2022"/>
      <c r="C89" s="2266"/>
      <c r="D89" s="2267"/>
      <c r="E89" s="2267"/>
      <c r="F89" s="8"/>
      <c r="G89" s="8"/>
      <c r="H89" s="2339" t="s">
        <v>4809</v>
      </c>
      <c r="I89" s="2270"/>
      <c r="J89" s="1"/>
      <c r="K89" s="2327" t="str">
        <f>IF(OR(K62=0,$P88="",K$67=0),"",$P88*K$67)</f>
        <v/>
      </c>
      <c r="L89" s="2327" t="str">
        <f>IF(OR(L62=0,$P88="",L$67=0),"",$P88*L$67)</f>
        <v/>
      </c>
      <c r="M89" s="2327" t="str">
        <f>IF(OR(M62=0,$P88="",M$67=0),"",$P88*M$67)</f>
        <v/>
      </c>
      <c r="N89" s="2327" t="str">
        <f>IF(OR(N62=0,$P88="",N$67=0),"",$P88*N$67)</f>
        <v/>
      </c>
      <c r="O89" s="2327" t="str">
        <f>IF(OR(O62=0,$P88="",O$67=0),"",$P88*O$67)</f>
        <v/>
      </c>
      <c r="P89" s="2328" t="str">
        <f t="shared" ref="P89" si="377">IF(OR($P88="",P$67=0),"",$P88*P$67)</f>
        <v/>
      </c>
      <c r="X89" s="2473"/>
      <c r="Y89" s="2473"/>
      <c r="Z89" s="2473"/>
      <c r="AA89" s="2473"/>
      <c r="AB89" s="2473"/>
      <c r="AC89" s="2473"/>
      <c r="AD89" s="2473"/>
      <c r="AE89" s="2473"/>
      <c r="AF89" s="2473"/>
      <c r="AG89" s="2473"/>
      <c r="AH89" s="2473"/>
      <c r="AI89" s="2473"/>
      <c r="AJ89" s="2473"/>
      <c r="AK89" s="2473"/>
      <c r="AL89" s="2473"/>
      <c r="AM89" s="2473"/>
      <c r="AN89" s="2473"/>
      <c r="AO89" s="2473"/>
      <c r="AP89" s="2473"/>
      <c r="AQ89" s="2473"/>
      <c r="AR89" s="2473"/>
      <c r="AS89" s="2473"/>
      <c r="AT89" s="2473"/>
      <c r="AU89" s="2473"/>
      <c r="AV89" s="2473"/>
      <c r="AW89" s="2473"/>
      <c r="AX89" s="2473"/>
      <c r="AY89" s="2473"/>
      <c r="AZ89" s="2473"/>
      <c r="BA89" s="2473"/>
      <c r="BB89" s="2473"/>
      <c r="BC89" s="2473"/>
      <c r="BD89" s="2473"/>
      <c r="BE89" s="2473"/>
      <c r="BF89" s="2473"/>
      <c r="BG89" s="2473"/>
      <c r="BH89" s="2473"/>
      <c r="BI89" s="2473"/>
      <c r="BJ89" s="2473"/>
      <c r="BK89" s="2473"/>
      <c r="BL89" s="2473"/>
      <c r="BM89" s="2473"/>
      <c r="BN89" s="2473"/>
      <c r="BO89" s="2473"/>
      <c r="BP89" s="2473"/>
      <c r="BQ89" s="2473"/>
      <c r="BR89" s="2473"/>
      <c r="BS89" s="2473"/>
      <c r="BT89" s="2473"/>
      <c r="BU89" s="2473"/>
      <c r="BV89" s="2473"/>
      <c r="BW89" s="2473"/>
      <c r="BX89" s="2473"/>
      <c r="BY89" s="2473"/>
      <c r="BZ89" s="2473"/>
      <c r="CA89" s="2473"/>
      <c r="CB89" s="2473"/>
      <c r="CC89" s="2473"/>
      <c r="CD89" s="2473"/>
      <c r="CE89" s="2473"/>
      <c r="CF89" s="2473"/>
      <c r="CG89" s="2473"/>
      <c r="CH89" s="2473"/>
      <c r="CI89" s="2473"/>
      <c r="CJ89" s="2473"/>
      <c r="CK89" s="2473"/>
      <c r="CL89" s="2473"/>
      <c r="CM89" s="2473"/>
      <c r="CN89" s="2473"/>
      <c r="CO89" s="2473"/>
      <c r="CP89" s="2473"/>
      <c r="CQ89" s="2473"/>
      <c r="CR89" s="2473"/>
      <c r="CS89" s="2473"/>
      <c r="CT89" s="2473"/>
      <c r="CU89" s="2473"/>
      <c r="CV89" s="2473"/>
      <c r="CW89" s="2473"/>
      <c r="CX89" s="2473"/>
      <c r="CY89" s="2473"/>
      <c r="CZ89" s="2473"/>
      <c r="DA89" s="2473"/>
      <c r="DB89" s="2473"/>
      <c r="DC89" s="2473"/>
      <c r="DD89" s="2473"/>
      <c r="DE89" s="2473"/>
      <c r="DF89" s="2473"/>
      <c r="DG89" s="2473"/>
      <c r="DH89" s="2473"/>
      <c r="DI89" s="2473"/>
      <c r="DJ89" s="2473"/>
      <c r="DK89" s="2473"/>
      <c r="DL89" s="2473"/>
      <c r="DM89" s="2473"/>
      <c r="DN89" s="2473"/>
      <c r="DO89" s="2473"/>
      <c r="DP89" s="2473"/>
      <c r="DQ89" s="2473"/>
      <c r="DR89" s="2473"/>
      <c r="DS89" s="2473"/>
      <c r="DT89" s="2473"/>
      <c r="DU89" s="2473"/>
      <c r="DV89" s="2473"/>
      <c r="DW89" s="2473"/>
      <c r="DX89" s="2473"/>
      <c r="DY89" s="2473"/>
      <c r="DZ89" s="2473"/>
      <c r="EA89" s="2473"/>
      <c r="EB89" s="2473"/>
      <c r="EC89" s="2473"/>
      <c r="ED89" s="2473"/>
      <c r="EE89" s="2473"/>
      <c r="EF89" s="2473"/>
      <c r="EG89" s="2473"/>
      <c r="EH89" s="2473"/>
      <c r="EI89" s="2473"/>
      <c r="EJ89" s="2473"/>
      <c r="EK89" s="2473"/>
      <c r="EL89" s="2473"/>
      <c r="EM89" s="2473"/>
      <c r="EN89" s="2473"/>
      <c r="EO89" s="2473"/>
      <c r="EP89" s="2473"/>
      <c r="EQ89" s="2473"/>
      <c r="ER89" s="2473"/>
      <c r="ES89" s="2473"/>
      <c r="ET89" s="2473"/>
      <c r="EU89" s="2473"/>
      <c r="EV89" s="2473"/>
      <c r="EW89" s="2473"/>
      <c r="EX89" s="2473"/>
      <c r="EY89" s="2473"/>
      <c r="EZ89" s="2473"/>
      <c r="FA89" s="2473"/>
      <c r="FB89" s="2473"/>
      <c r="FC89" s="2473"/>
      <c r="FD89" s="2473"/>
      <c r="FE89" s="2473"/>
      <c r="FF89" s="2473"/>
      <c r="FG89" s="2473"/>
      <c r="FH89" s="2473"/>
      <c r="FI89" s="2473"/>
      <c r="FJ89" s="2473"/>
      <c r="FK89" s="2473"/>
      <c r="FL89" s="2473"/>
      <c r="FM89" s="2473"/>
      <c r="FN89" s="2473"/>
      <c r="FO89" s="2473"/>
      <c r="FP89" s="2473"/>
      <c r="FQ89" s="2473"/>
      <c r="FR89" s="2473"/>
      <c r="FS89" s="2473"/>
      <c r="FT89" s="2473"/>
      <c r="FU89" s="2473"/>
      <c r="FV89" s="2473"/>
      <c r="FW89" s="2473"/>
      <c r="FX89" s="2473"/>
      <c r="FY89" s="2473"/>
      <c r="FZ89" s="2473"/>
      <c r="GA89" s="2473"/>
      <c r="GB89" s="2473"/>
      <c r="GC89" s="2473"/>
      <c r="GD89" s="2473"/>
      <c r="GE89" s="2473"/>
      <c r="GF89" s="2473"/>
      <c r="GG89" s="2473"/>
      <c r="GH89" s="2473"/>
      <c r="GI89" s="2473"/>
      <c r="GJ89" s="2473"/>
      <c r="GK89" s="2473"/>
      <c r="GL89" s="2473"/>
      <c r="GM89" s="2473"/>
      <c r="GN89" s="2473"/>
      <c r="GO89" s="2473"/>
      <c r="GP89" s="2473"/>
      <c r="GQ89" s="2473"/>
      <c r="GR89" s="2473"/>
      <c r="GS89" s="2473"/>
      <c r="GT89" s="2473"/>
      <c r="GU89" s="2473"/>
      <c r="GV89" s="2473"/>
      <c r="GW89" s="2473"/>
      <c r="GX89" s="2473"/>
      <c r="GY89" s="2473"/>
      <c r="GZ89" s="2473"/>
      <c r="HA89" s="2473"/>
      <c r="HB89" s="2473"/>
      <c r="HC89" s="2473"/>
      <c r="HD89" s="2473"/>
      <c r="HE89" s="2473"/>
      <c r="HF89" s="2473"/>
      <c r="HG89" s="2473"/>
      <c r="HH89" s="2473"/>
      <c r="HI89" s="2473"/>
      <c r="HJ89" s="2473"/>
      <c r="HK89" s="2473"/>
      <c r="HL89" s="2473"/>
      <c r="HM89" s="2473"/>
      <c r="HN89" s="2473"/>
      <c r="HO89" s="2473"/>
      <c r="HP89" s="2473"/>
      <c r="HQ89" s="2473"/>
      <c r="HR89" s="2473"/>
      <c r="HS89" s="2473"/>
      <c r="HT89" s="2473"/>
      <c r="HU89" s="2473"/>
      <c r="HV89" s="2473"/>
      <c r="HW89" s="2473"/>
      <c r="HX89" s="2473"/>
      <c r="HY89" s="2473"/>
      <c r="HZ89" s="2473"/>
      <c r="IA89" s="2473"/>
      <c r="IB89" s="2473"/>
      <c r="IC89" s="2473"/>
      <c r="ID89" s="2473"/>
      <c r="IE89" s="2473"/>
      <c r="IF89" s="2473"/>
      <c r="IG89" s="2473"/>
      <c r="IH89" s="2473"/>
      <c r="II89" s="2473"/>
      <c r="IJ89" s="2473"/>
      <c r="IK89" s="2473"/>
      <c r="IL89" s="2473"/>
      <c r="IM89" s="2473"/>
      <c r="IN89" s="2473"/>
      <c r="IO89" s="2473"/>
      <c r="IP89" s="2473"/>
      <c r="IQ89" s="2473"/>
      <c r="IR89" s="2473"/>
      <c r="IS89" s="2473"/>
      <c r="IT89" s="2473"/>
      <c r="IU89" s="2473"/>
      <c r="IV89" s="2473"/>
      <c r="IW89" s="2473"/>
      <c r="IX89" s="2473"/>
      <c r="IY89" s="2473"/>
      <c r="IZ89" s="2473"/>
      <c r="JA89" s="2473"/>
      <c r="JB89" s="2473"/>
      <c r="JC89" s="2473"/>
      <c r="JD89" s="2473"/>
      <c r="JE89" s="2473"/>
      <c r="JF89" s="2473"/>
      <c r="JG89" s="2473"/>
      <c r="JH89" s="2473"/>
      <c r="JI89" s="2473"/>
      <c r="JJ89" s="2473"/>
      <c r="JK89" s="2473"/>
      <c r="JL89" s="2473"/>
      <c r="JM89" s="2473"/>
      <c r="JN89" s="2473"/>
      <c r="JO89" s="2473"/>
      <c r="JP89" s="2473"/>
      <c r="JQ89" s="2473"/>
      <c r="JR89" s="2473"/>
      <c r="JS89" s="2473"/>
      <c r="JT89" s="2473"/>
      <c r="JU89" s="2473"/>
      <c r="JV89" s="2473"/>
      <c r="JW89" s="2473"/>
      <c r="JX89" s="2473"/>
      <c r="JY89" s="2473"/>
      <c r="JZ89" s="2473"/>
      <c r="KA89" s="2473"/>
      <c r="KB89" s="2473"/>
      <c r="KC89" s="2473"/>
      <c r="KD89" s="2473"/>
      <c r="KE89" s="2473"/>
      <c r="KF89" s="2473"/>
      <c r="KG89" s="2473"/>
      <c r="KH89" s="2473"/>
      <c r="KI89" s="2473"/>
      <c r="KJ89" s="2473"/>
      <c r="KK89" s="2473"/>
      <c r="KL89" s="2473"/>
      <c r="KM89" s="2473"/>
      <c r="KN89" s="2473"/>
      <c r="KO89" s="2473"/>
      <c r="KP89" s="2473"/>
      <c r="KQ89" s="2473"/>
      <c r="KR89" s="2473"/>
      <c r="KS89" s="2473"/>
      <c r="KT89" s="2473"/>
      <c r="KU89" s="2473"/>
      <c r="KV89" s="2473"/>
      <c r="KW89" s="2473"/>
      <c r="KX89" s="2473"/>
      <c r="KY89" s="2473"/>
      <c r="KZ89" s="2473"/>
      <c r="LA89" s="2473"/>
      <c r="LB89" s="2473"/>
      <c r="LC89" s="2473"/>
      <c r="LD89" s="2473"/>
      <c r="LE89" s="2473"/>
      <c r="LF89" s="2473"/>
      <c r="LG89" s="2473"/>
      <c r="LH89" s="2473"/>
      <c r="LI89" s="2473"/>
      <c r="LJ89" s="2473"/>
      <c r="LK89" s="2473"/>
      <c r="LL89" s="2473"/>
      <c r="LM89" s="2473"/>
      <c r="LN89" s="2473"/>
      <c r="LO89" s="2473"/>
      <c r="LP89" s="2473"/>
      <c r="LQ89" s="2473"/>
      <c r="LR89" s="2473"/>
      <c r="LS89" s="2473"/>
      <c r="LT89" s="2473"/>
      <c r="LU89" s="2473"/>
      <c r="LV89" s="2473"/>
      <c r="LW89" s="2473"/>
      <c r="LX89" s="2473"/>
      <c r="LY89" s="2473"/>
      <c r="LZ89" s="2473"/>
      <c r="MA89" s="2473"/>
      <c r="MB89" s="2473"/>
      <c r="MC89" s="2473"/>
      <c r="MD89" s="2473"/>
      <c r="ME89" s="2473"/>
      <c r="MF89" s="2473"/>
      <c r="MG89" s="2473"/>
      <c r="MH89" s="2473"/>
      <c r="MI89" s="2473"/>
      <c r="MJ89" s="2473"/>
      <c r="MK89" s="2473"/>
      <c r="ML89" s="2473"/>
      <c r="MM89" s="2473"/>
      <c r="MN89" s="2473"/>
      <c r="MO89" s="2473"/>
      <c r="MP89" s="2473"/>
      <c r="MQ89" s="2473"/>
      <c r="MR89" s="2473"/>
      <c r="MS89" s="2473"/>
      <c r="MT89" s="2473"/>
      <c r="MU89" s="2473"/>
      <c r="MV89" s="2473"/>
      <c r="MW89" s="2473"/>
      <c r="MX89" s="2473"/>
      <c r="MY89" s="2473"/>
      <c r="MZ89" s="2473"/>
      <c r="NA89" s="2473"/>
      <c r="NB89" s="2473"/>
      <c r="NC89" s="2473"/>
      <c r="ND89" s="2473"/>
      <c r="NE89" s="2316"/>
      <c r="NF89" s="2316"/>
      <c r="NG89" s="2316"/>
      <c r="NH89" s="2316"/>
      <c r="NI89" s="2316"/>
      <c r="NJ89" s="2316"/>
      <c r="NK89" s="2316"/>
      <c r="NL89" s="2316"/>
      <c r="NM89" s="2316"/>
      <c r="NN89" s="2316"/>
      <c r="NO89" s="2316"/>
      <c r="NP89" s="2316"/>
      <c r="NQ89" s="2316"/>
      <c r="NR89" s="2316"/>
      <c r="NS89" s="2316"/>
      <c r="NT89" s="2316"/>
      <c r="NU89" s="2316"/>
      <c r="NV89" s="2316"/>
      <c r="NW89" s="2316"/>
      <c r="NX89" s="2316"/>
      <c r="NY89" s="2316"/>
      <c r="NZ89" s="2316"/>
      <c r="OA89" s="2316"/>
      <c r="OB89" s="2316"/>
      <c r="OC89" s="2316"/>
      <c r="OD89" s="2316"/>
      <c r="OE89" s="2316"/>
      <c r="OF89" s="2316"/>
      <c r="OG89" s="2316"/>
      <c r="OH89" s="2316"/>
      <c r="OI89" s="2316"/>
      <c r="OJ89" s="2316"/>
      <c r="OK89" s="2316"/>
      <c r="OL89" s="2316"/>
      <c r="OM89" s="2316"/>
      <c r="ON89" s="2316"/>
      <c r="OO89" s="2316"/>
      <c r="OP89" s="2316"/>
      <c r="OQ89" s="2316"/>
      <c r="OR89" s="2316"/>
      <c r="OS89" s="2316"/>
      <c r="OT89" s="2316"/>
      <c r="OU89" s="2316"/>
      <c r="OV89" s="2316"/>
      <c r="OW89" s="2316"/>
      <c r="OX89" s="2316"/>
      <c r="OY89" s="2316"/>
      <c r="OZ89" s="2316"/>
      <c r="PA89" s="2316"/>
      <c r="PB89" s="2316"/>
      <c r="PC89" s="2316"/>
      <c r="PD89" s="2316"/>
      <c r="PE89" s="2316"/>
      <c r="PF89" s="2316"/>
      <c r="PG89" s="2316"/>
      <c r="PH89" s="2316"/>
      <c r="PI89" s="2316"/>
      <c r="PJ89" s="2316"/>
      <c r="PK89" s="2316"/>
      <c r="PL89" s="2316"/>
      <c r="PM89" s="2316"/>
      <c r="PN89" s="2316"/>
      <c r="PO89" s="2316"/>
      <c r="PP89" s="2316"/>
      <c r="PQ89" s="2316"/>
      <c r="PR89" s="2316"/>
      <c r="PS89" s="2316"/>
      <c r="PT89" s="2316"/>
      <c r="PU89" s="2316"/>
      <c r="PV89" s="2316"/>
      <c r="PW89" s="2316"/>
      <c r="PX89" s="2316"/>
      <c r="PY89" s="2316"/>
      <c r="PZ89" s="2316"/>
      <c r="QA89" s="2316"/>
      <c r="QB89" s="2316"/>
      <c r="QC89" s="2316"/>
      <c r="QD89" s="2316"/>
      <c r="QE89" s="2316"/>
      <c r="QF89" s="2316"/>
      <c r="QG89" s="2316"/>
      <c r="QH89" s="2316"/>
      <c r="QI89" s="2316"/>
      <c r="QJ89" s="2316"/>
      <c r="QK89" s="2316"/>
      <c r="QL89" s="2316"/>
      <c r="QM89" s="2316"/>
      <c r="QN89" s="2316"/>
      <c r="QO89" s="2316"/>
      <c r="QP89" s="2316"/>
      <c r="QQ89" s="2316"/>
      <c r="QR89" s="2316"/>
      <c r="QS89" s="2316"/>
      <c r="QT89" s="2316"/>
      <c r="QU89" s="2316"/>
      <c r="QV89" s="2316"/>
      <c r="QW89" s="2316"/>
      <c r="QX89" s="2316"/>
      <c r="QY89" s="2316"/>
      <c r="QZ89" s="2316"/>
      <c r="RA89" s="2316"/>
      <c r="RB89" s="2316"/>
      <c r="RC89" s="2316"/>
      <c r="RD89" s="2316"/>
      <c r="RE89" s="2316"/>
      <c r="RF89" s="2316"/>
      <c r="RG89" s="2316"/>
      <c r="RH89" s="2316"/>
      <c r="RI89" s="2316"/>
      <c r="RJ89" s="2316"/>
      <c r="RK89" s="2316"/>
      <c r="RL89" s="2316"/>
      <c r="RM89" s="2316"/>
      <c r="RN89" s="2316"/>
      <c r="RO89" s="2316"/>
      <c r="RP89" s="2316"/>
      <c r="RQ89" s="2316"/>
      <c r="RR89" s="2316"/>
      <c r="RS89" s="2316"/>
      <c r="RT89" s="2316"/>
      <c r="RU89" s="2316"/>
      <c r="RV89" s="2316"/>
      <c r="RW89" s="2316"/>
      <c r="RX89" s="2316"/>
      <c r="RY89" s="2316"/>
      <c r="RZ89" s="2316"/>
      <c r="SA89" s="2316"/>
    </row>
    <row r="90" spans="1:495" customFormat="1">
      <c r="B90" s="2022"/>
      <c r="C90" s="2266"/>
      <c r="D90" s="2265"/>
      <c r="E90" s="2265"/>
      <c r="F90" s="8"/>
      <c r="G90" s="2485" t="str">
        <f>IF(AND(K90="",L90="",M90="",N90="",O90=""),"",IF(OR(K90&gt;2,L90&gt;2,M90&gt;2,N90&gt;2,O90&gt;2,K90&lt;-2,L90&lt;-2,M90&lt;-2,N90&lt;-2,O90&lt;-2),"Not Equal","Equal"))</f>
        <v/>
      </c>
      <c r="H90" s="2340" t="s">
        <v>4810</v>
      </c>
      <c r="I90" s="2272"/>
      <c r="J90" s="1"/>
      <c r="K90" s="2335" t="str">
        <f t="shared" ref="K90:P90" si="378">IF(OR(K89="",K62=0),"", K62-K89)</f>
        <v/>
      </c>
      <c r="L90" s="2335" t="str">
        <f t="shared" si="378"/>
        <v/>
      </c>
      <c r="M90" s="2335" t="str">
        <f t="shared" si="378"/>
        <v/>
      </c>
      <c r="N90" s="2335" t="str">
        <f t="shared" si="378"/>
        <v/>
      </c>
      <c r="O90" s="2335" t="str">
        <f t="shared" si="378"/>
        <v/>
      </c>
      <c r="P90" s="2335" t="str">
        <f t="shared" si="378"/>
        <v/>
      </c>
      <c r="X90" s="2473"/>
      <c r="Y90" s="2473"/>
      <c r="Z90" s="2473"/>
      <c r="AA90" s="2473"/>
      <c r="AB90" s="2473"/>
      <c r="AC90" s="2473"/>
      <c r="AD90" s="2473"/>
      <c r="AE90" s="2473"/>
      <c r="AF90" s="2473"/>
      <c r="AG90" s="2473"/>
      <c r="AH90" s="2473"/>
      <c r="AI90" s="2473"/>
      <c r="AJ90" s="2473"/>
      <c r="AK90" s="2473"/>
      <c r="AL90" s="2473"/>
      <c r="AM90" s="2473"/>
      <c r="AN90" s="2473"/>
      <c r="AO90" s="2473"/>
      <c r="AP90" s="2473"/>
      <c r="AQ90" s="2473"/>
      <c r="AR90" s="2473"/>
      <c r="AS90" s="2473"/>
      <c r="AT90" s="2473"/>
      <c r="AU90" s="2473"/>
      <c r="AV90" s="2473"/>
      <c r="AW90" s="2473"/>
      <c r="AX90" s="2473"/>
      <c r="AY90" s="2473"/>
      <c r="AZ90" s="2473"/>
      <c r="BA90" s="2473"/>
      <c r="BB90" s="2473"/>
      <c r="BC90" s="2473"/>
      <c r="BD90" s="2473"/>
      <c r="BE90" s="2473"/>
      <c r="BF90" s="2473"/>
      <c r="BG90" s="2473"/>
      <c r="BH90" s="2473"/>
      <c r="BI90" s="2473"/>
      <c r="BJ90" s="2473"/>
      <c r="BK90" s="2473"/>
      <c r="BL90" s="2473"/>
      <c r="BM90" s="2473"/>
      <c r="BN90" s="2473"/>
      <c r="BO90" s="2473"/>
      <c r="BP90" s="2473"/>
      <c r="BQ90" s="2473"/>
      <c r="BR90" s="2473"/>
      <c r="BS90" s="2473"/>
      <c r="BT90" s="2473"/>
      <c r="BU90" s="2473"/>
      <c r="BV90" s="2473"/>
      <c r="BW90" s="2473"/>
      <c r="BX90" s="2473"/>
      <c r="BY90" s="2473"/>
      <c r="BZ90" s="2473"/>
      <c r="CA90" s="2473"/>
      <c r="CB90" s="2473"/>
      <c r="CC90" s="2473"/>
      <c r="CD90" s="2473"/>
      <c r="CE90" s="2473"/>
      <c r="CF90" s="2473"/>
      <c r="CG90" s="2473"/>
      <c r="CH90" s="2473"/>
      <c r="CI90" s="2473"/>
      <c r="CJ90" s="2473"/>
      <c r="CK90" s="2473"/>
      <c r="CL90" s="2473"/>
      <c r="CM90" s="2473"/>
      <c r="CN90" s="2473"/>
      <c r="CO90" s="2473"/>
      <c r="CP90" s="2473"/>
      <c r="CQ90" s="2473"/>
      <c r="CR90" s="2473"/>
      <c r="CS90" s="2473"/>
      <c r="CT90" s="2473"/>
      <c r="CU90" s="2473"/>
      <c r="CV90" s="2473"/>
      <c r="CW90" s="2473"/>
      <c r="CX90" s="2473"/>
      <c r="CY90" s="2473"/>
      <c r="CZ90" s="2473"/>
      <c r="DA90" s="2473"/>
      <c r="DB90" s="2473"/>
      <c r="DC90" s="2473"/>
      <c r="DD90" s="2473"/>
      <c r="DE90" s="2473"/>
      <c r="DF90" s="2473"/>
      <c r="DG90" s="2473"/>
      <c r="DH90" s="2473"/>
      <c r="DI90" s="2473"/>
      <c r="DJ90" s="2473"/>
      <c r="DK90" s="2473"/>
      <c r="DL90" s="2473"/>
      <c r="DM90" s="2473"/>
      <c r="DN90" s="2473"/>
      <c r="DO90" s="2473"/>
      <c r="DP90" s="2473"/>
      <c r="DQ90" s="2473"/>
      <c r="DR90" s="2473"/>
      <c r="DS90" s="2473"/>
      <c r="DT90" s="2473"/>
      <c r="DU90" s="2473"/>
      <c r="DV90" s="2473"/>
      <c r="DW90" s="2473"/>
      <c r="DX90" s="2473"/>
      <c r="DY90" s="2473"/>
      <c r="DZ90" s="2473"/>
      <c r="EA90" s="2473"/>
      <c r="EB90" s="2473"/>
      <c r="EC90" s="2473"/>
      <c r="ED90" s="2473"/>
      <c r="EE90" s="2473"/>
      <c r="EF90" s="2473"/>
      <c r="EG90" s="2473"/>
      <c r="EH90" s="2473"/>
      <c r="EI90" s="2473"/>
      <c r="EJ90" s="2473"/>
      <c r="EK90" s="2473"/>
      <c r="EL90" s="2473"/>
      <c r="EM90" s="2473"/>
      <c r="EN90" s="2473"/>
      <c r="EO90" s="2473"/>
      <c r="EP90" s="2473"/>
      <c r="EQ90" s="2473"/>
      <c r="ER90" s="2473"/>
      <c r="ES90" s="2473"/>
      <c r="ET90" s="2473"/>
      <c r="EU90" s="2473"/>
      <c r="EV90" s="2473"/>
      <c r="EW90" s="2473"/>
      <c r="EX90" s="2473"/>
      <c r="EY90" s="2473"/>
      <c r="EZ90" s="2473"/>
      <c r="FA90" s="2473"/>
      <c r="FB90" s="2473"/>
      <c r="FC90" s="2473"/>
      <c r="FD90" s="2473"/>
      <c r="FE90" s="2473"/>
      <c r="FF90" s="2473"/>
      <c r="FG90" s="2473"/>
      <c r="FH90" s="2473"/>
      <c r="FI90" s="2473"/>
      <c r="FJ90" s="2473"/>
      <c r="FK90" s="2473"/>
      <c r="FL90" s="2473"/>
      <c r="FM90" s="2473"/>
      <c r="FN90" s="2473"/>
      <c r="FO90" s="2473"/>
      <c r="FP90" s="2473"/>
      <c r="FQ90" s="2473"/>
      <c r="FR90" s="2473"/>
      <c r="FS90" s="2473"/>
      <c r="FT90" s="2473"/>
      <c r="FU90" s="2473"/>
      <c r="FV90" s="2473"/>
      <c r="FW90" s="2473"/>
      <c r="FX90" s="2473"/>
      <c r="FY90" s="2473"/>
      <c r="FZ90" s="2473"/>
      <c r="GA90" s="2473"/>
      <c r="GB90" s="2473"/>
      <c r="GC90" s="2473"/>
      <c r="GD90" s="2473"/>
      <c r="GE90" s="2473"/>
      <c r="GF90" s="2473"/>
      <c r="GG90" s="2473"/>
      <c r="GH90" s="2473"/>
      <c r="GI90" s="2473"/>
      <c r="GJ90" s="2473"/>
      <c r="GK90" s="2473"/>
      <c r="GL90" s="2473"/>
      <c r="GM90" s="2473"/>
      <c r="GN90" s="2473"/>
      <c r="GO90" s="2473"/>
      <c r="GP90" s="2473"/>
      <c r="GQ90" s="2473"/>
      <c r="GR90" s="2473"/>
      <c r="GS90" s="2473"/>
      <c r="GT90" s="2473"/>
      <c r="GU90" s="2473"/>
      <c r="GV90" s="2473"/>
      <c r="GW90" s="2473"/>
      <c r="GX90" s="2473"/>
      <c r="GY90" s="2473"/>
      <c r="GZ90" s="2473"/>
      <c r="HA90" s="2473"/>
      <c r="HB90" s="2473"/>
      <c r="HC90" s="2473"/>
      <c r="HD90" s="2473"/>
      <c r="HE90" s="2473"/>
      <c r="HF90" s="2473"/>
      <c r="HG90" s="2473"/>
      <c r="HH90" s="2473"/>
      <c r="HI90" s="2473"/>
      <c r="HJ90" s="2473"/>
      <c r="HK90" s="2473"/>
      <c r="HL90" s="2473"/>
      <c r="HM90" s="2473"/>
      <c r="HN90" s="2473"/>
      <c r="HO90" s="2473"/>
      <c r="HP90" s="2473"/>
      <c r="HQ90" s="2473"/>
      <c r="HR90" s="2473"/>
      <c r="HS90" s="2473"/>
      <c r="HT90" s="2473"/>
      <c r="HU90" s="2473"/>
      <c r="HV90" s="2473"/>
      <c r="HW90" s="2473"/>
      <c r="HX90" s="2473"/>
      <c r="HY90" s="2473"/>
      <c r="HZ90" s="2473"/>
      <c r="IA90" s="2473"/>
      <c r="IB90" s="2473"/>
      <c r="IC90" s="2473"/>
      <c r="ID90" s="2473"/>
      <c r="IE90" s="2473"/>
      <c r="IF90" s="2473"/>
      <c r="IG90" s="2473"/>
      <c r="IH90" s="2473"/>
      <c r="II90" s="2473"/>
      <c r="IJ90" s="2473"/>
      <c r="IK90" s="2473"/>
      <c r="IL90" s="2473"/>
      <c r="IM90" s="2473"/>
      <c r="IN90" s="2473"/>
      <c r="IO90" s="2473"/>
      <c r="IP90" s="2473"/>
      <c r="IQ90" s="2473"/>
      <c r="IR90" s="2473"/>
      <c r="IS90" s="2473"/>
      <c r="IT90" s="2473"/>
      <c r="IU90" s="2473"/>
      <c r="IV90" s="2473"/>
      <c r="IW90" s="2473"/>
      <c r="IX90" s="2473"/>
      <c r="IY90" s="2473"/>
      <c r="IZ90" s="2473"/>
      <c r="JA90" s="2473"/>
      <c r="JB90" s="2473"/>
      <c r="JC90" s="2473"/>
      <c r="JD90" s="2473"/>
      <c r="JE90" s="2473"/>
      <c r="JF90" s="2473"/>
      <c r="JG90" s="2473"/>
      <c r="JH90" s="2473"/>
      <c r="JI90" s="2473"/>
      <c r="JJ90" s="2473"/>
      <c r="JK90" s="2473"/>
      <c r="JL90" s="2473"/>
      <c r="JM90" s="2473"/>
      <c r="JN90" s="2473"/>
      <c r="JO90" s="2473"/>
      <c r="JP90" s="2473"/>
      <c r="JQ90" s="2473"/>
      <c r="JR90" s="2473"/>
      <c r="JS90" s="2473"/>
      <c r="JT90" s="2473"/>
      <c r="JU90" s="2473"/>
      <c r="JV90" s="2473"/>
      <c r="JW90" s="2473"/>
      <c r="JX90" s="2473"/>
      <c r="JY90" s="2473"/>
      <c r="JZ90" s="2473"/>
      <c r="KA90" s="2473"/>
      <c r="KB90" s="2473"/>
      <c r="KC90" s="2473"/>
      <c r="KD90" s="2473"/>
      <c r="KE90" s="2473"/>
      <c r="KF90" s="2473"/>
      <c r="KG90" s="2473"/>
      <c r="KH90" s="2473"/>
      <c r="KI90" s="2473"/>
      <c r="KJ90" s="2473"/>
      <c r="KK90" s="2473"/>
      <c r="KL90" s="2473"/>
      <c r="KM90" s="2473"/>
      <c r="KN90" s="2473"/>
      <c r="KO90" s="2473"/>
      <c r="KP90" s="2473"/>
      <c r="KQ90" s="2473"/>
      <c r="KR90" s="2473"/>
      <c r="KS90" s="2473"/>
      <c r="KT90" s="2473"/>
      <c r="KU90" s="2473"/>
      <c r="KV90" s="2473"/>
      <c r="KW90" s="2473"/>
      <c r="KX90" s="2473"/>
      <c r="KY90" s="2473"/>
      <c r="KZ90" s="2473"/>
      <c r="LA90" s="2473"/>
      <c r="LB90" s="2473"/>
      <c r="LC90" s="2473"/>
      <c r="LD90" s="2473"/>
      <c r="LE90" s="2473"/>
      <c r="LF90" s="2473"/>
      <c r="LG90" s="2473"/>
      <c r="LH90" s="2473"/>
      <c r="LI90" s="2473"/>
      <c r="LJ90" s="2473"/>
      <c r="LK90" s="2473"/>
      <c r="LL90" s="2473"/>
      <c r="LM90" s="2473"/>
      <c r="LN90" s="2473"/>
      <c r="LO90" s="2473"/>
      <c r="LP90" s="2473"/>
      <c r="LQ90" s="2473"/>
      <c r="LR90" s="2473"/>
      <c r="LS90" s="2473"/>
      <c r="LT90" s="2473"/>
      <c r="LU90" s="2473"/>
      <c r="LV90" s="2473"/>
      <c r="LW90" s="2473"/>
      <c r="LX90" s="2473"/>
      <c r="LY90" s="2473"/>
      <c r="LZ90" s="2473"/>
      <c r="MA90" s="2473"/>
      <c r="MB90" s="2473"/>
      <c r="MC90" s="2473"/>
      <c r="MD90" s="2473"/>
      <c r="ME90" s="2473"/>
      <c r="MF90" s="2473"/>
      <c r="MG90" s="2473"/>
      <c r="MH90" s="2473"/>
      <c r="MI90" s="2473"/>
      <c r="MJ90" s="2473"/>
      <c r="MK90" s="2473"/>
      <c r="ML90" s="2473"/>
      <c r="MM90" s="2473"/>
      <c r="MN90" s="2473"/>
      <c r="MO90" s="2473"/>
      <c r="MP90" s="2473"/>
      <c r="MQ90" s="2473"/>
      <c r="MR90" s="2473"/>
      <c r="MS90" s="2473"/>
      <c r="MT90" s="2473"/>
      <c r="MU90" s="2473"/>
      <c r="MV90" s="2473"/>
      <c r="MW90" s="2473"/>
      <c r="MX90" s="2473"/>
      <c r="MY90" s="2473"/>
      <c r="MZ90" s="2473"/>
      <c r="NA90" s="2473"/>
      <c r="NB90" s="2473"/>
      <c r="NC90" s="2473"/>
      <c r="ND90" s="2473"/>
      <c r="NE90" s="2316"/>
      <c r="NF90" s="2316"/>
      <c r="NG90" s="2316"/>
      <c r="NH90" s="2316"/>
      <c r="NI90" s="2316"/>
      <c r="NJ90" s="2316"/>
      <c r="NK90" s="2316"/>
      <c r="NL90" s="2316"/>
      <c r="NM90" s="2316"/>
      <c r="NN90" s="2316"/>
      <c r="NO90" s="2316"/>
      <c r="NP90" s="2316"/>
      <c r="NQ90" s="2316"/>
      <c r="NR90" s="2316"/>
      <c r="NS90" s="2316"/>
      <c r="NT90" s="2316"/>
      <c r="NU90" s="2316"/>
      <c r="NV90" s="2316"/>
      <c r="NW90" s="2316"/>
      <c r="NX90" s="2316"/>
      <c r="NY90" s="2316"/>
      <c r="NZ90" s="2316"/>
      <c r="OA90" s="2316"/>
      <c r="OB90" s="2316"/>
      <c r="OC90" s="2316"/>
      <c r="OD90" s="2316"/>
      <c r="OE90" s="2316"/>
      <c r="OF90" s="2316"/>
      <c r="OG90" s="2316"/>
      <c r="OH90" s="2316"/>
      <c r="OI90" s="2316"/>
      <c r="OJ90" s="2316"/>
      <c r="OK90" s="2316"/>
      <c r="OL90" s="2316"/>
      <c r="OM90" s="2316"/>
      <c r="ON90" s="2316"/>
      <c r="OO90" s="2316"/>
      <c r="OP90" s="2316"/>
      <c r="OQ90" s="2316"/>
      <c r="OR90" s="2316"/>
      <c r="OS90" s="2316"/>
      <c r="OT90" s="2316"/>
      <c r="OU90" s="2316"/>
      <c r="OV90" s="2316"/>
      <c r="OW90" s="2316"/>
      <c r="OX90" s="2316"/>
      <c r="OY90" s="2316"/>
      <c r="OZ90" s="2316"/>
      <c r="PA90" s="2316"/>
      <c r="PB90" s="2316"/>
      <c r="PC90" s="2316"/>
      <c r="PD90" s="2316"/>
      <c r="PE90" s="2316"/>
      <c r="PF90" s="2316"/>
      <c r="PG90" s="2316"/>
      <c r="PH90" s="2316"/>
      <c r="PI90" s="2316"/>
      <c r="PJ90" s="2316"/>
      <c r="PK90" s="2316"/>
      <c r="PL90" s="2316"/>
      <c r="PM90" s="2316"/>
      <c r="PN90" s="2316"/>
      <c r="PO90" s="2316"/>
      <c r="PP90" s="2316"/>
      <c r="PQ90" s="2316"/>
      <c r="PR90" s="2316"/>
      <c r="PS90" s="2316"/>
      <c r="PT90" s="2316"/>
      <c r="PU90" s="2316"/>
      <c r="PV90" s="2316"/>
      <c r="PW90" s="2316"/>
      <c r="PX90" s="2316"/>
      <c r="PY90" s="2316"/>
      <c r="PZ90" s="2316"/>
      <c r="QA90" s="2316"/>
      <c r="QB90" s="2316"/>
      <c r="QC90" s="2316"/>
      <c r="QD90" s="2316"/>
      <c r="QE90" s="2316"/>
      <c r="QF90" s="2316"/>
      <c r="QG90" s="2316"/>
      <c r="QH90" s="2316"/>
      <c r="QI90" s="2316"/>
      <c r="QJ90" s="2316"/>
      <c r="QK90" s="2316"/>
      <c r="QL90" s="2316"/>
      <c r="QM90" s="2316"/>
      <c r="QN90" s="2316"/>
      <c r="QO90" s="2316"/>
      <c r="QP90" s="2316"/>
      <c r="QQ90" s="2316"/>
      <c r="QR90" s="2316"/>
      <c r="QS90" s="2316"/>
      <c r="QT90" s="2316"/>
      <c r="QU90" s="2316"/>
      <c r="QV90" s="2316"/>
      <c r="QW90" s="2316"/>
      <c r="QX90" s="2316"/>
      <c r="QY90" s="2316"/>
      <c r="QZ90" s="2316"/>
      <c r="RA90" s="2316"/>
      <c r="RB90" s="2316"/>
      <c r="RC90" s="2316"/>
      <c r="RD90" s="2316"/>
      <c r="RE90" s="2316"/>
      <c r="RF90" s="2316"/>
      <c r="RG90" s="2316"/>
      <c r="RH90" s="2316"/>
      <c r="RI90" s="2316"/>
      <c r="RJ90" s="2316"/>
      <c r="RK90" s="2316"/>
      <c r="RL90" s="2316"/>
      <c r="RM90" s="2316"/>
      <c r="RN90" s="2316"/>
      <c r="RO90" s="2316"/>
      <c r="RP90" s="2316"/>
      <c r="RQ90" s="2316"/>
      <c r="RR90" s="2316"/>
      <c r="RS90" s="2316"/>
      <c r="RT90" s="2316"/>
      <c r="RU90" s="2316"/>
      <c r="RV90" s="2316"/>
      <c r="RW90" s="2316"/>
      <c r="RX90" s="2316"/>
      <c r="RY90" s="2316"/>
      <c r="RZ90" s="2316"/>
      <c r="SA90" s="2316"/>
    </row>
    <row r="91" spans="1:495" ht="12" customHeight="1">
      <c r="A91" s="1703"/>
      <c r="B91" s="1703"/>
      <c r="C91" s="95"/>
      <c r="D91" s="1"/>
      <c r="E91" s="1"/>
      <c r="F91" s="1"/>
      <c r="G91" s="83"/>
      <c r="H91" s="113"/>
      <c r="I91" s="36"/>
      <c r="J91" s="83"/>
      <c r="K91" s="671"/>
      <c r="L91" s="671"/>
      <c r="M91" s="671"/>
      <c r="N91" s="671"/>
      <c r="O91" s="671"/>
      <c r="P91" s="671"/>
      <c r="T91" s="155"/>
      <c r="U91" s="462"/>
      <c r="X91" s="2408"/>
      <c r="AA91" s="2408"/>
      <c r="AB91" s="512"/>
      <c r="AC91" s="2408"/>
      <c r="AF91" s="2408"/>
      <c r="AG91" s="512"/>
      <c r="AH91" s="2408"/>
      <c r="AK91" s="2408"/>
      <c r="AL91" s="512"/>
      <c r="AM91" s="2408"/>
      <c r="AP91" s="2408"/>
      <c r="AQ91" s="512"/>
      <c r="AR91" s="2408"/>
      <c r="AS91" s="2408"/>
      <c r="AT91" s="2408"/>
      <c r="AU91" s="2408"/>
      <c r="AV91" s="2408"/>
      <c r="AW91" s="2408"/>
      <c r="AX91" s="720"/>
      <c r="AY91" s="508"/>
      <c r="BB91" s="2408"/>
      <c r="BC91" s="720"/>
      <c r="BD91" s="508"/>
      <c r="LY91" s="511"/>
      <c r="MN91" s="506"/>
    </row>
    <row r="92" spans="1:495" ht="9" customHeight="1">
      <c r="A92" s="1703"/>
      <c r="B92" s="1703"/>
      <c r="C92" s="95"/>
      <c r="D92" s="1"/>
      <c r="E92" s="1"/>
      <c r="F92" s="1"/>
      <c r="G92" s="83"/>
      <c r="H92" s="113"/>
      <c r="I92" s="36"/>
      <c r="J92" s="83"/>
      <c r="K92" s="671"/>
      <c r="L92" s="671"/>
      <c r="M92" s="671"/>
      <c r="N92" s="671"/>
      <c r="O92" s="671"/>
      <c r="P92" s="671"/>
      <c r="S92" s="298" t="str">
        <f>C93</f>
        <v>PBRA-Assisted</v>
      </c>
      <c r="T92" s="155"/>
      <c r="U92" s="462"/>
      <c r="X92" s="2408"/>
      <c r="AA92" s="2408"/>
      <c r="AB92" s="512"/>
      <c r="AC92" s="2408"/>
      <c r="AF92" s="2408"/>
      <c r="AG92" s="512"/>
      <c r="AH92" s="2408"/>
      <c r="AK92" s="2408"/>
      <c r="AL92" s="512"/>
      <c r="AM92" s="2408"/>
      <c r="AP92" s="2408"/>
      <c r="AQ92" s="512"/>
      <c r="AR92" s="2408"/>
      <c r="AS92" s="2408"/>
      <c r="AT92" s="2408"/>
      <c r="AU92" s="2408"/>
      <c r="AV92" s="2408"/>
      <c r="AW92" s="2408"/>
      <c r="AX92" s="720"/>
      <c r="AY92" s="508"/>
      <c r="BB92" s="2408"/>
      <c r="BC92" s="720"/>
      <c r="BD92" s="508"/>
      <c r="LY92" s="511"/>
      <c r="MN92" s="506"/>
    </row>
    <row r="93" spans="1:495" ht="15" customHeight="1">
      <c r="A93" s="1703"/>
      <c r="B93" s="1703"/>
      <c r="C93" s="95" t="s">
        <v>912</v>
      </c>
      <c r="D93" s="1"/>
      <c r="E93" s="113"/>
      <c r="F93" s="1"/>
      <c r="G93" s="83"/>
      <c r="H93" s="113" t="s">
        <v>4127</v>
      </c>
      <c r="I93" s="36"/>
      <c r="J93" s="83"/>
      <c r="K93" s="1713">
        <f>CP48</f>
        <v>0</v>
      </c>
      <c r="L93" s="1714">
        <f>CQ48</f>
        <v>0</v>
      </c>
      <c r="M93" s="1714">
        <f>CR48</f>
        <v>0</v>
      </c>
      <c r="N93" s="1714">
        <f>CS48</f>
        <v>0</v>
      </c>
      <c r="O93" s="1715">
        <f>CT48</f>
        <v>0</v>
      </c>
      <c r="P93" s="1078">
        <f t="shared" ref="P93:P100" si="379">SUM(K93:O93)</f>
        <v>0</v>
      </c>
      <c r="S93" s="3510"/>
      <c r="T93" s="3511"/>
      <c r="U93" s="3511"/>
      <c r="V93" s="3511"/>
      <c r="W93" s="3512"/>
      <c r="X93" s="2408"/>
      <c r="AA93" s="2408"/>
      <c r="AB93" s="512"/>
      <c r="AC93" s="2408"/>
      <c r="AF93" s="2408"/>
      <c r="AG93" s="512"/>
      <c r="AH93" s="2408"/>
      <c r="AK93" s="2408"/>
      <c r="AL93" s="512"/>
      <c r="AM93" s="2408"/>
      <c r="AP93" s="2408"/>
      <c r="AQ93" s="512"/>
      <c r="AR93" s="513"/>
      <c r="AS93" s="513"/>
      <c r="AT93" s="513"/>
      <c r="AU93" s="513"/>
      <c r="AV93" s="513"/>
      <c r="AW93" s="513"/>
      <c r="AX93" s="512"/>
      <c r="AY93" s="508"/>
      <c r="BB93" s="513"/>
      <c r="BC93" s="512"/>
      <c r="BD93" s="508"/>
      <c r="LY93" s="511"/>
      <c r="MN93" s="506"/>
    </row>
    <row r="94" spans="1:495" ht="15" customHeight="1">
      <c r="A94" s="1703"/>
      <c r="B94" s="1703"/>
      <c r="C94" s="36" t="s">
        <v>2446</v>
      </c>
      <c r="D94" s="1"/>
      <c r="E94" s="113"/>
      <c r="F94" s="1"/>
      <c r="G94" s="83"/>
      <c r="H94" s="113" t="s">
        <v>4128</v>
      </c>
      <c r="I94" s="36"/>
      <c r="J94" s="83"/>
      <c r="K94" s="1716">
        <f>CK48</f>
        <v>0</v>
      </c>
      <c r="L94" s="1717">
        <f>CL48</f>
        <v>0</v>
      </c>
      <c r="M94" s="1717">
        <f>CM48</f>
        <v>0</v>
      </c>
      <c r="N94" s="1717">
        <f>CN48</f>
        <v>0</v>
      </c>
      <c r="O94" s="1718">
        <f>CO48</f>
        <v>0</v>
      </c>
      <c r="P94" s="1662">
        <f t="shared" si="379"/>
        <v>0</v>
      </c>
      <c r="S94" s="3503"/>
      <c r="T94" s="3504"/>
      <c r="U94" s="3504"/>
      <c r="V94" s="3504"/>
      <c r="W94" s="3505"/>
      <c r="X94" s="2408"/>
      <c r="AA94" s="2408"/>
      <c r="AB94" s="512"/>
      <c r="AC94" s="2408"/>
      <c r="AF94" s="2408"/>
      <c r="AG94" s="512"/>
      <c r="AH94" s="2408"/>
      <c r="AK94" s="2408"/>
      <c r="AL94" s="512"/>
      <c r="AM94" s="2408"/>
      <c r="AP94" s="2408"/>
      <c r="AQ94" s="512"/>
      <c r="AR94" s="513"/>
      <c r="AS94" s="513"/>
      <c r="AT94" s="513"/>
      <c r="AU94" s="513"/>
      <c r="AV94" s="513"/>
      <c r="AW94" s="513"/>
      <c r="AX94" s="512"/>
      <c r="AY94" s="508"/>
      <c r="BB94" s="513"/>
      <c r="BC94" s="512"/>
      <c r="BD94" s="508"/>
      <c r="LY94" s="511"/>
      <c r="MN94" s="506"/>
    </row>
    <row r="95" spans="1:495" ht="15" customHeight="1">
      <c r="A95" s="1703"/>
      <c r="B95" s="1703"/>
      <c r="C95" s="95"/>
      <c r="D95" s="1"/>
      <c r="E95" s="113"/>
      <c r="F95" s="1"/>
      <c r="G95" s="83"/>
      <c r="H95" s="113" t="s">
        <v>1127</v>
      </c>
      <c r="I95" s="36"/>
      <c r="J95" s="83"/>
      <c r="K95" s="1716">
        <f>CF48</f>
        <v>0</v>
      </c>
      <c r="L95" s="1717">
        <f>CG48</f>
        <v>0</v>
      </c>
      <c r="M95" s="1717">
        <f>CH48</f>
        <v>0</v>
      </c>
      <c r="N95" s="1717">
        <f>CI48</f>
        <v>0</v>
      </c>
      <c r="O95" s="1718">
        <f>CJ48</f>
        <v>0</v>
      </c>
      <c r="P95" s="1662">
        <f t="shared" si="379"/>
        <v>0</v>
      </c>
      <c r="S95" s="3503"/>
      <c r="T95" s="3504"/>
      <c r="U95" s="3504"/>
      <c r="V95" s="3504"/>
      <c r="W95" s="3505"/>
      <c r="X95" s="2408"/>
      <c r="AA95" s="2408"/>
      <c r="AB95" s="512"/>
      <c r="AC95" s="2408"/>
      <c r="AF95" s="2408"/>
      <c r="AG95" s="512"/>
      <c r="AH95" s="2408"/>
      <c r="AK95" s="2408"/>
      <c r="AL95" s="512"/>
      <c r="AM95" s="2408"/>
      <c r="AP95" s="2408"/>
      <c r="AQ95" s="512"/>
      <c r="AR95" s="513"/>
      <c r="AS95" s="513"/>
      <c r="AT95" s="513"/>
      <c r="AU95" s="513"/>
      <c r="AV95" s="513"/>
      <c r="AW95" s="513"/>
      <c r="AX95" s="512"/>
      <c r="AY95" s="508"/>
      <c r="BB95" s="513"/>
      <c r="BC95" s="512"/>
      <c r="BD95" s="508"/>
      <c r="LY95" s="511"/>
      <c r="MN95" s="506"/>
    </row>
    <row r="96" spans="1:495" ht="15" customHeight="1">
      <c r="A96" s="1703"/>
      <c r="B96" s="1703"/>
      <c r="C96" s="95"/>
      <c r="D96" s="1"/>
      <c r="E96" s="113"/>
      <c r="F96" s="1"/>
      <c r="G96" s="83"/>
      <c r="H96" s="105" t="s">
        <v>115</v>
      </c>
      <c r="I96" s="52"/>
      <c r="J96" s="1380"/>
      <c r="K96" s="1737">
        <f>CA48</f>
        <v>0</v>
      </c>
      <c r="L96" s="1738">
        <f>CB48</f>
        <v>0</v>
      </c>
      <c r="M96" s="1738">
        <f>CC48</f>
        <v>0</v>
      </c>
      <c r="N96" s="1738">
        <f>CD48</f>
        <v>0</v>
      </c>
      <c r="O96" s="1739">
        <f>CE48</f>
        <v>0</v>
      </c>
      <c r="P96" s="677">
        <f t="shared" si="379"/>
        <v>0</v>
      </c>
      <c r="S96" s="3503"/>
      <c r="T96" s="3504"/>
      <c r="U96" s="3504"/>
      <c r="V96" s="3504"/>
      <c r="W96" s="3505"/>
      <c r="X96" s="2408"/>
      <c r="AA96" s="2408"/>
      <c r="AB96" s="512"/>
      <c r="AC96" s="2408"/>
      <c r="AF96" s="2408"/>
      <c r="AG96" s="512"/>
      <c r="AH96" s="2408"/>
      <c r="AK96" s="2408"/>
      <c r="AL96" s="512"/>
      <c r="AM96" s="2408"/>
      <c r="AP96" s="2408"/>
      <c r="AQ96" s="512"/>
      <c r="AR96" s="513"/>
      <c r="AS96" s="513"/>
      <c r="AT96" s="513"/>
      <c r="AU96" s="513"/>
      <c r="AV96" s="513"/>
      <c r="AW96" s="513"/>
      <c r="AX96" s="512"/>
      <c r="AY96" s="508"/>
      <c r="BB96" s="513"/>
      <c r="BC96" s="512"/>
      <c r="BD96" s="508"/>
      <c r="LY96" s="511"/>
      <c r="MN96" s="506"/>
    </row>
    <row r="97" spans="1:352" ht="15" customHeight="1">
      <c r="A97" s="1703"/>
      <c r="B97" s="1703"/>
      <c r="C97" s="95"/>
      <c r="D97" s="1"/>
      <c r="E97" s="113"/>
      <c r="F97" s="1"/>
      <c r="G97" s="83"/>
      <c r="H97" s="105" t="s">
        <v>4129</v>
      </c>
      <c r="I97" s="52"/>
      <c r="J97" s="1380"/>
      <c r="K97" s="1716">
        <f>BV48</f>
        <v>0</v>
      </c>
      <c r="L97" s="1717">
        <f>BW48</f>
        <v>0</v>
      </c>
      <c r="M97" s="1717">
        <f>BX48</f>
        <v>0</v>
      </c>
      <c r="N97" s="1717">
        <f>BY48</f>
        <v>0</v>
      </c>
      <c r="O97" s="1718">
        <f>BZ48</f>
        <v>0</v>
      </c>
      <c r="P97" s="1662">
        <f t="shared" si="379"/>
        <v>0</v>
      </c>
      <c r="S97" s="3503"/>
      <c r="T97" s="3504"/>
      <c r="U97" s="3504"/>
      <c r="V97" s="3504"/>
      <c r="W97" s="3505"/>
      <c r="X97" s="2408"/>
      <c r="AA97" s="2408"/>
      <c r="AB97" s="512"/>
      <c r="AC97" s="2408"/>
      <c r="AF97" s="2408"/>
      <c r="AG97" s="512"/>
      <c r="AH97" s="2408"/>
      <c r="AK97" s="2408"/>
      <c r="AL97" s="512"/>
      <c r="AM97" s="2408"/>
      <c r="AP97" s="2408"/>
      <c r="AQ97" s="512"/>
      <c r="AR97" s="513"/>
      <c r="AS97" s="513"/>
      <c r="AT97" s="513"/>
      <c r="AU97" s="513"/>
      <c r="AV97" s="513"/>
      <c r="AW97" s="513"/>
      <c r="AX97" s="512"/>
      <c r="AY97" s="508"/>
      <c r="BB97" s="513"/>
      <c r="BC97" s="512"/>
      <c r="BD97" s="508"/>
      <c r="LY97" s="511"/>
      <c r="MN97" s="506"/>
    </row>
    <row r="98" spans="1:352" ht="15" customHeight="1">
      <c r="A98" s="1702"/>
      <c r="B98" s="1702"/>
      <c r="C98" s="95"/>
      <c r="D98" s="1"/>
      <c r="E98" s="113"/>
      <c r="F98" s="1"/>
      <c r="G98" s="83"/>
      <c r="H98" s="113" t="s">
        <v>4130</v>
      </c>
      <c r="I98" s="36"/>
      <c r="J98" s="83"/>
      <c r="K98" s="1716">
        <f>BQ48</f>
        <v>0</v>
      </c>
      <c r="L98" s="1717">
        <f>BR48</f>
        <v>0</v>
      </c>
      <c r="M98" s="1717">
        <f>BS48</f>
        <v>0</v>
      </c>
      <c r="N98" s="1717">
        <f>BT48</f>
        <v>0</v>
      </c>
      <c r="O98" s="1718">
        <f>BU48</f>
        <v>0</v>
      </c>
      <c r="P98" s="1662">
        <f t="shared" si="379"/>
        <v>0</v>
      </c>
      <c r="S98" s="3503"/>
      <c r="T98" s="3504"/>
      <c r="U98" s="3504"/>
      <c r="V98" s="3504"/>
      <c r="W98" s="3505"/>
      <c r="X98" s="2408"/>
      <c r="AA98" s="2408"/>
      <c r="AB98" s="512"/>
      <c r="AC98" s="2408"/>
      <c r="AF98" s="2408"/>
      <c r="AG98" s="512"/>
      <c r="AH98" s="2408"/>
      <c r="AK98" s="2408"/>
      <c r="AL98" s="512"/>
      <c r="AM98" s="2408"/>
      <c r="AP98" s="2408"/>
      <c r="AQ98" s="512"/>
      <c r="AR98" s="513"/>
      <c r="AS98" s="513"/>
      <c r="AT98" s="513"/>
      <c r="AU98" s="513"/>
      <c r="AV98" s="513"/>
      <c r="AW98" s="513"/>
      <c r="AX98" s="512"/>
      <c r="AY98" s="508"/>
      <c r="BB98" s="513"/>
      <c r="BC98" s="512"/>
      <c r="BD98" s="508"/>
      <c r="LY98" s="511"/>
      <c r="MN98" s="506"/>
    </row>
    <row r="99" spans="1:352" ht="15" customHeight="1">
      <c r="A99" s="1702"/>
      <c r="B99" s="1702"/>
      <c r="D99" s="1"/>
      <c r="E99" s="113"/>
      <c r="F99" s="1"/>
      <c r="G99" s="83"/>
      <c r="H99" s="113" t="s">
        <v>4131</v>
      </c>
      <c r="I99" s="36"/>
      <c r="J99" s="83"/>
      <c r="K99" s="1719">
        <f>BL48</f>
        <v>0</v>
      </c>
      <c r="L99" s="1720">
        <f>BM48</f>
        <v>0</v>
      </c>
      <c r="M99" s="1720">
        <f>BN48</f>
        <v>0</v>
      </c>
      <c r="N99" s="1720">
        <f>BO48</f>
        <v>0</v>
      </c>
      <c r="O99" s="1721">
        <f>BP48</f>
        <v>0</v>
      </c>
      <c r="P99" s="1080">
        <f t="shared" si="379"/>
        <v>0</v>
      </c>
      <c r="S99" s="3503"/>
      <c r="T99" s="3504"/>
      <c r="U99" s="3504"/>
      <c r="V99" s="3504"/>
      <c r="W99" s="3505"/>
      <c r="X99" s="512"/>
      <c r="AA99" s="2408"/>
      <c r="AB99" s="512"/>
      <c r="AC99" s="512"/>
      <c r="AF99" s="2408"/>
      <c r="AG99" s="512"/>
      <c r="AH99" s="512"/>
      <c r="AK99" s="2408"/>
      <c r="AL99" s="512"/>
      <c r="AM99" s="512"/>
      <c r="AP99" s="2408"/>
      <c r="AQ99" s="512"/>
      <c r="AR99" s="513"/>
      <c r="AS99" s="513"/>
      <c r="AT99" s="513"/>
      <c r="AU99" s="513"/>
      <c r="AV99" s="513"/>
      <c r="AW99" s="513"/>
      <c r="AX99" s="512"/>
      <c r="AY99" s="508"/>
      <c r="BB99" s="513"/>
      <c r="BC99" s="512"/>
      <c r="BD99" s="508"/>
      <c r="LY99" s="511"/>
      <c r="MN99" s="506"/>
    </row>
    <row r="100" spans="1:352" ht="15" customHeight="1">
      <c r="A100" s="1702"/>
      <c r="B100" s="1702"/>
      <c r="C100" s="4"/>
      <c r="D100" s="1"/>
      <c r="E100" s="113"/>
      <c r="F100" s="1"/>
      <c r="G100" s="83"/>
      <c r="H100" s="183" t="s">
        <v>524</v>
      </c>
      <c r="I100" s="87"/>
      <c r="J100" s="83"/>
      <c r="K100" s="1663">
        <f>SUM(K93:K99)</f>
        <v>0</v>
      </c>
      <c r="L100" s="1663">
        <f>SUM(L93:L99)</f>
        <v>0</v>
      </c>
      <c r="M100" s="1663">
        <f>SUM(M93:M99)</f>
        <v>0</v>
      </c>
      <c r="N100" s="1663">
        <f>SUM(N93:N99)</f>
        <v>0</v>
      </c>
      <c r="O100" s="1663">
        <f>SUM(O93:O99)</f>
        <v>0</v>
      </c>
      <c r="P100" s="1663">
        <f t="shared" si="379"/>
        <v>0</v>
      </c>
      <c r="S100" s="3507"/>
      <c r="T100" s="3508"/>
      <c r="U100" s="3508"/>
      <c r="V100" s="3508"/>
      <c r="W100" s="3509"/>
      <c r="X100" s="2483"/>
      <c r="AA100" s="2408"/>
      <c r="AB100" s="512"/>
      <c r="AC100" s="2483"/>
      <c r="AF100" s="2408"/>
      <c r="AG100" s="512"/>
      <c r="AH100" s="2483"/>
      <c r="AK100" s="2408"/>
      <c r="AL100" s="512"/>
      <c r="AM100" s="2483"/>
      <c r="AP100" s="2408"/>
      <c r="AQ100" s="512"/>
      <c r="AR100" s="513"/>
      <c r="AS100" s="513"/>
      <c r="AT100" s="513"/>
      <c r="AU100" s="513"/>
      <c r="AV100" s="513"/>
      <c r="AW100" s="513"/>
      <c r="AX100" s="512"/>
      <c r="AY100" s="508"/>
      <c r="BB100" s="513"/>
      <c r="BC100" s="512"/>
      <c r="BD100" s="508"/>
      <c r="LY100" s="511"/>
      <c r="MN100" s="506"/>
    </row>
    <row r="101" spans="1:352" ht="9" customHeight="1" thickBot="1">
      <c r="A101" s="1702"/>
      <c r="B101" s="1702"/>
      <c r="C101" s="1"/>
      <c r="D101" s="1"/>
      <c r="E101" s="1"/>
      <c r="F101" s="1"/>
      <c r="G101" s="83"/>
      <c r="H101" s="113"/>
      <c r="I101" s="36"/>
      <c r="J101" s="83"/>
      <c r="K101" s="671"/>
      <c r="L101" s="671"/>
      <c r="M101" s="671"/>
      <c r="N101" s="671"/>
      <c r="O101" s="671"/>
      <c r="P101" s="671"/>
      <c r="T101" s="155"/>
      <c r="U101" s="462"/>
      <c r="X101" s="2408"/>
      <c r="AA101" s="2408"/>
      <c r="AB101" s="512"/>
      <c r="AC101" s="2408"/>
      <c r="AF101" s="2408"/>
      <c r="AG101" s="512"/>
      <c r="AH101" s="2408"/>
      <c r="AK101" s="2408"/>
      <c r="AL101" s="512"/>
      <c r="AM101" s="2408"/>
      <c r="AP101" s="2408"/>
      <c r="AQ101" s="512"/>
      <c r="AR101" s="2408"/>
      <c r="AS101" s="2408"/>
      <c r="AT101" s="2408"/>
      <c r="AU101" s="2408"/>
      <c r="AV101" s="2408"/>
      <c r="AW101" s="2408"/>
      <c r="AX101" s="720"/>
      <c r="AY101" s="508"/>
      <c r="BB101" s="2408"/>
      <c r="BC101" s="720"/>
      <c r="BD101" s="508"/>
      <c r="LY101" s="511"/>
      <c r="MN101" s="506"/>
    </row>
    <row r="102" spans="1:352" ht="14.4" customHeight="1" thickBot="1">
      <c r="A102" s="13" t="s">
        <v>722</v>
      </c>
      <c r="B102" s="13" t="s">
        <v>4431</v>
      </c>
      <c r="H102" s="90"/>
      <c r="L102" s="3515" t="str">
        <f>$L$53</f>
        <v>40% of Units at 60% of AMI</v>
      </c>
      <c r="M102" s="3516"/>
      <c r="N102" s="3516"/>
      <c r="O102" s="3517"/>
      <c r="P102" s="83"/>
      <c r="S102" s="10" t="str">
        <f>B102</f>
        <v>UNIT SUMMARY (Continued)</v>
      </c>
      <c r="T102" s="10"/>
      <c r="U102" s="10"/>
      <c r="V102" s="10"/>
      <c r="X102" s="720"/>
      <c r="AA102" s="720"/>
      <c r="AB102" s="720"/>
      <c r="AC102" s="720"/>
      <c r="AF102" s="720"/>
      <c r="AG102" s="720"/>
      <c r="AH102" s="720"/>
      <c r="AK102" s="720"/>
      <c r="AL102" s="720"/>
      <c r="AM102" s="720"/>
      <c r="AP102" s="720"/>
      <c r="AQ102" s="720"/>
      <c r="AR102" s="720"/>
      <c r="AS102" s="720"/>
      <c r="AT102" s="720"/>
      <c r="AU102" s="720"/>
      <c r="AV102" s="720"/>
      <c r="AW102" s="720"/>
      <c r="AX102" s="720"/>
      <c r="AY102" s="508"/>
      <c r="BB102" s="720"/>
      <c r="BC102" s="720"/>
      <c r="BD102" s="508"/>
      <c r="LY102" s="511"/>
      <c r="MN102" s="506"/>
    </row>
    <row r="103" spans="1:352" ht="9" customHeight="1">
      <c r="A103" s="13"/>
      <c r="B103" s="13"/>
      <c r="H103" s="90"/>
      <c r="P103" s="83"/>
      <c r="S103" s="298" t="str">
        <f>C104</f>
        <v>PHA Operating Subsidy-Assisted</v>
      </c>
      <c r="T103" s="461"/>
      <c r="U103" s="526"/>
      <c r="X103" s="720"/>
      <c r="AA103" s="720"/>
      <c r="AB103" s="720"/>
      <c r="AC103" s="720"/>
      <c r="AF103" s="720"/>
      <c r="AG103" s="720"/>
      <c r="AH103" s="720"/>
      <c r="AK103" s="720"/>
      <c r="AL103" s="720"/>
      <c r="AM103" s="720"/>
      <c r="AP103" s="720"/>
      <c r="AQ103" s="720"/>
      <c r="AR103" s="720"/>
      <c r="AS103" s="720"/>
      <c r="AT103" s="720"/>
      <c r="AU103" s="720"/>
      <c r="AV103" s="720"/>
      <c r="AW103" s="720"/>
      <c r="AX103" s="720"/>
      <c r="AY103" s="508"/>
      <c r="BB103" s="720"/>
      <c r="BC103" s="720"/>
      <c r="BD103" s="508"/>
      <c r="LY103" s="511"/>
      <c r="MN103" s="506"/>
    </row>
    <row r="104" spans="1:352" ht="15" customHeight="1">
      <c r="A104" s="1702"/>
      <c r="B104" s="1702"/>
      <c r="C104" s="470" t="s">
        <v>869</v>
      </c>
      <c r="D104" s="470"/>
      <c r="E104" s="470"/>
      <c r="F104" s="1"/>
      <c r="G104" s="83"/>
      <c r="H104" s="113" t="s">
        <v>4127</v>
      </c>
      <c r="I104" s="36"/>
      <c r="J104" s="83"/>
      <c r="K104" s="1713">
        <f>DY48</f>
        <v>0</v>
      </c>
      <c r="L104" s="1714">
        <f>DZ48</f>
        <v>0</v>
      </c>
      <c r="M104" s="1714">
        <f>EA48</f>
        <v>0</v>
      </c>
      <c r="N104" s="1714">
        <f>EB48</f>
        <v>0</v>
      </c>
      <c r="O104" s="1715">
        <f>EC48</f>
        <v>0</v>
      </c>
      <c r="P104" s="1081">
        <f t="shared" ref="P104:P111" si="380">SUM(K104:O104)</f>
        <v>0</v>
      </c>
      <c r="S104" s="3510"/>
      <c r="T104" s="3511"/>
      <c r="U104" s="3511"/>
      <c r="V104" s="3511"/>
      <c r="W104" s="3512"/>
      <c r="X104" s="508"/>
      <c r="AA104" s="2408"/>
      <c r="AB104" s="512"/>
      <c r="AC104" s="508"/>
      <c r="AF104" s="2408"/>
      <c r="AG104" s="512"/>
      <c r="AH104" s="508"/>
      <c r="AK104" s="2408"/>
      <c r="AL104" s="512"/>
      <c r="AM104" s="508"/>
      <c r="AP104" s="2408"/>
      <c r="AQ104" s="512"/>
      <c r="AR104" s="513"/>
      <c r="AS104" s="513"/>
      <c r="AT104" s="513"/>
      <c r="AU104" s="513"/>
      <c r="AV104" s="513"/>
      <c r="AW104" s="513"/>
      <c r="AX104" s="512"/>
      <c r="AY104" s="508"/>
      <c r="BB104" s="513"/>
      <c r="BC104" s="512"/>
      <c r="BD104" s="508"/>
      <c r="LY104" s="511"/>
      <c r="MN104" s="506"/>
    </row>
    <row r="105" spans="1:352" ht="15" customHeight="1">
      <c r="A105" s="1702"/>
      <c r="B105" s="1702"/>
      <c r="C105" s="36" t="s">
        <v>2446</v>
      </c>
      <c r="D105" s="470"/>
      <c r="E105" s="470"/>
      <c r="F105" s="1"/>
      <c r="G105" s="83"/>
      <c r="H105" s="113" t="s">
        <v>4128</v>
      </c>
      <c r="I105" s="36"/>
      <c r="J105" s="83"/>
      <c r="K105" s="1716">
        <f>DT48</f>
        <v>0</v>
      </c>
      <c r="L105" s="1717">
        <f>DU48</f>
        <v>0</v>
      </c>
      <c r="M105" s="1717">
        <f>DV48</f>
        <v>0</v>
      </c>
      <c r="N105" s="1717">
        <f>DW48</f>
        <v>0</v>
      </c>
      <c r="O105" s="1718">
        <f>DX48</f>
        <v>0</v>
      </c>
      <c r="P105" s="1076">
        <f t="shared" si="380"/>
        <v>0</v>
      </c>
      <c r="S105" s="3503"/>
      <c r="T105" s="3504"/>
      <c r="U105" s="3504"/>
      <c r="V105" s="3504"/>
      <c r="W105" s="3505"/>
      <c r="X105" s="508"/>
      <c r="AA105" s="2408"/>
      <c r="AB105" s="512"/>
      <c r="AC105" s="508"/>
      <c r="AF105" s="2408"/>
      <c r="AG105" s="512"/>
      <c r="AH105" s="508"/>
      <c r="AK105" s="2408"/>
      <c r="AL105" s="512"/>
      <c r="AM105" s="508"/>
      <c r="AP105" s="2408"/>
      <c r="AQ105" s="512"/>
      <c r="AR105" s="513"/>
      <c r="AS105" s="513"/>
      <c r="AT105" s="513"/>
      <c r="AU105" s="513"/>
      <c r="AV105" s="513"/>
      <c r="AW105" s="513"/>
      <c r="AX105" s="512"/>
      <c r="AY105" s="508"/>
      <c r="BB105" s="513"/>
      <c r="BC105" s="512"/>
      <c r="BD105" s="508"/>
      <c r="LY105" s="511"/>
      <c r="MN105" s="506"/>
    </row>
    <row r="106" spans="1:352" ht="15" customHeight="1">
      <c r="A106" s="1702"/>
      <c r="B106" s="1702"/>
      <c r="C106" s="470"/>
      <c r="D106" s="470"/>
      <c r="E106" s="470"/>
      <c r="F106" s="1"/>
      <c r="G106" s="83"/>
      <c r="H106" s="113" t="s">
        <v>1127</v>
      </c>
      <c r="I106" s="36"/>
      <c r="J106" s="83"/>
      <c r="K106" s="1716">
        <f>DO48</f>
        <v>0</v>
      </c>
      <c r="L106" s="1717">
        <f>DP48</f>
        <v>0</v>
      </c>
      <c r="M106" s="1717">
        <f>DQ48</f>
        <v>0</v>
      </c>
      <c r="N106" s="1717">
        <f>DR48</f>
        <v>0</v>
      </c>
      <c r="O106" s="1718">
        <f>DS48</f>
        <v>0</v>
      </c>
      <c r="P106" s="1076">
        <f t="shared" si="380"/>
        <v>0</v>
      </c>
      <c r="S106" s="3503"/>
      <c r="T106" s="3504"/>
      <c r="U106" s="3504"/>
      <c r="V106" s="3504"/>
      <c r="W106" s="3505"/>
      <c r="X106" s="508"/>
      <c r="AA106" s="2408"/>
      <c r="AB106" s="512"/>
      <c r="AC106" s="508"/>
      <c r="AF106" s="2408"/>
      <c r="AG106" s="512"/>
      <c r="AH106" s="508"/>
      <c r="AK106" s="2408"/>
      <c r="AL106" s="512"/>
      <c r="AM106" s="508"/>
      <c r="AP106" s="2408"/>
      <c r="AQ106" s="512"/>
      <c r="AR106" s="513"/>
      <c r="AS106" s="513"/>
      <c r="AT106" s="513"/>
      <c r="AU106" s="513"/>
      <c r="AV106" s="513"/>
      <c r="AW106" s="513"/>
      <c r="AX106" s="512"/>
      <c r="AY106" s="508"/>
      <c r="BB106" s="513"/>
      <c r="BC106" s="512"/>
      <c r="BD106" s="508"/>
      <c r="LY106" s="511"/>
      <c r="MN106" s="506"/>
    </row>
    <row r="107" spans="1:352" ht="15" customHeight="1">
      <c r="A107" s="1702"/>
      <c r="B107" s="1702"/>
      <c r="C107" s="470"/>
      <c r="D107" s="470"/>
      <c r="E107" s="470"/>
      <c r="F107" s="1"/>
      <c r="G107" s="83"/>
      <c r="H107" s="105" t="s">
        <v>115</v>
      </c>
      <c r="I107" s="52"/>
      <c r="J107" s="1380"/>
      <c r="K107" s="1737">
        <f>DJ48</f>
        <v>0</v>
      </c>
      <c r="L107" s="1738">
        <f>DK48</f>
        <v>0</v>
      </c>
      <c r="M107" s="1738">
        <f>DL48</f>
        <v>0</v>
      </c>
      <c r="N107" s="1738">
        <f>DM48</f>
        <v>0</v>
      </c>
      <c r="O107" s="1739">
        <f>DN48</f>
        <v>0</v>
      </c>
      <c r="P107" s="672">
        <f t="shared" si="380"/>
        <v>0</v>
      </c>
      <c r="S107" s="3503"/>
      <c r="T107" s="3504"/>
      <c r="U107" s="3504"/>
      <c r="V107" s="3504"/>
      <c r="W107" s="3505"/>
      <c r="X107" s="508"/>
      <c r="AA107" s="2408"/>
      <c r="AB107" s="512"/>
      <c r="AC107" s="508"/>
      <c r="AF107" s="2408"/>
      <c r="AG107" s="512"/>
      <c r="AH107" s="508"/>
      <c r="AK107" s="2408"/>
      <c r="AL107" s="512"/>
      <c r="AM107" s="508"/>
      <c r="AP107" s="2408"/>
      <c r="AQ107" s="512"/>
      <c r="AR107" s="513"/>
      <c r="AS107" s="513"/>
      <c r="AT107" s="513"/>
      <c r="AU107" s="513"/>
      <c r="AV107" s="513"/>
      <c r="AW107" s="513"/>
      <c r="AX107" s="512"/>
      <c r="AY107" s="508"/>
      <c r="BB107" s="513"/>
      <c r="BC107" s="512"/>
      <c r="BD107" s="508"/>
      <c r="LY107" s="511"/>
      <c r="MN107" s="506"/>
    </row>
    <row r="108" spans="1:352" ht="15" customHeight="1">
      <c r="A108" s="1702"/>
      <c r="B108" s="1702"/>
      <c r="C108" s="470"/>
      <c r="D108" s="470"/>
      <c r="E108" s="470"/>
      <c r="F108" s="1"/>
      <c r="G108" s="83"/>
      <c r="H108" s="105" t="s">
        <v>4129</v>
      </c>
      <c r="I108" s="52"/>
      <c r="J108" s="1380"/>
      <c r="K108" s="1716">
        <f>DE48</f>
        <v>0</v>
      </c>
      <c r="L108" s="1717">
        <f>DF48</f>
        <v>0</v>
      </c>
      <c r="M108" s="1717">
        <f>DG48</f>
        <v>0</v>
      </c>
      <c r="N108" s="1717">
        <f>DH48</f>
        <v>0</v>
      </c>
      <c r="O108" s="1718">
        <f>DI48</f>
        <v>0</v>
      </c>
      <c r="P108" s="1076">
        <f t="shared" si="380"/>
        <v>0</v>
      </c>
      <c r="S108" s="3503"/>
      <c r="T108" s="3504"/>
      <c r="U108" s="3504"/>
      <c r="V108" s="3504"/>
      <c r="W108" s="3505"/>
      <c r="X108" s="508"/>
      <c r="AA108" s="2408"/>
      <c r="AB108" s="512"/>
      <c r="AC108" s="508"/>
      <c r="AF108" s="2408"/>
      <c r="AG108" s="512"/>
      <c r="AH108" s="508"/>
      <c r="AK108" s="2408"/>
      <c r="AL108" s="512"/>
      <c r="AM108" s="508"/>
      <c r="AP108" s="2408"/>
      <c r="AQ108" s="512"/>
      <c r="AR108" s="513"/>
      <c r="AS108" s="513"/>
      <c r="AT108" s="513"/>
      <c r="AU108" s="513"/>
      <c r="AV108" s="513"/>
      <c r="AW108" s="513"/>
      <c r="AX108" s="512"/>
      <c r="AY108" s="508"/>
      <c r="BB108" s="513"/>
      <c r="BC108" s="512"/>
      <c r="BD108" s="508"/>
      <c r="LY108" s="511"/>
      <c r="MN108" s="506"/>
    </row>
    <row r="109" spans="1:352" ht="15" customHeight="1">
      <c r="A109" s="1702"/>
      <c r="B109" s="1702"/>
      <c r="C109" s="470"/>
      <c r="D109" s="470"/>
      <c r="E109" s="470"/>
      <c r="F109" s="1"/>
      <c r="G109" s="83"/>
      <c r="H109" s="113" t="s">
        <v>4130</v>
      </c>
      <c r="I109" s="36"/>
      <c r="J109" s="83"/>
      <c r="K109" s="1716">
        <f>CZ48</f>
        <v>0</v>
      </c>
      <c r="L109" s="1717">
        <f>DA48</f>
        <v>0</v>
      </c>
      <c r="M109" s="1717">
        <f>DB48</f>
        <v>0</v>
      </c>
      <c r="N109" s="1717">
        <f>DC48</f>
        <v>0</v>
      </c>
      <c r="O109" s="1718">
        <f>DD48</f>
        <v>0</v>
      </c>
      <c r="P109" s="1076">
        <f t="shared" si="380"/>
        <v>0</v>
      </c>
      <c r="S109" s="3503"/>
      <c r="T109" s="3504"/>
      <c r="U109" s="3504"/>
      <c r="V109" s="3504"/>
      <c r="W109" s="3505"/>
      <c r="X109" s="508"/>
      <c r="AA109" s="2408"/>
      <c r="AB109" s="512"/>
      <c r="AC109" s="508"/>
      <c r="AF109" s="2408"/>
      <c r="AG109" s="512"/>
      <c r="AH109" s="508"/>
      <c r="AK109" s="2408"/>
      <c r="AL109" s="512"/>
      <c r="AM109" s="508"/>
      <c r="AP109" s="2408"/>
      <c r="AQ109" s="512"/>
      <c r="AR109" s="513"/>
      <c r="AS109" s="513"/>
      <c r="AT109" s="513"/>
      <c r="AU109" s="513"/>
      <c r="AV109" s="513"/>
      <c r="AW109" s="513"/>
      <c r="AX109" s="512"/>
      <c r="AY109" s="508"/>
      <c r="BB109" s="513"/>
      <c r="BC109" s="512"/>
      <c r="BD109" s="508"/>
      <c r="LY109" s="511"/>
      <c r="MN109" s="506"/>
    </row>
    <row r="110" spans="1:352" ht="15" customHeight="1">
      <c r="A110" s="1702"/>
      <c r="B110" s="1702"/>
      <c r="C110" s="470"/>
      <c r="D110" s="470"/>
      <c r="E110" s="470"/>
      <c r="F110" s="1"/>
      <c r="G110" s="83"/>
      <c r="H110" s="113" t="s">
        <v>4131</v>
      </c>
      <c r="I110" s="36"/>
      <c r="J110" s="83"/>
      <c r="K110" s="1719">
        <f>CU48</f>
        <v>0</v>
      </c>
      <c r="L110" s="1720">
        <f>CV48</f>
        <v>0</v>
      </c>
      <c r="M110" s="1720">
        <f>CW48</f>
        <v>0</v>
      </c>
      <c r="N110" s="1720">
        <f>CX48</f>
        <v>0</v>
      </c>
      <c r="O110" s="1721">
        <f>CY48</f>
        <v>0</v>
      </c>
      <c r="P110" s="1077">
        <f t="shared" si="380"/>
        <v>0</v>
      </c>
      <c r="S110" s="3503"/>
      <c r="T110" s="3504"/>
      <c r="U110" s="3504"/>
      <c r="V110" s="3504"/>
      <c r="W110" s="3505"/>
      <c r="X110" s="2484"/>
      <c r="AA110" s="2408"/>
      <c r="AB110" s="512"/>
      <c r="AC110" s="2484"/>
      <c r="AF110" s="2408"/>
      <c r="AG110" s="512"/>
      <c r="AH110" s="2484"/>
      <c r="AK110" s="2408"/>
      <c r="AL110" s="512"/>
      <c r="AM110" s="2484"/>
      <c r="AP110" s="2408"/>
      <c r="AQ110" s="512"/>
      <c r="AR110" s="513"/>
      <c r="AS110" s="513"/>
      <c r="AT110" s="513"/>
      <c r="AU110" s="513"/>
      <c r="AV110" s="513"/>
      <c r="AW110" s="513"/>
      <c r="AX110" s="512"/>
      <c r="AY110" s="508"/>
      <c r="BB110" s="513"/>
      <c r="BC110" s="512"/>
      <c r="BD110" s="508"/>
      <c r="LY110" s="511"/>
      <c r="MN110" s="506"/>
    </row>
    <row r="111" spans="1:352" ht="15" customHeight="1">
      <c r="A111" s="1702"/>
      <c r="B111" s="1702"/>
      <c r="C111" s="83"/>
      <c r="D111" s="1"/>
      <c r="E111" s="113"/>
      <c r="F111" s="1"/>
      <c r="G111" s="83"/>
      <c r="H111" s="183" t="s">
        <v>524</v>
      </c>
      <c r="I111" s="87"/>
      <c r="J111" s="83"/>
      <c r="K111" s="1663">
        <f>SUM(K104:K110)</f>
        <v>0</v>
      </c>
      <c r="L111" s="1663">
        <f>SUM(L104:L110)</f>
        <v>0</v>
      </c>
      <c r="M111" s="1663">
        <f>SUM(M104:M110)</f>
        <v>0</v>
      </c>
      <c r="N111" s="1663">
        <f>SUM(N104:N110)</f>
        <v>0</v>
      </c>
      <c r="O111" s="1663">
        <f>SUM(O104:O110)</f>
        <v>0</v>
      </c>
      <c r="P111" s="1663">
        <f t="shared" si="380"/>
        <v>0</v>
      </c>
      <c r="S111" s="3507"/>
      <c r="T111" s="3508"/>
      <c r="U111" s="3508"/>
      <c r="V111" s="3508"/>
      <c r="W111" s="3509"/>
      <c r="X111" s="2483"/>
      <c r="AA111" s="2408"/>
      <c r="AB111" s="512"/>
      <c r="AC111" s="2483"/>
      <c r="AF111" s="2408"/>
      <c r="AG111" s="512"/>
      <c r="AH111" s="2483"/>
      <c r="AK111" s="2408"/>
      <c r="AL111" s="512"/>
      <c r="AM111" s="2483"/>
      <c r="AP111" s="2408"/>
      <c r="AQ111" s="512"/>
      <c r="AR111" s="513"/>
      <c r="AS111" s="513"/>
      <c r="AT111" s="513"/>
      <c r="AU111" s="513"/>
      <c r="AV111" s="513"/>
      <c r="AW111" s="513"/>
      <c r="AX111" s="512"/>
      <c r="AY111" s="508"/>
      <c r="BB111" s="513"/>
      <c r="BC111" s="512"/>
      <c r="BD111" s="508"/>
      <c r="LY111" s="511"/>
      <c r="MN111" s="506"/>
    </row>
    <row r="112" spans="1:352" ht="9" customHeight="1">
      <c r="A112" s="1702"/>
      <c r="B112" s="1702"/>
      <c r="D112" s="679"/>
      <c r="E112" s="113"/>
      <c r="F112" s="1"/>
      <c r="G112" s="83"/>
      <c r="H112" s="113"/>
      <c r="I112" s="36"/>
      <c r="J112" s="83"/>
      <c r="K112" s="671"/>
      <c r="L112" s="671"/>
      <c r="M112" s="671"/>
      <c r="N112" s="671"/>
      <c r="O112" s="671"/>
      <c r="P112" s="671"/>
      <c r="S112" s="298" t="str">
        <f>C113</f>
        <v>Type of Construction Activity</v>
      </c>
      <c r="T112" s="155"/>
      <c r="U112" s="462"/>
      <c r="X112" s="2408"/>
      <c r="AA112" s="2408"/>
      <c r="AB112" s="512"/>
      <c r="AC112" s="2408"/>
      <c r="AF112" s="2408"/>
      <c r="AG112" s="512"/>
      <c r="AH112" s="2408"/>
      <c r="AK112" s="2408"/>
      <c r="AL112" s="512"/>
      <c r="AM112" s="2408"/>
      <c r="AP112" s="2408"/>
      <c r="AQ112" s="512"/>
      <c r="AR112" s="2408"/>
      <c r="AS112" s="2408"/>
      <c r="AT112" s="2408"/>
      <c r="AU112" s="2408"/>
      <c r="AV112" s="2408"/>
      <c r="AW112" s="2408"/>
      <c r="AX112" s="720"/>
      <c r="AY112" s="508"/>
      <c r="BB112" s="2408"/>
      <c r="BC112" s="720"/>
      <c r="BD112" s="508"/>
      <c r="LY112" s="511"/>
      <c r="MN112" s="506"/>
    </row>
    <row r="113" spans="1:352" ht="14.25" customHeight="1">
      <c r="A113" s="1702"/>
      <c r="B113" s="1702"/>
      <c r="C113" s="3514" t="s">
        <v>36</v>
      </c>
      <c r="D113" s="3514"/>
      <c r="E113" s="105" t="s">
        <v>2237</v>
      </c>
      <c r="F113" s="1"/>
      <c r="G113" s="83"/>
      <c r="H113" s="113" t="s">
        <v>1404</v>
      </c>
      <c r="I113" s="36"/>
      <c r="J113" s="83"/>
      <c r="K113" s="1704">
        <f>GG48</f>
        <v>0</v>
      </c>
      <c r="L113" s="1705">
        <f>GH48</f>
        <v>18</v>
      </c>
      <c r="M113" s="1705">
        <f>GI48</f>
        <v>106</v>
      </c>
      <c r="N113" s="1705">
        <f>GJ48</f>
        <v>76</v>
      </c>
      <c r="O113" s="1706">
        <f>GK48</f>
        <v>0</v>
      </c>
      <c r="P113" s="1081">
        <f t="shared" ref="P113:P123" si="381">SUM(K113:O113)</f>
        <v>200</v>
      </c>
      <c r="S113" s="3510"/>
      <c r="T113" s="3511"/>
      <c r="U113" s="3511"/>
      <c r="V113" s="3511"/>
      <c r="W113" s="3512"/>
      <c r="X113" s="2408"/>
      <c r="AA113" s="2408"/>
      <c r="AB113" s="512"/>
      <c r="AC113" s="2408"/>
      <c r="AF113" s="2408"/>
      <c r="AG113" s="512"/>
      <c r="AH113" s="2408"/>
      <c r="AK113" s="2408"/>
      <c r="AL113" s="512"/>
      <c r="AM113" s="2408"/>
      <c r="AP113" s="2408"/>
      <c r="AQ113" s="512"/>
      <c r="AR113" s="513"/>
      <c r="AS113" s="513"/>
      <c r="AT113" s="513"/>
      <c r="AU113" s="513"/>
      <c r="AV113" s="513"/>
      <c r="AW113" s="513"/>
      <c r="AX113" s="720"/>
      <c r="BB113" s="513"/>
      <c r="BC113" s="720"/>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2"/>
      <c r="B114" s="1702"/>
      <c r="C114" s="3514"/>
      <c r="D114" s="3514"/>
      <c r="E114" s="113"/>
      <c r="F114" s="1"/>
      <c r="G114" s="83"/>
      <c r="H114" s="113" t="s">
        <v>298</v>
      </c>
      <c r="I114" s="36"/>
      <c r="J114" s="83"/>
      <c r="K114" s="1710">
        <f>GL48</f>
        <v>0</v>
      </c>
      <c r="L114" s="1711">
        <f>GM48</f>
        <v>0</v>
      </c>
      <c r="M114" s="1711">
        <f>GN48</f>
        <v>0</v>
      </c>
      <c r="N114" s="1711">
        <f>GO48</f>
        <v>0</v>
      </c>
      <c r="O114" s="1712">
        <f>GP48</f>
        <v>0</v>
      </c>
      <c r="P114" s="1077">
        <f t="shared" si="381"/>
        <v>0</v>
      </c>
      <c r="S114" s="3503"/>
      <c r="T114" s="3504"/>
      <c r="U114" s="3504"/>
      <c r="V114" s="3504"/>
      <c r="W114" s="3505"/>
      <c r="X114" s="2408"/>
      <c r="AA114" s="2408"/>
      <c r="AB114" s="512"/>
      <c r="AC114" s="2408"/>
      <c r="AF114" s="2408"/>
      <c r="AG114" s="512"/>
      <c r="AH114" s="2408"/>
      <c r="AK114" s="2408"/>
      <c r="AL114" s="512"/>
      <c r="AM114" s="2408"/>
      <c r="AP114" s="2408"/>
      <c r="AQ114" s="512"/>
      <c r="AR114" s="513"/>
      <c r="AS114" s="513"/>
      <c r="AT114" s="513"/>
      <c r="AU114" s="513"/>
      <c r="AV114" s="513"/>
      <c r="AW114" s="513"/>
      <c r="AX114" s="1178"/>
      <c r="AY114" s="508"/>
      <c r="BB114" s="513"/>
      <c r="BC114" s="1178"/>
      <c r="BD114" s="508"/>
      <c r="LY114" s="511"/>
      <c r="MN114" s="506"/>
    </row>
    <row r="115" spans="1:352" ht="14.25" customHeight="1">
      <c r="A115" s="1702"/>
      <c r="B115" s="1702"/>
      <c r="C115" s="3514"/>
      <c r="D115" s="3514"/>
      <c r="E115" s="113"/>
      <c r="F115" s="1"/>
      <c r="G115" s="83"/>
      <c r="H115" s="183" t="s">
        <v>30</v>
      </c>
      <c r="I115" s="87"/>
      <c r="J115" s="83"/>
      <c r="K115" s="1665">
        <f>SUM(K113:K114)+GQ48</f>
        <v>0</v>
      </c>
      <c r="L115" s="1665">
        <f>SUM(L113:L114)+GR48</f>
        <v>18</v>
      </c>
      <c r="M115" s="1665">
        <f>SUM(M113:M114)+GS48</f>
        <v>106</v>
      </c>
      <c r="N115" s="1665">
        <f>SUM(N113:N114)+GT48</f>
        <v>76</v>
      </c>
      <c r="O115" s="1665">
        <f>SUM(O113:O114)+GU48</f>
        <v>0</v>
      </c>
      <c r="P115" s="1665">
        <f t="shared" si="381"/>
        <v>200</v>
      </c>
      <c r="S115" s="3503"/>
      <c r="T115" s="3504"/>
      <c r="U115" s="3504"/>
      <c r="V115" s="3504"/>
      <c r="W115" s="3505"/>
      <c r="X115" s="2483"/>
      <c r="AA115" s="2408"/>
      <c r="AB115" s="2484"/>
      <c r="AC115" s="2483"/>
      <c r="AF115" s="2408"/>
      <c r="AG115" s="2484"/>
      <c r="AH115" s="2483"/>
      <c r="AK115" s="2408"/>
      <c r="AL115" s="2484"/>
      <c r="AM115" s="2483"/>
      <c r="AP115" s="2408"/>
      <c r="AQ115" s="2484"/>
      <c r="AR115" s="513"/>
      <c r="AS115" s="513"/>
      <c r="AT115" s="513"/>
      <c r="AU115" s="513"/>
      <c r="AV115" s="513"/>
      <c r="AW115" s="513"/>
      <c r="AX115" s="512"/>
      <c r="AY115" s="508"/>
      <c r="BB115" s="513"/>
      <c r="BC115" s="512"/>
      <c r="BD115" s="508"/>
      <c r="LY115" s="511"/>
      <c r="MN115" s="506"/>
    </row>
    <row r="116" spans="1:352" ht="14.25" customHeight="1">
      <c r="A116" s="1702"/>
      <c r="B116" s="1702"/>
      <c r="C116" s="3514"/>
      <c r="D116" s="3514"/>
      <c r="E116" s="105" t="s">
        <v>2087</v>
      </c>
      <c r="F116" s="1"/>
      <c r="G116" s="83"/>
      <c r="H116" s="113" t="s">
        <v>1404</v>
      </c>
      <c r="I116" s="36"/>
      <c r="J116" s="83"/>
      <c r="K116" s="1704">
        <f>GV48</f>
        <v>0</v>
      </c>
      <c r="L116" s="1705">
        <f>GW48</f>
        <v>0</v>
      </c>
      <c r="M116" s="1705">
        <f>GX48</f>
        <v>0</v>
      </c>
      <c r="N116" s="1705">
        <f>GY48</f>
        <v>0</v>
      </c>
      <c r="O116" s="1706">
        <f>GZ48</f>
        <v>0</v>
      </c>
      <c r="P116" s="1081">
        <f t="shared" si="381"/>
        <v>0</v>
      </c>
      <c r="S116" s="3503"/>
      <c r="T116" s="3504"/>
      <c r="U116" s="3504"/>
      <c r="V116" s="3504"/>
      <c r="W116" s="3505"/>
      <c r="X116" s="2408"/>
      <c r="AA116" s="2408"/>
      <c r="AB116" s="512"/>
      <c r="AC116" s="2408"/>
      <c r="AF116" s="2408"/>
      <c r="AG116" s="512"/>
      <c r="AH116" s="2408"/>
      <c r="AK116" s="2408"/>
      <c r="AL116" s="512"/>
      <c r="AM116" s="2408"/>
      <c r="AP116" s="2408"/>
      <c r="AQ116" s="512"/>
      <c r="AR116" s="513"/>
      <c r="AS116" s="513"/>
      <c r="AT116" s="513"/>
      <c r="AU116" s="513"/>
      <c r="AV116" s="513"/>
      <c r="AW116" s="513"/>
      <c r="AX116" s="720"/>
      <c r="BB116" s="513"/>
      <c r="BC116" s="720"/>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2"/>
      <c r="B117" s="1702"/>
      <c r="C117" s="3514"/>
      <c r="D117" s="3514"/>
      <c r="E117" s="113"/>
      <c r="F117" s="1"/>
      <c r="G117" s="83"/>
      <c r="H117" s="113" t="s">
        <v>298</v>
      </c>
      <c r="I117" s="36"/>
      <c r="J117" s="83"/>
      <c r="K117" s="1710">
        <f>HA48</f>
        <v>0</v>
      </c>
      <c r="L117" s="1711">
        <f>HB48</f>
        <v>0</v>
      </c>
      <c r="M117" s="1711">
        <f>HC48</f>
        <v>0</v>
      </c>
      <c r="N117" s="1711">
        <f>HD48</f>
        <v>0</v>
      </c>
      <c r="O117" s="1712">
        <f>HE48</f>
        <v>0</v>
      </c>
      <c r="P117" s="1077">
        <f t="shared" si="381"/>
        <v>0</v>
      </c>
      <c r="S117" s="3503"/>
      <c r="T117" s="3504"/>
      <c r="U117" s="3504"/>
      <c r="V117" s="3504"/>
      <c r="W117" s="3505"/>
      <c r="X117" s="2408"/>
      <c r="AA117" s="2408"/>
      <c r="AB117" s="512"/>
      <c r="AC117" s="2408"/>
      <c r="AF117" s="2408"/>
      <c r="AG117" s="512"/>
      <c r="AH117" s="2408"/>
      <c r="AK117" s="2408"/>
      <c r="AL117" s="512"/>
      <c r="AM117" s="2408"/>
      <c r="AP117" s="2408"/>
      <c r="AQ117" s="512"/>
      <c r="AR117" s="513"/>
      <c r="AS117" s="513"/>
      <c r="AT117" s="513"/>
      <c r="AU117" s="513"/>
      <c r="AV117" s="513"/>
      <c r="AW117" s="513"/>
      <c r="AX117" s="1178"/>
      <c r="AY117" s="508"/>
      <c r="BB117" s="513"/>
      <c r="BC117" s="1178"/>
      <c r="BD117" s="508"/>
      <c r="LY117" s="511"/>
      <c r="MN117" s="506"/>
    </row>
    <row r="118" spans="1:352" ht="14.25" customHeight="1">
      <c r="A118" s="1702"/>
      <c r="B118" s="1702"/>
      <c r="C118" s="3514"/>
      <c r="D118" s="3514"/>
      <c r="E118" s="113"/>
      <c r="F118" s="1"/>
      <c r="G118" s="83"/>
      <c r="H118" s="183" t="s">
        <v>30</v>
      </c>
      <c r="I118" s="87"/>
      <c r="J118" s="83"/>
      <c r="K118" s="1665">
        <f>SUM(K116:K117)+HF48</f>
        <v>0</v>
      </c>
      <c r="L118" s="1665">
        <f>SUM(L116:L117)+HG48</f>
        <v>0</v>
      </c>
      <c r="M118" s="1665">
        <f>SUM(M116:M117)+HH48</f>
        <v>0</v>
      </c>
      <c r="N118" s="1665">
        <f>SUM(N116:N117)+HI48</f>
        <v>0</v>
      </c>
      <c r="O118" s="1665">
        <f>SUM(O116:O117)+HJ48</f>
        <v>0</v>
      </c>
      <c r="P118" s="1665">
        <f t="shared" si="381"/>
        <v>0</v>
      </c>
      <c r="S118" s="3503"/>
      <c r="T118" s="3504"/>
      <c r="U118" s="3504"/>
      <c r="V118" s="3504"/>
      <c r="W118" s="3505"/>
      <c r="X118" s="2483"/>
      <c r="AA118" s="2408"/>
      <c r="AB118" s="2484"/>
      <c r="AC118" s="2483"/>
      <c r="AF118" s="2408"/>
      <c r="AG118" s="2484"/>
      <c r="AH118" s="2483"/>
      <c r="AK118" s="2408"/>
      <c r="AL118" s="2484"/>
      <c r="AM118" s="2483"/>
      <c r="AP118" s="2408"/>
      <c r="AQ118" s="2484"/>
      <c r="AR118" s="513"/>
      <c r="AS118" s="513"/>
      <c r="AT118" s="513"/>
      <c r="AU118" s="513"/>
      <c r="AV118" s="513"/>
      <c r="AW118" s="513"/>
      <c r="AX118" s="512"/>
      <c r="AY118" s="508"/>
      <c r="BB118" s="513"/>
      <c r="BC118" s="512"/>
      <c r="BD118" s="508"/>
      <c r="LY118" s="511"/>
      <c r="MN118" s="506"/>
    </row>
    <row r="119" spans="1:352" ht="14.25" customHeight="1">
      <c r="A119" s="1702"/>
      <c r="B119" s="1702"/>
      <c r="C119" s="1015"/>
      <c r="D119" s="1"/>
      <c r="E119" s="3564" t="s">
        <v>1391</v>
      </c>
      <c r="F119" s="3564"/>
      <c r="G119" s="83"/>
      <c r="H119" s="113" t="s">
        <v>1404</v>
      </c>
      <c r="I119" s="36"/>
      <c r="J119" s="83"/>
      <c r="K119" s="1704">
        <f>HK48</f>
        <v>0</v>
      </c>
      <c r="L119" s="1705">
        <f>HL48</f>
        <v>0</v>
      </c>
      <c r="M119" s="1705">
        <f>HM48</f>
        <v>0</v>
      </c>
      <c r="N119" s="1705">
        <f>HN48</f>
        <v>0</v>
      </c>
      <c r="O119" s="1706">
        <f>HO48</f>
        <v>0</v>
      </c>
      <c r="P119" s="1081">
        <f t="shared" si="381"/>
        <v>0</v>
      </c>
      <c r="S119" s="3503"/>
      <c r="T119" s="3504"/>
      <c r="U119" s="3504"/>
      <c r="V119" s="3504"/>
      <c r="W119" s="3505"/>
      <c r="X119" s="2408"/>
      <c r="AA119" s="2408"/>
      <c r="AB119" s="512"/>
      <c r="AC119" s="2408"/>
      <c r="AF119" s="2408"/>
      <c r="AG119" s="512"/>
      <c r="AH119" s="2408"/>
      <c r="AK119" s="2408"/>
      <c r="AL119" s="512"/>
      <c r="AM119" s="2408"/>
      <c r="AP119" s="2408"/>
      <c r="AQ119" s="512"/>
      <c r="AR119" s="513"/>
      <c r="AS119" s="513"/>
      <c r="AT119" s="513"/>
      <c r="AU119" s="513"/>
      <c r="AV119" s="513"/>
      <c r="AW119" s="513"/>
      <c r="AX119" s="720"/>
      <c r="BB119" s="513"/>
      <c r="BC119" s="720"/>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2"/>
      <c r="B120" s="1702"/>
      <c r="C120" s="1015"/>
      <c r="D120" s="1"/>
      <c r="E120" s="3564"/>
      <c r="F120" s="3564"/>
      <c r="G120" s="83"/>
      <c r="H120" s="113" t="s">
        <v>298</v>
      </c>
      <c r="I120" s="36"/>
      <c r="J120" s="83"/>
      <c r="K120" s="1710">
        <f>HP48</f>
        <v>0</v>
      </c>
      <c r="L120" s="1711">
        <f>HQ48</f>
        <v>0</v>
      </c>
      <c r="M120" s="1711">
        <f>HR48</f>
        <v>0</v>
      </c>
      <c r="N120" s="1711">
        <f>HS48</f>
        <v>0</v>
      </c>
      <c r="O120" s="1712">
        <f>HT48</f>
        <v>0</v>
      </c>
      <c r="P120" s="1077">
        <f t="shared" si="381"/>
        <v>0</v>
      </c>
      <c r="S120" s="3503"/>
      <c r="T120" s="3504"/>
      <c r="U120" s="3504"/>
      <c r="V120" s="3504"/>
      <c r="W120" s="3505"/>
      <c r="X120" s="2408"/>
      <c r="AA120" s="2408"/>
      <c r="AB120" s="512"/>
      <c r="AC120" s="2408"/>
      <c r="AF120" s="2408"/>
      <c r="AG120" s="512"/>
      <c r="AH120" s="2408"/>
      <c r="AK120" s="2408"/>
      <c r="AL120" s="512"/>
      <c r="AM120" s="2408"/>
      <c r="AP120" s="2408"/>
      <c r="AQ120" s="512"/>
      <c r="AR120" s="513"/>
      <c r="AS120" s="513"/>
      <c r="AT120" s="513"/>
      <c r="AU120" s="513"/>
      <c r="AV120" s="513"/>
      <c r="AW120" s="513"/>
      <c r="AX120" s="1178"/>
      <c r="AY120" s="508"/>
      <c r="BB120" s="513"/>
      <c r="BC120" s="1178"/>
      <c r="BD120" s="508"/>
      <c r="LY120" s="511"/>
      <c r="MN120" s="506"/>
    </row>
    <row r="121" spans="1:352" ht="14.25" customHeight="1">
      <c r="A121" s="1702"/>
      <c r="B121" s="1702"/>
      <c r="C121" s="1015"/>
      <c r="D121" s="1"/>
      <c r="E121" s="113"/>
      <c r="F121" s="1"/>
      <c r="G121" s="83"/>
      <c r="H121" s="183" t="s">
        <v>30</v>
      </c>
      <c r="I121" s="87"/>
      <c r="J121" s="83"/>
      <c r="K121" s="1665">
        <f>SUM(K119:K120)+HU48</f>
        <v>0</v>
      </c>
      <c r="L121" s="1665">
        <f>SUM(L119:L120)+HV48</f>
        <v>0</v>
      </c>
      <c r="M121" s="1665">
        <f>SUM(M119:M120)+HW48</f>
        <v>0</v>
      </c>
      <c r="N121" s="1665">
        <f>SUM(N119:N120)+HX48</f>
        <v>0</v>
      </c>
      <c r="O121" s="1665">
        <f>SUM(O119:O120)+HY48</f>
        <v>0</v>
      </c>
      <c r="P121" s="1665">
        <f t="shared" si="381"/>
        <v>0</v>
      </c>
      <c r="S121" s="3503"/>
      <c r="T121" s="3504"/>
      <c r="U121" s="3504"/>
      <c r="V121" s="3504"/>
      <c r="W121" s="3505"/>
      <c r="X121" s="2483"/>
      <c r="AA121" s="2408"/>
      <c r="AB121" s="2484"/>
      <c r="AC121" s="2483"/>
      <c r="AF121" s="2408"/>
      <c r="AG121" s="2484"/>
      <c r="AH121" s="2483"/>
      <c r="AK121" s="2408"/>
      <c r="AL121" s="2484"/>
      <c r="AM121" s="2483"/>
      <c r="AP121" s="2408"/>
      <c r="AQ121" s="2484"/>
      <c r="AR121" s="513"/>
      <c r="AS121" s="513"/>
      <c r="AT121" s="513"/>
      <c r="AU121" s="513"/>
      <c r="AV121" s="513"/>
      <c r="AW121" s="513"/>
      <c r="AX121" s="512"/>
      <c r="AY121" s="508"/>
      <c r="BB121" s="513"/>
      <c r="BC121" s="512"/>
      <c r="BD121" s="508"/>
      <c r="LY121" s="511"/>
      <c r="MN121" s="506"/>
    </row>
    <row r="122" spans="1:352" ht="14.25" customHeight="1">
      <c r="A122" s="1702"/>
      <c r="B122" s="1702"/>
      <c r="C122" s="1015"/>
      <c r="D122" s="1"/>
      <c r="E122" s="113" t="s">
        <v>359</v>
      </c>
      <c r="F122" s="1"/>
      <c r="G122" s="191"/>
      <c r="H122" s="114"/>
      <c r="I122" s="83"/>
      <c r="J122" s="83"/>
      <c r="K122" s="673"/>
      <c r="L122" s="673"/>
      <c r="M122" s="673"/>
      <c r="N122" s="673"/>
      <c r="O122" s="673"/>
      <c r="P122" s="669">
        <f t="shared" si="381"/>
        <v>0</v>
      </c>
      <c r="S122" s="3503"/>
      <c r="T122" s="3504"/>
      <c r="U122" s="3504"/>
      <c r="V122" s="3504"/>
      <c r="W122" s="3505"/>
      <c r="X122" s="2408"/>
      <c r="AA122" s="2408"/>
      <c r="AB122" s="512"/>
      <c r="AC122" s="2408"/>
      <c r="AF122" s="2408"/>
      <c r="AG122" s="512"/>
      <c r="AH122" s="2408"/>
      <c r="AK122" s="2408"/>
      <c r="AL122" s="512"/>
      <c r="AM122" s="2408"/>
      <c r="AP122" s="2408"/>
      <c r="AQ122" s="512"/>
      <c r="AR122" s="513"/>
      <c r="AS122" s="513"/>
      <c r="AT122" s="513"/>
      <c r="AU122" s="513"/>
      <c r="AV122" s="513"/>
      <c r="AW122" s="513"/>
      <c r="AX122" s="1178"/>
      <c r="AY122" s="508"/>
      <c r="BB122" s="513"/>
      <c r="BC122" s="1178"/>
      <c r="BD122" s="508"/>
      <c r="LY122" s="511"/>
      <c r="MN122" s="506"/>
    </row>
    <row r="123" spans="1:352" ht="14.25" customHeight="1">
      <c r="A123" s="3513" t="str">
        <f>IF(AND('Part IV-A-Uses of Funds'!$T$172="Yes",'Part IX Scoring Criteria'!$O$411&gt;0,P123&lt;1),"SHOW HISTORIC UNITS HERE &gt;&gt;&gt;&gt;","")</f>
        <v/>
      </c>
      <c r="B123" s="3513"/>
      <c r="C123" s="3513"/>
      <c r="D123" s="3513"/>
      <c r="E123" s="545" t="s">
        <v>3283</v>
      </c>
      <c r="F123" s="1"/>
      <c r="G123" s="191"/>
      <c r="H123" s="114"/>
      <c r="I123" s="83"/>
      <c r="J123" s="83"/>
      <c r="K123" s="674"/>
      <c r="L123" s="674"/>
      <c r="M123" s="674"/>
      <c r="N123" s="674"/>
      <c r="O123" s="674"/>
      <c r="P123" s="670">
        <f t="shared" si="381"/>
        <v>0</v>
      </c>
      <c r="S123" s="3503"/>
      <c r="T123" s="3504"/>
      <c r="U123" s="3504"/>
      <c r="V123" s="3504"/>
      <c r="W123" s="3505"/>
      <c r="X123" s="2408"/>
      <c r="AA123" s="2408"/>
      <c r="AB123" s="512"/>
      <c r="AC123" s="2408"/>
      <c r="AF123" s="2408"/>
      <c r="AG123" s="512"/>
      <c r="AH123" s="2408"/>
      <c r="AK123" s="2408"/>
      <c r="AL123" s="512"/>
      <c r="AM123" s="2408"/>
      <c r="AP123" s="2408"/>
      <c r="AQ123" s="512"/>
      <c r="AR123" s="513"/>
      <c r="AS123" s="513"/>
      <c r="AT123" s="513"/>
      <c r="AU123" s="513"/>
      <c r="AV123" s="513"/>
      <c r="AW123" s="513"/>
      <c r="AX123" s="1178"/>
      <c r="AY123" s="508"/>
      <c r="BB123" s="513"/>
      <c r="BC123" s="1178"/>
      <c r="BD123" s="508"/>
      <c r="LY123" s="511"/>
      <c r="MN123" s="506"/>
    </row>
    <row r="124" spans="1:352" ht="9" customHeight="1">
      <c r="A124" s="1219"/>
      <c r="B124" s="1219"/>
      <c r="C124" s="1219"/>
      <c r="D124" s="1219"/>
      <c r="E124" s="545"/>
      <c r="F124" s="1"/>
      <c r="G124" s="191"/>
      <c r="H124" s="114"/>
      <c r="I124" s="83"/>
      <c r="J124" s="83"/>
      <c r="K124" s="36"/>
      <c r="L124" s="36"/>
      <c r="M124" s="36"/>
      <c r="N124" s="36"/>
      <c r="O124" s="36"/>
      <c r="P124" s="36"/>
      <c r="S124" s="3503"/>
      <c r="T124" s="3504"/>
      <c r="U124" s="3504"/>
      <c r="V124" s="3504"/>
      <c r="W124" s="3505"/>
      <c r="X124" s="2408"/>
      <c r="AA124" s="2408"/>
      <c r="AB124" s="512"/>
      <c r="AC124" s="2408"/>
      <c r="AF124" s="2408"/>
      <c r="AG124" s="512"/>
      <c r="AH124" s="2408"/>
      <c r="AK124" s="2408"/>
      <c r="AL124" s="512"/>
      <c r="AM124" s="2408"/>
      <c r="AP124" s="2408"/>
      <c r="AQ124" s="512"/>
      <c r="AR124" s="513"/>
      <c r="AS124" s="513"/>
      <c r="AT124" s="513"/>
      <c r="AU124" s="513"/>
      <c r="AV124" s="513"/>
      <c r="AW124" s="513"/>
      <c r="AX124" s="1178"/>
      <c r="AY124" s="508"/>
      <c r="BB124" s="513"/>
      <c r="BC124" s="1178"/>
      <c r="BD124" s="508"/>
      <c r="LY124" s="511"/>
      <c r="MN124" s="506"/>
    </row>
    <row r="125" spans="1:352" ht="14.25" customHeight="1">
      <c r="A125" s="1219"/>
      <c r="B125" s="1219"/>
      <c r="C125" s="1219"/>
      <c r="D125" s="1219"/>
      <c r="E125" s="113" t="s">
        <v>3251</v>
      </c>
      <c r="F125" s="1"/>
      <c r="G125" s="191"/>
      <c r="H125" s="114"/>
      <c r="I125" s="83"/>
      <c r="J125" s="83"/>
      <c r="K125" s="1722">
        <f>K129+K131+K133+K135+K139+K141+K143+K145</f>
        <v>0</v>
      </c>
      <c r="L125" s="1723">
        <f>L129+L131+L133+L135+L139+L141+L143+L145</f>
        <v>0</v>
      </c>
      <c r="M125" s="1723">
        <f>M129+M131+M133+M135+M139+M141+M143+M145</f>
        <v>0</v>
      </c>
      <c r="N125" s="1723">
        <f>N129+N131+N133+N135+N139+N141+N143+N145</f>
        <v>0</v>
      </c>
      <c r="O125" s="1724">
        <f>O129+O131+O133+O135+O139+O141+O143+O145</f>
        <v>0</v>
      </c>
      <c r="P125" s="680">
        <f>SUM(K125:O125)</f>
        <v>0</v>
      </c>
      <c r="S125" s="3507"/>
      <c r="T125" s="3508"/>
      <c r="U125" s="3508"/>
      <c r="V125" s="3508"/>
      <c r="W125" s="3509"/>
      <c r="X125" s="2408"/>
      <c r="AA125" s="2408"/>
      <c r="AB125" s="512"/>
      <c r="AC125" s="2408"/>
      <c r="AF125" s="2408"/>
      <c r="AG125" s="512"/>
      <c r="AH125" s="2408"/>
      <c r="AK125" s="2408"/>
      <c r="AL125" s="512"/>
      <c r="AM125" s="2408"/>
      <c r="AP125" s="2408"/>
      <c r="AQ125" s="512"/>
      <c r="AR125" s="513"/>
      <c r="AS125" s="513"/>
      <c r="AT125" s="513"/>
      <c r="AU125" s="513"/>
      <c r="AV125" s="513"/>
      <c r="AW125" s="513"/>
      <c r="AX125" s="1178"/>
      <c r="AY125" s="508"/>
      <c r="BB125" s="513"/>
      <c r="BC125" s="1178"/>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08"/>
      <c r="AS126" s="2408"/>
      <c r="AT126" s="2408"/>
      <c r="AU126" s="2408"/>
      <c r="AV126" s="2408"/>
      <c r="AW126" s="2408"/>
      <c r="AX126" s="720"/>
      <c r="AY126" s="508"/>
      <c r="BB126" s="2408"/>
      <c r="BC126" s="720"/>
      <c r="BD126" s="508"/>
      <c r="LY126" s="511"/>
      <c r="MN126" s="506"/>
    </row>
    <row r="127" spans="1:352" ht="14.25" customHeight="1">
      <c r="C127" s="3565" t="s">
        <v>3779</v>
      </c>
      <c r="D127" s="3565"/>
      <c r="E127" s="1376" t="s">
        <v>37</v>
      </c>
      <c r="F127" s="1112"/>
      <c r="G127" s="1377"/>
      <c r="H127" s="2342"/>
      <c r="I127" s="1378"/>
      <c r="J127" s="1379"/>
      <c r="K127" s="1725">
        <f>SUM(K128:K137)</f>
        <v>0</v>
      </c>
      <c r="L127" s="1726">
        <f>SUM(L128:L137)</f>
        <v>18</v>
      </c>
      <c r="M127" s="1726">
        <f t="shared" ref="M127:N127" si="382">SUM(M128:M137)</f>
        <v>106</v>
      </c>
      <c r="N127" s="1726">
        <f t="shared" si="382"/>
        <v>76</v>
      </c>
      <c r="O127" s="1727">
        <f>SUM(O128:O137)</f>
        <v>0</v>
      </c>
      <c r="P127" s="1670">
        <f>SUM(P128:P137)</f>
        <v>200</v>
      </c>
      <c r="S127" s="3510"/>
      <c r="T127" s="3511"/>
      <c r="U127" s="3511"/>
      <c r="V127" s="3511"/>
      <c r="W127" s="3512"/>
      <c r="X127" s="508"/>
      <c r="AA127" s="508"/>
      <c r="AB127" s="512"/>
      <c r="AC127" s="508"/>
      <c r="AF127" s="508"/>
      <c r="AG127" s="512"/>
      <c r="AH127" s="508"/>
      <c r="AK127" s="508"/>
      <c r="AL127" s="512"/>
      <c r="AM127" s="508"/>
      <c r="AP127" s="508"/>
      <c r="AQ127" s="512"/>
      <c r="AR127" s="513"/>
      <c r="AS127" s="513"/>
      <c r="AT127" s="513"/>
      <c r="AU127" s="513"/>
      <c r="AV127" s="513"/>
      <c r="AW127" s="513"/>
      <c r="AX127" s="720"/>
      <c r="BB127" s="513"/>
      <c r="BC127" s="720"/>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66"/>
      <c r="D128" s="3566"/>
      <c r="E128" s="105"/>
      <c r="F128" s="5"/>
      <c r="G128" s="155"/>
      <c r="H128" s="2336" t="s">
        <v>2537</v>
      </c>
      <c r="I128" s="995"/>
      <c r="J128" s="1380"/>
      <c r="K128" s="1707">
        <f>JS48</f>
        <v>0</v>
      </c>
      <c r="L128" s="1708">
        <f>JT48</f>
        <v>0</v>
      </c>
      <c r="M128" s="1708">
        <f>JU48</f>
        <v>0</v>
      </c>
      <c r="N128" s="1708">
        <f>JV48</f>
        <v>0</v>
      </c>
      <c r="O128" s="1709">
        <f>JW48</f>
        <v>0</v>
      </c>
      <c r="P128" s="1076">
        <f t="shared" ref="P128:P145" si="383">SUM(K128:O128)</f>
        <v>0</v>
      </c>
      <c r="S128" s="3503"/>
      <c r="T128" s="3504"/>
      <c r="U128" s="3504"/>
      <c r="V128" s="3504"/>
      <c r="W128" s="3505"/>
      <c r="X128" s="508"/>
      <c r="AA128" s="508"/>
      <c r="AB128" s="512"/>
      <c r="AC128" s="508"/>
      <c r="AF128" s="508"/>
      <c r="AG128" s="512"/>
      <c r="AH128" s="508"/>
      <c r="AK128" s="508"/>
      <c r="AL128" s="512"/>
      <c r="AM128" s="508"/>
      <c r="AP128" s="508"/>
      <c r="AQ128" s="512"/>
      <c r="AR128" s="513"/>
      <c r="AS128" s="513"/>
      <c r="AT128" s="513"/>
      <c r="AU128" s="513"/>
      <c r="AV128" s="513"/>
      <c r="AW128" s="513"/>
      <c r="AX128" s="720"/>
      <c r="BB128" s="513"/>
      <c r="BC128" s="720"/>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66"/>
      <c r="D129" s="3566"/>
      <c r="E129" s="105"/>
      <c r="F129" s="5"/>
      <c r="G129" s="155"/>
      <c r="H129" s="2343" t="s">
        <v>3251</v>
      </c>
      <c r="I129" s="96"/>
      <c r="J129" s="1380"/>
      <c r="K129" s="1728">
        <f>JX48</f>
        <v>0</v>
      </c>
      <c r="L129" s="1729">
        <f>JY48</f>
        <v>0</v>
      </c>
      <c r="M129" s="1729">
        <f>JZ48</f>
        <v>0</v>
      </c>
      <c r="N129" s="1729">
        <f>KA48</f>
        <v>0</v>
      </c>
      <c r="O129" s="1730">
        <f>KB48</f>
        <v>0</v>
      </c>
      <c r="P129" s="672">
        <f t="shared" si="383"/>
        <v>0</v>
      </c>
      <c r="S129" s="3503"/>
      <c r="T129" s="3504"/>
      <c r="U129" s="3504"/>
      <c r="V129" s="3504"/>
      <c r="W129" s="3505"/>
      <c r="X129" s="508"/>
      <c r="AA129" s="508"/>
      <c r="AB129" s="512"/>
      <c r="AC129" s="508"/>
      <c r="AF129" s="508"/>
      <c r="AG129" s="512"/>
      <c r="AH129" s="508"/>
      <c r="AK129" s="508"/>
      <c r="AL129" s="512"/>
      <c r="AM129" s="508"/>
      <c r="AP129" s="508"/>
      <c r="AQ129" s="512"/>
      <c r="AR129" s="513"/>
      <c r="AS129" s="513"/>
      <c r="AT129" s="513"/>
      <c r="AU129" s="513"/>
      <c r="AV129" s="513"/>
      <c r="AW129" s="513"/>
      <c r="AX129" s="720"/>
      <c r="BB129" s="513"/>
      <c r="BC129" s="720"/>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66"/>
      <c r="D130" s="3566"/>
      <c r="E130" s="105"/>
      <c r="F130" s="5"/>
      <c r="G130" s="155"/>
      <c r="H130" s="2336" t="s">
        <v>2538</v>
      </c>
      <c r="I130" s="995"/>
      <c r="J130" s="1380"/>
      <c r="K130" s="1707">
        <f>KC48</f>
        <v>0</v>
      </c>
      <c r="L130" s="1708">
        <f>KD48</f>
        <v>0</v>
      </c>
      <c r="M130" s="1708">
        <f>KE48</f>
        <v>0</v>
      </c>
      <c r="N130" s="1708">
        <f>KF48</f>
        <v>0</v>
      </c>
      <c r="O130" s="1709">
        <f>KG48</f>
        <v>0</v>
      </c>
      <c r="P130" s="675">
        <f t="shared" si="383"/>
        <v>0</v>
      </c>
      <c r="S130" s="3503"/>
      <c r="T130" s="3504"/>
      <c r="U130" s="3504"/>
      <c r="V130" s="3504"/>
      <c r="W130" s="3505"/>
      <c r="X130" s="508"/>
      <c r="AA130" s="508"/>
      <c r="AB130" s="512"/>
      <c r="AC130" s="508"/>
      <c r="AF130" s="508"/>
      <c r="AG130" s="512"/>
      <c r="AH130" s="508"/>
      <c r="AK130" s="508"/>
      <c r="AL130" s="512"/>
      <c r="AM130" s="508"/>
      <c r="AP130" s="508"/>
      <c r="AQ130" s="512"/>
      <c r="AR130" s="513"/>
      <c r="AS130" s="513"/>
      <c r="AT130" s="513"/>
      <c r="AU130" s="513"/>
      <c r="AV130" s="513"/>
      <c r="AW130" s="513"/>
      <c r="AX130" s="720"/>
      <c r="BB130" s="513"/>
      <c r="BC130" s="720"/>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66"/>
      <c r="D131" s="3566"/>
      <c r="E131" s="105"/>
      <c r="F131" s="5"/>
      <c r="G131" s="155"/>
      <c r="H131" s="2343" t="s">
        <v>3251</v>
      </c>
      <c r="I131" s="96"/>
      <c r="J131" s="1380"/>
      <c r="K131" s="1728">
        <f>KH48</f>
        <v>0</v>
      </c>
      <c r="L131" s="1729">
        <f>KI48</f>
        <v>0</v>
      </c>
      <c r="M131" s="1729">
        <f>KJ48</f>
        <v>0</v>
      </c>
      <c r="N131" s="1729">
        <f>KK48</f>
        <v>0</v>
      </c>
      <c r="O131" s="1730">
        <f>KL48</f>
        <v>0</v>
      </c>
      <c r="P131" s="672">
        <f t="shared" si="383"/>
        <v>0</v>
      </c>
      <c r="S131" s="3503"/>
      <c r="T131" s="3504"/>
      <c r="U131" s="3504"/>
      <c r="V131" s="3504"/>
      <c r="W131" s="3505"/>
      <c r="X131" s="508"/>
      <c r="AA131" s="508"/>
      <c r="AB131" s="512"/>
      <c r="AC131" s="508"/>
      <c r="AF131" s="508"/>
      <c r="AG131" s="512"/>
      <c r="AH131" s="508"/>
      <c r="AK131" s="508"/>
      <c r="AL131" s="512"/>
      <c r="AM131" s="508"/>
      <c r="AP131" s="508"/>
      <c r="AQ131" s="512"/>
      <c r="AR131" s="513"/>
      <c r="AS131" s="513"/>
      <c r="AT131" s="513"/>
      <c r="AU131" s="513"/>
      <c r="AV131" s="513"/>
      <c r="AW131" s="513"/>
      <c r="AX131" s="720"/>
      <c r="BB131" s="513"/>
      <c r="BC131" s="720"/>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66"/>
      <c r="D132" s="3566"/>
      <c r="E132" s="105"/>
      <c r="F132" s="5"/>
      <c r="G132" s="155"/>
      <c r="H132" s="2336" t="s">
        <v>2540</v>
      </c>
      <c r="I132" s="995"/>
      <c r="J132" s="1380"/>
      <c r="K132" s="1707">
        <f>KM48</f>
        <v>0</v>
      </c>
      <c r="L132" s="1708">
        <f>KN48</f>
        <v>0</v>
      </c>
      <c r="M132" s="1708">
        <f>KO48</f>
        <v>0</v>
      </c>
      <c r="N132" s="1708">
        <f>KP48</f>
        <v>0</v>
      </c>
      <c r="O132" s="1709">
        <f>KQ48</f>
        <v>0</v>
      </c>
      <c r="P132" s="675">
        <f t="shared" si="383"/>
        <v>0</v>
      </c>
      <c r="S132" s="3503"/>
      <c r="T132" s="3504"/>
      <c r="U132" s="3504"/>
      <c r="V132" s="3504"/>
      <c r="W132" s="3505"/>
      <c r="X132" s="508"/>
      <c r="AA132" s="508"/>
      <c r="AB132" s="512"/>
      <c r="AC132" s="508"/>
      <c r="AF132" s="508"/>
      <c r="AG132" s="512"/>
      <c r="AH132" s="508"/>
      <c r="AK132" s="508"/>
      <c r="AL132" s="512"/>
      <c r="AM132" s="508"/>
      <c r="AP132" s="508"/>
      <c r="AQ132" s="512"/>
      <c r="AR132" s="513"/>
      <c r="AS132" s="513"/>
      <c r="AT132" s="513"/>
      <c r="AU132" s="513"/>
      <c r="AV132" s="513"/>
      <c r="AW132" s="513"/>
      <c r="AX132" s="720"/>
      <c r="BB132" s="513"/>
      <c r="BC132" s="720"/>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66"/>
      <c r="D133" s="3566"/>
      <c r="E133" s="105"/>
      <c r="F133" s="5"/>
      <c r="G133" s="155"/>
      <c r="H133" s="2343" t="s">
        <v>3251</v>
      </c>
      <c r="I133" s="96"/>
      <c r="J133" s="1380"/>
      <c r="K133" s="1728">
        <f>KR48</f>
        <v>0</v>
      </c>
      <c r="L133" s="1729">
        <f>KS48</f>
        <v>0</v>
      </c>
      <c r="M133" s="1729">
        <f>KT48</f>
        <v>0</v>
      </c>
      <c r="N133" s="1729">
        <f>KU48</f>
        <v>0</v>
      </c>
      <c r="O133" s="1730">
        <f>KV48</f>
        <v>0</v>
      </c>
      <c r="P133" s="672">
        <f t="shared" si="383"/>
        <v>0</v>
      </c>
      <c r="S133" s="3503"/>
      <c r="T133" s="3504"/>
      <c r="U133" s="3504"/>
      <c r="V133" s="3504"/>
      <c r="W133" s="3505"/>
      <c r="X133" s="508"/>
      <c r="AA133" s="508"/>
      <c r="AB133" s="512"/>
      <c r="AC133" s="508"/>
      <c r="AF133" s="508"/>
      <c r="AG133" s="512"/>
      <c r="AH133" s="508"/>
      <c r="AK133" s="508"/>
      <c r="AL133" s="512"/>
      <c r="AM133" s="508"/>
      <c r="AP133" s="508"/>
      <c r="AQ133" s="512"/>
      <c r="AR133" s="513"/>
      <c r="AS133" s="513"/>
      <c r="AT133" s="513"/>
      <c r="AU133" s="513"/>
      <c r="AV133" s="513"/>
      <c r="AW133" s="513"/>
      <c r="AX133" s="720"/>
      <c r="BB133" s="513"/>
      <c r="BC133" s="720"/>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66"/>
      <c r="D134" s="3566"/>
      <c r="E134" s="105"/>
      <c r="F134" s="1"/>
      <c r="G134" s="83"/>
      <c r="H134" s="2264" t="s">
        <v>2539</v>
      </c>
      <c r="I134" s="40"/>
      <c r="J134" s="83"/>
      <c r="K134" s="1707">
        <f>KW48</f>
        <v>0</v>
      </c>
      <c r="L134" s="1708">
        <f>KX48</f>
        <v>18</v>
      </c>
      <c r="M134" s="1708">
        <f>KY48</f>
        <v>106</v>
      </c>
      <c r="N134" s="1708">
        <f>KZ48</f>
        <v>76</v>
      </c>
      <c r="O134" s="1709">
        <f>LA48</f>
        <v>0</v>
      </c>
      <c r="P134" s="675">
        <f t="shared" si="383"/>
        <v>200</v>
      </c>
      <c r="S134" s="3503"/>
      <c r="T134" s="3504"/>
      <c r="U134" s="3504"/>
      <c r="V134" s="3504"/>
      <c r="W134" s="3505"/>
      <c r="X134" s="508"/>
      <c r="AA134" s="508"/>
      <c r="AB134" s="512"/>
      <c r="AC134" s="508"/>
      <c r="AF134" s="508"/>
      <c r="AG134" s="512"/>
      <c r="AH134" s="508"/>
      <c r="AK134" s="508"/>
      <c r="AL134" s="512"/>
      <c r="AM134" s="508"/>
      <c r="AP134" s="508"/>
      <c r="AQ134" s="512"/>
      <c r="AR134" s="513"/>
      <c r="AS134" s="513"/>
      <c r="AT134" s="513"/>
      <c r="AU134" s="513"/>
      <c r="AV134" s="513"/>
      <c r="AW134" s="513"/>
      <c r="AX134" s="720"/>
      <c r="BB134" s="513"/>
      <c r="BC134" s="720"/>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66"/>
      <c r="D135" s="3566"/>
      <c r="E135" s="105"/>
      <c r="F135" s="1"/>
      <c r="G135" s="83"/>
      <c r="H135" s="2344" t="s">
        <v>3251</v>
      </c>
      <c r="I135" s="991"/>
      <c r="J135" s="83"/>
      <c r="K135" s="1728">
        <f>LB48</f>
        <v>0</v>
      </c>
      <c r="L135" s="1729">
        <f>LC48</f>
        <v>0</v>
      </c>
      <c r="M135" s="1729">
        <f>LD48</f>
        <v>0</v>
      </c>
      <c r="N135" s="1729">
        <f>LE48</f>
        <v>0</v>
      </c>
      <c r="O135" s="1730">
        <f>LF48</f>
        <v>0</v>
      </c>
      <c r="P135" s="1076">
        <f t="shared" si="383"/>
        <v>0</v>
      </c>
      <c r="S135" s="3503"/>
      <c r="T135" s="3504"/>
      <c r="U135" s="3504"/>
      <c r="V135" s="3504"/>
      <c r="W135" s="3505"/>
      <c r="X135" s="508"/>
      <c r="AA135" s="508"/>
      <c r="AB135" s="512"/>
      <c r="AC135" s="508"/>
      <c r="AF135" s="508"/>
      <c r="AG135" s="512"/>
      <c r="AH135" s="508"/>
      <c r="AK135" s="508"/>
      <c r="AL135" s="512"/>
      <c r="AM135" s="508"/>
      <c r="AP135" s="508"/>
      <c r="AQ135" s="512"/>
      <c r="AR135" s="513"/>
      <c r="AS135" s="513"/>
      <c r="AT135" s="513"/>
      <c r="AU135" s="513"/>
      <c r="AV135" s="513"/>
      <c r="AW135" s="513"/>
      <c r="AX135" s="720"/>
      <c r="BB135" s="513"/>
      <c r="BC135" s="720"/>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77"/>
      <c r="D136" s="2277"/>
      <c r="E136" s="105"/>
      <c r="F136" s="1"/>
      <c r="G136" s="83"/>
      <c r="H136" s="2264" t="s">
        <v>4804</v>
      </c>
      <c r="I136" s="40"/>
      <c r="J136" s="83"/>
      <c r="K136" s="1731">
        <f>LG48</f>
        <v>0</v>
      </c>
      <c r="L136" s="1732">
        <f>LH48</f>
        <v>0</v>
      </c>
      <c r="M136" s="1732">
        <f>LI48</f>
        <v>0</v>
      </c>
      <c r="N136" s="1732">
        <f>LJ48</f>
        <v>0</v>
      </c>
      <c r="O136" s="1733">
        <f>LK48</f>
        <v>0</v>
      </c>
      <c r="P136" s="675">
        <f t="shared" ref="P136:P137" si="384">SUM(K136:O136)</f>
        <v>0</v>
      </c>
      <c r="S136" s="3503"/>
      <c r="T136" s="3504"/>
      <c r="U136" s="3504"/>
      <c r="V136" s="3504"/>
      <c r="W136" s="3505"/>
      <c r="X136" s="508"/>
      <c r="AA136" s="508"/>
      <c r="AB136" s="512"/>
      <c r="AC136" s="508"/>
      <c r="AF136" s="508"/>
      <c r="AG136" s="512"/>
      <c r="AH136" s="508"/>
      <c r="AK136" s="508"/>
      <c r="AL136" s="512"/>
      <c r="AM136" s="508"/>
      <c r="AP136" s="508"/>
      <c r="AQ136" s="512"/>
      <c r="AR136" s="513"/>
      <c r="AS136" s="513"/>
      <c r="AT136" s="513"/>
      <c r="AU136" s="513"/>
      <c r="AV136" s="513"/>
      <c r="AW136" s="513"/>
      <c r="AX136" s="720"/>
      <c r="BB136" s="513"/>
      <c r="BC136" s="720"/>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77"/>
      <c r="D137" s="2277"/>
      <c r="E137" s="105"/>
      <c r="F137" s="1"/>
      <c r="G137" s="83"/>
      <c r="H137" s="2344" t="s">
        <v>3251</v>
      </c>
      <c r="I137" s="991"/>
      <c r="J137" s="83"/>
      <c r="K137" s="1707">
        <f>LL48</f>
        <v>0</v>
      </c>
      <c r="L137" s="1708">
        <f>LM48</f>
        <v>0</v>
      </c>
      <c r="M137" s="1708">
        <f>LN48</f>
        <v>0</v>
      </c>
      <c r="N137" s="1708">
        <f>LO48</f>
        <v>0</v>
      </c>
      <c r="O137" s="1709">
        <f>LP48</f>
        <v>0</v>
      </c>
      <c r="P137" s="1076">
        <f t="shared" si="384"/>
        <v>0</v>
      </c>
      <c r="S137" s="3503"/>
      <c r="T137" s="3504"/>
      <c r="U137" s="3504"/>
      <c r="V137" s="3504"/>
      <c r="W137" s="3505"/>
      <c r="X137" s="508"/>
      <c r="AA137" s="508"/>
      <c r="AB137" s="512"/>
      <c r="AC137" s="508"/>
      <c r="AF137" s="508"/>
      <c r="AG137" s="512"/>
      <c r="AH137" s="508"/>
      <c r="AK137" s="508"/>
      <c r="AL137" s="512"/>
      <c r="AM137" s="508"/>
      <c r="AP137" s="508"/>
      <c r="AQ137" s="512"/>
      <c r="AR137" s="513"/>
      <c r="AS137" s="513"/>
      <c r="AT137" s="513"/>
      <c r="AU137" s="513"/>
      <c r="AV137" s="513"/>
      <c r="AW137" s="513"/>
      <c r="AX137" s="720"/>
      <c r="BB137" s="513"/>
      <c r="BC137" s="720"/>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64"/>
      <c r="I138" s="40"/>
      <c r="J138" s="83"/>
      <c r="K138" s="1704">
        <f>IE48</f>
        <v>0</v>
      </c>
      <c r="L138" s="1705">
        <f>IF48</f>
        <v>0</v>
      </c>
      <c r="M138" s="1705">
        <f>IG48</f>
        <v>0</v>
      </c>
      <c r="N138" s="1705">
        <f>IH48</f>
        <v>0</v>
      </c>
      <c r="O138" s="1706">
        <f>II48</f>
        <v>0</v>
      </c>
      <c r="P138" s="1081">
        <f t="shared" si="383"/>
        <v>0</v>
      </c>
      <c r="S138" s="3503"/>
      <c r="T138" s="3504"/>
      <c r="U138" s="3504"/>
      <c r="V138" s="3504"/>
      <c r="W138" s="3505"/>
      <c r="X138" s="508"/>
      <c r="AA138" s="508"/>
      <c r="AB138" s="512"/>
      <c r="AC138" s="508"/>
      <c r="AF138" s="508"/>
      <c r="AG138" s="512"/>
      <c r="AH138" s="508"/>
      <c r="AK138" s="508"/>
      <c r="AL138" s="512"/>
      <c r="AM138" s="508"/>
      <c r="AP138" s="508"/>
      <c r="AQ138" s="512"/>
      <c r="AR138" s="513"/>
      <c r="AS138" s="513"/>
      <c r="AT138" s="513"/>
      <c r="AU138" s="513"/>
      <c r="AV138" s="513"/>
      <c r="AW138" s="513"/>
      <c r="AX138" s="1178"/>
      <c r="AY138" s="508"/>
      <c r="BB138" s="513"/>
      <c r="BC138" s="1178"/>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44" t="s">
        <v>3251</v>
      </c>
      <c r="I139" s="991"/>
      <c r="J139" s="83"/>
      <c r="K139" s="1728">
        <f>IJ48</f>
        <v>0</v>
      </c>
      <c r="L139" s="1729">
        <f>IK48</f>
        <v>0</v>
      </c>
      <c r="M139" s="1729">
        <f>IL48</f>
        <v>0</v>
      </c>
      <c r="N139" s="1729">
        <f>IM48</f>
        <v>0</v>
      </c>
      <c r="O139" s="1730">
        <f>IN48</f>
        <v>0</v>
      </c>
      <c r="P139" s="672">
        <f t="shared" si="383"/>
        <v>0</v>
      </c>
      <c r="S139" s="3503"/>
      <c r="T139" s="3504"/>
      <c r="U139" s="3504"/>
      <c r="V139" s="3504"/>
      <c r="W139" s="3505"/>
      <c r="X139" s="508"/>
      <c r="AA139" s="508"/>
      <c r="AB139" s="512"/>
      <c r="AC139" s="508"/>
      <c r="AF139" s="508"/>
      <c r="AG139" s="512"/>
      <c r="AH139" s="508"/>
      <c r="AK139" s="508"/>
      <c r="AL139" s="512"/>
      <c r="AM139" s="508"/>
      <c r="AP139" s="508"/>
      <c r="AQ139" s="512"/>
      <c r="AR139" s="513"/>
      <c r="AS139" s="513"/>
      <c r="AT139" s="513"/>
      <c r="AU139" s="513"/>
      <c r="AV139" s="513"/>
      <c r="AW139" s="513"/>
      <c r="AX139" s="1178"/>
      <c r="AY139" s="508"/>
      <c r="BB139" s="513"/>
      <c r="BC139" s="1178"/>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64"/>
      <c r="I140" s="40"/>
      <c r="J140" s="83"/>
      <c r="K140" s="1731">
        <f>JI48</f>
        <v>0</v>
      </c>
      <c r="L140" s="1732">
        <f>JJ48</f>
        <v>0</v>
      </c>
      <c r="M140" s="1732">
        <f>JK48</f>
        <v>0</v>
      </c>
      <c r="N140" s="1732">
        <f>JL48</f>
        <v>0</v>
      </c>
      <c r="O140" s="1733">
        <f>JM48</f>
        <v>0</v>
      </c>
      <c r="P140" s="675">
        <f t="shared" si="383"/>
        <v>0</v>
      </c>
      <c r="S140" s="3503"/>
      <c r="T140" s="3504"/>
      <c r="U140" s="3504"/>
      <c r="V140" s="3504"/>
      <c r="W140" s="3505"/>
      <c r="X140" s="508"/>
      <c r="AA140" s="508"/>
      <c r="AB140" s="512"/>
      <c r="AC140" s="508"/>
      <c r="AF140" s="508"/>
      <c r="AG140" s="512"/>
      <c r="AH140" s="508"/>
      <c r="AK140" s="508"/>
      <c r="AL140" s="512"/>
      <c r="AM140" s="508"/>
      <c r="AP140" s="508"/>
      <c r="AQ140" s="512"/>
      <c r="AR140" s="513"/>
      <c r="AS140" s="513"/>
      <c r="AT140" s="513"/>
      <c r="AU140" s="513"/>
      <c r="AV140" s="513"/>
      <c r="AW140" s="513"/>
      <c r="AX140" s="720"/>
      <c r="BB140" s="513"/>
      <c r="BC140" s="720"/>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44" t="s">
        <v>3251</v>
      </c>
      <c r="I141" s="991"/>
      <c r="J141" s="83"/>
      <c r="K141" s="1728">
        <f>JN48</f>
        <v>0</v>
      </c>
      <c r="L141" s="1729">
        <f>JO48</f>
        <v>0</v>
      </c>
      <c r="M141" s="1729">
        <f>JP48</f>
        <v>0</v>
      </c>
      <c r="N141" s="1729">
        <f>JQ48</f>
        <v>0</v>
      </c>
      <c r="O141" s="1730">
        <f>JR48</f>
        <v>0</v>
      </c>
      <c r="P141" s="672">
        <f t="shared" si="383"/>
        <v>0</v>
      </c>
      <c r="S141" s="3503"/>
      <c r="T141" s="3504"/>
      <c r="U141" s="3504"/>
      <c r="V141" s="3504"/>
      <c r="W141" s="3505"/>
      <c r="X141" s="508"/>
      <c r="AA141" s="508"/>
      <c r="AB141" s="512"/>
      <c r="AC141" s="508"/>
      <c r="AF141" s="508"/>
      <c r="AG141" s="512"/>
      <c r="AH141" s="508"/>
      <c r="AK141" s="508"/>
      <c r="AL141" s="512"/>
      <c r="AM141" s="508"/>
      <c r="AP141" s="508"/>
      <c r="AQ141" s="512"/>
      <c r="AR141" s="513"/>
      <c r="AS141" s="513"/>
      <c r="AT141" s="513"/>
      <c r="AU141" s="513"/>
      <c r="AV141" s="513"/>
      <c r="AW141" s="513"/>
      <c r="AX141" s="720"/>
      <c r="BB141" s="513"/>
      <c r="BC141" s="720"/>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64"/>
      <c r="I142" s="40"/>
      <c r="J142" s="83"/>
      <c r="K142" s="1731">
        <f>IY48</f>
        <v>0</v>
      </c>
      <c r="L142" s="1732">
        <f>IZ48</f>
        <v>0</v>
      </c>
      <c r="M142" s="1732">
        <f>JA48</f>
        <v>0</v>
      </c>
      <c r="N142" s="1732">
        <f>JB48</f>
        <v>0</v>
      </c>
      <c r="O142" s="1733">
        <f>JC48</f>
        <v>0</v>
      </c>
      <c r="P142" s="675">
        <f t="shared" si="383"/>
        <v>0</v>
      </c>
      <c r="S142" s="3503"/>
      <c r="T142" s="3504"/>
      <c r="U142" s="3504"/>
      <c r="V142" s="3504"/>
      <c r="W142" s="3505"/>
      <c r="X142" s="508"/>
      <c r="AA142" s="508"/>
      <c r="AB142" s="512"/>
      <c r="AC142" s="508"/>
      <c r="AF142" s="508"/>
      <c r="AG142" s="512"/>
      <c r="AH142" s="508"/>
      <c r="AK142" s="508"/>
      <c r="AL142" s="512"/>
      <c r="AM142" s="508"/>
      <c r="AP142" s="508"/>
      <c r="AQ142" s="512"/>
      <c r="AR142" s="513"/>
      <c r="AS142" s="513"/>
      <c r="AT142" s="513"/>
      <c r="AU142" s="513"/>
      <c r="AV142" s="513"/>
      <c r="AW142" s="513"/>
      <c r="AX142" s="1178"/>
      <c r="AY142" s="508"/>
      <c r="BB142" s="513"/>
      <c r="BC142" s="1178"/>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44" t="s">
        <v>3251</v>
      </c>
      <c r="I143" s="991"/>
      <c r="J143" s="83"/>
      <c r="K143" s="1707">
        <f>JD48</f>
        <v>0</v>
      </c>
      <c r="L143" s="1708">
        <f>JE48</f>
        <v>0</v>
      </c>
      <c r="M143" s="1708">
        <f>JF48</f>
        <v>0</v>
      </c>
      <c r="N143" s="1708">
        <f>JG48</f>
        <v>0</v>
      </c>
      <c r="O143" s="1709">
        <f>JH48</f>
        <v>0</v>
      </c>
      <c r="P143" s="672">
        <f t="shared" si="383"/>
        <v>0</v>
      </c>
      <c r="S143" s="3503"/>
      <c r="T143" s="3504"/>
      <c r="U143" s="3504"/>
      <c r="V143" s="3504"/>
      <c r="W143" s="3505"/>
      <c r="X143" s="508"/>
      <c r="AA143" s="508"/>
      <c r="AB143" s="512"/>
      <c r="AC143" s="508"/>
      <c r="AF143" s="508"/>
      <c r="AG143" s="512"/>
      <c r="AH143" s="508"/>
      <c r="AK143" s="508"/>
      <c r="AL143" s="512"/>
      <c r="AM143" s="508"/>
      <c r="AP143" s="508"/>
      <c r="AQ143" s="512"/>
      <c r="AR143" s="513"/>
      <c r="AS143" s="513"/>
      <c r="AT143" s="513"/>
      <c r="AU143" s="513"/>
      <c r="AV143" s="513"/>
      <c r="AW143" s="513"/>
      <c r="AX143" s="1178"/>
      <c r="AY143" s="508"/>
      <c r="BB143" s="513"/>
      <c r="BC143" s="1178"/>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64"/>
      <c r="I144" s="40"/>
      <c r="J144" s="83"/>
      <c r="K144" s="1731">
        <f>IO48</f>
        <v>0</v>
      </c>
      <c r="L144" s="1732">
        <f>IP48</f>
        <v>0</v>
      </c>
      <c r="M144" s="1732">
        <f>IQ48</f>
        <v>0</v>
      </c>
      <c r="N144" s="1732">
        <f>IR48</f>
        <v>0</v>
      </c>
      <c r="O144" s="1733">
        <f>IS48</f>
        <v>0</v>
      </c>
      <c r="P144" s="675">
        <f t="shared" si="383"/>
        <v>0</v>
      </c>
      <c r="S144" s="3503"/>
      <c r="T144" s="3504"/>
      <c r="U144" s="3504"/>
      <c r="V144" s="3504"/>
      <c r="W144" s="3505"/>
      <c r="X144" s="508"/>
      <c r="AA144" s="508"/>
      <c r="AB144" s="512"/>
      <c r="AC144" s="508"/>
      <c r="AF144" s="508"/>
      <c r="AG144" s="512"/>
      <c r="AH144" s="508"/>
      <c r="AK144" s="508"/>
      <c r="AL144" s="512"/>
      <c r="AM144" s="508"/>
      <c r="AP144" s="508"/>
      <c r="AQ144" s="512"/>
      <c r="AR144" s="513"/>
      <c r="AS144" s="513"/>
      <c r="AT144" s="513"/>
      <c r="AU144" s="513"/>
      <c r="AV144" s="513"/>
      <c r="AW144" s="513"/>
      <c r="AX144" s="720"/>
      <c r="BB144" s="513"/>
      <c r="BC144" s="720"/>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44" t="s">
        <v>3251</v>
      </c>
      <c r="I145" s="991"/>
      <c r="J145" s="83"/>
      <c r="K145" s="1710">
        <f>IT48</f>
        <v>0</v>
      </c>
      <c r="L145" s="1711">
        <f>IU48</f>
        <v>0</v>
      </c>
      <c r="M145" s="1711">
        <f>IV48</f>
        <v>0</v>
      </c>
      <c r="N145" s="1711">
        <f>IW48</f>
        <v>0</v>
      </c>
      <c r="O145" s="1712">
        <f>IX48</f>
        <v>0</v>
      </c>
      <c r="P145" s="1077">
        <f t="shared" si="383"/>
        <v>0</v>
      </c>
      <c r="S145" s="3507"/>
      <c r="T145" s="3508"/>
      <c r="U145" s="3508"/>
      <c r="V145" s="3508"/>
      <c r="W145" s="3509"/>
      <c r="X145" s="508"/>
      <c r="AA145" s="508"/>
      <c r="AB145" s="512"/>
      <c r="AC145" s="508"/>
      <c r="AF145" s="508"/>
      <c r="AG145" s="512"/>
      <c r="AH145" s="508"/>
      <c r="AK145" s="508"/>
      <c r="AL145" s="512"/>
      <c r="AM145" s="508"/>
      <c r="AP145" s="508"/>
      <c r="AQ145" s="512"/>
      <c r="AR145" s="513"/>
      <c r="AS145" s="513"/>
      <c r="AT145" s="513"/>
      <c r="AU145" s="513"/>
      <c r="AV145" s="513"/>
      <c r="AW145" s="513"/>
      <c r="AX145" s="720"/>
      <c r="BB145" s="513"/>
      <c r="BC145" s="720"/>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6"/>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 customHeight="1" thickBot="1">
      <c r="A147" s="13" t="s">
        <v>722</v>
      </c>
      <c r="B147" s="13" t="s">
        <v>4431</v>
      </c>
      <c r="H147" s="90"/>
      <c r="L147" s="3515" t="str">
        <f>$L$53</f>
        <v>40% of Units at 60% of AMI</v>
      </c>
      <c r="M147" s="3516"/>
      <c r="N147" s="3516"/>
      <c r="O147" s="3517"/>
      <c r="P147" s="83"/>
      <c r="S147" s="3521" t="str">
        <f>B147</f>
        <v>UNIT SUMMARY (Continued)</v>
      </c>
      <c r="T147" s="3521"/>
      <c r="U147" s="3521"/>
      <c r="V147" s="3521"/>
      <c r="X147" s="720"/>
      <c r="AA147" s="720"/>
      <c r="AB147" s="720"/>
      <c r="AC147" s="720"/>
      <c r="AF147" s="720"/>
      <c r="AG147" s="720"/>
      <c r="AH147" s="720"/>
      <c r="AK147" s="720"/>
      <c r="AL147" s="720"/>
      <c r="AM147" s="720"/>
      <c r="AP147" s="720"/>
      <c r="AQ147" s="720"/>
      <c r="AR147" s="720"/>
      <c r="AS147" s="720"/>
      <c r="AT147" s="720"/>
      <c r="AU147" s="720"/>
      <c r="AV147" s="720"/>
      <c r="AW147" s="720"/>
      <c r="AX147" s="720"/>
      <c r="AY147" s="508"/>
      <c r="BB147" s="720"/>
      <c r="BC147" s="720"/>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0"/>
      <c r="S148" s="323" t="str">
        <f>C149</f>
        <v>Building Type:
(for Cost Limit purposes only - see Application Instructions for further detail)</v>
      </c>
      <c r="T148" s="461"/>
      <c r="U148" s="1936"/>
      <c r="X148" s="720"/>
      <c r="AA148" s="720"/>
      <c r="AB148" s="720"/>
      <c r="AC148" s="720"/>
      <c r="AF148" s="720"/>
      <c r="AG148" s="720"/>
      <c r="AH148" s="720"/>
      <c r="AK148" s="720"/>
      <c r="AL148" s="720"/>
      <c r="AM148" s="720"/>
      <c r="AP148" s="720"/>
      <c r="AQ148" s="720"/>
      <c r="AR148" s="720"/>
      <c r="AS148" s="720"/>
      <c r="AT148" s="720"/>
      <c r="AU148" s="720"/>
      <c r="AV148" s="720"/>
      <c r="AW148" s="720"/>
      <c r="AX148" s="720"/>
      <c r="AY148" s="508"/>
      <c r="BB148" s="720"/>
      <c r="BC148" s="720"/>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65" t="s">
        <v>4122</v>
      </c>
      <c r="D149" s="3565"/>
      <c r="E149" s="1376" t="s">
        <v>3246</v>
      </c>
      <c r="F149" s="1377"/>
      <c r="G149" s="1378"/>
      <c r="H149" s="2345"/>
      <c r="I149" s="1381"/>
      <c r="J149" s="1379"/>
      <c r="K149" s="1734">
        <f t="shared" ref="K149:O150" si="385">K138+K142+K144</f>
        <v>0</v>
      </c>
      <c r="L149" s="1735">
        <f>L138+L142+L144</f>
        <v>0</v>
      </c>
      <c r="M149" s="1735">
        <f t="shared" si="385"/>
        <v>0</v>
      </c>
      <c r="N149" s="1735">
        <f t="shared" si="385"/>
        <v>0</v>
      </c>
      <c r="O149" s="1736">
        <f t="shared" si="385"/>
        <v>0</v>
      </c>
      <c r="P149" s="1078">
        <f t="shared" ref="P149:P156" si="386">SUM(K149:O149)</f>
        <v>0</v>
      </c>
      <c r="S149" s="3510"/>
      <c r="T149" s="3511"/>
      <c r="U149" s="3511"/>
      <c r="V149" s="3511"/>
      <c r="W149" s="3512"/>
      <c r="X149" s="508"/>
      <c r="AA149" s="508"/>
      <c r="AB149" s="512"/>
      <c r="AC149" s="508"/>
      <c r="AF149" s="508"/>
      <c r="AG149" s="512"/>
      <c r="AH149" s="508"/>
      <c r="AK149" s="508"/>
      <c r="AL149" s="512"/>
      <c r="AM149" s="508"/>
      <c r="AP149" s="508"/>
      <c r="AQ149" s="512"/>
      <c r="AR149" s="513"/>
      <c r="AS149" s="513"/>
      <c r="AT149" s="513"/>
      <c r="AU149" s="513"/>
      <c r="AV149" s="513"/>
      <c r="AW149" s="513"/>
      <c r="AX149" s="720"/>
      <c r="BB149" s="513"/>
      <c r="BC149" s="720"/>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66"/>
      <c r="D150" s="3566"/>
      <c r="E150" s="105"/>
      <c r="F150" s="551"/>
      <c r="G150" s="155"/>
      <c r="H150" s="2343" t="s">
        <v>3251</v>
      </c>
      <c r="I150" s="96"/>
      <c r="J150" s="1380"/>
      <c r="K150" s="1737">
        <f t="shared" si="385"/>
        <v>0</v>
      </c>
      <c r="L150" s="1738">
        <f t="shared" si="385"/>
        <v>0</v>
      </c>
      <c r="M150" s="1738">
        <f t="shared" si="385"/>
        <v>0</v>
      </c>
      <c r="N150" s="1738">
        <f t="shared" si="385"/>
        <v>0</v>
      </c>
      <c r="O150" s="1739">
        <f t="shared" si="385"/>
        <v>0</v>
      </c>
      <c r="P150" s="677">
        <f t="shared" si="386"/>
        <v>0</v>
      </c>
      <c r="S150" s="3503"/>
      <c r="T150" s="3504"/>
      <c r="U150" s="3504"/>
      <c r="V150" s="3504"/>
      <c r="W150" s="3505"/>
      <c r="X150" s="508"/>
      <c r="AA150" s="508"/>
      <c r="AB150" s="512"/>
      <c r="AC150" s="508"/>
      <c r="AF150" s="508"/>
      <c r="AG150" s="512"/>
      <c r="AH150" s="508"/>
      <c r="AK150" s="508"/>
      <c r="AL150" s="512"/>
      <c r="AM150" s="508"/>
      <c r="AP150" s="508"/>
      <c r="AQ150" s="512"/>
      <c r="AR150" s="513"/>
      <c r="AS150" s="513"/>
      <c r="AT150" s="513"/>
      <c r="AU150" s="513"/>
      <c r="AV150" s="513"/>
      <c r="AW150" s="513"/>
      <c r="AX150" s="720"/>
      <c r="BB150" s="513"/>
      <c r="BC150" s="720"/>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66"/>
      <c r="D151" s="3566"/>
      <c r="E151" s="105" t="s">
        <v>3247</v>
      </c>
      <c r="F151" s="551"/>
      <c r="G151" s="155"/>
      <c r="H151" s="1237"/>
      <c r="I151" s="551"/>
      <c r="J151" s="1380"/>
      <c r="K151" s="1740">
        <f t="shared" ref="K151:O152" si="387">K128+K140</f>
        <v>0</v>
      </c>
      <c r="L151" s="1741">
        <f t="shared" si="387"/>
        <v>0</v>
      </c>
      <c r="M151" s="1741">
        <f t="shared" si="387"/>
        <v>0</v>
      </c>
      <c r="N151" s="1741">
        <f t="shared" si="387"/>
        <v>0</v>
      </c>
      <c r="O151" s="1742">
        <f t="shared" si="387"/>
        <v>0</v>
      </c>
      <c r="P151" s="1079">
        <f t="shared" si="386"/>
        <v>0</v>
      </c>
      <c r="S151" s="3503"/>
      <c r="T151" s="3504"/>
      <c r="U151" s="3504"/>
      <c r="V151" s="3504"/>
      <c r="W151" s="3505"/>
      <c r="X151" s="508"/>
      <c r="AA151" s="508"/>
      <c r="AB151" s="512"/>
      <c r="AC151" s="508"/>
      <c r="AF151" s="508"/>
      <c r="AG151" s="512"/>
      <c r="AH151" s="508"/>
      <c r="AK151" s="508"/>
      <c r="AL151" s="512"/>
      <c r="AM151" s="508"/>
      <c r="AP151" s="508"/>
      <c r="AQ151" s="512"/>
      <c r="AR151" s="513"/>
      <c r="AS151" s="513"/>
      <c r="AT151" s="513"/>
      <c r="AU151" s="513"/>
      <c r="AV151" s="513"/>
      <c r="AW151" s="513"/>
      <c r="AX151" s="720"/>
      <c r="BB151" s="513"/>
      <c r="BC151" s="720"/>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66"/>
      <c r="D152" s="3566"/>
      <c r="E152" s="105"/>
      <c r="F152" s="551"/>
      <c r="G152" s="155"/>
      <c r="H152" s="2343" t="s">
        <v>3251</v>
      </c>
      <c r="I152" s="96"/>
      <c r="J152" s="1380"/>
      <c r="K152" s="1737">
        <f t="shared" si="387"/>
        <v>0</v>
      </c>
      <c r="L152" s="1738">
        <f t="shared" si="387"/>
        <v>0</v>
      </c>
      <c r="M152" s="1738">
        <f t="shared" si="387"/>
        <v>0</v>
      </c>
      <c r="N152" s="1738">
        <f t="shared" si="387"/>
        <v>0</v>
      </c>
      <c r="O152" s="1739">
        <f t="shared" si="387"/>
        <v>0</v>
      </c>
      <c r="P152" s="677">
        <f t="shared" si="386"/>
        <v>0</v>
      </c>
      <c r="S152" s="3503"/>
      <c r="T152" s="3504"/>
      <c r="U152" s="3504"/>
      <c r="V152" s="3504"/>
      <c r="W152" s="3505"/>
      <c r="X152" s="508"/>
      <c r="AA152" s="508"/>
      <c r="AB152" s="512"/>
      <c r="AC152" s="508"/>
      <c r="AF152" s="508"/>
      <c r="AG152" s="512"/>
      <c r="AH152" s="508"/>
      <c r="AK152" s="508"/>
      <c r="AL152" s="512"/>
      <c r="AM152" s="508"/>
      <c r="AP152" s="508"/>
      <c r="AQ152" s="512"/>
      <c r="AR152" s="513"/>
      <c r="AS152" s="513"/>
      <c r="AT152" s="513"/>
      <c r="AU152" s="513"/>
      <c r="AV152" s="513"/>
      <c r="AW152" s="513"/>
      <c r="AX152" s="720"/>
      <c r="BB152" s="513"/>
      <c r="BC152" s="720"/>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66"/>
      <c r="D153" s="3566"/>
      <c r="E153" s="105" t="s">
        <v>3248</v>
      </c>
      <c r="F153" s="551"/>
      <c r="G153" s="155"/>
      <c r="H153" s="2336"/>
      <c r="I153" s="995"/>
      <c r="J153" s="1380"/>
      <c r="K153" s="1740">
        <f t="shared" ref="K153:O154" si="388">K132+K134</f>
        <v>0</v>
      </c>
      <c r="L153" s="1741">
        <f t="shared" si="388"/>
        <v>18</v>
      </c>
      <c r="M153" s="1741">
        <f t="shared" si="388"/>
        <v>106</v>
      </c>
      <c r="N153" s="1741">
        <f t="shared" si="388"/>
        <v>76</v>
      </c>
      <c r="O153" s="1742">
        <f t="shared" si="388"/>
        <v>0</v>
      </c>
      <c r="P153" s="1079">
        <f t="shared" si="386"/>
        <v>200</v>
      </c>
      <c r="S153" s="3503"/>
      <c r="T153" s="3504"/>
      <c r="U153" s="3504"/>
      <c r="V153" s="3504"/>
      <c r="W153" s="3505"/>
      <c r="X153" s="508"/>
      <c r="AA153" s="508"/>
      <c r="AB153" s="512"/>
      <c r="AC153" s="508"/>
      <c r="AF153" s="508"/>
      <c r="AG153" s="512"/>
      <c r="AH153" s="508"/>
      <c r="AK153" s="508"/>
      <c r="AL153" s="512"/>
      <c r="AM153" s="508"/>
      <c r="AP153" s="508"/>
      <c r="AQ153" s="512"/>
      <c r="AR153" s="513"/>
      <c r="AS153" s="513"/>
      <c r="AT153" s="513"/>
      <c r="AU153" s="513"/>
      <c r="AV153" s="513"/>
      <c r="AW153" s="513"/>
      <c r="AX153" s="720"/>
      <c r="BB153" s="513"/>
      <c r="BC153" s="720"/>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66"/>
      <c r="D154" s="3566"/>
      <c r="E154" s="105"/>
      <c r="F154" s="551"/>
      <c r="G154" s="155"/>
      <c r="H154" s="2343" t="s">
        <v>3251</v>
      </c>
      <c r="I154" s="96"/>
      <c r="J154" s="1380"/>
      <c r="K154" s="1737">
        <f t="shared" si="388"/>
        <v>0</v>
      </c>
      <c r="L154" s="1738">
        <f t="shared" si="388"/>
        <v>0</v>
      </c>
      <c r="M154" s="1738">
        <f t="shared" si="388"/>
        <v>0</v>
      </c>
      <c r="N154" s="1738">
        <f t="shared" si="388"/>
        <v>0</v>
      </c>
      <c r="O154" s="1739">
        <f t="shared" si="388"/>
        <v>0</v>
      </c>
      <c r="P154" s="677">
        <f t="shared" si="386"/>
        <v>0</v>
      </c>
      <c r="S154" s="3503"/>
      <c r="T154" s="3504"/>
      <c r="U154" s="3504"/>
      <c r="V154" s="3504"/>
      <c r="W154" s="3505"/>
      <c r="X154" s="508"/>
      <c r="AA154" s="508"/>
      <c r="AB154" s="512"/>
      <c r="AC154" s="508"/>
      <c r="AF154" s="508"/>
      <c r="AG154" s="512"/>
      <c r="AH154" s="508"/>
      <c r="AK154" s="508"/>
      <c r="AL154" s="512"/>
      <c r="AM154" s="508"/>
      <c r="AP154" s="508"/>
      <c r="AQ154" s="512"/>
      <c r="AR154" s="513"/>
      <c r="AS154" s="513"/>
      <c r="AT154" s="513"/>
      <c r="AU154" s="513"/>
      <c r="AV154" s="513"/>
      <c r="AW154" s="513"/>
      <c r="AX154" s="720"/>
      <c r="BB154" s="513"/>
      <c r="BC154" s="720"/>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66"/>
      <c r="D155" s="3566"/>
      <c r="E155" s="105" t="s">
        <v>3249</v>
      </c>
      <c r="F155" s="551"/>
      <c r="G155" s="155"/>
      <c r="H155" s="2336"/>
      <c r="I155" s="995"/>
      <c r="J155" s="1380"/>
      <c r="K155" s="1740">
        <f t="shared" ref="K155:O156" si="389">K130+K136</f>
        <v>0</v>
      </c>
      <c r="L155" s="1741">
        <f t="shared" si="389"/>
        <v>0</v>
      </c>
      <c r="M155" s="1741">
        <f t="shared" si="389"/>
        <v>0</v>
      </c>
      <c r="N155" s="1741">
        <f t="shared" si="389"/>
        <v>0</v>
      </c>
      <c r="O155" s="1742">
        <f t="shared" si="389"/>
        <v>0</v>
      </c>
      <c r="P155" s="1079">
        <f t="shared" si="386"/>
        <v>0</v>
      </c>
      <c r="S155" s="3503"/>
      <c r="T155" s="3504"/>
      <c r="U155" s="3504"/>
      <c r="V155" s="3504"/>
      <c r="W155" s="3505"/>
      <c r="X155" s="508"/>
      <c r="AA155" s="508"/>
      <c r="AB155" s="512"/>
      <c r="AC155" s="508"/>
      <c r="AF155" s="508"/>
      <c r="AG155" s="512"/>
      <c r="AH155" s="508"/>
      <c r="AK155" s="508"/>
      <c r="AL155" s="512"/>
      <c r="AM155" s="508"/>
      <c r="AP155" s="508"/>
      <c r="AQ155" s="512"/>
      <c r="AR155" s="513"/>
      <c r="AS155" s="513"/>
      <c r="AT155" s="513"/>
      <c r="AU155" s="513"/>
      <c r="AV155" s="513"/>
      <c r="AW155" s="513"/>
      <c r="AX155" s="720"/>
      <c r="BB155" s="513"/>
      <c r="BC155" s="720"/>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44" t="s">
        <v>3251</v>
      </c>
      <c r="I156" s="991"/>
      <c r="J156" s="83"/>
      <c r="K156" s="1743">
        <f t="shared" si="389"/>
        <v>0</v>
      </c>
      <c r="L156" s="1744">
        <f t="shared" si="389"/>
        <v>0</v>
      </c>
      <c r="M156" s="1744">
        <f t="shared" si="389"/>
        <v>0</v>
      </c>
      <c r="N156" s="1744">
        <f t="shared" si="389"/>
        <v>0</v>
      </c>
      <c r="O156" s="1745">
        <f t="shared" si="389"/>
        <v>0</v>
      </c>
      <c r="P156" s="1080">
        <f t="shared" si="386"/>
        <v>0</v>
      </c>
      <c r="Q156" s="3591" t="s">
        <v>4457</v>
      </c>
      <c r="S156" s="3507"/>
      <c r="T156" s="3508"/>
      <c r="U156" s="3508"/>
      <c r="V156" s="3508"/>
      <c r="W156" s="3509"/>
      <c r="X156" s="508"/>
      <c r="AA156" s="508"/>
      <c r="AB156" s="512"/>
      <c r="AC156" s="508"/>
      <c r="AF156" s="508"/>
      <c r="AG156" s="512"/>
      <c r="AH156" s="508"/>
      <c r="AK156" s="508"/>
      <c r="AL156" s="512"/>
      <c r="AM156" s="508"/>
      <c r="AP156" s="508"/>
      <c r="AQ156" s="512"/>
      <c r="AR156" s="513"/>
      <c r="AS156" s="513"/>
      <c r="AT156" s="513"/>
      <c r="AU156" s="513"/>
      <c r="AV156" s="513"/>
      <c r="AW156" s="513"/>
      <c r="AX156" s="720"/>
      <c r="BB156" s="513"/>
      <c r="BC156" s="720"/>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2"/>
      <c r="B157" s="1702"/>
      <c r="D157" s="679"/>
      <c r="E157" s="113"/>
      <c r="F157" s="1"/>
      <c r="G157" s="83"/>
      <c r="H157" s="36"/>
      <c r="I157" s="36"/>
      <c r="J157" s="83"/>
      <c r="K157" s="671"/>
      <c r="L157" s="671"/>
      <c r="M157" s="671"/>
      <c r="N157" s="671"/>
      <c r="O157" s="671"/>
      <c r="P157" s="671"/>
      <c r="Q157" s="3591"/>
      <c r="S157" s="344"/>
      <c r="T157" s="155"/>
      <c r="U157" s="462"/>
      <c r="X157" s="2408"/>
      <c r="AA157" s="2408"/>
      <c r="AB157" s="512"/>
      <c r="AC157" s="2408"/>
      <c r="AF157" s="2408"/>
      <c r="AG157" s="512"/>
      <c r="AH157" s="2408"/>
      <c r="AK157" s="2408"/>
      <c r="AL157" s="512"/>
      <c r="AM157" s="2408"/>
      <c r="AP157" s="2408"/>
      <c r="AQ157" s="512"/>
      <c r="AR157" s="2408"/>
      <c r="AS157" s="2408"/>
      <c r="AT157" s="2408"/>
      <c r="AU157" s="2408"/>
      <c r="AV157" s="2408"/>
      <c r="AW157" s="2408"/>
      <c r="AX157" s="720"/>
      <c r="AY157" s="508"/>
      <c r="BB157" s="2408"/>
      <c r="BC157" s="720"/>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2115</v>
      </c>
      <c r="C158" s="1"/>
      <c r="D158" s="1"/>
      <c r="E158" s="1"/>
      <c r="F158" s="1"/>
      <c r="G158" s="83"/>
      <c r="H158" s="40"/>
      <c r="I158" s="40"/>
      <c r="J158" s="83"/>
      <c r="K158" s="678"/>
      <c r="L158" s="678"/>
      <c r="M158" s="678"/>
      <c r="N158" s="678"/>
      <c r="O158" s="678"/>
      <c r="P158" s="678"/>
      <c r="Q158" s="3591"/>
      <c r="S158" s="3284" t="str">
        <f>B158</f>
        <v>Unit Square Footage:</v>
      </c>
      <c r="T158" s="3284"/>
      <c r="U158" s="3284"/>
      <c r="X158" s="2408"/>
      <c r="AA158" s="2408"/>
      <c r="AB158" s="512"/>
      <c r="AC158" s="2408"/>
      <c r="AF158" s="2408"/>
      <c r="AG158" s="512"/>
      <c r="AH158" s="2408"/>
      <c r="AK158" s="2408"/>
      <c r="AL158" s="512"/>
      <c r="AM158" s="2408"/>
      <c r="AP158" s="2408"/>
      <c r="AQ158" s="512"/>
      <c r="AR158" s="2408"/>
      <c r="AS158" s="2408"/>
      <c r="AT158" s="2408"/>
      <c r="AU158" s="2408"/>
      <c r="AV158" s="2408"/>
      <c r="AW158" s="2408"/>
      <c r="AX158" s="720"/>
      <c r="AY158" s="508"/>
      <c r="BB158" s="2408"/>
      <c r="BC158" s="720"/>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2086</v>
      </c>
      <c r="D159" s="1"/>
      <c r="E159" s="1"/>
      <c r="F159" s="1"/>
      <c r="G159" s="83"/>
      <c r="H159" s="90" t="s">
        <v>4127</v>
      </c>
      <c r="I159" s="55"/>
      <c r="J159" s="83"/>
      <c r="K159" s="1713">
        <f>EI48</f>
        <v>0</v>
      </c>
      <c r="L159" s="1714">
        <f>EJ48</f>
        <v>0</v>
      </c>
      <c r="M159" s="1714">
        <f>EK48</f>
        <v>0</v>
      </c>
      <c r="N159" s="1714">
        <f>EL48</f>
        <v>0</v>
      </c>
      <c r="O159" s="1715">
        <f>EM48</f>
        <v>0</v>
      </c>
      <c r="P159" s="1659">
        <f t="shared" ref="P159:P165" si="390">SUM(K159:O159)</f>
        <v>0</v>
      </c>
      <c r="Q159" s="2008" t="str">
        <f t="shared" ref="Q159:Q165" si="391">IF(OR(P56=0,P56=""),"",P159/P56)</f>
        <v/>
      </c>
      <c r="S159" s="3510"/>
      <c r="T159" s="3511"/>
      <c r="U159" s="3511"/>
      <c r="V159" s="3511"/>
      <c r="W159" s="3512"/>
      <c r="X159" s="2408"/>
      <c r="AA159" s="2408"/>
      <c r="AB159" s="512"/>
      <c r="AC159" s="2408"/>
      <c r="AF159" s="2408"/>
      <c r="AG159" s="512"/>
      <c r="AH159" s="2408"/>
      <c r="AK159" s="2408"/>
      <c r="AL159" s="512"/>
      <c r="AM159" s="2408"/>
      <c r="AP159" s="2408"/>
      <c r="AQ159" s="512"/>
      <c r="AR159" s="513"/>
      <c r="AS159" s="513"/>
      <c r="AT159" s="513"/>
      <c r="AU159" s="513"/>
      <c r="AV159" s="513"/>
      <c r="AW159" s="513"/>
      <c r="AX159" s="720"/>
      <c r="AY159" s="508"/>
      <c r="BB159" s="513"/>
      <c r="BC159" s="720"/>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64" t="s">
        <v>4128</v>
      </c>
      <c r="I160" s="40"/>
      <c r="J160" s="83"/>
      <c r="K160" s="1746">
        <f>EN48</f>
        <v>0</v>
      </c>
      <c r="L160" s="1747">
        <f>EO48</f>
        <v>0</v>
      </c>
      <c r="M160" s="1747">
        <f>EP48</f>
        <v>0</v>
      </c>
      <c r="N160" s="1747">
        <f>EQ48</f>
        <v>0</v>
      </c>
      <c r="O160" s="1748">
        <f>ER48</f>
        <v>0</v>
      </c>
      <c r="P160" s="1660">
        <f t="shared" si="390"/>
        <v>0</v>
      </c>
      <c r="Q160" s="2008" t="str">
        <f t="shared" si="391"/>
        <v/>
      </c>
      <c r="S160" s="3503"/>
      <c r="T160" s="3504"/>
      <c r="U160" s="3504"/>
      <c r="V160" s="3504"/>
      <c r="W160" s="3505"/>
      <c r="X160" s="2408"/>
      <c r="AA160" s="2408"/>
      <c r="AB160" s="512"/>
      <c r="AC160" s="2408"/>
      <c r="AF160" s="2408"/>
      <c r="AG160" s="512"/>
      <c r="AH160" s="2408"/>
      <c r="AK160" s="2408"/>
      <c r="AL160" s="512"/>
      <c r="AM160" s="2408"/>
      <c r="AP160" s="2408"/>
      <c r="AQ160" s="512"/>
      <c r="AR160" s="513"/>
      <c r="AS160" s="513"/>
      <c r="AT160" s="513"/>
      <c r="AU160" s="513"/>
      <c r="AV160" s="513"/>
      <c r="AW160" s="513"/>
      <c r="AX160" s="720"/>
      <c r="AY160" s="508"/>
      <c r="BB160" s="513"/>
      <c r="BC160" s="720"/>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64" t="s">
        <v>1127</v>
      </c>
      <c r="I161" s="40"/>
      <c r="J161" s="83"/>
      <c r="K161" s="1746">
        <f>ES48</f>
        <v>0</v>
      </c>
      <c r="L161" s="1747">
        <f>ET48</f>
        <v>14040</v>
      </c>
      <c r="M161" s="1747">
        <f>EU48</f>
        <v>113950</v>
      </c>
      <c r="N161" s="1747">
        <f>EV48</f>
        <v>94240</v>
      </c>
      <c r="O161" s="1748">
        <f>EW48</f>
        <v>0</v>
      </c>
      <c r="P161" s="1660">
        <f t="shared" si="390"/>
        <v>222230</v>
      </c>
      <c r="Q161" s="2008">
        <f t="shared" si="391"/>
        <v>1111.1500000000001</v>
      </c>
      <c r="S161" s="3503"/>
      <c r="T161" s="3504"/>
      <c r="U161" s="3504"/>
      <c r="V161" s="3504"/>
      <c r="W161" s="3505"/>
      <c r="X161" s="2408"/>
      <c r="AA161" s="2408"/>
      <c r="AB161" s="512"/>
      <c r="AC161" s="2408"/>
      <c r="AF161" s="2408"/>
      <c r="AG161" s="512"/>
      <c r="AH161" s="2408"/>
      <c r="AK161" s="2408"/>
      <c r="AL161" s="512"/>
      <c r="AM161" s="2408"/>
      <c r="AP161" s="2408"/>
      <c r="AQ161" s="512"/>
      <c r="AR161" s="513"/>
      <c r="AS161" s="513"/>
      <c r="AT161" s="513"/>
      <c r="AU161" s="513"/>
      <c r="AV161" s="513"/>
      <c r="AW161" s="513"/>
      <c r="AX161" s="720"/>
      <c r="AY161" s="508"/>
      <c r="BB161" s="513"/>
      <c r="BC161" s="720"/>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36" t="s">
        <v>115</v>
      </c>
      <c r="I162" s="995"/>
      <c r="J162" s="1380"/>
      <c r="K162" s="1910">
        <f>EX48</f>
        <v>0</v>
      </c>
      <c r="L162" s="1911">
        <f>EY48</f>
        <v>0</v>
      </c>
      <c r="M162" s="1911">
        <f>EZ48</f>
        <v>0</v>
      </c>
      <c r="N162" s="1911">
        <f>FA48</f>
        <v>0</v>
      </c>
      <c r="O162" s="1912">
        <f>FB48</f>
        <v>0</v>
      </c>
      <c r="P162" s="1913">
        <f t="shared" si="390"/>
        <v>0</v>
      </c>
      <c r="Q162" s="2008" t="str">
        <f t="shared" si="391"/>
        <v/>
      </c>
      <c r="S162" s="3503"/>
      <c r="T162" s="3504"/>
      <c r="U162" s="3504"/>
      <c r="V162" s="3504"/>
      <c r="W162" s="3505"/>
      <c r="X162" s="2408"/>
      <c r="AA162" s="2408"/>
      <c r="AB162" s="512"/>
      <c r="AC162" s="2408"/>
      <c r="AF162" s="2408"/>
      <c r="AG162" s="512"/>
      <c r="AH162" s="2408"/>
      <c r="AK162" s="2408"/>
      <c r="AL162" s="512"/>
      <c r="AM162" s="2408"/>
      <c r="AP162" s="2408"/>
      <c r="AQ162" s="512"/>
      <c r="AR162" s="513"/>
      <c r="AS162" s="513"/>
      <c r="AT162" s="513"/>
      <c r="AU162" s="513"/>
      <c r="AV162" s="513"/>
      <c r="AW162" s="513"/>
      <c r="AX162" s="720"/>
      <c r="AY162" s="508"/>
      <c r="BB162" s="513"/>
      <c r="BC162" s="720"/>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36" t="s">
        <v>4129</v>
      </c>
      <c r="I163" s="995"/>
      <c r="J163" s="1380"/>
      <c r="K163" s="1746">
        <f>FC48</f>
        <v>0</v>
      </c>
      <c r="L163" s="1747">
        <f>FD48</f>
        <v>0</v>
      </c>
      <c r="M163" s="1747">
        <f>FE48</f>
        <v>0</v>
      </c>
      <c r="N163" s="1747">
        <f>FF48</f>
        <v>0</v>
      </c>
      <c r="O163" s="1748">
        <f>FG48</f>
        <v>0</v>
      </c>
      <c r="P163" s="1660">
        <f t="shared" si="390"/>
        <v>0</v>
      </c>
      <c r="Q163" s="2008" t="str">
        <f t="shared" si="391"/>
        <v/>
      </c>
      <c r="S163" s="3503"/>
      <c r="T163" s="3504"/>
      <c r="U163" s="3504"/>
      <c r="V163" s="3504"/>
      <c r="W163" s="3505"/>
      <c r="X163" s="2408"/>
      <c r="AA163" s="2408"/>
      <c r="AB163" s="512"/>
      <c r="AC163" s="2408"/>
      <c r="AF163" s="2408"/>
      <c r="AG163" s="512"/>
      <c r="AH163" s="2408"/>
      <c r="AK163" s="2408"/>
      <c r="AL163" s="512"/>
      <c r="AM163" s="2408"/>
      <c r="AP163" s="2408"/>
      <c r="AQ163" s="512"/>
      <c r="AR163" s="513"/>
      <c r="AS163" s="513"/>
      <c r="AT163" s="513"/>
      <c r="AU163" s="513"/>
      <c r="AV163" s="513"/>
      <c r="AW163" s="513"/>
      <c r="AX163" s="720"/>
      <c r="AY163" s="508"/>
      <c r="BB163" s="513"/>
      <c r="BC163" s="720"/>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64" t="s">
        <v>4130</v>
      </c>
      <c r="I164" s="40"/>
      <c r="J164" s="83"/>
      <c r="K164" s="1746">
        <f>FH48</f>
        <v>0</v>
      </c>
      <c r="L164" s="1747">
        <f>FI48</f>
        <v>0</v>
      </c>
      <c r="M164" s="1747">
        <f>FJ48</f>
        <v>0</v>
      </c>
      <c r="N164" s="1747">
        <f>FK48</f>
        <v>0</v>
      </c>
      <c r="O164" s="1748">
        <f>FL48</f>
        <v>0</v>
      </c>
      <c r="P164" s="1660">
        <f t="shared" si="390"/>
        <v>0</v>
      </c>
      <c r="Q164" s="2008" t="str">
        <f t="shared" si="391"/>
        <v/>
      </c>
      <c r="S164" s="3503"/>
      <c r="T164" s="3504"/>
      <c r="U164" s="3504"/>
      <c r="V164" s="3504"/>
      <c r="W164" s="3505"/>
      <c r="X164" s="2408"/>
      <c r="AA164" s="2408"/>
      <c r="AB164" s="512"/>
      <c r="AC164" s="2408"/>
      <c r="AF164" s="2408"/>
      <c r="AG164" s="512"/>
      <c r="AH164" s="2408"/>
      <c r="AK164" s="2408"/>
      <c r="AL164" s="512"/>
      <c r="AM164" s="2408"/>
      <c r="AP164" s="2408"/>
      <c r="AQ164" s="512"/>
      <c r="AR164" s="513"/>
      <c r="AS164" s="513"/>
      <c r="AT164" s="513"/>
      <c r="AU164" s="513"/>
      <c r="AV164" s="513"/>
      <c r="AW164" s="513"/>
      <c r="AX164" s="720"/>
      <c r="AY164" s="508"/>
      <c r="BB164" s="513"/>
      <c r="BC164" s="720"/>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4131</v>
      </c>
      <c r="I165" s="55"/>
      <c r="J165" s="83"/>
      <c r="K165" s="1719">
        <f>FM48</f>
        <v>0</v>
      </c>
      <c r="L165" s="1720">
        <f>FN48</f>
        <v>0</v>
      </c>
      <c r="M165" s="1720">
        <f>FO48</f>
        <v>0</v>
      </c>
      <c r="N165" s="1720">
        <f>FP48</f>
        <v>0</v>
      </c>
      <c r="O165" s="1721">
        <f>FQ48</f>
        <v>0</v>
      </c>
      <c r="P165" s="1661">
        <f t="shared" si="390"/>
        <v>0</v>
      </c>
      <c r="Q165" s="2008" t="str">
        <f t="shared" si="391"/>
        <v/>
      </c>
      <c r="S165" s="3503"/>
      <c r="T165" s="3504"/>
      <c r="U165" s="3504"/>
      <c r="V165" s="3504"/>
      <c r="W165" s="3505"/>
      <c r="X165" s="2483"/>
      <c r="AA165" s="2408"/>
      <c r="AB165" s="512"/>
      <c r="AC165" s="2483"/>
      <c r="AF165" s="2408"/>
      <c r="AG165" s="512"/>
      <c r="AH165" s="2483"/>
      <c r="AK165" s="2408"/>
      <c r="AL165" s="512"/>
      <c r="AM165" s="2483"/>
      <c r="AP165" s="2408"/>
      <c r="AQ165" s="512"/>
      <c r="AR165" s="513"/>
      <c r="AS165" s="513"/>
      <c r="AT165" s="513"/>
      <c r="AU165" s="513"/>
      <c r="AV165" s="513"/>
      <c r="AW165" s="513"/>
      <c r="AX165" s="2408"/>
      <c r="AY165" s="508"/>
      <c r="BB165" s="513"/>
      <c r="BC165" s="2408"/>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64" t="s">
        <v>4212</v>
      </c>
      <c r="I166" s="40"/>
      <c r="J166" s="83"/>
      <c r="K166" s="1669">
        <f>SUM(K159:K165)</f>
        <v>0</v>
      </c>
      <c r="L166" s="1669">
        <f>SUM(L159:L165)</f>
        <v>14040</v>
      </c>
      <c r="M166" s="1669">
        <f>SUM(M159:M165)</f>
        <v>113950</v>
      </c>
      <c r="N166" s="1669">
        <f>SUM(N159:N165)</f>
        <v>94240</v>
      </c>
      <c r="O166" s="1669">
        <f>SUM(O159:O165)</f>
        <v>0</v>
      </c>
      <c r="P166" s="1669">
        <f>SUM(K166:O166)</f>
        <v>222230</v>
      </c>
      <c r="S166" s="3503"/>
      <c r="T166" s="3504"/>
      <c r="U166" s="3504"/>
      <c r="V166" s="3504"/>
      <c r="W166" s="3505"/>
      <c r="X166" s="2483"/>
      <c r="AA166" s="2408"/>
      <c r="AB166" s="512"/>
      <c r="AC166" s="2483"/>
      <c r="AF166" s="2408"/>
      <c r="AG166" s="512"/>
      <c r="AH166" s="2483"/>
      <c r="AK166" s="2408"/>
      <c r="AL166" s="512"/>
      <c r="AM166" s="2483"/>
      <c r="AP166" s="2408"/>
      <c r="AQ166" s="512"/>
      <c r="AR166" s="513"/>
      <c r="AS166" s="513"/>
      <c r="AT166" s="513"/>
      <c r="AU166" s="513"/>
      <c r="AV166" s="513"/>
      <c r="AW166" s="513"/>
      <c r="AX166" s="2408"/>
      <c r="AY166" s="508"/>
      <c r="BB166" s="513"/>
      <c r="BC166" s="2408"/>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49">
        <f>FR48</f>
        <v>0</v>
      </c>
      <c r="L167" s="1750">
        <f>FS48</f>
        <v>0</v>
      </c>
      <c r="M167" s="1750">
        <f>FT48</f>
        <v>0</v>
      </c>
      <c r="N167" s="1750">
        <f>FU48</f>
        <v>0</v>
      </c>
      <c r="O167" s="1751">
        <f>FV48</f>
        <v>0</v>
      </c>
      <c r="P167" s="1667">
        <f>SUM(K167:O167)</f>
        <v>0</v>
      </c>
      <c r="Q167" s="1922" t="str">
        <f>IF(OR(P64=0,P64=""),"",P167/P64)</f>
        <v/>
      </c>
      <c r="S167" s="3503"/>
      <c r="T167" s="3504"/>
      <c r="U167" s="3504"/>
      <c r="V167" s="3504"/>
      <c r="W167" s="3505"/>
      <c r="X167" s="508"/>
      <c r="AA167" s="2408"/>
      <c r="AB167" s="2408"/>
      <c r="AC167" s="508"/>
      <c r="AF167" s="2408"/>
      <c r="AG167" s="2408"/>
      <c r="AH167" s="508"/>
      <c r="AK167" s="2408"/>
      <c r="AL167" s="2408"/>
      <c r="AM167" s="508"/>
      <c r="AP167" s="2408"/>
      <c r="AQ167" s="2408"/>
      <c r="AR167" s="513"/>
      <c r="AS167" s="513"/>
      <c r="AT167" s="513"/>
      <c r="AU167" s="513"/>
      <c r="AV167" s="513"/>
      <c r="AW167" s="513"/>
      <c r="AX167" s="720"/>
      <c r="AY167" s="508"/>
      <c r="BB167" s="513"/>
      <c r="BC167" s="720"/>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68">
        <f>SUM(K166:K167)</f>
        <v>0</v>
      </c>
      <c r="L168" s="1668">
        <f>SUM(L166:L167)</f>
        <v>14040</v>
      </c>
      <c r="M168" s="1668">
        <f>SUM(M166:M167)</f>
        <v>113950</v>
      </c>
      <c r="N168" s="1668">
        <f>SUM(N166:N167)</f>
        <v>94240</v>
      </c>
      <c r="O168" s="1668">
        <f>SUM(O166:O167)</f>
        <v>0</v>
      </c>
      <c r="P168" s="1668">
        <f>SUM(K168:O168)</f>
        <v>222230</v>
      </c>
      <c r="S168" s="3503"/>
      <c r="T168" s="3504"/>
      <c r="U168" s="3504"/>
      <c r="V168" s="3504"/>
      <c r="W168" s="3505"/>
      <c r="X168" s="2408"/>
      <c r="AA168" s="2408"/>
      <c r="AB168" s="2408"/>
      <c r="AC168" s="2408"/>
      <c r="AF168" s="2408"/>
      <c r="AG168" s="2408"/>
      <c r="AH168" s="2408"/>
      <c r="AK168" s="2408"/>
      <c r="AL168" s="2408"/>
      <c r="AM168" s="2408"/>
      <c r="AP168" s="2408"/>
      <c r="AQ168" s="2408"/>
      <c r="AR168" s="513"/>
      <c r="AS168" s="513"/>
      <c r="AT168" s="513"/>
      <c r="AU168" s="513"/>
      <c r="AV168" s="513"/>
      <c r="AW168" s="513"/>
      <c r="AX168" s="720"/>
      <c r="AY168" s="508"/>
      <c r="BB168" s="513"/>
      <c r="BC168" s="720"/>
      <c r="BD168" s="508"/>
      <c r="LY168" s="511"/>
      <c r="MN168" s="506"/>
    </row>
    <row r="169" spans="1:503" ht="14.25" customHeight="1">
      <c r="C169" s="5" t="s">
        <v>2445</v>
      </c>
      <c r="D169" s="1"/>
      <c r="E169" s="1"/>
      <c r="F169" s="1"/>
      <c r="G169" s="1"/>
      <c r="H169" s="83"/>
      <c r="I169" s="83"/>
      <c r="J169" s="83"/>
      <c r="K169" s="1749">
        <f>GB48</f>
        <v>0</v>
      </c>
      <c r="L169" s="1750">
        <f>GC48</f>
        <v>0</v>
      </c>
      <c r="M169" s="1750">
        <f>GD48</f>
        <v>0</v>
      </c>
      <c r="N169" s="1750">
        <f>GE48</f>
        <v>0</v>
      </c>
      <c r="O169" s="1751">
        <f>GF48</f>
        <v>0</v>
      </c>
      <c r="P169" s="1667">
        <f>SUM(K169:O169)</f>
        <v>0</v>
      </c>
      <c r="Q169" s="1922" t="str">
        <f>IF(OR(P66=0,P66=""),"",P169/P66)</f>
        <v/>
      </c>
      <c r="S169" s="3503"/>
      <c r="T169" s="3504"/>
      <c r="U169" s="3504"/>
      <c r="V169" s="3504"/>
      <c r="W169" s="3505"/>
      <c r="X169" s="2408"/>
      <c r="AA169" s="2408"/>
      <c r="AB169" s="2408"/>
      <c r="AC169" s="2408"/>
      <c r="AF169" s="2408"/>
      <c r="AG169" s="2408"/>
      <c r="AH169" s="2408"/>
      <c r="AK169" s="2408"/>
      <c r="AL169" s="2408"/>
      <c r="AM169" s="2408"/>
      <c r="AP169" s="2408"/>
      <c r="AQ169" s="2408"/>
      <c r="AR169" s="513"/>
      <c r="AS169" s="513"/>
      <c r="AT169" s="513"/>
      <c r="AU169" s="513"/>
      <c r="AV169" s="513"/>
      <c r="AW169" s="513"/>
      <c r="AX169" s="720"/>
      <c r="AY169" s="508"/>
      <c r="BB169" s="513"/>
      <c r="BC169" s="720"/>
      <c r="BD169" s="508"/>
      <c r="LY169" s="511"/>
      <c r="MN169" s="506"/>
    </row>
    <row r="170" spans="1:503" ht="14.25" customHeight="1">
      <c r="C170" s="5" t="s">
        <v>524</v>
      </c>
      <c r="D170" s="1"/>
      <c r="E170" s="1"/>
      <c r="F170" s="1"/>
      <c r="G170" s="1"/>
      <c r="H170" s="83"/>
      <c r="I170" s="83"/>
      <c r="J170" s="83"/>
      <c r="K170" s="1666">
        <f>SUM(K168:K169)</f>
        <v>0</v>
      </c>
      <c r="L170" s="1666">
        <f>SUM(L168:L169)</f>
        <v>14040</v>
      </c>
      <c r="M170" s="1666">
        <f>SUM(M168:M169)</f>
        <v>113950</v>
      </c>
      <c r="N170" s="1666">
        <f>SUM(N168:N169)</f>
        <v>94240</v>
      </c>
      <c r="O170" s="1666">
        <f>SUM(O168:O169)</f>
        <v>0</v>
      </c>
      <c r="P170" s="1666">
        <f>SUM(K170:O170)</f>
        <v>222230</v>
      </c>
      <c r="S170" s="3507"/>
      <c r="T170" s="3508"/>
      <c r="U170" s="3508"/>
      <c r="V170" s="3508"/>
      <c r="W170" s="3509"/>
      <c r="X170" s="2408"/>
      <c r="AA170" s="2408"/>
      <c r="AB170" s="2408"/>
      <c r="AC170" s="2408"/>
      <c r="AF170" s="2408"/>
      <c r="AG170" s="2408"/>
      <c r="AH170" s="2408"/>
      <c r="AK170" s="2408"/>
      <c r="AL170" s="2408"/>
      <c r="AM170" s="2408"/>
      <c r="AP170" s="2408"/>
      <c r="AQ170" s="2408"/>
      <c r="AR170" s="513"/>
      <c r="AS170" s="513"/>
      <c r="AT170" s="513"/>
      <c r="AU170" s="513"/>
      <c r="AV170" s="513"/>
      <c r="AW170" s="513"/>
      <c r="AX170" s="720"/>
      <c r="AY170" s="508"/>
      <c r="BB170" s="513"/>
      <c r="BC170" s="720"/>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74"/>
      <c r="JX172" s="508"/>
      <c r="JY172" s="508"/>
      <c r="JZ172" s="508"/>
      <c r="KA172" s="508"/>
      <c r="KB172" s="2474"/>
      <c r="KC172" s="2474"/>
      <c r="KD172" s="2474"/>
      <c r="KE172" s="2474"/>
      <c r="KF172" s="2474"/>
      <c r="KG172" s="2474"/>
      <c r="KH172" s="2474"/>
      <c r="KI172" s="2474"/>
      <c r="KJ172" s="2474"/>
      <c r="KK172" s="2474"/>
      <c r="KL172" s="2474"/>
      <c r="KM172" s="2474"/>
      <c r="KN172" s="2474"/>
      <c r="KO172" s="2474"/>
      <c r="KP172" s="2474"/>
      <c r="KQ172" s="2474"/>
      <c r="KR172" s="2474"/>
      <c r="KS172" s="2474"/>
      <c r="KT172" s="2474"/>
      <c r="KU172" s="2474"/>
      <c r="KV172" s="2474"/>
      <c r="KW172" s="2474"/>
      <c r="KX172" s="2474"/>
      <c r="KY172" s="2474"/>
      <c r="KZ172" s="2474"/>
      <c r="LA172" s="2474"/>
      <c r="LB172" s="2474"/>
      <c r="LC172" s="2474"/>
      <c r="LD172" s="2474"/>
      <c r="LE172" s="2474"/>
      <c r="LF172" s="2474"/>
      <c r="LG172" s="2474"/>
      <c r="LH172" s="2474"/>
      <c r="LI172" s="2474"/>
      <c r="LJ172" s="2474"/>
      <c r="LK172" s="2474"/>
      <c r="LL172" s="2474"/>
      <c r="LM172" s="2474"/>
      <c r="LN172" s="2474"/>
      <c r="LO172" s="2474"/>
      <c r="LP172" s="2474"/>
      <c r="LQ172" s="2474"/>
      <c r="LR172" s="508"/>
      <c r="LS172" s="508"/>
      <c r="LT172" s="508"/>
      <c r="LU172" s="508"/>
      <c r="LV172" s="508"/>
      <c r="LW172" s="508"/>
      <c r="LX172" s="2475"/>
      <c r="LY172" s="508"/>
      <c r="LZ172" s="508"/>
      <c r="MA172" s="508"/>
      <c r="MB172" s="508"/>
      <c r="MC172" s="508"/>
      <c r="MD172" s="508"/>
      <c r="ME172" s="508"/>
      <c r="MF172" s="508"/>
      <c r="MG172" s="508"/>
      <c r="MH172" s="508"/>
      <c r="MI172" s="508"/>
      <c r="MJ172" s="508"/>
      <c r="MK172" s="508"/>
      <c r="ML172" s="508"/>
      <c r="MM172" s="508"/>
      <c r="MN172" s="2475"/>
      <c r="MO172" s="2475"/>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4452</v>
      </c>
      <c r="D173" s="1"/>
      <c r="E173" s="1"/>
      <c r="F173" s="1"/>
      <c r="G173" s="1"/>
      <c r="H173" s="1"/>
      <c r="I173" s="1"/>
      <c r="J173" s="1"/>
      <c r="K173" s="2007" t="str">
        <f>IF(OR(K67="",K67=0),"",K170/K67)</f>
        <v/>
      </c>
      <c r="L173" s="2007">
        <f>IF(OR(L67="",L67=0),"",L170/L67)</f>
        <v>780</v>
      </c>
      <c r="M173" s="2007">
        <f>IF(OR(M67="",M67=0),"",M170/M67)</f>
        <v>1075</v>
      </c>
      <c r="N173" s="2007">
        <f>IF(OR(N67="",N67=0),"",N170/N67)</f>
        <v>1240</v>
      </c>
      <c r="O173" s="2007" t="str">
        <f>IF(OR(O67="",O67=0),"",O170/O67)</f>
        <v/>
      </c>
      <c r="P173" s="1921"/>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74"/>
      <c r="JX173" s="508"/>
      <c r="JY173" s="508"/>
      <c r="JZ173" s="508"/>
      <c r="KA173" s="508"/>
      <c r="KB173" s="2474"/>
      <c r="KC173" s="2474"/>
      <c r="KD173" s="2474"/>
      <c r="KE173" s="2474"/>
      <c r="KF173" s="2474"/>
      <c r="KG173" s="2474"/>
      <c r="KH173" s="2474"/>
      <c r="KI173" s="2474"/>
      <c r="KJ173" s="2474"/>
      <c r="KK173" s="2474"/>
      <c r="KL173" s="2474"/>
      <c r="KM173" s="2474"/>
      <c r="KN173" s="2474"/>
      <c r="KO173" s="2474"/>
      <c r="KP173" s="2474"/>
      <c r="KQ173" s="2474"/>
      <c r="KR173" s="2474"/>
      <c r="KS173" s="2474"/>
      <c r="KT173" s="2474"/>
      <c r="KU173" s="2474"/>
      <c r="KV173" s="2474"/>
      <c r="KW173" s="2474"/>
      <c r="KX173" s="2474"/>
      <c r="KY173" s="2474"/>
      <c r="KZ173" s="2474"/>
      <c r="LA173" s="2474"/>
      <c r="LB173" s="2474"/>
      <c r="LC173" s="2474"/>
      <c r="LD173" s="2474"/>
      <c r="LE173" s="2474"/>
      <c r="LF173" s="2474"/>
      <c r="LG173" s="2474"/>
      <c r="LH173" s="2474"/>
      <c r="LI173" s="2474"/>
      <c r="LJ173" s="2474"/>
      <c r="LK173" s="2474"/>
      <c r="LL173" s="2474"/>
      <c r="LM173" s="2474"/>
      <c r="LN173" s="2474"/>
      <c r="LO173" s="2474"/>
      <c r="LP173" s="2474"/>
      <c r="LQ173" s="2474"/>
      <c r="LR173" s="508"/>
      <c r="LS173" s="508"/>
      <c r="LT173" s="508"/>
      <c r="LU173" s="508"/>
      <c r="LV173" s="508"/>
      <c r="LW173" s="508"/>
      <c r="LX173" s="2475"/>
      <c r="LY173" s="508"/>
      <c r="LZ173" s="508"/>
      <c r="MA173" s="508"/>
      <c r="MB173" s="508"/>
      <c r="MC173" s="508"/>
      <c r="MD173" s="508"/>
      <c r="ME173" s="508"/>
      <c r="MF173" s="508"/>
      <c r="MG173" s="508"/>
      <c r="MH173" s="508"/>
      <c r="MI173" s="508"/>
      <c r="MJ173" s="508"/>
      <c r="MK173" s="508"/>
      <c r="ML173" s="508"/>
      <c r="MM173" s="508"/>
      <c r="MN173" s="2475"/>
      <c r="MO173" s="2475"/>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74"/>
      <c r="JX174" s="508"/>
      <c r="JY174" s="508"/>
      <c r="JZ174" s="508"/>
      <c r="KA174" s="508"/>
      <c r="KB174" s="2474"/>
      <c r="KC174" s="2474"/>
      <c r="KD174" s="2474"/>
      <c r="KE174" s="2474"/>
      <c r="KF174" s="2474"/>
      <c r="KG174" s="2474"/>
      <c r="KH174" s="2474"/>
      <c r="KI174" s="2474"/>
      <c r="KJ174" s="2474"/>
      <c r="KK174" s="2474"/>
      <c r="KL174" s="2474"/>
      <c r="KM174" s="2474"/>
      <c r="KN174" s="2474"/>
      <c r="KO174" s="2474"/>
      <c r="KP174" s="2474"/>
      <c r="KQ174" s="2474"/>
      <c r="KR174" s="2474"/>
      <c r="KS174" s="2474"/>
      <c r="KT174" s="2474"/>
      <c r="KU174" s="2474"/>
      <c r="KV174" s="2474"/>
      <c r="KW174" s="2474"/>
      <c r="KX174" s="2474"/>
      <c r="KY174" s="2474"/>
      <c r="KZ174" s="2474"/>
      <c r="LA174" s="2474"/>
      <c r="LB174" s="2474"/>
      <c r="LC174" s="2474"/>
      <c r="LD174" s="2474"/>
      <c r="LE174" s="2474"/>
      <c r="LF174" s="2474"/>
      <c r="LG174" s="2474"/>
      <c r="LH174" s="2474"/>
      <c r="LI174" s="2474"/>
      <c r="LJ174" s="2474"/>
      <c r="LK174" s="2474"/>
      <c r="LL174" s="2474"/>
      <c r="LM174" s="2474"/>
      <c r="LN174" s="2474"/>
      <c r="LO174" s="2474"/>
      <c r="LP174" s="2474"/>
      <c r="LQ174" s="2474"/>
      <c r="LR174" s="508"/>
      <c r="LS174" s="508"/>
      <c r="LT174" s="508"/>
      <c r="LU174" s="508"/>
      <c r="LV174" s="508"/>
      <c r="LW174" s="508"/>
      <c r="LX174" s="2475"/>
      <c r="LY174" s="508"/>
      <c r="LZ174" s="508"/>
      <c r="MA174" s="508"/>
      <c r="MB174" s="508"/>
      <c r="MC174" s="508"/>
      <c r="MD174" s="508"/>
      <c r="ME174" s="508"/>
      <c r="MF174" s="508"/>
      <c r="MG174" s="508"/>
      <c r="MH174" s="508"/>
      <c r="MI174" s="508"/>
      <c r="MJ174" s="508"/>
      <c r="MK174" s="508"/>
      <c r="ML174" s="508"/>
      <c r="MM174" s="508"/>
      <c r="MN174" s="2475"/>
      <c r="MO174" s="2475"/>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74"/>
      <c r="JX175" s="508"/>
      <c r="JY175" s="508"/>
      <c r="JZ175" s="508"/>
      <c r="KA175" s="508"/>
      <c r="KB175" s="2474"/>
      <c r="KC175" s="2474"/>
      <c r="KD175" s="2474"/>
      <c r="KE175" s="2474"/>
      <c r="KF175" s="2474"/>
      <c r="KG175" s="2474"/>
      <c r="KH175" s="2474"/>
      <c r="KI175" s="2474"/>
      <c r="KJ175" s="2474"/>
      <c r="KK175" s="2474"/>
      <c r="KL175" s="2474"/>
      <c r="KM175" s="2474"/>
      <c r="KN175" s="2474"/>
      <c r="KO175" s="2474"/>
      <c r="KP175" s="2474"/>
      <c r="KQ175" s="2474"/>
      <c r="KR175" s="2474"/>
      <c r="KS175" s="2474"/>
      <c r="KT175" s="2474"/>
      <c r="KU175" s="2474"/>
      <c r="KV175" s="2474"/>
      <c r="KW175" s="2474"/>
      <c r="KX175" s="2474"/>
      <c r="KY175" s="2474"/>
      <c r="KZ175" s="2474"/>
      <c r="LA175" s="2474"/>
      <c r="LB175" s="2474"/>
      <c r="LC175" s="2474"/>
      <c r="LD175" s="2474"/>
      <c r="LE175" s="2474"/>
      <c r="LF175" s="2474"/>
      <c r="LG175" s="2474"/>
      <c r="LH175" s="2474"/>
      <c r="LI175" s="2474"/>
      <c r="LJ175" s="2474"/>
      <c r="LK175" s="2474"/>
      <c r="LL175" s="2474"/>
      <c r="LM175" s="2474"/>
      <c r="LN175" s="2474"/>
      <c r="LO175" s="2474"/>
      <c r="LP175" s="2474"/>
      <c r="LQ175" s="2474"/>
      <c r="LR175" s="508"/>
      <c r="LS175" s="508"/>
      <c r="LT175" s="508"/>
      <c r="LU175" s="508"/>
      <c r="LV175" s="508"/>
      <c r="LW175" s="508"/>
      <c r="LX175" s="2475"/>
      <c r="LY175" s="508"/>
      <c r="LZ175" s="508"/>
      <c r="MA175" s="508"/>
      <c r="MB175" s="508"/>
      <c r="MC175" s="508"/>
      <c r="MD175" s="508"/>
      <c r="ME175" s="508"/>
      <c r="MF175" s="508"/>
      <c r="MG175" s="508"/>
      <c r="MH175" s="508"/>
      <c r="MI175" s="508"/>
      <c r="MJ175" s="508"/>
      <c r="MK175" s="508"/>
      <c r="ML175" s="508"/>
      <c r="MM175" s="508"/>
      <c r="MN175" s="2475"/>
      <c r="MO175" s="2475"/>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724</v>
      </c>
      <c r="B176" s="13" t="s">
        <v>220</v>
      </c>
      <c r="Q176" s="8"/>
      <c r="R176" s="8"/>
      <c r="S176" s="13" t="s">
        <v>1799</v>
      </c>
      <c r="U176" s="463"/>
      <c r="JW176" s="506"/>
      <c r="KB176" s="506"/>
      <c r="LR176" s="2478"/>
      <c r="LX176" s="506"/>
      <c r="LY176" s="511"/>
      <c r="MN176" s="506"/>
      <c r="MP176" s="511"/>
    </row>
    <row r="177" spans="1:503" ht="2.25" customHeight="1">
      <c r="Q177" s="463"/>
      <c r="R177" s="463"/>
    </row>
    <row r="178" spans="1:503" s="91" customFormat="1" ht="15.6" customHeight="1">
      <c r="A178" s="1"/>
      <c r="B178" s="183" t="s">
        <v>994</v>
      </c>
      <c r="C178" s="113"/>
      <c r="D178" s="113"/>
      <c r="E178" s="113"/>
      <c r="F178" s="113"/>
      <c r="G178" s="113"/>
      <c r="H178" s="3567">
        <f>'Part VII-Pro Forma'!B9*M49</f>
        <v>39360</v>
      </c>
      <c r="I178" s="3568"/>
      <c r="J178" s="3569"/>
      <c r="K178" s="113"/>
      <c r="L178" s="2264" t="s">
        <v>2657</v>
      </c>
      <c r="M178" s="113"/>
      <c r="N178" s="113"/>
      <c r="O178" s="113"/>
      <c r="P178" s="2372">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74"/>
      <c r="JX178" s="508"/>
      <c r="JY178" s="508"/>
      <c r="JZ178" s="508"/>
      <c r="KA178" s="508"/>
      <c r="KB178" s="2474"/>
      <c r="KC178" s="2474"/>
      <c r="KD178" s="2474"/>
      <c r="KE178" s="2474"/>
      <c r="KF178" s="2474"/>
      <c r="KG178" s="2474"/>
      <c r="KH178" s="2474"/>
      <c r="KI178" s="2474"/>
      <c r="KJ178" s="2474"/>
      <c r="KK178" s="2474"/>
      <c r="KL178" s="2474"/>
      <c r="KM178" s="2474"/>
      <c r="KN178" s="2474"/>
      <c r="KO178" s="2474"/>
      <c r="KP178" s="2474"/>
      <c r="KQ178" s="2474"/>
      <c r="KR178" s="2474"/>
      <c r="KS178" s="2474"/>
      <c r="KT178" s="2474"/>
      <c r="KU178" s="2474"/>
      <c r="KV178" s="2474"/>
      <c r="KW178" s="2474"/>
      <c r="KX178" s="2474"/>
      <c r="KY178" s="2474"/>
      <c r="KZ178" s="2474"/>
      <c r="LA178" s="2474"/>
      <c r="LB178" s="2474"/>
      <c r="LC178" s="2474"/>
      <c r="LD178" s="2474"/>
      <c r="LE178" s="2474"/>
      <c r="LF178" s="2474"/>
      <c r="LG178" s="2474"/>
      <c r="LH178" s="2474"/>
      <c r="LI178" s="2474"/>
      <c r="LJ178" s="2474"/>
      <c r="LK178" s="2474"/>
      <c r="LL178" s="2474"/>
      <c r="LM178" s="2474"/>
      <c r="LN178" s="2474"/>
      <c r="LO178" s="2474"/>
      <c r="LP178" s="2474"/>
      <c r="LQ178" s="2474"/>
      <c r="LR178" s="508"/>
      <c r="LS178" s="508"/>
      <c r="LT178" s="508"/>
      <c r="LU178" s="508"/>
      <c r="LV178" s="508"/>
      <c r="LW178" s="508"/>
      <c r="LX178" s="2475"/>
      <c r="LY178" s="508"/>
      <c r="LZ178" s="508"/>
      <c r="MA178" s="508"/>
      <c r="MB178" s="508"/>
      <c r="MC178" s="508"/>
      <c r="MD178" s="508"/>
      <c r="ME178" s="508"/>
      <c r="MF178" s="508"/>
      <c r="MG178" s="508"/>
      <c r="MH178" s="508"/>
      <c r="MI178" s="508"/>
      <c r="MJ178" s="508"/>
      <c r="MK178" s="508"/>
      <c r="ML178" s="508"/>
      <c r="MM178" s="508"/>
      <c r="MN178" s="2475"/>
      <c r="MO178" s="2475"/>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8"/>
      <c r="C179" s="90"/>
      <c r="D179" s="113"/>
      <c r="E179" s="1019"/>
      <c r="F179" s="90"/>
      <c r="G179" s="90"/>
      <c r="H179" s="90"/>
      <c r="I179" s="90"/>
      <c r="J179" s="110"/>
      <c r="K179" s="90"/>
      <c r="L179" s="90"/>
      <c r="M179" s="90"/>
      <c r="N179" s="90"/>
      <c r="O179" s="90"/>
      <c r="P179" s="90"/>
      <c r="Q179" s="432"/>
      <c r="R179" s="432"/>
    </row>
    <row r="180" spans="1:503" ht="15.6" customHeight="1">
      <c r="B180" s="1018" t="s">
        <v>1417</v>
      </c>
      <c r="C180" s="90"/>
      <c r="D180" s="90"/>
      <c r="E180" s="90"/>
      <c r="F180" s="90"/>
      <c r="G180" s="90"/>
      <c r="H180" s="90"/>
      <c r="I180" s="90"/>
      <c r="J180" s="1018"/>
      <c r="K180" s="90"/>
      <c r="L180" s="1020"/>
      <c r="M180" s="90"/>
      <c r="N180" s="90"/>
      <c r="O180" s="90"/>
      <c r="P180" s="90"/>
      <c r="Q180" s="114"/>
      <c r="S180" s="1366" t="str">
        <f>B180</f>
        <v>Other Income (OI) by Year:</v>
      </c>
    </row>
    <row r="181" spans="1:503" ht="15.6" customHeight="1">
      <c r="B181" s="1021" t="s">
        <v>2228</v>
      </c>
      <c r="C181" s="90"/>
      <c r="D181" s="90"/>
      <c r="E181" s="90"/>
      <c r="F181" s="90"/>
      <c r="H181" s="1022">
        <v>1</v>
      </c>
      <c r="I181" s="1022">
        <v>2</v>
      </c>
      <c r="J181" s="1022">
        <v>3</v>
      </c>
      <c r="K181" s="1022">
        <v>4</v>
      </c>
      <c r="L181" s="1023">
        <v>5</v>
      </c>
      <c r="M181" s="1022">
        <v>6</v>
      </c>
      <c r="N181" s="1022">
        <v>7</v>
      </c>
      <c r="O181" s="1022">
        <v>8</v>
      </c>
      <c r="P181" s="1022">
        <v>9</v>
      </c>
      <c r="Q181" s="1022">
        <v>10</v>
      </c>
      <c r="R181" s="707"/>
      <c r="S181" s="95" t="str">
        <f>B181</f>
        <v>Included in Mgt Fee:</v>
      </c>
    </row>
    <row r="182" spans="1:503" ht="15.6" customHeight="1">
      <c r="B182" s="113" t="s">
        <v>995</v>
      </c>
      <c r="C182" s="113"/>
      <c r="D182" s="113"/>
      <c r="E182" s="113"/>
      <c r="F182" s="113"/>
      <c r="H182" s="1024"/>
      <c r="I182" s="1024"/>
      <c r="J182" s="1024"/>
      <c r="K182" s="1024"/>
      <c r="L182" s="1024"/>
      <c r="M182" s="1024"/>
      <c r="N182" s="1024"/>
      <c r="O182" s="1024"/>
      <c r="P182" s="1024"/>
      <c r="Q182" s="1024"/>
      <c r="R182" s="972"/>
      <c r="S182" s="3510"/>
      <c r="T182" s="3511"/>
      <c r="U182" s="3511"/>
      <c r="V182" s="3511"/>
      <c r="W182" s="3512"/>
    </row>
    <row r="183" spans="1:503" ht="15.6" customHeight="1">
      <c r="B183" s="113" t="s">
        <v>723</v>
      </c>
      <c r="C183" s="3552"/>
      <c r="D183" s="3553"/>
      <c r="E183" s="3553"/>
      <c r="F183" s="3554"/>
      <c r="H183" s="1026"/>
      <c r="I183" s="1026"/>
      <c r="J183" s="1026"/>
      <c r="K183" s="1026"/>
      <c r="L183" s="1027"/>
      <c r="M183" s="1026"/>
      <c r="N183" s="1026"/>
      <c r="O183" s="1026"/>
      <c r="P183" s="1026"/>
      <c r="Q183" s="1026"/>
      <c r="R183" s="972"/>
      <c r="S183" s="3503"/>
      <c r="T183" s="3504"/>
      <c r="U183" s="3504"/>
      <c r="V183" s="3504"/>
      <c r="W183" s="3505"/>
    </row>
    <row r="184" spans="1:503" ht="15.6" customHeight="1">
      <c r="B184" s="113"/>
      <c r="C184" s="113" t="s">
        <v>907</v>
      </c>
      <c r="D184" s="113"/>
      <c r="E184" s="113"/>
      <c r="F184" s="113"/>
      <c r="H184" s="1028">
        <f>SUM(H182:H183)</f>
        <v>0</v>
      </c>
      <c r="I184" s="1028">
        <f>SUM(I182:I183)</f>
        <v>0</v>
      </c>
      <c r="J184" s="1028">
        <f t="shared" ref="J184:Q184" si="392">SUM(J182:J183)</f>
        <v>0</v>
      </c>
      <c r="K184" s="1028">
        <f t="shared" si="392"/>
        <v>0</v>
      </c>
      <c r="L184" s="1028">
        <f t="shared" si="392"/>
        <v>0</v>
      </c>
      <c r="M184" s="1028">
        <f t="shared" si="392"/>
        <v>0</v>
      </c>
      <c r="N184" s="1028">
        <f t="shared" si="392"/>
        <v>0</v>
      </c>
      <c r="O184" s="1028">
        <f t="shared" si="392"/>
        <v>0</v>
      </c>
      <c r="P184" s="1028">
        <f t="shared" si="392"/>
        <v>0</v>
      </c>
      <c r="Q184" s="1028">
        <f t="shared" si="392"/>
        <v>0</v>
      </c>
      <c r="R184" s="121"/>
      <c r="S184" s="3507"/>
      <c r="T184" s="3508"/>
      <c r="U184" s="3508"/>
      <c r="V184" s="3508"/>
      <c r="W184" s="3509"/>
    </row>
    <row r="185" spans="1:503" ht="15.6" customHeight="1">
      <c r="B185" s="1029" t="s">
        <v>3500</v>
      </c>
      <c r="C185" s="90"/>
      <c r="D185" s="90"/>
      <c r="E185" s="90"/>
      <c r="F185" s="90"/>
      <c r="H185" s="1030"/>
      <c r="I185" s="90"/>
      <c r="J185" s="90"/>
      <c r="K185" s="90"/>
      <c r="L185" s="90"/>
      <c r="M185" s="90"/>
      <c r="N185" s="90"/>
      <c r="O185" s="90"/>
      <c r="P185" s="90"/>
      <c r="Q185" s="90"/>
      <c r="R185" s="8"/>
      <c r="S185" s="95" t="str">
        <f>B185</f>
        <v>NOT Included in Mgt Fee:</v>
      </c>
    </row>
    <row r="186" spans="1:503" ht="15.6" customHeight="1">
      <c r="B186" s="113" t="s">
        <v>518</v>
      </c>
      <c r="C186" s="113"/>
      <c r="D186" s="113"/>
      <c r="E186" s="113"/>
      <c r="F186" s="113"/>
      <c r="H186" s="1024"/>
      <c r="I186" s="1024"/>
      <c r="J186" s="1024"/>
      <c r="K186" s="1024"/>
      <c r="L186" s="1024"/>
      <c r="M186" s="1024"/>
      <c r="N186" s="1024"/>
      <c r="O186" s="1024"/>
      <c r="P186" s="1024"/>
      <c r="Q186" s="1024"/>
      <c r="R186" s="972"/>
      <c r="S186" s="3510"/>
      <c r="T186" s="3511"/>
      <c r="U186" s="3511"/>
      <c r="V186" s="3511"/>
      <c r="W186" s="3512"/>
    </row>
    <row r="187" spans="1:503" ht="15.6" customHeight="1">
      <c r="B187" s="113" t="s">
        <v>723</v>
      </c>
      <c r="C187" s="3552"/>
      <c r="D187" s="3553"/>
      <c r="E187" s="3553"/>
      <c r="F187" s="3554"/>
      <c r="H187" s="1026"/>
      <c r="I187" s="1026"/>
      <c r="J187" s="1026"/>
      <c r="K187" s="1026"/>
      <c r="L187" s="1027"/>
      <c r="M187" s="1026"/>
      <c r="N187" s="1026"/>
      <c r="O187" s="1026"/>
      <c r="P187" s="1026"/>
      <c r="Q187" s="1026"/>
      <c r="R187" s="972"/>
      <c r="S187" s="3503"/>
      <c r="T187" s="3504"/>
      <c r="U187" s="3504"/>
      <c r="V187" s="3504"/>
      <c r="W187" s="3505"/>
    </row>
    <row r="188" spans="1:503" ht="15.6" customHeight="1">
      <c r="B188" s="113"/>
      <c r="C188" s="113" t="s">
        <v>188</v>
      </c>
      <c r="D188" s="113"/>
      <c r="E188" s="113"/>
      <c r="F188" s="113"/>
      <c r="H188" s="1028">
        <f>SUM(H186:H187)</f>
        <v>0</v>
      </c>
      <c r="I188" s="1028">
        <f>SUM(I186:I187)</f>
        <v>0</v>
      </c>
      <c r="J188" s="1028">
        <f t="shared" ref="J188:Q188" si="393">SUM(J186:J187)</f>
        <v>0</v>
      </c>
      <c r="K188" s="1028">
        <f t="shared" si="393"/>
        <v>0</v>
      </c>
      <c r="L188" s="1028">
        <f t="shared" si="393"/>
        <v>0</v>
      </c>
      <c r="M188" s="1028">
        <f t="shared" si="393"/>
        <v>0</v>
      </c>
      <c r="N188" s="1028">
        <f t="shared" si="393"/>
        <v>0</v>
      </c>
      <c r="O188" s="1028">
        <f t="shared" si="393"/>
        <v>0</v>
      </c>
      <c r="P188" s="1028">
        <f t="shared" si="393"/>
        <v>0</v>
      </c>
      <c r="Q188" s="1028">
        <f t="shared" si="393"/>
        <v>0</v>
      </c>
      <c r="R188" s="121"/>
      <c r="S188" s="3507"/>
      <c r="T188" s="3508"/>
      <c r="U188" s="3508"/>
      <c r="V188" s="3508"/>
      <c r="W188" s="3509"/>
    </row>
    <row r="189" spans="1:503" ht="15.6" customHeight="1">
      <c r="B189" s="1018"/>
      <c r="C189" s="90"/>
      <c r="D189" s="90"/>
      <c r="E189" s="90"/>
      <c r="F189" s="90"/>
      <c r="H189" s="1030"/>
      <c r="I189" s="90"/>
      <c r="J189" s="90"/>
      <c r="K189" s="90"/>
      <c r="L189" s="90"/>
      <c r="M189" s="90"/>
      <c r="N189" s="90"/>
      <c r="O189" s="90"/>
      <c r="P189" s="90"/>
      <c r="Q189" s="90"/>
      <c r="R189" s="8"/>
    </row>
    <row r="190" spans="1:503" ht="15.6" customHeight="1">
      <c r="B190" s="1021" t="s">
        <v>2228</v>
      </c>
      <c r="C190" s="90"/>
      <c r="D190" s="90"/>
      <c r="E190" s="90"/>
      <c r="F190" s="90"/>
      <c r="H190" s="1022">
        <v>11</v>
      </c>
      <c r="I190" s="1022">
        <v>12</v>
      </c>
      <c r="J190" s="1022">
        <v>13</v>
      </c>
      <c r="K190" s="1022">
        <v>14</v>
      </c>
      <c r="L190" s="1022">
        <v>15</v>
      </c>
      <c r="M190" s="1022">
        <v>16</v>
      </c>
      <c r="N190" s="1022">
        <v>17</v>
      </c>
      <c r="O190" s="1022">
        <v>18</v>
      </c>
      <c r="P190" s="1022">
        <v>19</v>
      </c>
      <c r="Q190" s="1022">
        <v>20</v>
      </c>
      <c r="S190" s="141" t="s">
        <v>2554</v>
      </c>
      <c r="T190" s="95" t="str">
        <f>B190</f>
        <v>Included in Mgt Fee:</v>
      </c>
    </row>
    <row r="191" spans="1:503" ht="15.6" customHeight="1">
      <c r="A191" s="83"/>
      <c r="B191" s="113" t="s">
        <v>995</v>
      </c>
      <c r="C191" s="113"/>
      <c r="D191" s="113"/>
      <c r="E191" s="113"/>
      <c r="F191" s="113"/>
      <c r="H191" s="1024"/>
      <c r="I191" s="1024"/>
      <c r="J191" s="1024"/>
      <c r="K191" s="1024"/>
      <c r="L191" s="1025"/>
      <c r="M191" s="1024"/>
      <c r="N191" s="1024"/>
      <c r="O191" s="1024"/>
      <c r="P191" s="1024"/>
      <c r="Q191" s="1024"/>
      <c r="R191" s="972"/>
      <c r="S191" s="3510"/>
      <c r="T191" s="3511"/>
      <c r="U191" s="3511"/>
      <c r="V191" s="3511"/>
      <c r="W191" s="3512"/>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723</v>
      </c>
      <c r="C192" s="3552"/>
      <c r="D192" s="3553"/>
      <c r="E192" s="3553"/>
      <c r="F192" s="3554"/>
      <c r="H192" s="1026"/>
      <c r="I192" s="1026"/>
      <c r="J192" s="1026"/>
      <c r="K192" s="1026"/>
      <c r="L192" s="1027"/>
      <c r="M192" s="1026"/>
      <c r="N192" s="1026"/>
      <c r="O192" s="1026"/>
      <c r="P192" s="1026"/>
      <c r="Q192" s="1026"/>
      <c r="R192" s="972"/>
      <c r="S192" s="3503"/>
      <c r="T192" s="3504"/>
      <c r="U192" s="3504"/>
      <c r="V192" s="3504"/>
      <c r="W192" s="3505"/>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907</v>
      </c>
      <c r="D193" s="113"/>
      <c r="E193" s="113"/>
      <c r="F193" s="113"/>
      <c r="H193" s="1028">
        <f>SUM(H191:H192)</f>
        <v>0</v>
      </c>
      <c r="I193" s="1028">
        <f>SUM(I191:I192)</f>
        <v>0</v>
      </c>
      <c r="J193" s="1028">
        <f t="shared" ref="J193:Q193" si="394">SUM(J191:J192)</f>
        <v>0</v>
      </c>
      <c r="K193" s="1028">
        <f t="shared" si="394"/>
        <v>0</v>
      </c>
      <c r="L193" s="1028">
        <f t="shared" si="394"/>
        <v>0</v>
      </c>
      <c r="M193" s="1028">
        <f t="shared" si="394"/>
        <v>0</v>
      </c>
      <c r="N193" s="1028">
        <f t="shared" si="394"/>
        <v>0</v>
      </c>
      <c r="O193" s="1028">
        <f t="shared" si="394"/>
        <v>0</v>
      </c>
      <c r="P193" s="1028">
        <f t="shared" si="394"/>
        <v>0</v>
      </c>
      <c r="Q193" s="1028">
        <f t="shared" si="394"/>
        <v>0</v>
      </c>
      <c r="R193" s="121"/>
      <c r="S193" s="3507"/>
      <c r="T193" s="3508"/>
      <c r="U193" s="3508"/>
      <c r="V193" s="3508"/>
      <c r="W193" s="3509"/>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9" t="s">
        <v>3500</v>
      </c>
      <c r="C194" s="90"/>
      <c r="D194" s="90"/>
      <c r="E194" s="90"/>
      <c r="F194" s="90"/>
      <c r="H194" s="1030"/>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518</v>
      </c>
      <c r="C195" s="113"/>
      <c r="D195" s="113"/>
      <c r="E195" s="113"/>
      <c r="F195" s="113"/>
      <c r="H195" s="1024"/>
      <c r="I195" s="1024"/>
      <c r="J195" s="1024"/>
      <c r="K195" s="1024"/>
      <c r="L195" s="1025"/>
      <c r="M195" s="1024"/>
      <c r="N195" s="1024"/>
      <c r="O195" s="1024"/>
      <c r="P195" s="1024"/>
      <c r="Q195" s="1024"/>
      <c r="R195" s="972"/>
      <c r="S195" s="3510"/>
      <c r="T195" s="3511"/>
      <c r="U195" s="3511"/>
      <c r="V195" s="3511"/>
      <c r="W195" s="3512"/>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723</v>
      </c>
      <c r="C196" s="3552"/>
      <c r="D196" s="3553"/>
      <c r="E196" s="3553"/>
      <c r="F196" s="3554"/>
      <c r="H196" s="1026"/>
      <c r="I196" s="1026"/>
      <c r="J196" s="1026"/>
      <c r="K196" s="1026"/>
      <c r="L196" s="1027"/>
      <c r="M196" s="1026"/>
      <c r="N196" s="1026"/>
      <c r="O196" s="1026"/>
      <c r="P196" s="1026"/>
      <c r="Q196" s="1026"/>
      <c r="R196" s="972"/>
      <c r="S196" s="3503"/>
      <c r="T196" s="3504"/>
      <c r="U196" s="3504"/>
      <c r="V196" s="3504"/>
      <c r="W196" s="3505"/>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8">
        <f>SUM(H195:H196)</f>
        <v>0</v>
      </c>
      <c r="I197" s="1028">
        <f>SUM(I195:I196)</f>
        <v>0</v>
      </c>
      <c r="J197" s="1028">
        <f t="shared" ref="J197:Q197" si="395">SUM(J195:J196)</f>
        <v>0</v>
      </c>
      <c r="K197" s="1028">
        <f t="shared" si="395"/>
        <v>0</v>
      </c>
      <c r="L197" s="1028">
        <f t="shared" si="395"/>
        <v>0</v>
      </c>
      <c r="M197" s="1028">
        <f t="shared" si="395"/>
        <v>0</v>
      </c>
      <c r="N197" s="1028">
        <f t="shared" si="395"/>
        <v>0</v>
      </c>
      <c r="O197" s="1028">
        <f t="shared" si="395"/>
        <v>0</v>
      </c>
      <c r="P197" s="1028">
        <f t="shared" si="395"/>
        <v>0</v>
      </c>
      <c r="Q197" s="1028">
        <f t="shared" si="395"/>
        <v>0</v>
      </c>
      <c r="R197" s="121"/>
      <c r="S197" s="3507"/>
      <c r="T197" s="3508"/>
      <c r="U197" s="3508"/>
      <c r="V197" s="3508"/>
      <c r="W197" s="3509"/>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8"/>
      <c r="C198" s="90"/>
      <c r="D198" s="90"/>
      <c r="E198" s="90"/>
      <c r="F198" s="90"/>
      <c r="H198" s="1030"/>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21" t="s">
        <v>2228</v>
      </c>
      <c r="C199" s="90"/>
      <c r="D199" s="90"/>
      <c r="E199" s="90"/>
      <c r="F199" s="90"/>
      <c r="H199" s="1022">
        <v>21</v>
      </c>
      <c r="I199" s="1022">
        <v>22</v>
      </c>
      <c r="J199" s="1022">
        <v>23</v>
      </c>
      <c r="K199" s="1022">
        <v>24</v>
      </c>
      <c r="L199" s="1022">
        <v>25</v>
      </c>
      <c r="M199" s="1022">
        <v>26</v>
      </c>
      <c r="N199" s="1022">
        <v>27</v>
      </c>
      <c r="O199" s="1022">
        <v>28</v>
      </c>
      <c r="P199" s="1022">
        <v>29</v>
      </c>
      <c r="Q199" s="1022">
        <v>30</v>
      </c>
      <c r="R199" s="707"/>
      <c r="S199" s="141" t="s">
        <v>2555</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995</v>
      </c>
      <c r="C200" s="113"/>
      <c r="D200" s="113"/>
      <c r="E200" s="113"/>
      <c r="F200" s="113"/>
      <c r="H200" s="1024"/>
      <c r="I200" s="1024"/>
      <c r="J200" s="1024"/>
      <c r="K200" s="1024"/>
      <c r="L200" s="1025"/>
      <c r="M200" s="1024"/>
      <c r="N200" s="1024"/>
      <c r="O200" s="1024"/>
      <c r="P200" s="1024"/>
      <c r="Q200" s="1024"/>
      <c r="R200" s="972"/>
      <c r="S200" s="3510"/>
      <c r="T200" s="3511"/>
      <c r="U200" s="3511"/>
      <c r="V200" s="3511"/>
      <c r="W200" s="3512"/>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723</v>
      </c>
      <c r="C201" s="3552"/>
      <c r="D201" s="3553"/>
      <c r="E201" s="3553"/>
      <c r="F201" s="3554"/>
      <c r="H201" s="1026"/>
      <c r="I201" s="1026"/>
      <c r="J201" s="1026"/>
      <c r="K201" s="1026"/>
      <c r="L201" s="1027"/>
      <c r="M201" s="1026"/>
      <c r="N201" s="1026"/>
      <c r="O201" s="1026"/>
      <c r="P201" s="1026"/>
      <c r="Q201" s="1026"/>
      <c r="R201" s="972"/>
      <c r="S201" s="3503"/>
      <c r="T201" s="3504"/>
      <c r="U201" s="3504"/>
      <c r="V201" s="3504"/>
      <c r="W201" s="3505"/>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907</v>
      </c>
      <c r="D202" s="113"/>
      <c r="E202" s="113"/>
      <c r="F202" s="113"/>
      <c r="H202" s="1028">
        <f>SUM(H200:H201)</f>
        <v>0</v>
      </c>
      <c r="I202" s="1028">
        <f>SUM(I200:I201)</f>
        <v>0</v>
      </c>
      <c r="J202" s="1028">
        <f t="shared" ref="J202:Q202" si="396">SUM(J200:J201)</f>
        <v>0</v>
      </c>
      <c r="K202" s="1028">
        <f t="shared" si="396"/>
        <v>0</v>
      </c>
      <c r="L202" s="1028">
        <f t="shared" si="396"/>
        <v>0</v>
      </c>
      <c r="M202" s="1028">
        <f t="shared" si="396"/>
        <v>0</v>
      </c>
      <c r="N202" s="1028">
        <f t="shared" si="396"/>
        <v>0</v>
      </c>
      <c r="O202" s="1028">
        <f t="shared" si="396"/>
        <v>0</v>
      </c>
      <c r="P202" s="1028">
        <f t="shared" si="396"/>
        <v>0</v>
      </c>
      <c r="Q202" s="1028">
        <f t="shared" si="396"/>
        <v>0</v>
      </c>
      <c r="R202" s="121"/>
      <c r="S202" s="3507"/>
      <c r="T202" s="3508"/>
      <c r="U202" s="3508"/>
      <c r="V202" s="3508"/>
      <c r="W202" s="3509"/>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9" t="s">
        <v>3500</v>
      </c>
      <c r="C203" s="90"/>
      <c r="D203" s="90"/>
      <c r="E203" s="90"/>
      <c r="F203" s="90"/>
      <c r="H203" s="1030"/>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518</v>
      </c>
      <c r="C204" s="113"/>
      <c r="D204" s="113"/>
      <c r="E204" s="113"/>
      <c r="F204" s="113"/>
      <c r="H204" s="1024"/>
      <c r="I204" s="1024"/>
      <c r="J204" s="1024"/>
      <c r="K204" s="1024"/>
      <c r="L204" s="1025"/>
      <c r="M204" s="1024"/>
      <c r="N204" s="1024"/>
      <c r="O204" s="1024"/>
      <c r="P204" s="1024"/>
      <c r="Q204" s="1024"/>
      <c r="R204" s="972"/>
      <c r="S204" s="3510"/>
      <c r="T204" s="3511"/>
      <c r="U204" s="3511"/>
      <c r="V204" s="3511"/>
      <c r="W204" s="3512"/>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723</v>
      </c>
      <c r="C205" s="3552"/>
      <c r="D205" s="3553"/>
      <c r="E205" s="3553"/>
      <c r="F205" s="3554"/>
      <c r="H205" s="1026"/>
      <c r="I205" s="1026"/>
      <c r="J205" s="1026"/>
      <c r="K205" s="1026"/>
      <c r="L205" s="1027"/>
      <c r="M205" s="1026"/>
      <c r="N205" s="1026"/>
      <c r="O205" s="1026"/>
      <c r="P205" s="1026"/>
      <c r="Q205" s="1026"/>
      <c r="R205" s="972"/>
      <c r="S205" s="3503"/>
      <c r="T205" s="3504"/>
      <c r="U205" s="3504"/>
      <c r="V205" s="3504"/>
      <c r="W205" s="3505"/>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8">
        <f>SUM(H204:H205)</f>
        <v>0</v>
      </c>
      <c r="I206" s="1028">
        <f>SUM(I204:I205)</f>
        <v>0</v>
      </c>
      <c r="J206" s="1028">
        <f t="shared" ref="J206:Q206" si="397">SUM(J204:J205)</f>
        <v>0</v>
      </c>
      <c r="K206" s="1028">
        <f t="shared" si="397"/>
        <v>0</v>
      </c>
      <c r="L206" s="1028">
        <f t="shared" si="397"/>
        <v>0</v>
      </c>
      <c r="M206" s="1028">
        <f t="shared" si="397"/>
        <v>0</v>
      </c>
      <c r="N206" s="1028">
        <f t="shared" si="397"/>
        <v>0</v>
      </c>
      <c r="O206" s="1028">
        <f t="shared" si="397"/>
        <v>0</v>
      </c>
      <c r="P206" s="1028">
        <f t="shared" si="397"/>
        <v>0</v>
      </c>
      <c r="Q206" s="1028">
        <f t="shared" si="397"/>
        <v>0</v>
      </c>
      <c r="R206" s="121"/>
      <c r="S206" s="3507"/>
      <c r="T206" s="3508"/>
      <c r="U206" s="3508"/>
      <c r="V206" s="3508"/>
      <c r="W206" s="3509"/>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8"/>
      <c r="C207" s="90"/>
      <c r="D207" s="90"/>
      <c r="E207" s="90"/>
      <c r="F207" s="90"/>
      <c r="H207" s="1030"/>
      <c r="I207" s="90"/>
      <c r="J207" s="90"/>
      <c r="K207" s="90"/>
      <c r="L207" s="90"/>
      <c r="M207" s="90"/>
      <c r="N207" s="90"/>
      <c r="O207" s="90"/>
      <c r="P207" s="90"/>
      <c r="Q207" s="90"/>
      <c r="R207" s="8"/>
    </row>
    <row r="208" spans="1:503" ht="15.6" customHeight="1">
      <c r="B208" s="1021" t="s">
        <v>2228</v>
      </c>
      <c r="C208" s="90"/>
      <c r="D208" s="90"/>
      <c r="E208" s="90"/>
      <c r="F208" s="90"/>
      <c r="H208" s="1022">
        <v>31</v>
      </c>
      <c r="I208" s="1022">
        <v>32</v>
      </c>
      <c r="J208" s="1022">
        <v>33</v>
      </c>
      <c r="K208" s="1022">
        <v>34</v>
      </c>
      <c r="L208" s="1022">
        <v>35</v>
      </c>
      <c r="M208" s="90"/>
      <c r="N208" s="90"/>
      <c r="O208" s="90"/>
      <c r="P208" s="90"/>
      <c r="Q208" s="90"/>
      <c r="S208" s="141" t="s">
        <v>2555</v>
      </c>
      <c r="T208" s="95" t="str">
        <f>B208</f>
        <v>Included in Mgt Fee:</v>
      </c>
    </row>
    <row r="209" spans="1:503" ht="15.6" customHeight="1">
      <c r="B209" s="113" t="s">
        <v>995</v>
      </c>
      <c r="C209" s="113"/>
      <c r="D209" s="113"/>
      <c r="E209" s="113"/>
      <c r="F209" s="113"/>
      <c r="H209" s="1024"/>
      <c r="I209" s="1024"/>
      <c r="J209" s="1024"/>
      <c r="K209" s="1024"/>
      <c r="L209" s="1025"/>
      <c r="M209" s="90"/>
      <c r="N209" s="90"/>
      <c r="O209" s="90"/>
      <c r="P209" s="90"/>
      <c r="Q209" s="90"/>
      <c r="R209" s="8"/>
      <c r="S209" s="3510"/>
      <c r="T209" s="3511"/>
      <c r="U209" s="3511"/>
      <c r="V209" s="3511"/>
      <c r="W209" s="3512"/>
    </row>
    <row r="210" spans="1:503" ht="15.6" customHeight="1">
      <c r="B210" s="113" t="s">
        <v>723</v>
      </c>
      <c r="C210" s="3552"/>
      <c r="D210" s="3553"/>
      <c r="E210" s="3553"/>
      <c r="F210" s="3554"/>
      <c r="H210" s="1026"/>
      <c r="I210" s="1026"/>
      <c r="J210" s="1026"/>
      <c r="K210" s="1026"/>
      <c r="L210" s="1027"/>
      <c r="M210" s="90"/>
      <c r="N210" s="90"/>
      <c r="O210" s="90"/>
      <c r="P210" s="90"/>
      <c r="Q210" s="90"/>
      <c r="R210" s="8"/>
      <c r="S210" s="3503"/>
      <c r="T210" s="3504"/>
      <c r="U210" s="3504"/>
      <c r="V210" s="3504"/>
      <c r="W210" s="3505"/>
    </row>
    <row r="211" spans="1:503" ht="15.6" customHeight="1">
      <c r="B211" s="113"/>
      <c r="C211" s="113" t="s">
        <v>907</v>
      </c>
      <c r="D211" s="113"/>
      <c r="E211" s="113"/>
      <c r="F211" s="113"/>
      <c r="H211" s="1028">
        <f>SUM(H209:H210)</f>
        <v>0</v>
      </c>
      <c r="I211" s="1028">
        <f>SUM(I209:I210)</f>
        <v>0</v>
      </c>
      <c r="J211" s="1028">
        <f>SUM(J209:J210)</f>
        <v>0</v>
      </c>
      <c r="K211" s="1028">
        <f>SUM(K209:K210)</f>
        <v>0</v>
      </c>
      <c r="L211" s="1028">
        <f>SUM(L209:L210)</f>
        <v>0</v>
      </c>
      <c r="M211" s="90"/>
      <c r="N211" s="90"/>
      <c r="O211" s="90"/>
      <c r="P211" s="90"/>
      <c r="Q211" s="90"/>
      <c r="R211" s="8"/>
      <c r="S211" s="3507"/>
      <c r="T211" s="3508"/>
      <c r="U211" s="3508"/>
      <c r="V211" s="3508"/>
      <c r="W211" s="3509"/>
    </row>
    <row r="212" spans="1:503" ht="15.6" customHeight="1">
      <c r="B212" s="1029" t="s">
        <v>3500</v>
      </c>
      <c r="C212" s="90"/>
      <c r="D212" s="90"/>
      <c r="E212" s="90"/>
      <c r="F212" s="90"/>
      <c r="H212" s="1030"/>
      <c r="I212" s="90"/>
      <c r="J212" s="90"/>
      <c r="K212" s="90"/>
      <c r="L212" s="90"/>
      <c r="M212" s="90"/>
      <c r="N212" s="90"/>
      <c r="O212" s="90"/>
      <c r="P212" s="90"/>
      <c r="Q212" s="90"/>
      <c r="R212" s="8"/>
      <c r="S212" s="95" t="str">
        <f>B212</f>
        <v>NOT Included in Mgt Fee:</v>
      </c>
    </row>
    <row r="213" spans="1:503" ht="15.6" customHeight="1">
      <c r="B213" s="113" t="s">
        <v>518</v>
      </c>
      <c r="C213" s="113"/>
      <c r="D213" s="113"/>
      <c r="E213" s="113"/>
      <c r="F213" s="113"/>
      <c r="H213" s="1024"/>
      <c r="I213" s="1024"/>
      <c r="J213" s="1024"/>
      <c r="K213" s="1024"/>
      <c r="L213" s="1025"/>
      <c r="M213" s="90"/>
      <c r="N213" s="90"/>
      <c r="O213" s="90"/>
      <c r="P213" s="90"/>
      <c r="Q213" s="90"/>
      <c r="R213" s="8"/>
      <c r="S213" s="3510"/>
      <c r="T213" s="3511"/>
      <c r="U213" s="3511"/>
      <c r="V213" s="3511"/>
      <c r="W213" s="3512"/>
    </row>
    <row r="214" spans="1:503" ht="15.6" customHeight="1">
      <c r="B214" s="113" t="s">
        <v>723</v>
      </c>
      <c r="C214" s="3552"/>
      <c r="D214" s="3553"/>
      <c r="E214" s="3553"/>
      <c r="F214" s="3554"/>
      <c r="H214" s="1026"/>
      <c r="I214" s="1026"/>
      <c r="J214" s="1026"/>
      <c r="K214" s="1026"/>
      <c r="L214" s="1027"/>
      <c r="M214" s="90"/>
      <c r="N214" s="90"/>
      <c r="O214" s="90"/>
      <c r="P214" s="90"/>
      <c r="Q214" s="90"/>
      <c r="R214" s="8"/>
      <c r="S214" s="3503"/>
      <c r="T214" s="3504"/>
      <c r="U214" s="3504"/>
      <c r="V214" s="3504"/>
      <c r="W214" s="3505"/>
    </row>
    <row r="215" spans="1:503" ht="15.6" customHeight="1">
      <c r="B215" s="113"/>
      <c r="C215" s="113" t="s">
        <v>188</v>
      </c>
      <c r="D215" s="113"/>
      <c r="E215" s="113"/>
      <c r="F215" s="113"/>
      <c r="H215" s="1028">
        <f>SUM(H213:H214)</f>
        <v>0</v>
      </c>
      <c r="I215" s="1028">
        <f>SUM(I213:I214)</f>
        <v>0</v>
      </c>
      <c r="J215" s="1028">
        <f>SUM(J213:J214)</f>
        <v>0</v>
      </c>
      <c r="K215" s="1028">
        <f>SUM(K213:K214)</f>
        <v>0</v>
      </c>
      <c r="L215" s="1028">
        <f>SUM(L213:L214)</f>
        <v>0</v>
      </c>
      <c r="M215" s="90"/>
      <c r="N215" s="90"/>
      <c r="O215" s="90"/>
      <c r="P215" s="90"/>
      <c r="Q215" s="90"/>
      <c r="R215" s="8"/>
      <c r="S215" s="3507"/>
      <c r="T215" s="3508"/>
      <c r="U215" s="3508"/>
      <c r="V215" s="3508"/>
      <c r="W215" s="3509"/>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74"/>
      <c r="JX217" s="508"/>
      <c r="JY217" s="508"/>
      <c r="JZ217" s="508"/>
      <c r="KA217" s="508"/>
      <c r="KB217" s="2474"/>
      <c r="KC217" s="2474"/>
      <c r="KD217" s="2474"/>
      <c r="KE217" s="2474"/>
      <c r="KF217" s="2474"/>
      <c r="KG217" s="2474"/>
      <c r="KH217" s="2474"/>
      <c r="KI217" s="2474"/>
      <c r="KJ217" s="2474"/>
      <c r="KK217" s="2474"/>
      <c r="KL217" s="2474"/>
      <c r="KM217" s="2474"/>
      <c r="KN217" s="2474"/>
      <c r="KO217" s="2474"/>
      <c r="KP217" s="2474"/>
      <c r="KQ217" s="2474"/>
      <c r="KR217" s="2474"/>
      <c r="KS217" s="2474"/>
      <c r="KT217" s="2474"/>
      <c r="KU217" s="2474"/>
      <c r="KV217" s="2474"/>
      <c r="KW217" s="2474"/>
      <c r="KX217" s="2474"/>
      <c r="KY217" s="2474"/>
      <c r="KZ217" s="2474"/>
      <c r="LA217" s="2474"/>
      <c r="LB217" s="2474"/>
      <c r="LC217" s="2474"/>
      <c r="LD217" s="2474"/>
      <c r="LE217" s="2474"/>
      <c r="LF217" s="2474"/>
      <c r="LG217" s="2474"/>
      <c r="LH217" s="2474"/>
      <c r="LI217" s="2474"/>
      <c r="LJ217" s="2474"/>
      <c r="LK217" s="2474"/>
      <c r="LL217" s="2474"/>
      <c r="LM217" s="2474"/>
      <c r="LN217" s="2474"/>
      <c r="LO217" s="2474"/>
      <c r="LP217" s="2474"/>
      <c r="LQ217" s="2474"/>
      <c r="LR217" s="508"/>
      <c r="LS217" s="508"/>
      <c r="LT217" s="508"/>
      <c r="LU217" s="508"/>
      <c r="LV217" s="508"/>
      <c r="LW217" s="508"/>
      <c r="LX217" s="2475"/>
      <c r="LY217" s="508"/>
      <c r="LZ217" s="508"/>
      <c r="MA217" s="508"/>
      <c r="MB217" s="508"/>
      <c r="MC217" s="508"/>
      <c r="MD217" s="508"/>
      <c r="ME217" s="508"/>
      <c r="MF217" s="508"/>
      <c r="MG217" s="508"/>
      <c r="MH217" s="508"/>
      <c r="MI217" s="508"/>
      <c r="MJ217" s="508"/>
      <c r="MK217" s="508"/>
      <c r="ML217" s="508"/>
      <c r="MM217" s="508"/>
      <c r="MN217" s="2475"/>
      <c r="MO217" s="2475"/>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1799</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74"/>
      <c r="JX218" s="508"/>
      <c r="JY218" s="508"/>
      <c r="JZ218" s="508"/>
      <c r="KA218" s="508"/>
      <c r="KB218" s="2474"/>
      <c r="KC218" s="2474"/>
      <c r="KD218" s="2474"/>
      <c r="KE218" s="2474"/>
      <c r="KF218" s="2474"/>
      <c r="KG218" s="2474"/>
      <c r="KH218" s="2474"/>
      <c r="KI218" s="2474"/>
      <c r="KJ218" s="2474"/>
      <c r="KK218" s="2474"/>
      <c r="KL218" s="2474"/>
      <c r="KM218" s="2474"/>
      <c r="KN218" s="2474"/>
      <c r="KO218" s="2474"/>
      <c r="KP218" s="2474"/>
      <c r="KQ218" s="2474"/>
      <c r="KR218" s="2474"/>
      <c r="KS218" s="2474"/>
      <c r="KT218" s="2474"/>
      <c r="KU218" s="2474"/>
      <c r="KV218" s="2474"/>
      <c r="KW218" s="2474"/>
      <c r="KX218" s="2474"/>
      <c r="KY218" s="2474"/>
      <c r="KZ218" s="2474"/>
      <c r="LA218" s="2474"/>
      <c r="LB218" s="2474"/>
      <c r="LC218" s="2474"/>
      <c r="LD218" s="2474"/>
      <c r="LE218" s="2474"/>
      <c r="LF218" s="2474"/>
      <c r="LG218" s="2474"/>
      <c r="LH218" s="2474"/>
      <c r="LI218" s="2474"/>
      <c r="LJ218" s="2474"/>
      <c r="LK218" s="2474"/>
      <c r="LL218" s="2474"/>
      <c r="LM218" s="2474"/>
      <c r="LN218" s="2474"/>
      <c r="LO218" s="2474"/>
      <c r="LP218" s="2474"/>
      <c r="LQ218" s="2474"/>
      <c r="LR218" s="508"/>
      <c r="LS218" s="508"/>
      <c r="LT218" s="508"/>
      <c r="LU218" s="508"/>
      <c r="LV218" s="508"/>
      <c r="LW218" s="508"/>
      <c r="LX218" s="2475"/>
      <c r="LY218" s="508"/>
      <c r="LZ218" s="508"/>
      <c r="MA218" s="508"/>
      <c r="MB218" s="508"/>
      <c r="MC218" s="508"/>
      <c r="MD218" s="508"/>
      <c r="ME218" s="508"/>
      <c r="MF218" s="508"/>
      <c r="MG218" s="508"/>
      <c r="MH218" s="508"/>
      <c r="MI218" s="508"/>
      <c r="MJ218" s="508"/>
      <c r="MK218" s="508"/>
      <c r="ML218" s="508"/>
      <c r="MM218" s="508"/>
      <c r="MN218" s="2475"/>
      <c r="MO218" s="2475"/>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93342</v>
      </c>
      <c r="R219" s="1"/>
      <c r="S219" s="3510"/>
      <c r="T219" s="3511"/>
      <c r="U219" s="3511"/>
      <c r="V219" s="3511"/>
      <c r="W219" s="3512"/>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74"/>
      <c r="JX219" s="508"/>
      <c r="JY219" s="508"/>
      <c r="JZ219" s="508"/>
      <c r="KA219" s="508"/>
      <c r="KB219" s="2474"/>
      <c r="KC219" s="2474"/>
      <c r="KD219" s="2474"/>
      <c r="KE219" s="2474"/>
      <c r="KF219" s="2474"/>
      <c r="KG219" s="2474"/>
      <c r="KH219" s="2474"/>
      <c r="KI219" s="2474"/>
      <c r="KJ219" s="2474"/>
      <c r="KK219" s="2474"/>
      <c r="KL219" s="2474"/>
      <c r="KM219" s="2474"/>
      <c r="KN219" s="2474"/>
      <c r="KO219" s="2474"/>
      <c r="KP219" s="2474"/>
      <c r="KQ219" s="2474"/>
      <c r="KR219" s="2474"/>
      <c r="KS219" s="2474"/>
      <c r="KT219" s="2474"/>
      <c r="KU219" s="2474"/>
      <c r="KV219" s="2474"/>
      <c r="KW219" s="2474"/>
      <c r="KX219" s="2474"/>
      <c r="KY219" s="2474"/>
      <c r="KZ219" s="2474"/>
      <c r="LA219" s="2474"/>
      <c r="LB219" s="2474"/>
      <c r="LC219" s="2474"/>
      <c r="LD219" s="2474"/>
      <c r="LE219" s="2474"/>
      <c r="LF219" s="2474"/>
      <c r="LG219" s="2474"/>
      <c r="LH219" s="2474"/>
      <c r="LI219" s="2474"/>
      <c r="LJ219" s="2474"/>
      <c r="LK219" s="2474"/>
      <c r="LL219" s="2474"/>
      <c r="LM219" s="2474"/>
      <c r="LN219" s="2474"/>
      <c r="LO219" s="2474"/>
      <c r="LP219" s="2474"/>
      <c r="LQ219" s="2474"/>
      <c r="LR219" s="508"/>
      <c r="LS219" s="508"/>
      <c r="LT219" s="508"/>
      <c r="LU219" s="508"/>
      <c r="LV219" s="508"/>
      <c r="LW219" s="508"/>
      <c r="LX219" s="2475"/>
      <c r="LY219" s="508"/>
      <c r="LZ219" s="508"/>
      <c r="MA219" s="508"/>
      <c r="MB219" s="508"/>
      <c r="MC219" s="508"/>
      <c r="MD219" s="508"/>
      <c r="ME219" s="508"/>
      <c r="MF219" s="508"/>
      <c r="MG219" s="508"/>
      <c r="MH219" s="508"/>
      <c r="MI219" s="508"/>
      <c r="MJ219" s="508"/>
      <c r="MK219" s="508"/>
      <c r="ML219" s="508"/>
      <c r="MM219" s="508"/>
      <c r="MN219" s="2475"/>
      <c r="MO219" s="2475"/>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2146</v>
      </c>
      <c r="C220" s="1"/>
      <c r="D220" s="1"/>
      <c r="E220" s="1"/>
      <c r="F220" s="3558">
        <v>110000</v>
      </c>
      <c r="G220" s="3559"/>
      <c r="H220" s="1"/>
      <c r="I220" s="1" t="s">
        <v>1351</v>
      </c>
      <c r="K220" s="1"/>
      <c r="L220" s="3558"/>
      <c r="M220" s="3559"/>
      <c r="N220" s="1"/>
      <c r="O220" s="449">
        <f>+Q219/(P67*0.93)</f>
        <v>501.83870967741933</v>
      </c>
      <c r="P220" s="66" t="s">
        <v>2667</v>
      </c>
      <c r="Q220" s="1"/>
      <c r="R220" s="972"/>
      <c r="S220" s="3503"/>
      <c r="T220" s="3504"/>
      <c r="U220" s="3504"/>
      <c r="V220" s="3504"/>
      <c r="W220" s="3505"/>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74"/>
      <c r="JX220" s="508"/>
      <c r="JY220" s="508"/>
      <c r="JZ220" s="508"/>
      <c r="KA220" s="508"/>
      <c r="KB220" s="2474"/>
      <c r="KC220" s="2474"/>
      <c r="KD220" s="2474"/>
      <c r="KE220" s="2474"/>
      <c r="KF220" s="2474"/>
      <c r="KG220" s="2474"/>
      <c r="KH220" s="2474"/>
      <c r="KI220" s="2474"/>
      <c r="KJ220" s="2474"/>
      <c r="KK220" s="2474"/>
      <c r="KL220" s="2474"/>
      <c r="KM220" s="2474"/>
      <c r="KN220" s="2474"/>
      <c r="KO220" s="2474"/>
      <c r="KP220" s="2474"/>
      <c r="KQ220" s="2474"/>
      <c r="KR220" s="2474"/>
      <c r="KS220" s="2474"/>
      <c r="KT220" s="2474"/>
      <c r="KU220" s="2474"/>
      <c r="KV220" s="2474"/>
      <c r="KW220" s="2474"/>
      <c r="KX220" s="2474"/>
      <c r="KY220" s="2474"/>
      <c r="KZ220" s="2474"/>
      <c r="LA220" s="2474"/>
      <c r="LB220" s="2474"/>
      <c r="LC220" s="2474"/>
      <c r="LD220" s="2474"/>
      <c r="LE220" s="2474"/>
      <c r="LF220" s="2474"/>
      <c r="LG220" s="2474"/>
      <c r="LH220" s="2474"/>
      <c r="LI220" s="2474"/>
      <c r="LJ220" s="2474"/>
      <c r="LK220" s="2474"/>
      <c r="LL220" s="2474"/>
      <c r="LM220" s="2474"/>
      <c r="LN220" s="2474"/>
      <c r="LO220" s="2474"/>
      <c r="LP220" s="2474"/>
      <c r="LQ220" s="2474"/>
      <c r="LR220" s="508"/>
      <c r="LS220" s="508"/>
      <c r="LT220" s="508"/>
      <c r="LU220" s="508"/>
      <c r="LV220" s="508"/>
      <c r="LW220" s="508"/>
      <c r="LX220" s="2475"/>
      <c r="LY220" s="508"/>
      <c r="LZ220" s="508"/>
      <c r="MA220" s="508"/>
      <c r="MB220" s="508"/>
      <c r="MC220" s="508"/>
      <c r="MD220" s="508"/>
      <c r="ME220" s="508"/>
      <c r="MF220" s="508"/>
      <c r="MG220" s="508"/>
      <c r="MH220" s="508"/>
      <c r="MI220" s="508"/>
      <c r="MJ220" s="508"/>
      <c r="MK220" s="508"/>
      <c r="ML220" s="508"/>
      <c r="MM220" s="508"/>
      <c r="MN220" s="2475"/>
      <c r="MO220" s="2475"/>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1340</v>
      </c>
      <c r="C221" s="1"/>
      <c r="D221" s="1"/>
      <c r="E221" s="1"/>
      <c r="F221" s="3525">
        <v>95000</v>
      </c>
      <c r="G221" s="3526"/>
      <c r="H221" s="1"/>
      <c r="I221" s="1" t="s">
        <v>1352</v>
      </c>
      <c r="K221" s="1"/>
      <c r="L221" s="3538"/>
      <c r="M221" s="3539"/>
      <c r="N221" s="1"/>
      <c r="O221" s="449">
        <f>+Q219/(P67*0.93)/12</f>
        <v>41.81989247311828</v>
      </c>
      <c r="P221" s="66" t="s">
        <v>2668</v>
      </c>
      <c r="Q221" s="1"/>
      <c r="R221" s="972"/>
      <c r="S221" s="3503"/>
      <c r="T221" s="3504"/>
      <c r="U221" s="3504"/>
      <c r="V221" s="3504"/>
      <c r="W221" s="3505"/>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74"/>
      <c r="JX221" s="508"/>
      <c r="JY221" s="508"/>
      <c r="JZ221" s="508"/>
      <c r="KA221" s="508"/>
      <c r="KB221" s="2474"/>
      <c r="KC221" s="2474"/>
      <c r="KD221" s="2474"/>
      <c r="KE221" s="2474"/>
      <c r="KF221" s="2474"/>
      <c r="KG221" s="2474"/>
      <c r="KH221" s="2474"/>
      <c r="KI221" s="2474"/>
      <c r="KJ221" s="2474"/>
      <c r="KK221" s="2474"/>
      <c r="KL221" s="2474"/>
      <c r="KM221" s="2474"/>
      <c r="KN221" s="2474"/>
      <c r="KO221" s="2474"/>
      <c r="KP221" s="2474"/>
      <c r="KQ221" s="2474"/>
      <c r="KR221" s="2474"/>
      <c r="KS221" s="2474"/>
      <c r="KT221" s="2474"/>
      <c r="KU221" s="2474"/>
      <c r="KV221" s="2474"/>
      <c r="KW221" s="2474"/>
      <c r="KX221" s="2474"/>
      <c r="KY221" s="2474"/>
      <c r="KZ221" s="2474"/>
      <c r="LA221" s="2474"/>
      <c r="LB221" s="2474"/>
      <c r="LC221" s="2474"/>
      <c r="LD221" s="2474"/>
      <c r="LE221" s="2474"/>
      <c r="LF221" s="2474"/>
      <c r="LG221" s="2474"/>
      <c r="LH221" s="2474"/>
      <c r="LI221" s="2474"/>
      <c r="LJ221" s="2474"/>
      <c r="LK221" s="2474"/>
      <c r="LL221" s="2474"/>
      <c r="LM221" s="2474"/>
      <c r="LN221" s="2474"/>
      <c r="LO221" s="2474"/>
      <c r="LP221" s="2474"/>
      <c r="LQ221" s="2474"/>
      <c r="LR221" s="508"/>
      <c r="LS221" s="508"/>
      <c r="LT221" s="508"/>
      <c r="LU221" s="508"/>
      <c r="LV221" s="508"/>
      <c r="LW221" s="508"/>
      <c r="LX221" s="2475"/>
      <c r="LY221" s="508"/>
      <c r="LZ221" s="508"/>
      <c r="MA221" s="508"/>
      <c r="MB221" s="508"/>
      <c r="MC221" s="508"/>
      <c r="MD221" s="508"/>
      <c r="ME221" s="508"/>
      <c r="MF221" s="508"/>
      <c r="MG221" s="508"/>
      <c r="MH221" s="508"/>
      <c r="MI221" s="508"/>
      <c r="MJ221" s="508"/>
      <c r="MK221" s="508"/>
      <c r="ML221" s="508"/>
      <c r="MM221" s="508"/>
      <c r="MN221" s="2475"/>
      <c r="MO221" s="2475"/>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1213</v>
      </c>
      <c r="C222" s="1"/>
      <c r="D222" s="1"/>
      <c r="E222" s="1"/>
      <c r="F222" s="3525">
        <v>20000</v>
      </c>
      <c r="G222" s="3526"/>
      <c r="H222" s="1"/>
      <c r="I222" s="1"/>
      <c r="K222" s="125" t="s">
        <v>187</v>
      </c>
      <c r="L222" s="3540">
        <f>SUM(L220:M221)</f>
        <v>0</v>
      </c>
      <c r="M222" s="3541"/>
      <c r="N222" s="1"/>
      <c r="O222" s="36" t="s">
        <v>3549</v>
      </c>
      <c r="P222" s="1094"/>
      <c r="Q222" s="1094"/>
      <c r="R222" s="972"/>
      <c r="S222" s="3503"/>
      <c r="T222" s="3504"/>
      <c r="U222" s="3504"/>
      <c r="V222" s="3504"/>
      <c r="W222" s="3505"/>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74"/>
      <c r="JX222" s="508"/>
      <c r="JY222" s="508"/>
      <c r="JZ222" s="508"/>
      <c r="KA222" s="508"/>
      <c r="KB222" s="2474"/>
      <c r="KC222" s="2474"/>
      <c r="KD222" s="2474"/>
      <c r="KE222" s="2474"/>
      <c r="KF222" s="2474"/>
      <c r="KG222" s="2474"/>
      <c r="KH222" s="2474"/>
      <c r="KI222" s="2474"/>
      <c r="KJ222" s="2474"/>
      <c r="KK222" s="2474"/>
      <c r="KL222" s="2474"/>
      <c r="KM222" s="2474"/>
      <c r="KN222" s="2474"/>
      <c r="KO222" s="2474"/>
      <c r="KP222" s="2474"/>
      <c r="KQ222" s="2474"/>
      <c r="KR222" s="2474"/>
      <c r="KS222" s="2474"/>
      <c r="KT222" s="2474"/>
      <c r="KU222" s="2474"/>
      <c r="KV222" s="2474"/>
      <c r="KW222" s="2474"/>
      <c r="KX222" s="2474"/>
      <c r="KY222" s="2474"/>
      <c r="KZ222" s="2474"/>
      <c r="LA222" s="2474"/>
      <c r="LB222" s="2474"/>
      <c r="LC222" s="2474"/>
      <c r="LD222" s="2474"/>
      <c r="LE222" s="2474"/>
      <c r="LF222" s="2474"/>
      <c r="LG222" s="2474"/>
      <c r="LH222" s="2474"/>
      <c r="LI222" s="2474"/>
      <c r="LJ222" s="2474"/>
      <c r="LK222" s="2474"/>
      <c r="LL222" s="2474"/>
      <c r="LM222" s="2474"/>
      <c r="LN222" s="2474"/>
      <c r="LO222" s="2474"/>
      <c r="LP222" s="2474"/>
      <c r="LQ222" s="2474"/>
      <c r="LR222" s="508"/>
      <c r="LS222" s="508"/>
      <c r="LT222" s="508"/>
      <c r="LU222" s="508"/>
      <c r="LV222" s="508"/>
      <c r="LW222" s="508"/>
      <c r="LX222" s="2475"/>
      <c r="LY222" s="508"/>
      <c r="LZ222" s="508"/>
      <c r="MA222" s="508"/>
      <c r="MB222" s="508"/>
      <c r="MC222" s="508"/>
      <c r="MD222" s="508"/>
      <c r="ME222" s="508"/>
      <c r="MF222" s="508"/>
      <c r="MG222" s="508"/>
      <c r="MH222" s="508"/>
      <c r="MI222" s="508"/>
      <c r="MJ222" s="508"/>
      <c r="MK222" s="508"/>
      <c r="ML222" s="508"/>
      <c r="MM222" s="508"/>
      <c r="MN222" s="2475"/>
      <c r="MO222" s="2475"/>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1" t="s">
        <v>4705</v>
      </c>
      <c r="F223" s="3525"/>
      <c r="G223" s="3526"/>
      <c r="H223" s="1"/>
      <c r="I223" s="1"/>
      <c r="K223" s="1"/>
      <c r="L223" s="1"/>
      <c r="M223" s="1"/>
      <c r="N223" s="1"/>
      <c r="R223" s="968"/>
      <c r="S223" s="3503"/>
      <c r="T223" s="3504"/>
      <c r="U223" s="3504"/>
      <c r="V223" s="3504"/>
      <c r="W223" s="3505"/>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74"/>
      <c r="JX223" s="508"/>
      <c r="JY223" s="508"/>
      <c r="JZ223" s="508"/>
      <c r="KA223" s="508"/>
      <c r="KB223" s="2474"/>
      <c r="KC223" s="2474"/>
      <c r="KD223" s="2474"/>
      <c r="KE223" s="2474"/>
      <c r="KF223" s="2474"/>
      <c r="KG223" s="2474"/>
      <c r="KH223" s="2474"/>
      <c r="KI223" s="2474"/>
      <c r="KJ223" s="2474"/>
      <c r="KK223" s="2474"/>
      <c r="KL223" s="2474"/>
      <c r="KM223" s="2474"/>
      <c r="KN223" s="2474"/>
      <c r="KO223" s="2474"/>
      <c r="KP223" s="2474"/>
      <c r="KQ223" s="2474"/>
      <c r="KR223" s="2474"/>
      <c r="KS223" s="2474"/>
      <c r="KT223" s="2474"/>
      <c r="KU223" s="2474"/>
      <c r="KV223" s="2474"/>
      <c r="KW223" s="2474"/>
      <c r="KX223" s="2474"/>
      <c r="KY223" s="2474"/>
      <c r="KZ223" s="2474"/>
      <c r="LA223" s="2474"/>
      <c r="LB223" s="2474"/>
      <c r="LC223" s="2474"/>
      <c r="LD223" s="2474"/>
      <c r="LE223" s="2474"/>
      <c r="LF223" s="2474"/>
      <c r="LG223" s="2474"/>
      <c r="LH223" s="2474"/>
      <c r="LI223" s="2474"/>
      <c r="LJ223" s="2474"/>
      <c r="LK223" s="2474"/>
      <c r="LL223" s="2474"/>
      <c r="LM223" s="2474"/>
      <c r="LN223" s="2474"/>
      <c r="LO223" s="2474"/>
      <c r="LP223" s="2474"/>
      <c r="LQ223" s="2474"/>
      <c r="LR223" s="508"/>
      <c r="LS223" s="508"/>
      <c r="LT223" s="508"/>
      <c r="LU223" s="508"/>
      <c r="LV223" s="508"/>
      <c r="LW223" s="508"/>
      <c r="LX223" s="2475"/>
      <c r="LY223" s="508"/>
      <c r="LZ223" s="508"/>
      <c r="MA223" s="508"/>
      <c r="MB223" s="508"/>
      <c r="MC223" s="508"/>
      <c r="MD223" s="508"/>
      <c r="ME223" s="508"/>
      <c r="MF223" s="508"/>
      <c r="MG223" s="508"/>
      <c r="MH223" s="508"/>
      <c r="MI223" s="508"/>
      <c r="MJ223" s="508"/>
      <c r="MK223" s="508"/>
      <c r="ML223" s="508"/>
      <c r="MM223" s="508"/>
      <c r="MN223" s="2475"/>
      <c r="MO223" s="2475"/>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1" t="s">
        <v>4706</v>
      </c>
      <c r="F224" s="3525">
        <v>30000</v>
      </c>
      <c r="G224" s="3526"/>
      <c r="H224" s="1"/>
      <c r="I224" s="1"/>
      <c r="K224" s="1"/>
      <c r="L224" s="1"/>
      <c r="M224" s="1"/>
      <c r="N224" s="1"/>
      <c r="R224" s="968"/>
      <c r="S224" s="3503"/>
      <c r="T224" s="3504"/>
      <c r="U224" s="3504"/>
      <c r="V224" s="3504"/>
      <c r="W224" s="3505"/>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74"/>
      <c r="JX224" s="508"/>
      <c r="JY224" s="508"/>
      <c r="JZ224" s="508"/>
      <c r="KA224" s="508"/>
      <c r="KB224" s="2474"/>
      <c r="KC224" s="2474"/>
      <c r="KD224" s="2474"/>
      <c r="KE224" s="2474"/>
      <c r="KF224" s="2474"/>
      <c r="KG224" s="2474"/>
      <c r="KH224" s="2474"/>
      <c r="KI224" s="2474"/>
      <c r="KJ224" s="2474"/>
      <c r="KK224" s="2474"/>
      <c r="KL224" s="2474"/>
      <c r="KM224" s="2474"/>
      <c r="KN224" s="2474"/>
      <c r="KO224" s="2474"/>
      <c r="KP224" s="2474"/>
      <c r="KQ224" s="2474"/>
      <c r="KR224" s="2474"/>
      <c r="KS224" s="2474"/>
      <c r="KT224" s="2474"/>
      <c r="KU224" s="2474"/>
      <c r="KV224" s="2474"/>
      <c r="KW224" s="2474"/>
      <c r="KX224" s="2474"/>
      <c r="KY224" s="2474"/>
      <c r="KZ224" s="2474"/>
      <c r="LA224" s="2474"/>
      <c r="LB224" s="2474"/>
      <c r="LC224" s="2474"/>
      <c r="LD224" s="2474"/>
      <c r="LE224" s="2474"/>
      <c r="LF224" s="2474"/>
      <c r="LG224" s="2474"/>
      <c r="LH224" s="2474"/>
      <c r="LI224" s="2474"/>
      <c r="LJ224" s="2474"/>
      <c r="LK224" s="2474"/>
      <c r="LL224" s="2474"/>
      <c r="LM224" s="2474"/>
      <c r="LN224" s="2474"/>
      <c r="LO224" s="2474"/>
      <c r="LP224" s="2474"/>
      <c r="LQ224" s="2474"/>
      <c r="LR224" s="508"/>
      <c r="LS224" s="508"/>
      <c r="LT224" s="508"/>
      <c r="LU224" s="508"/>
      <c r="LV224" s="508"/>
      <c r="LW224" s="508"/>
      <c r="LX224" s="2475"/>
      <c r="LY224" s="508"/>
      <c r="LZ224" s="508"/>
      <c r="MA224" s="508"/>
      <c r="MB224" s="508"/>
      <c r="MC224" s="508"/>
      <c r="MD224" s="508"/>
      <c r="ME224" s="508"/>
      <c r="MF224" s="508"/>
      <c r="MG224" s="508"/>
      <c r="MH224" s="508"/>
      <c r="MI224" s="508"/>
      <c r="MJ224" s="508"/>
      <c r="MK224" s="508"/>
      <c r="ML224" s="508"/>
      <c r="MM224" s="508"/>
      <c r="MN224" s="2475"/>
      <c r="MO224" s="2475"/>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55" t="s">
        <v>49</v>
      </c>
      <c r="C225" s="3556"/>
      <c r="D225" s="3556"/>
      <c r="E225" s="3557"/>
      <c r="F225" s="3538"/>
      <c r="G225" s="3539"/>
      <c r="H225" s="1"/>
      <c r="I225" s="10" t="s">
        <v>1266</v>
      </c>
      <c r="K225" s="1"/>
      <c r="L225" s="1"/>
      <c r="M225" s="1"/>
      <c r="N225" s="1"/>
      <c r="R225" s="968"/>
      <c r="S225" s="3503"/>
      <c r="T225" s="3504"/>
      <c r="U225" s="3504"/>
      <c r="V225" s="3504"/>
      <c r="W225" s="3505"/>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74"/>
      <c r="JX225" s="508"/>
      <c r="JY225" s="508"/>
      <c r="JZ225" s="508"/>
      <c r="KA225" s="508"/>
      <c r="KB225" s="2474"/>
      <c r="KC225" s="2474"/>
      <c r="KD225" s="2474"/>
      <c r="KE225" s="2474"/>
      <c r="KF225" s="2474"/>
      <c r="KG225" s="2474"/>
      <c r="KH225" s="2474"/>
      <c r="KI225" s="2474"/>
      <c r="KJ225" s="2474"/>
      <c r="KK225" s="2474"/>
      <c r="KL225" s="2474"/>
      <c r="KM225" s="2474"/>
      <c r="KN225" s="2474"/>
      <c r="KO225" s="2474"/>
      <c r="KP225" s="2474"/>
      <c r="KQ225" s="2474"/>
      <c r="KR225" s="2474"/>
      <c r="KS225" s="2474"/>
      <c r="KT225" s="2474"/>
      <c r="KU225" s="2474"/>
      <c r="KV225" s="2474"/>
      <c r="KW225" s="2474"/>
      <c r="KX225" s="2474"/>
      <c r="KY225" s="2474"/>
      <c r="KZ225" s="2474"/>
      <c r="LA225" s="2474"/>
      <c r="LB225" s="2474"/>
      <c r="LC225" s="2474"/>
      <c r="LD225" s="2474"/>
      <c r="LE225" s="2474"/>
      <c r="LF225" s="2474"/>
      <c r="LG225" s="2474"/>
      <c r="LH225" s="2474"/>
      <c r="LI225" s="2474"/>
      <c r="LJ225" s="2474"/>
      <c r="LK225" s="2474"/>
      <c r="LL225" s="2474"/>
      <c r="LM225" s="2474"/>
      <c r="LN225" s="2474"/>
      <c r="LO225" s="2474"/>
      <c r="LP225" s="2474"/>
      <c r="LQ225" s="2474"/>
      <c r="LR225" s="508"/>
      <c r="LS225" s="508"/>
      <c r="LT225" s="508"/>
      <c r="LU225" s="508"/>
      <c r="LV225" s="508"/>
      <c r="LW225" s="508"/>
      <c r="LX225" s="2475"/>
      <c r="LY225" s="508"/>
      <c r="LZ225" s="508"/>
      <c r="MA225" s="508"/>
      <c r="MB225" s="508"/>
      <c r="MC225" s="508"/>
      <c r="MD225" s="508"/>
      <c r="ME225" s="508"/>
      <c r="MF225" s="508"/>
      <c r="MG225" s="508"/>
      <c r="MH225" s="508"/>
      <c r="MI225" s="508"/>
      <c r="MJ225" s="508"/>
      <c r="MK225" s="508"/>
      <c r="ML225" s="508"/>
      <c r="MM225" s="508"/>
      <c r="MN225" s="2475"/>
      <c r="MO225" s="2475"/>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40">
        <f>SUM(F220:G225)</f>
        <v>255000</v>
      </c>
      <c r="G226" s="3541"/>
      <c r="H226" s="1"/>
      <c r="I226" s="1" t="s">
        <v>1569</v>
      </c>
      <c r="K226" s="1"/>
      <c r="L226" s="3544">
        <v>12000</v>
      </c>
      <c r="M226" s="3545"/>
      <c r="N226" s="1"/>
      <c r="R226" s="1"/>
      <c r="S226" s="3503"/>
      <c r="T226" s="3504"/>
      <c r="U226" s="3504"/>
      <c r="V226" s="3504"/>
      <c r="W226" s="3505"/>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74"/>
      <c r="JX226" s="508"/>
      <c r="JY226" s="508"/>
      <c r="JZ226" s="508"/>
      <c r="KA226" s="508"/>
      <c r="KB226" s="2474"/>
      <c r="KC226" s="2474"/>
      <c r="KD226" s="2474"/>
      <c r="KE226" s="2474"/>
      <c r="KF226" s="2474"/>
      <c r="KG226" s="2474"/>
      <c r="KH226" s="2474"/>
      <c r="KI226" s="2474"/>
      <c r="KJ226" s="2474"/>
      <c r="KK226" s="2474"/>
      <c r="KL226" s="2474"/>
      <c r="KM226" s="2474"/>
      <c r="KN226" s="2474"/>
      <c r="KO226" s="2474"/>
      <c r="KP226" s="2474"/>
      <c r="KQ226" s="2474"/>
      <c r="KR226" s="2474"/>
      <c r="KS226" s="2474"/>
      <c r="KT226" s="2474"/>
      <c r="KU226" s="2474"/>
      <c r="KV226" s="2474"/>
      <c r="KW226" s="2474"/>
      <c r="KX226" s="2474"/>
      <c r="KY226" s="2474"/>
      <c r="KZ226" s="2474"/>
      <c r="LA226" s="2474"/>
      <c r="LB226" s="2474"/>
      <c r="LC226" s="2474"/>
      <c r="LD226" s="2474"/>
      <c r="LE226" s="2474"/>
      <c r="LF226" s="2474"/>
      <c r="LG226" s="2474"/>
      <c r="LH226" s="2474"/>
      <c r="LI226" s="2474"/>
      <c r="LJ226" s="2474"/>
      <c r="LK226" s="2474"/>
      <c r="LL226" s="2474"/>
      <c r="LM226" s="2474"/>
      <c r="LN226" s="2474"/>
      <c r="LO226" s="2474"/>
      <c r="LP226" s="2474"/>
      <c r="LQ226" s="2474"/>
      <c r="LR226" s="508"/>
      <c r="LS226" s="508"/>
      <c r="LT226" s="508"/>
      <c r="LU226" s="508"/>
      <c r="LV226" s="508"/>
      <c r="LW226" s="508"/>
      <c r="LX226" s="2475"/>
      <c r="LY226" s="508"/>
      <c r="LZ226" s="508"/>
      <c r="MA226" s="508"/>
      <c r="MB226" s="508"/>
      <c r="MC226" s="508"/>
      <c r="MD226" s="508"/>
      <c r="ME226" s="508"/>
      <c r="MF226" s="508"/>
      <c r="MG226" s="508"/>
      <c r="MH226" s="508"/>
      <c r="MI226" s="508"/>
      <c r="MJ226" s="508"/>
      <c r="MK226" s="508"/>
      <c r="ML226" s="508"/>
      <c r="MM226" s="508"/>
      <c r="MN226" s="2475"/>
      <c r="MO226" s="2475"/>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2001</v>
      </c>
      <c r="K227" s="1"/>
      <c r="L227" s="3548">
        <v>14000</v>
      </c>
      <c r="M227" s="3549"/>
      <c r="N227" s="3577" t="str">
        <f>IF(Q229="","",IF(Q227&lt;Q229, "WARNING! OE below required minimum.",""))</f>
        <v/>
      </c>
      <c r="O227" s="10" t="s">
        <v>2136</v>
      </c>
      <c r="P227" s="5"/>
      <c r="Q227" s="459">
        <f>F226+F235+F246+L222+L230+L239+L246+Q219</f>
        <v>934542</v>
      </c>
      <c r="R227" s="5"/>
      <c r="S227" s="3503"/>
      <c r="T227" s="3504"/>
      <c r="U227" s="3504"/>
      <c r="V227" s="3504"/>
      <c r="W227" s="3505"/>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74"/>
      <c r="JX227" s="508"/>
      <c r="JY227" s="508"/>
      <c r="JZ227" s="508"/>
      <c r="KA227" s="508"/>
      <c r="KB227" s="2474"/>
      <c r="KC227" s="2474"/>
      <c r="KD227" s="2474"/>
      <c r="KE227" s="2474"/>
      <c r="KF227" s="2474"/>
      <c r="KG227" s="2474"/>
      <c r="KH227" s="2474"/>
      <c r="KI227" s="2474"/>
      <c r="KJ227" s="2474"/>
      <c r="KK227" s="2474"/>
      <c r="KL227" s="2474"/>
      <c r="KM227" s="2474"/>
      <c r="KN227" s="2474"/>
      <c r="KO227" s="2474"/>
      <c r="KP227" s="2474"/>
      <c r="KQ227" s="2474"/>
      <c r="KR227" s="2474"/>
      <c r="KS227" s="2474"/>
      <c r="KT227" s="2474"/>
      <c r="KU227" s="2474"/>
      <c r="KV227" s="2474"/>
      <c r="KW227" s="2474"/>
      <c r="KX227" s="2474"/>
      <c r="KY227" s="2474"/>
      <c r="KZ227" s="2474"/>
      <c r="LA227" s="2474"/>
      <c r="LB227" s="2474"/>
      <c r="LC227" s="2474"/>
      <c r="LD227" s="2474"/>
      <c r="LE227" s="2474"/>
      <c r="LF227" s="2474"/>
      <c r="LG227" s="2474"/>
      <c r="LH227" s="2474"/>
      <c r="LI227" s="2474"/>
      <c r="LJ227" s="2474"/>
      <c r="LK227" s="2474"/>
      <c r="LL227" s="2474"/>
      <c r="LM227" s="2474"/>
      <c r="LN227" s="2474"/>
      <c r="LO227" s="2474"/>
      <c r="LP227" s="2474"/>
      <c r="LQ227" s="2474"/>
      <c r="LR227" s="508"/>
      <c r="LS227" s="508"/>
      <c r="LT227" s="508"/>
      <c r="LU227" s="508"/>
      <c r="LV227" s="508"/>
      <c r="LW227" s="508"/>
      <c r="LX227" s="2475"/>
      <c r="LY227" s="508"/>
      <c r="LZ227" s="508"/>
      <c r="MA227" s="508"/>
      <c r="MB227" s="508"/>
      <c r="MC227" s="508"/>
      <c r="MD227" s="508"/>
      <c r="ME227" s="508"/>
      <c r="MF227" s="508"/>
      <c r="MG227" s="508"/>
      <c r="MH227" s="508"/>
      <c r="MI227" s="508"/>
      <c r="MJ227" s="508"/>
      <c r="MK227" s="508"/>
      <c r="ML227" s="508"/>
      <c r="MM227" s="508"/>
      <c r="MN227" s="2475"/>
      <c r="MO227" s="2475"/>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1265</v>
      </c>
      <c r="C228" s="1"/>
      <c r="D228" s="9"/>
      <c r="E228" s="1"/>
      <c r="F228" s="1"/>
      <c r="G228" s="1"/>
      <c r="H228" s="1"/>
      <c r="I228" s="1" t="s">
        <v>1570</v>
      </c>
      <c r="K228" s="1"/>
      <c r="L228" s="3548">
        <v>4000</v>
      </c>
      <c r="M228" s="3549"/>
      <c r="N228" s="3577"/>
      <c r="O228" s="66" t="s">
        <v>2669</v>
      </c>
      <c r="P228" s="449">
        <f>+Q227/P67</f>
        <v>4672.71</v>
      </c>
      <c r="R228" s="969"/>
      <c r="S228" s="3503"/>
      <c r="T228" s="3504"/>
      <c r="U228" s="3504"/>
      <c r="V228" s="3504"/>
      <c r="W228" s="3505"/>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74"/>
      <c r="JX228" s="508"/>
      <c r="JY228" s="508"/>
      <c r="JZ228" s="508"/>
      <c r="KA228" s="508"/>
      <c r="KB228" s="2474"/>
      <c r="KC228" s="2474"/>
      <c r="KD228" s="2474"/>
      <c r="KE228" s="2474"/>
      <c r="KF228" s="2474"/>
      <c r="KG228" s="2474"/>
      <c r="KH228" s="2474"/>
      <c r="KI228" s="2474"/>
      <c r="KJ228" s="2474"/>
      <c r="KK228" s="2474"/>
      <c r="KL228" s="2474"/>
      <c r="KM228" s="2474"/>
      <c r="KN228" s="2474"/>
      <c r="KO228" s="2474"/>
      <c r="KP228" s="2474"/>
      <c r="KQ228" s="2474"/>
      <c r="KR228" s="2474"/>
      <c r="KS228" s="2474"/>
      <c r="KT228" s="2474"/>
      <c r="KU228" s="2474"/>
      <c r="KV228" s="2474"/>
      <c r="KW228" s="2474"/>
      <c r="KX228" s="2474"/>
      <c r="KY228" s="2474"/>
      <c r="KZ228" s="2474"/>
      <c r="LA228" s="2474"/>
      <c r="LB228" s="2474"/>
      <c r="LC228" s="2474"/>
      <c r="LD228" s="2474"/>
      <c r="LE228" s="2474"/>
      <c r="LF228" s="2474"/>
      <c r="LG228" s="2474"/>
      <c r="LH228" s="2474"/>
      <c r="LI228" s="2474"/>
      <c r="LJ228" s="2474"/>
      <c r="LK228" s="2474"/>
      <c r="LL228" s="2474"/>
      <c r="LM228" s="2474"/>
      <c r="LN228" s="2474"/>
      <c r="LO228" s="2474"/>
      <c r="LP228" s="2474"/>
      <c r="LQ228" s="2474"/>
      <c r="LR228" s="508"/>
      <c r="LS228" s="508"/>
      <c r="LT228" s="508"/>
      <c r="LU228" s="508"/>
      <c r="LV228" s="508"/>
      <c r="LW228" s="508"/>
      <c r="LX228" s="2475"/>
      <c r="LY228" s="508"/>
      <c r="LZ228" s="508"/>
      <c r="MA228" s="508"/>
      <c r="MB228" s="508"/>
      <c r="MC228" s="508"/>
      <c r="MD228" s="508"/>
      <c r="ME228" s="508"/>
      <c r="MF228" s="508"/>
      <c r="MG228" s="508"/>
      <c r="MH228" s="508"/>
      <c r="MI228" s="508"/>
      <c r="MJ228" s="508"/>
      <c r="MK228" s="508"/>
      <c r="ML228" s="508"/>
      <c r="MM228" s="508"/>
      <c r="MN228" s="2475"/>
      <c r="MO228" s="2475"/>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1345</v>
      </c>
      <c r="C229" s="1"/>
      <c r="D229" s="9"/>
      <c r="E229" s="1"/>
      <c r="F229" s="3558">
        <v>12950</v>
      </c>
      <c r="G229" s="3559"/>
      <c r="H229" s="1"/>
      <c r="I229" s="3528" t="s">
        <v>49</v>
      </c>
      <c r="J229" s="3529"/>
      <c r="K229" s="3530"/>
      <c r="L229" s="3550"/>
      <c r="M229" s="3551"/>
      <c r="N229" s="3577"/>
      <c r="P229" s="1095" t="s">
        <v>3550</v>
      </c>
      <c r="Q229" s="1096">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900000</v>
      </c>
      <c r="R229" s="1"/>
      <c r="S229" s="3503"/>
      <c r="T229" s="3504"/>
      <c r="U229" s="3504"/>
      <c r="V229" s="3504"/>
      <c r="W229" s="3505"/>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74"/>
      <c r="JX229" s="508"/>
      <c r="JY229" s="508"/>
      <c r="JZ229" s="508"/>
      <c r="KA229" s="508"/>
      <c r="KB229" s="2474"/>
      <c r="KC229" s="2474"/>
      <c r="KD229" s="2474"/>
      <c r="KE229" s="2474"/>
      <c r="KF229" s="2474"/>
      <c r="KG229" s="2474"/>
      <c r="KH229" s="2474"/>
      <c r="KI229" s="2474"/>
      <c r="KJ229" s="2474"/>
      <c r="KK229" s="2474"/>
      <c r="KL229" s="2474"/>
      <c r="KM229" s="2474"/>
      <c r="KN229" s="2474"/>
      <c r="KO229" s="2474"/>
      <c r="KP229" s="2474"/>
      <c r="KQ229" s="2474"/>
      <c r="KR229" s="2474"/>
      <c r="KS229" s="2474"/>
      <c r="KT229" s="2474"/>
      <c r="KU229" s="2474"/>
      <c r="KV229" s="2474"/>
      <c r="KW229" s="2474"/>
      <c r="KX229" s="2474"/>
      <c r="KY229" s="2474"/>
      <c r="KZ229" s="2474"/>
      <c r="LA229" s="2474"/>
      <c r="LB229" s="2474"/>
      <c r="LC229" s="2474"/>
      <c r="LD229" s="2474"/>
      <c r="LE229" s="2474"/>
      <c r="LF229" s="2474"/>
      <c r="LG229" s="2474"/>
      <c r="LH229" s="2474"/>
      <c r="LI229" s="2474"/>
      <c r="LJ229" s="2474"/>
      <c r="LK229" s="2474"/>
      <c r="LL229" s="2474"/>
      <c r="LM229" s="2474"/>
      <c r="LN229" s="2474"/>
      <c r="LO229" s="2474"/>
      <c r="LP229" s="2474"/>
      <c r="LQ229" s="2474"/>
      <c r="LR229" s="508"/>
      <c r="LS229" s="508"/>
      <c r="LT229" s="508"/>
      <c r="LU229" s="508"/>
      <c r="LV229" s="508"/>
      <c r="LW229" s="508"/>
      <c r="LX229" s="2475"/>
      <c r="LY229" s="508"/>
      <c r="LZ229" s="508"/>
      <c r="MA229" s="508"/>
      <c r="MB229" s="508"/>
      <c r="MC229" s="508"/>
      <c r="MD229" s="508"/>
      <c r="ME229" s="508"/>
      <c r="MF229" s="508"/>
      <c r="MG229" s="508"/>
      <c r="MH229" s="508"/>
      <c r="MI229" s="508"/>
      <c r="MJ229" s="508"/>
      <c r="MK229" s="508"/>
      <c r="ML229" s="508"/>
      <c r="MM229" s="508"/>
      <c r="MN229" s="2475"/>
      <c r="MO229" s="2475"/>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1346</v>
      </c>
      <c r="C230" s="1"/>
      <c r="D230" s="9"/>
      <c r="E230" s="1"/>
      <c r="F230" s="3525">
        <v>5000</v>
      </c>
      <c r="G230" s="3526"/>
      <c r="H230" s="1"/>
      <c r="I230" s="10"/>
      <c r="K230" s="11" t="s">
        <v>187</v>
      </c>
      <c r="L230" s="3523">
        <f>SUM(L226:L229)</f>
        <v>30000</v>
      </c>
      <c r="M230" s="3527"/>
      <c r="N230" s="3577"/>
      <c r="R230" s="1"/>
      <c r="S230" s="3503"/>
      <c r="T230" s="3504"/>
      <c r="U230" s="3504"/>
      <c r="V230" s="3504"/>
      <c r="W230" s="3505"/>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74"/>
      <c r="JX230" s="508"/>
      <c r="JY230" s="508"/>
      <c r="JZ230" s="508"/>
      <c r="KA230" s="508"/>
      <c r="KB230" s="2474"/>
      <c r="KC230" s="2474"/>
      <c r="KD230" s="2474"/>
      <c r="KE230" s="2474"/>
      <c r="KF230" s="2474"/>
      <c r="KG230" s="2474"/>
      <c r="KH230" s="2474"/>
      <c r="KI230" s="2474"/>
      <c r="KJ230" s="2474"/>
      <c r="KK230" s="2474"/>
      <c r="KL230" s="2474"/>
      <c r="KM230" s="2474"/>
      <c r="KN230" s="2474"/>
      <c r="KO230" s="2474"/>
      <c r="KP230" s="2474"/>
      <c r="KQ230" s="2474"/>
      <c r="KR230" s="2474"/>
      <c r="KS230" s="2474"/>
      <c r="KT230" s="2474"/>
      <c r="KU230" s="2474"/>
      <c r="KV230" s="2474"/>
      <c r="KW230" s="2474"/>
      <c r="KX230" s="2474"/>
      <c r="KY230" s="2474"/>
      <c r="KZ230" s="2474"/>
      <c r="LA230" s="2474"/>
      <c r="LB230" s="2474"/>
      <c r="LC230" s="2474"/>
      <c r="LD230" s="2474"/>
      <c r="LE230" s="2474"/>
      <c r="LF230" s="2474"/>
      <c r="LG230" s="2474"/>
      <c r="LH230" s="2474"/>
      <c r="LI230" s="2474"/>
      <c r="LJ230" s="2474"/>
      <c r="LK230" s="2474"/>
      <c r="LL230" s="2474"/>
      <c r="LM230" s="2474"/>
      <c r="LN230" s="2474"/>
      <c r="LO230" s="2474"/>
      <c r="LP230" s="2474"/>
      <c r="LQ230" s="2474"/>
      <c r="LR230" s="508"/>
      <c r="LS230" s="508"/>
      <c r="LT230" s="508"/>
      <c r="LU230" s="508"/>
      <c r="LV230" s="508"/>
      <c r="LW230" s="508"/>
      <c r="LX230" s="2475"/>
      <c r="LY230" s="508"/>
      <c r="LZ230" s="508"/>
      <c r="MA230" s="508"/>
      <c r="MB230" s="508"/>
      <c r="MC230" s="508"/>
      <c r="MD230" s="508"/>
      <c r="ME230" s="508"/>
      <c r="MF230" s="508"/>
      <c r="MG230" s="508"/>
      <c r="MH230" s="508"/>
      <c r="MI230" s="508"/>
      <c r="MJ230" s="508"/>
      <c r="MK230" s="508"/>
      <c r="ML230" s="508"/>
      <c r="MM230" s="508"/>
      <c r="MN230" s="2475"/>
      <c r="MO230" s="2475"/>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1347</v>
      </c>
      <c r="C231" s="1"/>
      <c r="D231" s="9"/>
      <c r="E231" s="1"/>
      <c r="F231" s="3525">
        <v>1250</v>
      </c>
      <c r="G231" s="3526"/>
      <c r="H231" s="1"/>
      <c r="N231" s="1"/>
      <c r="R231" s="1374"/>
      <c r="S231" s="3503"/>
      <c r="T231" s="3504"/>
      <c r="U231" s="3504"/>
      <c r="V231" s="3504"/>
      <c r="W231" s="3505"/>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74"/>
      <c r="JX231" s="508"/>
      <c r="JY231" s="508"/>
      <c r="JZ231" s="508"/>
      <c r="KA231" s="508"/>
      <c r="KB231" s="2474"/>
      <c r="KC231" s="2474"/>
      <c r="KD231" s="2474"/>
      <c r="KE231" s="2474"/>
      <c r="KF231" s="2474"/>
      <c r="KG231" s="2474"/>
      <c r="KH231" s="2474"/>
      <c r="KI231" s="2474"/>
      <c r="KJ231" s="2474"/>
      <c r="KK231" s="2474"/>
      <c r="KL231" s="2474"/>
      <c r="KM231" s="2474"/>
      <c r="KN231" s="2474"/>
      <c r="KO231" s="2474"/>
      <c r="KP231" s="2474"/>
      <c r="KQ231" s="2474"/>
      <c r="KR231" s="2474"/>
      <c r="KS231" s="2474"/>
      <c r="KT231" s="2474"/>
      <c r="KU231" s="2474"/>
      <c r="KV231" s="2474"/>
      <c r="KW231" s="2474"/>
      <c r="KX231" s="2474"/>
      <c r="KY231" s="2474"/>
      <c r="KZ231" s="2474"/>
      <c r="LA231" s="2474"/>
      <c r="LB231" s="2474"/>
      <c r="LC231" s="2474"/>
      <c r="LD231" s="2474"/>
      <c r="LE231" s="2474"/>
      <c r="LF231" s="2474"/>
      <c r="LG231" s="2474"/>
      <c r="LH231" s="2474"/>
      <c r="LI231" s="2474"/>
      <c r="LJ231" s="2474"/>
      <c r="LK231" s="2474"/>
      <c r="LL231" s="2474"/>
      <c r="LM231" s="2474"/>
      <c r="LN231" s="2474"/>
      <c r="LO231" s="2474"/>
      <c r="LP231" s="2474"/>
      <c r="LQ231" s="2474"/>
      <c r="LR231" s="508"/>
      <c r="LS231" s="508"/>
      <c r="LT231" s="508"/>
      <c r="LU231" s="508"/>
      <c r="LV231" s="508"/>
      <c r="LW231" s="508"/>
      <c r="LX231" s="2475"/>
      <c r="LY231" s="508"/>
      <c r="LZ231" s="508"/>
      <c r="MA231" s="508"/>
      <c r="MB231" s="508"/>
      <c r="MC231" s="508"/>
      <c r="MD231" s="508"/>
      <c r="ME231" s="508"/>
      <c r="MF231" s="508"/>
      <c r="MG231" s="508"/>
      <c r="MH231" s="508"/>
      <c r="MI231" s="508"/>
      <c r="MJ231" s="508"/>
      <c r="MK231" s="508"/>
      <c r="ML231" s="508"/>
      <c r="MM231" s="508"/>
      <c r="MN231" s="2475"/>
      <c r="MO231" s="2475"/>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2282</v>
      </c>
      <c r="C232" s="1"/>
      <c r="D232" s="9"/>
      <c r="E232" s="1"/>
      <c r="F232" s="3525">
        <v>10000</v>
      </c>
      <c r="G232" s="3526"/>
      <c r="H232" s="1"/>
      <c r="L232" s="1"/>
      <c r="M232" s="1"/>
      <c r="N232" s="1"/>
      <c r="R232" s="1374"/>
      <c r="S232" s="3503"/>
      <c r="T232" s="3504"/>
      <c r="U232" s="3504"/>
      <c r="V232" s="3504"/>
      <c r="W232" s="3505"/>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74"/>
      <c r="JX232" s="508"/>
      <c r="JY232" s="508"/>
      <c r="JZ232" s="508"/>
      <c r="KA232" s="508"/>
      <c r="KB232" s="2474"/>
      <c r="KC232" s="2474"/>
      <c r="KD232" s="2474"/>
      <c r="KE232" s="2474"/>
      <c r="KF232" s="2474"/>
      <c r="KG232" s="2474"/>
      <c r="KH232" s="2474"/>
      <c r="KI232" s="2474"/>
      <c r="KJ232" s="2474"/>
      <c r="KK232" s="2474"/>
      <c r="KL232" s="2474"/>
      <c r="KM232" s="2474"/>
      <c r="KN232" s="2474"/>
      <c r="KO232" s="2474"/>
      <c r="KP232" s="2474"/>
      <c r="KQ232" s="2474"/>
      <c r="KR232" s="2474"/>
      <c r="KS232" s="2474"/>
      <c r="KT232" s="2474"/>
      <c r="KU232" s="2474"/>
      <c r="KV232" s="2474"/>
      <c r="KW232" s="2474"/>
      <c r="KX232" s="2474"/>
      <c r="KY232" s="2474"/>
      <c r="KZ232" s="2474"/>
      <c r="LA232" s="2474"/>
      <c r="LB232" s="2474"/>
      <c r="LC232" s="2474"/>
      <c r="LD232" s="2474"/>
      <c r="LE232" s="2474"/>
      <c r="LF232" s="2474"/>
      <c r="LG232" s="2474"/>
      <c r="LH232" s="2474"/>
      <c r="LI232" s="2474"/>
      <c r="LJ232" s="2474"/>
      <c r="LK232" s="2474"/>
      <c r="LL232" s="2474"/>
      <c r="LM232" s="2474"/>
      <c r="LN232" s="2474"/>
      <c r="LO232" s="2474"/>
      <c r="LP232" s="2474"/>
      <c r="LQ232" s="2474"/>
      <c r="LR232" s="508"/>
      <c r="LS232" s="508"/>
      <c r="LT232" s="508"/>
      <c r="LU232" s="508"/>
      <c r="LV232" s="508"/>
      <c r="LW232" s="508"/>
      <c r="LX232" s="2475"/>
      <c r="LY232" s="508"/>
      <c r="LZ232" s="508"/>
      <c r="MA232" s="508"/>
      <c r="MB232" s="508"/>
      <c r="MC232" s="508"/>
      <c r="MD232" s="508"/>
      <c r="ME232" s="508"/>
      <c r="MF232" s="508"/>
      <c r="MG232" s="508"/>
      <c r="MH232" s="508"/>
      <c r="MI232" s="508"/>
      <c r="MJ232" s="508"/>
      <c r="MK232" s="508"/>
      <c r="ML232" s="508"/>
      <c r="MM232" s="508"/>
      <c r="MN232" s="2475"/>
      <c r="MO232" s="2475"/>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1567</v>
      </c>
      <c r="C233" s="1"/>
      <c r="D233" s="9"/>
      <c r="E233" s="1"/>
      <c r="F233" s="3525">
        <v>5800</v>
      </c>
      <c r="G233" s="3526"/>
      <c r="H233" s="1"/>
      <c r="I233" s="10" t="s">
        <v>1348</v>
      </c>
      <c r="K233" s="1191" t="s">
        <v>4443</v>
      </c>
      <c r="O233" s="2063" t="s">
        <v>3361</v>
      </c>
      <c r="P233" s="10"/>
      <c r="Q233" s="1395">
        <f>Q242</f>
        <v>50000</v>
      </c>
      <c r="S233" s="3503"/>
      <c r="T233" s="3504"/>
      <c r="U233" s="3504"/>
      <c r="V233" s="3504"/>
      <c r="W233" s="3505"/>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74"/>
      <c r="JX233" s="508"/>
      <c r="JY233" s="508"/>
      <c r="JZ233" s="508"/>
      <c r="KA233" s="508"/>
      <c r="KB233" s="2474"/>
      <c r="KC233" s="2474"/>
      <c r="KD233" s="2474"/>
      <c r="KE233" s="2474"/>
      <c r="KF233" s="2474"/>
      <c r="KG233" s="2474"/>
      <c r="KH233" s="2474"/>
      <c r="KI233" s="2474"/>
      <c r="KJ233" s="2474"/>
      <c r="KK233" s="2474"/>
      <c r="KL233" s="2474"/>
      <c r="KM233" s="2474"/>
      <c r="KN233" s="2474"/>
      <c r="KO233" s="2474"/>
      <c r="KP233" s="2474"/>
      <c r="KQ233" s="2474"/>
      <c r="KR233" s="2474"/>
      <c r="KS233" s="2474"/>
      <c r="KT233" s="2474"/>
      <c r="KU233" s="2474"/>
      <c r="KV233" s="2474"/>
      <c r="KW233" s="2474"/>
      <c r="KX233" s="2474"/>
      <c r="KY233" s="2474"/>
      <c r="KZ233" s="2474"/>
      <c r="LA233" s="2474"/>
      <c r="LB233" s="2474"/>
      <c r="LC233" s="2474"/>
      <c r="LD233" s="2474"/>
      <c r="LE233" s="2474"/>
      <c r="LF233" s="2474"/>
      <c r="LG233" s="2474"/>
      <c r="LH233" s="2474"/>
      <c r="LI233" s="2474"/>
      <c r="LJ233" s="2474"/>
      <c r="LK233" s="2474"/>
      <c r="LL233" s="2474"/>
      <c r="LM233" s="2474"/>
      <c r="LN233" s="2474"/>
      <c r="LO233" s="2474"/>
      <c r="LP233" s="2474"/>
      <c r="LQ233" s="2474"/>
      <c r="LR233" s="508"/>
      <c r="LS233" s="508"/>
      <c r="LT233" s="508"/>
      <c r="LU233" s="508"/>
      <c r="LV233" s="508"/>
      <c r="LW233" s="508"/>
      <c r="LX233" s="2475"/>
      <c r="LY233" s="508"/>
      <c r="LZ233" s="508"/>
      <c r="MA233" s="508"/>
      <c r="MB233" s="508"/>
      <c r="MC233" s="508"/>
      <c r="MD233" s="508"/>
      <c r="ME233" s="508"/>
      <c r="MF233" s="508"/>
      <c r="MG233" s="508"/>
      <c r="MH233" s="508"/>
      <c r="MI233" s="508"/>
      <c r="MJ233" s="508"/>
      <c r="MK233" s="508"/>
      <c r="ML233" s="508"/>
      <c r="MM233" s="508"/>
      <c r="MN233" s="2475"/>
      <c r="MO233" s="2475"/>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55" t="s">
        <v>49</v>
      </c>
      <c r="C234" s="3556"/>
      <c r="D234" s="3556"/>
      <c r="E234" s="3557"/>
      <c r="F234" s="3538"/>
      <c r="G234" s="3539"/>
      <c r="H234" s="1"/>
      <c r="I234" s="1" t="s">
        <v>1341</v>
      </c>
      <c r="K234" s="515">
        <f>L234/12/P67</f>
        <v>15.5</v>
      </c>
      <c r="L234" s="3544">
        <v>37200</v>
      </c>
      <c r="M234" s="3545"/>
      <c r="N234" s="3533" t="str">
        <f>IF(Q233&lt;Q242, "WARNING! RR proposed is below the DCA required minimum.","")</f>
        <v/>
      </c>
      <c r="O234" s="1117" t="s">
        <v>4442</v>
      </c>
      <c r="P234" s="1112"/>
      <c r="Q234" s="1118">
        <f>Q233/P242</f>
        <v>250</v>
      </c>
      <c r="R234" s="968"/>
      <c r="S234" s="3503"/>
      <c r="T234" s="3504"/>
      <c r="U234" s="3504"/>
      <c r="V234" s="3504"/>
      <c r="W234" s="3505"/>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74"/>
      <c r="JX234" s="508"/>
      <c r="JY234" s="508"/>
      <c r="JZ234" s="508"/>
      <c r="KA234" s="508"/>
      <c r="KB234" s="2474"/>
      <c r="KC234" s="2474"/>
      <c r="KD234" s="2474"/>
      <c r="KE234" s="2474"/>
      <c r="KF234" s="2474"/>
      <c r="KG234" s="2474"/>
      <c r="KH234" s="2474"/>
      <c r="KI234" s="2474"/>
      <c r="KJ234" s="2474"/>
      <c r="KK234" s="2474"/>
      <c r="KL234" s="2474"/>
      <c r="KM234" s="2474"/>
      <c r="KN234" s="2474"/>
      <c r="KO234" s="2474"/>
      <c r="KP234" s="2474"/>
      <c r="KQ234" s="2474"/>
      <c r="KR234" s="2474"/>
      <c r="KS234" s="2474"/>
      <c r="KT234" s="2474"/>
      <c r="KU234" s="2474"/>
      <c r="KV234" s="2474"/>
      <c r="KW234" s="2474"/>
      <c r="KX234" s="2474"/>
      <c r="KY234" s="2474"/>
      <c r="KZ234" s="2474"/>
      <c r="LA234" s="2474"/>
      <c r="LB234" s="2474"/>
      <c r="LC234" s="2474"/>
      <c r="LD234" s="2474"/>
      <c r="LE234" s="2474"/>
      <c r="LF234" s="2474"/>
      <c r="LG234" s="2474"/>
      <c r="LH234" s="2474"/>
      <c r="LI234" s="2474"/>
      <c r="LJ234" s="2474"/>
      <c r="LK234" s="2474"/>
      <c r="LL234" s="2474"/>
      <c r="LM234" s="2474"/>
      <c r="LN234" s="2474"/>
      <c r="LO234" s="2474"/>
      <c r="LP234" s="2474"/>
      <c r="LQ234" s="2474"/>
      <c r="LR234" s="508"/>
      <c r="LS234" s="508"/>
      <c r="LT234" s="508"/>
      <c r="LU234" s="508"/>
      <c r="LV234" s="508"/>
      <c r="LW234" s="508"/>
      <c r="LX234" s="2475"/>
      <c r="LY234" s="508"/>
      <c r="LZ234" s="508"/>
      <c r="MA234" s="508"/>
      <c r="MB234" s="508"/>
      <c r="MC234" s="508"/>
      <c r="MD234" s="508"/>
      <c r="ME234" s="508"/>
      <c r="MF234" s="508"/>
      <c r="MG234" s="508"/>
      <c r="MH234" s="508"/>
      <c r="MI234" s="508"/>
      <c r="MJ234" s="508"/>
      <c r="MK234" s="508"/>
      <c r="ML234" s="508"/>
      <c r="MM234" s="508"/>
      <c r="MN234" s="2475"/>
      <c r="MO234" s="2475"/>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40">
        <f>SUM(F229:G234)</f>
        <v>35000</v>
      </c>
      <c r="G235" s="3541"/>
      <c r="H235" s="1"/>
      <c r="I235" s="1" t="s">
        <v>1342</v>
      </c>
      <c r="K235" s="515">
        <f>L235/12/P67</f>
        <v>0</v>
      </c>
      <c r="L235" s="3548"/>
      <c r="M235" s="3549"/>
      <c r="N235" s="3534"/>
      <c r="O235" s="3535" t="s">
        <v>3557</v>
      </c>
      <c r="P235" s="3536"/>
      <c r="Q235" s="3537"/>
      <c r="S235" s="3503"/>
      <c r="T235" s="3504"/>
      <c r="U235" s="3504"/>
      <c r="V235" s="3504"/>
      <c r="W235" s="3505"/>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74"/>
      <c r="JX235" s="508"/>
      <c r="JY235" s="508"/>
      <c r="JZ235" s="508"/>
      <c r="KA235" s="508"/>
      <c r="KB235" s="2474"/>
      <c r="KC235" s="2474"/>
      <c r="KD235" s="2474"/>
      <c r="KE235" s="2474"/>
      <c r="KF235" s="2474"/>
      <c r="KG235" s="2474"/>
      <c r="KH235" s="2474"/>
      <c r="KI235" s="2474"/>
      <c r="KJ235" s="2474"/>
      <c r="KK235" s="2474"/>
      <c r="KL235" s="2474"/>
      <c r="KM235" s="2474"/>
      <c r="KN235" s="2474"/>
      <c r="KO235" s="2474"/>
      <c r="KP235" s="2474"/>
      <c r="KQ235" s="2474"/>
      <c r="KR235" s="2474"/>
      <c r="KS235" s="2474"/>
      <c r="KT235" s="2474"/>
      <c r="KU235" s="2474"/>
      <c r="KV235" s="2474"/>
      <c r="KW235" s="2474"/>
      <c r="KX235" s="2474"/>
      <c r="KY235" s="2474"/>
      <c r="KZ235" s="2474"/>
      <c r="LA235" s="2474"/>
      <c r="LB235" s="2474"/>
      <c r="LC235" s="2474"/>
      <c r="LD235" s="2474"/>
      <c r="LE235" s="2474"/>
      <c r="LF235" s="2474"/>
      <c r="LG235" s="2474"/>
      <c r="LH235" s="2474"/>
      <c r="LI235" s="2474"/>
      <c r="LJ235" s="2474"/>
      <c r="LK235" s="2474"/>
      <c r="LL235" s="2474"/>
      <c r="LM235" s="2474"/>
      <c r="LN235" s="2474"/>
      <c r="LO235" s="2474"/>
      <c r="LP235" s="2474"/>
      <c r="LQ235" s="2474"/>
      <c r="LR235" s="508"/>
      <c r="LS235" s="508"/>
      <c r="LT235" s="508"/>
      <c r="LU235" s="508"/>
      <c r="LV235" s="508"/>
      <c r="LW235" s="508"/>
      <c r="LX235" s="2475"/>
      <c r="LY235" s="508"/>
      <c r="LZ235" s="508"/>
      <c r="MA235" s="508"/>
      <c r="MB235" s="508"/>
      <c r="MC235" s="508"/>
      <c r="MD235" s="508"/>
      <c r="ME235" s="508"/>
      <c r="MF235" s="508"/>
      <c r="MG235" s="508"/>
      <c r="MH235" s="508"/>
      <c r="MI235" s="508"/>
      <c r="MJ235" s="508"/>
      <c r="MK235" s="508"/>
      <c r="ML235" s="508"/>
      <c r="MM235" s="508"/>
      <c r="MN235" s="2475"/>
      <c r="MO235" s="2475"/>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4525</v>
      </c>
      <c r="K236" s="515">
        <f>L236/12/P67</f>
        <v>20.833333333333336</v>
      </c>
      <c r="L236" s="3548">
        <v>50000</v>
      </c>
      <c r="M236" s="3549"/>
      <c r="N236" s="3534"/>
      <c r="O236" s="1111" t="s">
        <v>2634</v>
      </c>
      <c r="P236" s="965" t="s">
        <v>3639</v>
      </c>
      <c r="Q236" s="1113" t="s">
        <v>3324</v>
      </c>
      <c r="R236" s="5"/>
      <c r="S236" s="3503"/>
      <c r="T236" s="3504"/>
      <c r="U236" s="3504"/>
      <c r="V236" s="3504"/>
      <c r="W236" s="3505"/>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74"/>
      <c r="JX236" s="508"/>
      <c r="JY236" s="508"/>
      <c r="JZ236" s="508"/>
      <c r="KA236" s="508"/>
      <c r="KB236" s="2474"/>
      <c r="KC236" s="2474"/>
      <c r="KD236" s="2474"/>
      <c r="KE236" s="2474"/>
      <c r="KF236" s="2474"/>
      <c r="KG236" s="2474"/>
      <c r="KH236" s="2474"/>
      <c r="KI236" s="2474"/>
      <c r="KJ236" s="2474"/>
      <c r="KK236" s="2474"/>
      <c r="KL236" s="2474"/>
      <c r="KM236" s="2474"/>
      <c r="KN236" s="2474"/>
      <c r="KO236" s="2474"/>
      <c r="KP236" s="2474"/>
      <c r="KQ236" s="2474"/>
      <c r="KR236" s="2474"/>
      <c r="KS236" s="2474"/>
      <c r="KT236" s="2474"/>
      <c r="KU236" s="2474"/>
      <c r="KV236" s="2474"/>
      <c r="KW236" s="2474"/>
      <c r="KX236" s="2474"/>
      <c r="KY236" s="2474"/>
      <c r="KZ236" s="2474"/>
      <c r="LA236" s="2474"/>
      <c r="LB236" s="2474"/>
      <c r="LC236" s="2474"/>
      <c r="LD236" s="2474"/>
      <c r="LE236" s="2474"/>
      <c r="LF236" s="2474"/>
      <c r="LG236" s="2474"/>
      <c r="LH236" s="2474"/>
      <c r="LI236" s="2474"/>
      <c r="LJ236" s="2474"/>
      <c r="LK236" s="2474"/>
      <c r="LL236" s="2474"/>
      <c r="LM236" s="2474"/>
      <c r="LN236" s="2474"/>
      <c r="LO236" s="2474"/>
      <c r="LP236" s="2474"/>
      <c r="LQ236" s="2474"/>
      <c r="LR236" s="508"/>
      <c r="LS236" s="508"/>
      <c r="LT236" s="508"/>
      <c r="LU236" s="508"/>
      <c r="LV236" s="508"/>
      <c r="LW236" s="508"/>
      <c r="LX236" s="2475"/>
      <c r="LY236" s="508"/>
      <c r="LZ236" s="508"/>
      <c r="MA236" s="508"/>
      <c r="MB236" s="508"/>
      <c r="MC236" s="508"/>
      <c r="MD236" s="508"/>
      <c r="ME236" s="508"/>
      <c r="MF236" s="508"/>
      <c r="MG236" s="508"/>
      <c r="MH236" s="508"/>
      <c r="MI236" s="508"/>
      <c r="MJ236" s="508"/>
      <c r="MK236" s="508"/>
      <c r="ML236" s="508"/>
      <c r="MM236" s="508"/>
      <c r="MN236" s="2475"/>
      <c r="MO236" s="2475"/>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48">
        <v>24000</v>
      </c>
      <c r="M237" s="3549"/>
      <c r="N237" s="3534"/>
      <c r="O237" s="710" t="s">
        <v>37</v>
      </c>
      <c r="P237" s="711"/>
      <c r="Q237" s="712"/>
      <c r="R237" s="969"/>
      <c r="S237" s="3503"/>
      <c r="T237" s="3504"/>
      <c r="U237" s="3504"/>
      <c r="V237" s="3504"/>
      <c r="W237" s="3505"/>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74"/>
      <c r="JX237" s="508"/>
      <c r="JY237" s="508"/>
      <c r="JZ237" s="508"/>
      <c r="KA237" s="508"/>
      <c r="KB237" s="2474"/>
      <c r="KC237" s="2474"/>
      <c r="KD237" s="2474"/>
      <c r="KE237" s="2474"/>
      <c r="KF237" s="2474"/>
      <c r="KG237" s="2474"/>
      <c r="KH237" s="2474"/>
      <c r="KI237" s="2474"/>
      <c r="KJ237" s="2474"/>
      <c r="KK237" s="2474"/>
      <c r="KL237" s="2474"/>
      <c r="KM237" s="2474"/>
      <c r="KN237" s="2474"/>
      <c r="KO237" s="2474"/>
      <c r="KP237" s="2474"/>
      <c r="KQ237" s="2474"/>
      <c r="KR237" s="2474"/>
      <c r="KS237" s="2474"/>
      <c r="KT237" s="2474"/>
      <c r="KU237" s="2474"/>
      <c r="KV237" s="2474"/>
      <c r="KW237" s="2474"/>
      <c r="KX237" s="2474"/>
      <c r="KY237" s="2474"/>
      <c r="KZ237" s="2474"/>
      <c r="LA237" s="2474"/>
      <c r="LB237" s="2474"/>
      <c r="LC237" s="2474"/>
      <c r="LD237" s="2474"/>
      <c r="LE237" s="2474"/>
      <c r="LF237" s="2474"/>
      <c r="LG237" s="2474"/>
      <c r="LH237" s="2474"/>
      <c r="LI237" s="2474"/>
      <c r="LJ237" s="2474"/>
      <c r="LK237" s="2474"/>
      <c r="LL237" s="2474"/>
      <c r="LM237" s="2474"/>
      <c r="LN237" s="2474"/>
      <c r="LO237" s="2474"/>
      <c r="LP237" s="2474"/>
      <c r="LQ237" s="2474"/>
      <c r="LR237" s="508"/>
      <c r="LS237" s="508"/>
      <c r="LT237" s="508"/>
      <c r="LU237" s="508"/>
      <c r="LV237" s="508"/>
      <c r="LW237" s="508"/>
      <c r="LX237" s="2475"/>
      <c r="LY237" s="508"/>
      <c r="LZ237" s="508"/>
      <c r="MA237" s="508"/>
      <c r="MB237" s="508"/>
      <c r="MC237" s="508"/>
      <c r="MD237" s="508"/>
      <c r="ME237" s="508"/>
      <c r="MF237" s="508"/>
      <c r="MG237" s="508"/>
      <c r="MH237" s="508"/>
      <c r="MI237" s="508"/>
      <c r="MJ237" s="508"/>
      <c r="MK237" s="508"/>
      <c r="ML237" s="508"/>
      <c r="MM237" s="508"/>
      <c r="MN237" s="2475"/>
      <c r="MO237" s="2475"/>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1571</v>
      </c>
      <c r="C238" s="1"/>
      <c r="D238" s="9"/>
      <c r="E238" s="1"/>
      <c r="F238" s="3542">
        <v>30000</v>
      </c>
      <c r="G238" s="3543"/>
      <c r="H238" s="1"/>
      <c r="I238" s="3528" t="s">
        <v>49</v>
      </c>
      <c r="J238" s="3529"/>
      <c r="K238" s="3530"/>
      <c r="L238" s="3550"/>
      <c r="M238" s="3551"/>
      <c r="N238" s="3534"/>
      <c r="O238" s="550" t="s">
        <v>3316</v>
      </c>
      <c r="P238" s="970" t="str">
        <f>CONCATENATE(SUM(MP48:MT48)," units x $",'DCA Underwriting Assumptions'!$Q$68," =")</f>
        <v>0 units x $350 =</v>
      </c>
      <c r="Q238" s="713">
        <f>SUM(MP48:MT48)*'DCA Underwriting Assumptions'!$Q$68</f>
        <v>0</v>
      </c>
      <c r="R238" s="973"/>
      <c r="S238" s="3503"/>
      <c r="T238" s="3504"/>
      <c r="U238" s="3504"/>
      <c r="V238" s="3504"/>
      <c r="W238" s="3505"/>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74"/>
      <c r="JX238" s="508"/>
      <c r="JY238" s="508"/>
      <c r="JZ238" s="508"/>
      <c r="KA238" s="508"/>
      <c r="KB238" s="2474"/>
      <c r="KC238" s="2474"/>
      <c r="KD238" s="2474"/>
      <c r="KE238" s="2474"/>
      <c r="KF238" s="2474"/>
      <c r="KG238" s="2474"/>
      <c r="KH238" s="2474"/>
      <c r="KI238" s="2474"/>
      <c r="KJ238" s="2474"/>
      <c r="KK238" s="2474"/>
      <c r="KL238" s="2474"/>
      <c r="KM238" s="2474"/>
      <c r="KN238" s="2474"/>
      <c r="KO238" s="2474"/>
      <c r="KP238" s="2474"/>
      <c r="KQ238" s="2474"/>
      <c r="KR238" s="2474"/>
      <c r="KS238" s="2474"/>
      <c r="KT238" s="2474"/>
      <c r="KU238" s="2474"/>
      <c r="KV238" s="2474"/>
      <c r="KW238" s="2474"/>
      <c r="KX238" s="2474"/>
      <c r="KY238" s="2474"/>
      <c r="KZ238" s="2474"/>
      <c r="LA238" s="2474"/>
      <c r="LB238" s="2474"/>
      <c r="LC238" s="2474"/>
      <c r="LD238" s="2474"/>
      <c r="LE238" s="2474"/>
      <c r="LF238" s="2474"/>
      <c r="LG238" s="2474"/>
      <c r="LH238" s="2474"/>
      <c r="LI238" s="2474"/>
      <c r="LJ238" s="2474"/>
      <c r="LK238" s="2474"/>
      <c r="LL238" s="2474"/>
      <c r="LM238" s="2474"/>
      <c r="LN238" s="2474"/>
      <c r="LO238" s="2474"/>
      <c r="LP238" s="2474"/>
      <c r="LQ238" s="2474"/>
      <c r="LR238" s="508"/>
      <c r="LS238" s="508"/>
      <c r="LT238" s="508"/>
      <c r="LU238" s="508"/>
      <c r="LV238" s="508"/>
      <c r="LW238" s="508"/>
      <c r="LX238" s="2475"/>
      <c r="LY238" s="508"/>
      <c r="LZ238" s="508"/>
      <c r="MA238" s="508"/>
      <c r="MB238" s="508"/>
      <c r="MC238" s="508"/>
      <c r="MD238" s="508"/>
      <c r="ME238" s="508"/>
      <c r="MF238" s="508"/>
      <c r="MG238" s="508"/>
      <c r="MH238" s="508"/>
      <c r="MI238" s="508"/>
      <c r="MJ238" s="508"/>
      <c r="MK238" s="508"/>
      <c r="ML238" s="508"/>
      <c r="MM238" s="508"/>
      <c r="MN238" s="2475"/>
      <c r="MO238" s="2475"/>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1572</v>
      </c>
      <c r="C239" s="1"/>
      <c r="D239" s="9"/>
      <c r="E239" s="1"/>
      <c r="F239" s="3546">
        <v>30000</v>
      </c>
      <c r="G239" s="3547"/>
      <c r="H239" s="1"/>
      <c r="I239" s="1"/>
      <c r="K239" s="11" t="s">
        <v>187</v>
      </c>
      <c r="L239" s="3523">
        <f>SUM(L234:L238)</f>
        <v>111200</v>
      </c>
      <c r="M239" s="3527"/>
      <c r="N239" s="3534"/>
      <c r="O239" s="550" t="s">
        <v>3315</v>
      </c>
      <c r="P239" s="970" t="str">
        <f>CONCATENATE(SUM(MU48:MY48)," units x $",'DCA Underwriting Assumptions'!$Q$69," =")</f>
        <v>200 units x $250 =</v>
      </c>
      <c r="Q239" s="713">
        <f>SUM(MU48:MY48)*'DCA Underwriting Assumptions'!$Q$69</f>
        <v>50000</v>
      </c>
      <c r="S239" s="3503"/>
      <c r="T239" s="3504"/>
      <c r="U239" s="3504"/>
      <c r="V239" s="3504"/>
      <c r="W239" s="3505"/>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74"/>
      <c r="JX239" s="508"/>
      <c r="JY239" s="508"/>
      <c r="JZ239" s="508"/>
      <c r="KA239" s="508"/>
      <c r="KB239" s="2474"/>
      <c r="KC239" s="2474"/>
      <c r="KD239" s="2474"/>
      <c r="KE239" s="2474"/>
      <c r="KF239" s="2474"/>
      <c r="KG239" s="2474"/>
      <c r="KH239" s="2474"/>
      <c r="KI239" s="2474"/>
      <c r="KJ239" s="2474"/>
      <c r="KK239" s="2474"/>
      <c r="KL239" s="2474"/>
      <c r="KM239" s="2474"/>
      <c r="KN239" s="2474"/>
      <c r="KO239" s="2474"/>
      <c r="KP239" s="2474"/>
      <c r="KQ239" s="2474"/>
      <c r="KR239" s="2474"/>
      <c r="KS239" s="2474"/>
      <c r="KT239" s="2474"/>
      <c r="KU239" s="2474"/>
      <c r="KV239" s="2474"/>
      <c r="KW239" s="2474"/>
      <c r="KX239" s="2474"/>
      <c r="KY239" s="2474"/>
      <c r="KZ239" s="2474"/>
      <c r="LA239" s="2474"/>
      <c r="LB239" s="2474"/>
      <c r="LC239" s="2474"/>
      <c r="LD239" s="2474"/>
      <c r="LE239" s="2474"/>
      <c r="LF239" s="2474"/>
      <c r="LG239" s="2474"/>
      <c r="LH239" s="2474"/>
      <c r="LI239" s="2474"/>
      <c r="LJ239" s="2474"/>
      <c r="LK239" s="2474"/>
      <c r="LL239" s="2474"/>
      <c r="LM239" s="2474"/>
      <c r="LN239" s="2474"/>
      <c r="LO239" s="2474"/>
      <c r="LP239" s="2474"/>
      <c r="LQ239" s="2474"/>
      <c r="LR239" s="508"/>
      <c r="LS239" s="508"/>
      <c r="LT239" s="508"/>
      <c r="LU239" s="508"/>
      <c r="LV239" s="508"/>
      <c r="LW239" s="508"/>
      <c r="LX239" s="2475"/>
      <c r="LY239" s="508"/>
      <c r="LZ239" s="508"/>
      <c r="MA239" s="508"/>
      <c r="MB239" s="508"/>
      <c r="MC239" s="508"/>
      <c r="MD239" s="508"/>
      <c r="ME239" s="508"/>
      <c r="MF239" s="508"/>
      <c r="MG239" s="508"/>
      <c r="MH239" s="508"/>
      <c r="MI239" s="508"/>
      <c r="MJ239" s="508"/>
      <c r="MK239" s="508"/>
      <c r="ML239" s="508"/>
      <c r="MM239" s="508"/>
      <c r="MN239" s="2475"/>
      <c r="MO239" s="2475"/>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1573</v>
      </c>
      <c r="C240" s="1"/>
      <c r="D240" s="9"/>
      <c r="E240" s="1"/>
      <c r="F240" s="3546">
        <v>23000</v>
      </c>
      <c r="G240" s="3547"/>
      <c r="H240" s="1"/>
      <c r="K240" s="1"/>
      <c r="L240" s="1"/>
      <c r="N240" s="3534"/>
      <c r="O240" s="714" t="s">
        <v>3319</v>
      </c>
      <c r="P240" s="970" t="str">
        <f>CONCATENATE(SUM(MZ48:ND48)," units x $",'DCA Underwriting Assumptions'!$Q$70," =")</f>
        <v>0 units x $420 =</v>
      </c>
      <c r="Q240" s="713">
        <f>SUM(MZ48:ND48)*'DCA Underwriting Assumptions'!$Q$70</f>
        <v>0</v>
      </c>
      <c r="R240" s="965"/>
      <c r="S240" s="3503"/>
      <c r="T240" s="3504"/>
      <c r="U240" s="3504"/>
      <c r="V240" s="3504"/>
      <c r="W240" s="3505"/>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74"/>
      <c r="JX240" s="508"/>
      <c r="JY240" s="508"/>
      <c r="JZ240" s="508"/>
      <c r="KA240" s="508"/>
      <c r="KB240" s="2474"/>
      <c r="KC240" s="2474"/>
      <c r="KD240" s="2474"/>
      <c r="KE240" s="2474"/>
      <c r="KF240" s="2474"/>
      <c r="KG240" s="2474"/>
      <c r="KH240" s="2474"/>
      <c r="KI240" s="2474"/>
      <c r="KJ240" s="2474"/>
      <c r="KK240" s="2474"/>
      <c r="KL240" s="2474"/>
      <c r="KM240" s="2474"/>
      <c r="KN240" s="2474"/>
      <c r="KO240" s="2474"/>
      <c r="KP240" s="2474"/>
      <c r="KQ240" s="2474"/>
      <c r="KR240" s="2474"/>
      <c r="KS240" s="2474"/>
      <c r="KT240" s="2474"/>
      <c r="KU240" s="2474"/>
      <c r="KV240" s="2474"/>
      <c r="KW240" s="2474"/>
      <c r="KX240" s="2474"/>
      <c r="KY240" s="2474"/>
      <c r="KZ240" s="2474"/>
      <c r="LA240" s="2474"/>
      <c r="LB240" s="2474"/>
      <c r="LC240" s="2474"/>
      <c r="LD240" s="2474"/>
      <c r="LE240" s="2474"/>
      <c r="LF240" s="2474"/>
      <c r="LG240" s="2474"/>
      <c r="LH240" s="2474"/>
      <c r="LI240" s="2474"/>
      <c r="LJ240" s="2474"/>
      <c r="LK240" s="2474"/>
      <c r="LL240" s="2474"/>
      <c r="LM240" s="2474"/>
      <c r="LN240" s="2474"/>
      <c r="LO240" s="2474"/>
      <c r="LP240" s="2474"/>
      <c r="LQ240" s="2474"/>
      <c r="LR240" s="508"/>
      <c r="LS240" s="508"/>
      <c r="LT240" s="508"/>
      <c r="LU240" s="508"/>
      <c r="LV240" s="508"/>
      <c r="LW240" s="508"/>
      <c r="LX240" s="2475"/>
      <c r="LY240" s="508"/>
      <c r="LZ240" s="508"/>
      <c r="MA240" s="508"/>
      <c r="MB240" s="508"/>
      <c r="MC240" s="508"/>
      <c r="MD240" s="508"/>
      <c r="ME240" s="508"/>
      <c r="MF240" s="508"/>
      <c r="MG240" s="508"/>
      <c r="MH240" s="508"/>
      <c r="MI240" s="508"/>
      <c r="MJ240" s="508"/>
      <c r="MK240" s="508"/>
      <c r="ML240" s="508"/>
      <c r="MM240" s="508"/>
      <c r="MN240" s="2475"/>
      <c r="MO240" s="2475"/>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981</v>
      </c>
      <c r="C241" s="1"/>
      <c r="D241" s="9"/>
      <c r="E241" s="1"/>
      <c r="F241" s="3525">
        <v>8000</v>
      </c>
      <c r="G241" s="3526"/>
      <c r="H241" s="1"/>
      <c r="O241" s="714" t="s">
        <v>3314</v>
      </c>
      <c r="P241" s="970" t="str">
        <f>CONCATENATE(P125," units x $",'DCA Underwriting Assumptions'!$Q$70," =")</f>
        <v>0 units x $420 =</v>
      </c>
      <c r="Q241" s="713">
        <f>P125*'DCA Underwriting Assumptions'!$Q$70</f>
        <v>0</v>
      </c>
      <c r="R241" s="711"/>
      <c r="S241" s="3503"/>
      <c r="T241" s="3504"/>
      <c r="U241" s="3504"/>
      <c r="V241" s="3504"/>
      <c r="W241" s="3505"/>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74"/>
      <c r="JX241" s="508"/>
      <c r="JY241" s="508"/>
      <c r="JZ241" s="508"/>
      <c r="KA241" s="508"/>
      <c r="KB241" s="2474"/>
      <c r="KC241" s="2474"/>
      <c r="KD241" s="2474"/>
      <c r="KE241" s="2474"/>
      <c r="KF241" s="2474"/>
      <c r="KG241" s="2474"/>
      <c r="KH241" s="2474"/>
      <c r="KI241" s="2474"/>
      <c r="KJ241" s="2474"/>
      <c r="KK241" s="2474"/>
      <c r="KL241" s="2474"/>
      <c r="KM241" s="2474"/>
      <c r="KN241" s="2474"/>
      <c r="KO241" s="2474"/>
      <c r="KP241" s="2474"/>
      <c r="KQ241" s="2474"/>
      <c r="KR241" s="2474"/>
      <c r="KS241" s="2474"/>
      <c r="KT241" s="2474"/>
      <c r="KU241" s="2474"/>
      <c r="KV241" s="2474"/>
      <c r="KW241" s="2474"/>
      <c r="KX241" s="2474"/>
      <c r="KY241" s="2474"/>
      <c r="KZ241" s="2474"/>
      <c r="LA241" s="2474"/>
      <c r="LB241" s="2474"/>
      <c r="LC241" s="2474"/>
      <c r="LD241" s="2474"/>
      <c r="LE241" s="2474"/>
      <c r="LF241" s="2474"/>
      <c r="LG241" s="2474"/>
      <c r="LH241" s="2474"/>
      <c r="LI241" s="2474"/>
      <c r="LJ241" s="2474"/>
      <c r="LK241" s="2474"/>
      <c r="LL241" s="2474"/>
      <c r="LM241" s="2474"/>
      <c r="LN241" s="2474"/>
      <c r="LO241" s="2474"/>
      <c r="LP241" s="2474"/>
      <c r="LQ241" s="2474"/>
      <c r="LR241" s="508"/>
      <c r="LS241" s="508"/>
      <c r="LT241" s="508"/>
      <c r="LU241" s="508"/>
      <c r="LV241" s="508"/>
      <c r="LW241" s="508"/>
      <c r="LX241" s="2475"/>
      <c r="LY241" s="508"/>
      <c r="LZ241" s="508"/>
      <c r="MA241" s="508"/>
      <c r="MB241" s="508"/>
      <c r="MC241" s="508"/>
      <c r="MD241" s="508"/>
      <c r="ME241" s="508"/>
      <c r="MF241" s="508"/>
      <c r="MG241" s="508"/>
      <c r="MH241" s="508"/>
      <c r="MI241" s="508"/>
      <c r="MJ241" s="508"/>
      <c r="MK241" s="508"/>
      <c r="ML241" s="508"/>
      <c r="MM241" s="508"/>
      <c r="MN241" s="2475"/>
      <c r="MO241" s="2475"/>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982</v>
      </c>
      <c r="C242" s="1"/>
      <c r="D242" s="9"/>
      <c r="E242" s="1"/>
      <c r="F242" s="3525">
        <v>10000</v>
      </c>
      <c r="G242" s="3526"/>
      <c r="H242" s="1"/>
      <c r="I242" s="10" t="s">
        <v>1349</v>
      </c>
      <c r="O242" s="1114" t="s">
        <v>2637</v>
      </c>
      <c r="P242" s="1115">
        <f>SUM(MP48:MT48)+SUM(MU48:MY48)+SUM(MZ48:ND48)+P125</f>
        <v>200</v>
      </c>
      <c r="Q242" s="1116">
        <f>SUM(Q238:Q241)</f>
        <v>50000</v>
      </c>
      <c r="R242" s="970"/>
      <c r="S242" s="3503"/>
      <c r="T242" s="3504"/>
      <c r="U242" s="3504"/>
      <c r="V242" s="3504"/>
      <c r="W242" s="3505"/>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74"/>
      <c r="JX242" s="508"/>
      <c r="JY242" s="508"/>
      <c r="JZ242" s="508"/>
      <c r="KA242" s="508"/>
      <c r="KB242" s="2474"/>
      <c r="KC242" s="2474"/>
      <c r="KD242" s="2474"/>
      <c r="KE242" s="2474"/>
      <c r="KF242" s="2474"/>
      <c r="KG242" s="2474"/>
      <c r="KH242" s="2474"/>
      <c r="KI242" s="2474"/>
      <c r="KJ242" s="2474"/>
      <c r="KK242" s="2474"/>
      <c r="KL242" s="2474"/>
      <c r="KM242" s="2474"/>
      <c r="KN242" s="2474"/>
      <c r="KO242" s="2474"/>
      <c r="KP242" s="2474"/>
      <c r="KQ242" s="2474"/>
      <c r="KR242" s="2474"/>
      <c r="KS242" s="2474"/>
      <c r="KT242" s="2474"/>
      <c r="KU242" s="2474"/>
      <c r="KV242" s="2474"/>
      <c r="KW242" s="2474"/>
      <c r="KX242" s="2474"/>
      <c r="KY242" s="2474"/>
      <c r="KZ242" s="2474"/>
      <c r="LA242" s="2474"/>
      <c r="LB242" s="2474"/>
      <c r="LC242" s="2474"/>
      <c r="LD242" s="2474"/>
      <c r="LE242" s="2474"/>
      <c r="LF242" s="2474"/>
      <c r="LG242" s="2474"/>
      <c r="LH242" s="2474"/>
      <c r="LI242" s="2474"/>
      <c r="LJ242" s="2474"/>
      <c r="LK242" s="2474"/>
      <c r="LL242" s="2474"/>
      <c r="LM242" s="2474"/>
      <c r="LN242" s="2474"/>
      <c r="LO242" s="2474"/>
      <c r="LP242" s="2474"/>
      <c r="LQ242" s="2474"/>
      <c r="LR242" s="508"/>
      <c r="LS242" s="508"/>
      <c r="LT242" s="508"/>
      <c r="LU242" s="508"/>
      <c r="LV242" s="508"/>
      <c r="LW242" s="508"/>
      <c r="LX242" s="2475"/>
      <c r="LY242" s="508"/>
      <c r="LZ242" s="508"/>
      <c r="MA242" s="508"/>
      <c r="MB242" s="508"/>
      <c r="MC242" s="508"/>
      <c r="MD242" s="508"/>
      <c r="ME242" s="508"/>
      <c r="MF242" s="508"/>
      <c r="MG242" s="508"/>
      <c r="MH242" s="508"/>
      <c r="MI242" s="508"/>
      <c r="MJ242" s="508"/>
      <c r="MK242" s="508"/>
      <c r="ML242" s="508"/>
      <c r="MM242" s="508"/>
      <c r="MN242" s="2475"/>
      <c r="MO242" s="2475"/>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983</v>
      </c>
      <c r="C243" s="1"/>
      <c r="D243" s="9"/>
      <c r="E243" s="1"/>
      <c r="F243" s="3525">
        <v>0</v>
      </c>
      <c r="G243" s="3526"/>
      <c r="H243" s="1"/>
      <c r="I243" s="95" t="s">
        <v>4526</v>
      </c>
      <c r="K243" s="1"/>
      <c r="L243" s="3544">
        <v>200000</v>
      </c>
      <c r="M243" s="3545"/>
      <c r="R243" s="970"/>
      <c r="S243" s="3503"/>
      <c r="T243" s="3504"/>
      <c r="U243" s="3504"/>
      <c r="V243" s="3504"/>
      <c r="W243" s="3505"/>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74"/>
      <c r="JX243" s="508"/>
      <c r="JY243" s="508"/>
      <c r="JZ243" s="508"/>
      <c r="KA243" s="508"/>
      <c r="KB243" s="2474"/>
      <c r="KC243" s="2474"/>
      <c r="KD243" s="2474"/>
      <c r="KE243" s="2474"/>
      <c r="KF243" s="2474"/>
      <c r="KG243" s="2474"/>
      <c r="KH243" s="2474"/>
      <c r="KI243" s="2474"/>
      <c r="KJ243" s="2474"/>
      <c r="KK243" s="2474"/>
      <c r="KL243" s="2474"/>
      <c r="KM243" s="2474"/>
      <c r="KN243" s="2474"/>
      <c r="KO243" s="2474"/>
      <c r="KP243" s="2474"/>
      <c r="KQ243" s="2474"/>
      <c r="KR243" s="2474"/>
      <c r="KS243" s="2474"/>
      <c r="KT243" s="2474"/>
      <c r="KU243" s="2474"/>
      <c r="KV243" s="2474"/>
      <c r="KW243" s="2474"/>
      <c r="KX243" s="2474"/>
      <c r="KY243" s="2474"/>
      <c r="KZ243" s="2474"/>
      <c r="LA243" s="2474"/>
      <c r="LB243" s="2474"/>
      <c r="LC243" s="2474"/>
      <c r="LD243" s="2474"/>
      <c r="LE243" s="2474"/>
      <c r="LF243" s="2474"/>
      <c r="LG243" s="2474"/>
      <c r="LH243" s="2474"/>
      <c r="LI243" s="2474"/>
      <c r="LJ243" s="2474"/>
      <c r="LK243" s="2474"/>
      <c r="LL243" s="2474"/>
      <c r="LM243" s="2474"/>
      <c r="LN243" s="2474"/>
      <c r="LO243" s="2474"/>
      <c r="LP243" s="2474"/>
      <c r="LQ243" s="2474"/>
      <c r="LR243" s="508"/>
      <c r="LS243" s="508"/>
      <c r="LT243" s="508"/>
      <c r="LU243" s="508"/>
      <c r="LV243" s="508"/>
      <c r="LW243" s="508"/>
      <c r="LX243" s="2475"/>
      <c r="LY243" s="508"/>
      <c r="LZ243" s="508"/>
      <c r="MA243" s="508"/>
      <c r="MB243" s="508"/>
      <c r="MC243" s="508"/>
      <c r="MD243" s="508"/>
      <c r="ME243" s="508"/>
      <c r="MF243" s="508"/>
      <c r="MG243" s="508"/>
      <c r="MH243" s="508"/>
      <c r="MI243" s="508"/>
      <c r="MJ243" s="508"/>
      <c r="MK243" s="508"/>
      <c r="ML243" s="508"/>
      <c r="MM243" s="508"/>
      <c r="MN243" s="2475"/>
      <c r="MO243" s="2475"/>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848</v>
      </c>
      <c r="C244" s="1"/>
      <c r="D244" s="9"/>
      <c r="E244" s="1"/>
      <c r="F244" s="3525">
        <v>1000</v>
      </c>
      <c r="G244" s="3526"/>
      <c r="H244" s="1"/>
      <c r="I244" s="1" t="s">
        <v>143</v>
      </c>
      <c r="K244" s="1"/>
      <c r="L244" s="3548">
        <v>80000</v>
      </c>
      <c r="M244" s="3549"/>
      <c r="R244" s="970"/>
      <c r="S244" s="3503"/>
      <c r="T244" s="3504"/>
      <c r="U244" s="3504"/>
      <c r="V244" s="3504"/>
      <c r="W244" s="3505"/>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74"/>
      <c r="JX244" s="508"/>
      <c r="JY244" s="508"/>
      <c r="JZ244" s="508"/>
      <c r="KA244" s="508"/>
      <c r="KB244" s="2474"/>
      <c r="KC244" s="2474"/>
      <c r="KD244" s="2474"/>
      <c r="KE244" s="2474"/>
      <c r="KF244" s="2474"/>
      <c r="KG244" s="2474"/>
      <c r="KH244" s="2474"/>
      <c r="KI244" s="2474"/>
      <c r="KJ244" s="2474"/>
      <c r="KK244" s="2474"/>
      <c r="KL244" s="2474"/>
      <c r="KM244" s="2474"/>
      <c r="KN244" s="2474"/>
      <c r="KO244" s="2474"/>
      <c r="KP244" s="2474"/>
      <c r="KQ244" s="2474"/>
      <c r="KR244" s="2474"/>
      <c r="KS244" s="2474"/>
      <c r="KT244" s="2474"/>
      <c r="KU244" s="2474"/>
      <c r="KV244" s="2474"/>
      <c r="KW244" s="2474"/>
      <c r="KX244" s="2474"/>
      <c r="KY244" s="2474"/>
      <c r="KZ244" s="2474"/>
      <c r="LA244" s="2474"/>
      <c r="LB244" s="2474"/>
      <c r="LC244" s="2474"/>
      <c r="LD244" s="2474"/>
      <c r="LE244" s="2474"/>
      <c r="LF244" s="2474"/>
      <c r="LG244" s="2474"/>
      <c r="LH244" s="2474"/>
      <c r="LI244" s="2474"/>
      <c r="LJ244" s="2474"/>
      <c r="LK244" s="2474"/>
      <c r="LL244" s="2474"/>
      <c r="LM244" s="2474"/>
      <c r="LN244" s="2474"/>
      <c r="LO244" s="2474"/>
      <c r="LP244" s="2474"/>
      <c r="LQ244" s="2474"/>
      <c r="LR244" s="508"/>
      <c r="LS244" s="508"/>
      <c r="LT244" s="508"/>
      <c r="LU244" s="508"/>
      <c r="LV244" s="508"/>
      <c r="LW244" s="508"/>
      <c r="LX244" s="2475"/>
      <c r="LY244" s="508"/>
      <c r="LZ244" s="508"/>
      <c r="MA244" s="508"/>
      <c r="MB244" s="508"/>
      <c r="MC244" s="508"/>
      <c r="MD244" s="508"/>
      <c r="ME244" s="508"/>
      <c r="MF244" s="508"/>
      <c r="MG244" s="508"/>
      <c r="MH244" s="508"/>
      <c r="MI244" s="508"/>
      <c r="MJ244" s="508"/>
      <c r="MK244" s="508"/>
      <c r="ML244" s="508"/>
      <c r="MM244" s="508"/>
      <c r="MN244" s="2475"/>
      <c r="MO244" s="2475"/>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55" t="s">
        <v>7107</v>
      </c>
      <c r="C245" s="3556"/>
      <c r="D245" s="3556"/>
      <c r="E245" s="3557"/>
      <c r="F245" s="3538">
        <v>28000</v>
      </c>
      <c r="G245" s="3539"/>
      <c r="H245" s="1"/>
      <c r="I245" s="3528" t="s">
        <v>49</v>
      </c>
      <c r="J245" s="3529"/>
      <c r="K245" s="3530"/>
      <c r="L245" s="3560"/>
      <c r="M245" s="3561"/>
      <c r="N245" s="1"/>
      <c r="R245" s="970"/>
      <c r="S245" s="3503"/>
      <c r="T245" s="3504"/>
      <c r="U245" s="3504"/>
      <c r="V245" s="3504"/>
      <c r="W245" s="3505"/>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74"/>
      <c r="JX245" s="508"/>
      <c r="JY245" s="508"/>
      <c r="JZ245" s="508"/>
      <c r="KA245" s="508"/>
      <c r="KB245" s="2474"/>
      <c r="KC245" s="2474"/>
      <c r="KD245" s="2474"/>
      <c r="KE245" s="2474"/>
      <c r="KF245" s="2474"/>
      <c r="KG245" s="2474"/>
      <c r="KH245" s="2474"/>
      <c r="KI245" s="2474"/>
      <c r="KJ245" s="2474"/>
      <c r="KK245" s="2474"/>
      <c r="KL245" s="2474"/>
      <c r="KM245" s="2474"/>
      <c r="KN245" s="2474"/>
      <c r="KO245" s="2474"/>
      <c r="KP245" s="2474"/>
      <c r="KQ245" s="2474"/>
      <c r="KR245" s="2474"/>
      <c r="KS245" s="2474"/>
      <c r="KT245" s="2474"/>
      <c r="KU245" s="2474"/>
      <c r="KV245" s="2474"/>
      <c r="KW245" s="2474"/>
      <c r="KX245" s="2474"/>
      <c r="KY245" s="2474"/>
      <c r="KZ245" s="2474"/>
      <c r="LA245" s="2474"/>
      <c r="LB245" s="2474"/>
      <c r="LC245" s="2474"/>
      <c r="LD245" s="2474"/>
      <c r="LE245" s="2474"/>
      <c r="LF245" s="2474"/>
      <c r="LG245" s="2474"/>
      <c r="LH245" s="2474"/>
      <c r="LI245" s="2474"/>
      <c r="LJ245" s="2474"/>
      <c r="LK245" s="2474"/>
      <c r="LL245" s="2474"/>
      <c r="LM245" s="2474"/>
      <c r="LN245" s="2474"/>
      <c r="LO245" s="2474"/>
      <c r="LP245" s="2474"/>
      <c r="LQ245" s="2474"/>
      <c r="LR245" s="508"/>
      <c r="LS245" s="508"/>
      <c r="LT245" s="508"/>
      <c r="LU245" s="508"/>
      <c r="LV245" s="508"/>
      <c r="LW245" s="508"/>
      <c r="LX245" s="2475"/>
      <c r="LY245" s="508"/>
      <c r="LZ245" s="508"/>
      <c r="MA245" s="508"/>
      <c r="MB245" s="508"/>
      <c r="MC245" s="508"/>
      <c r="MD245" s="508"/>
      <c r="ME245" s="508"/>
      <c r="MF245" s="508"/>
      <c r="MG245" s="508"/>
      <c r="MH245" s="508"/>
      <c r="MI245" s="508"/>
      <c r="MJ245" s="508"/>
      <c r="MK245" s="508"/>
      <c r="ML245" s="508"/>
      <c r="MM245" s="508"/>
      <c r="MN245" s="2475"/>
      <c r="MO245" s="2475"/>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31">
        <f>SUM(F238:G245)</f>
        <v>130000</v>
      </c>
      <c r="G246" s="3532"/>
      <c r="H246" s="1"/>
      <c r="K246" s="11" t="s">
        <v>187</v>
      </c>
      <c r="L246" s="3523">
        <f>SUM(L242:L245)</f>
        <v>280000</v>
      </c>
      <c r="M246" s="3524"/>
      <c r="N246" s="1"/>
      <c r="O246" s="10" t="s">
        <v>2137</v>
      </c>
      <c r="P246" s="1"/>
      <c r="Q246" s="459">
        <f>Q227+Q233</f>
        <v>984542</v>
      </c>
      <c r="R246" s="970"/>
      <c r="S246" s="3507"/>
      <c r="T246" s="3508"/>
      <c r="U246" s="3508"/>
      <c r="V246" s="3508"/>
      <c r="W246" s="3509"/>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74"/>
      <c r="JX246" s="508"/>
      <c r="JY246" s="508"/>
      <c r="JZ246" s="508"/>
      <c r="KA246" s="508"/>
      <c r="KB246" s="2474"/>
      <c r="KC246" s="2474"/>
      <c r="KD246" s="2474"/>
      <c r="KE246" s="2474"/>
      <c r="KF246" s="2474"/>
      <c r="KG246" s="2474"/>
      <c r="KH246" s="2474"/>
      <c r="KI246" s="2474"/>
      <c r="KJ246" s="2474"/>
      <c r="KK246" s="2474"/>
      <c r="KL246" s="2474"/>
      <c r="KM246" s="2474"/>
      <c r="KN246" s="2474"/>
      <c r="KO246" s="2474"/>
      <c r="KP246" s="2474"/>
      <c r="KQ246" s="2474"/>
      <c r="KR246" s="2474"/>
      <c r="KS246" s="2474"/>
      <c r="KT246" s="2474"/>
      <c r="KU246" s="2474"/>
      <c r="KV246" s="2474"/>
      <c r="KW246" s="2474"/>
      <c r="KX246" s="2474"/>
      <c r="KY246" s="2474"/>
      <c r="KZ246" s="2474"/>
      <c r="LA246" s="2474"/>
      <c r="LB246" s="2474"/>
      <c r="LC246" s="2474"/>
      <c r="LD246" s="2474"/>
      <c r="LE246" s="2474"/>
      <c r="LF246" s="2474"/>
      <c r="LG246" s="2474"/>
      <c r="LH246" s="2474"/>
      <c r="LI246" s="2474"/>
      <c r="LJ246" s="2474"/>
      <c r="LK246" s="2474"/>
      <c r="LL246" s="2474"/>
      <c r="LM246" s="2474"/>
      <c r="LN246" s="2474"/>
      <c r="LO246" s="2474"/>
      <c r="LP246" s="2474"/>
      <c r="LQ246" s="2474"/>
      <c r="LR246" s="508"/>
      <c r="LS246" s="508"/>
      <c r="LT246" s="508"/>
      <c r="LU246" s="508"/>
      <c r="LV246" s="508"/>
      <c r="LW246" s="508"/>
      <c r="LX246" s="2475"/>
      <c r="LY246" s="508"/>
      <c r="LZ246" s="508"/>
      <c r="MA246" s="508"/>
      <c r="MB246" s="508"/>
      <c r="MC246" s="508"/>
      <c r="MD246" s="508"/>
      <c r="ME246" s="508"/>
      <c r="MF246" s="508"/>
      <c r="MG246" s="508"/>
      <c r="MH246" s="508"/>
      <c r="MI246" s="508"/>
      <c r="MJ246" s="508"/>
      <c r="MK246" s="508"/>
      <c r="ML246" s="508"/>
      <c r="MM246" s="508"/>
      <c r="MN246" s="2475"/>
      <c r="MO246" s="2475"/>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74"/>
      <c r="JX247" s="508"/>
      <c r="JY247" s="508"/>
      <c r="JZ247" s="508"/>
      <c r="KA247" s="508"/>
      <c r="KB247" s="2474"/>
      <c r="KC247" s="2474"/>
      <c r="KD247" s="2474"/>
      <c r="KE247" s="2474"/>
      <c r="KF247" s="2474"/>
      <c r="KG247" s="2474"/>
      <c r="KH247" s="2474"/>
      <c r="KI247" s="2474"/>
      <c r="KJ247" s="2474"/>
      <c r="KK247" s="2474"/>
      <c r="KL247" s="2474"/>
      <c r="KM247" s="2474"/>
      <c r="KN247" s="2474"/>
      <c r="KO247" s="2474"/>
      <c r="KP247" s="2474"/>
      <c r="KQ247" s="2474"/>
      <c r="KR247" s="2474"/>
      <c r="KS247" s="2474"/>
      <c r="KT247" s="2474"/>
      <c r="KU247" s="2474"/>
      <c r="KV247" s="2474"/>
      <c r="KW247" s="2474"/>
      <c r="KX247" s="2474"/>
      <c r="KY247" s="2474"/>
      <c r="KZ247" s="2474"/>
      <c r="LA247" s="2474"/>
      <c r="LB247" s="2474"/>
      <c r="LC247" s="2474"/>
      <c r="LD247" s="2474"/>
      <c r="LE247" s="2474"/>
      <c r="LF247" s="2474"/>
      <c r="LG247" s="2474"/>
      <c r="LH247" s="2474"/>
      <c r="LI247" s="2474"/>
      <c r="LJ247" s="2474"/>
      <c r="LK247" s="2474"/>
      <c r="LL247" s="2474"/>
      <c r="LM247" s="2474"/>
      <c r="LN247" s="2474"/>
      <c r="LO247" s="2474"/>
      <c r="LP247" s="2474"/>
      <c r="LQ247" s="2474"/>
      <c r="LR247" s="508"/>
      <c r="LS247" s="508"/>
      <c r="LT247" s="508"/>
      <c r="LU247" s="508"/>
      <c r="LV247" s="508"/>
      <c r="LW247" s="508"/>
      <c r="LX247" s="2475"/>
      <c r="LY247" s="508"/>
      <c r="LZ247" s="508"/>
      <c r="MA247" s="508"/>
      <c r="MB247" s="508"/>
      <c r="MC247" s="508"/>
      <c r="MD247" s="508"/>
      <c r="ME247" s="508"/>
      <c r="MF247" s="508"/>
      <c r="MG247" s="508"/>
      <c r="MH247" s="508"/>
      <c r="MI247" s="508"/>
      <c r="MJ247" s="508"/>
      <c r="MK247" s="508"/>
      <c r="ML247" s="508"/>
      <c r="MM247" s="508"/>
      <c r="MN247" s="2475"/>
      <c r="MO247" s="2475"/>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8"/>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74"/>
      <c r="JX248" s="508"/>
      <c r="JY248" s="508"/>
      <c r="JZ248" s="508"/>
      <c r="KA248" s="508"/>
      <c r="KB248" s="2474"/>
      <c r="KC248" s="2474"/>
      <c r="KD248" s="2474"/>
      <c r="KE248" s="2474"/>
      <c r="KF248" s="2474"/>
      <c r="KG248" s="2474"/>
      <c r="KH248" s="2474"/>
      <c r="KI248" s="2474"/>
      <c r="KJ248" s="2474"/>
      <c r="KK248" s="2474"/>
      <c r="KL248" s="2474"/>
      <c r="KM248" s="2474"/>
      <c r="KN248" s="2474"/>
      <c r="KO248" s="2474"/>
      <c r="KP248" s="2474"/>
      <c r="KQ248" s="2474"/>
      <c r="KR248" s="2474"/>
      <c r="KS248" s="2474"/>
      <c r="KT248" s="2474"/>
      <c r="KU248" s="2474"/>
      <c r="KV248" s="2474"/>
      <c r="KW248" s="2474"/>
      <c r="KX248" s="2474"/>
      <c r="KY248" s="2474"/>
      <c r="KZ248" s="2474"/>
      <c r="LA248" s="2474"/>
      <c r="LB248" s="2474"/>
      <c r="LC248" s="2474"/>
      <c r="LD248" s="2474"/>
      <c r="LE248" s="2474"/>
      <c r="LF248" s="2474"/>
      <c r="LG248" s="2474"/>
      <c r="LH248" s="2474"/>
      <c r="LI248" s="2474"/>
      <c r="LJ248" s="2474"/>
      <c r="LK248" s="2474"/>
      <c r="LL248" s="2474"/>
      <c r="LM248" s="2474"/>
      <c r="LN248" s="2474"/>
      <c r="LO248" s="2474"/>
      <c r="LP248" s="2474"/>
      <c r="LQ248" s="2474"/>
      <c r="LR248" s="508"/>
      <c r="LS248" s="508"/>
      <c r="LT248" s="508"/>
      <c r="LU248" s="508"/>
      <c r="LV248" s="508"/>
      <c r="LW248" s="508"/>
      <c r="LX248" s="2475"/>
      <c r="LY248" s="508"/>
      <c r="LZ248" s="508"/>
      <c r="MA248" s="508"/>
      <c r="MB248" s="508"/>
      <c r="MC248" s="508"/>
      <c r="MD248" s="508"/>
      <c r="ME248" s="508"/>
      <c r="MF248" s="508"/>
      <c r="MG248" s="508"/>
      <c r="MH248" s="508"/>
      <c r="MI248" s="508"/>
      <c r="MJ248" s="508"/>
      <c r="MK248" s="508"/>
      <c r="ML248" s="508"/>
      <c r="MM248" s="508"/>
      <c r="MN248" s="2475"/>
      <c r="MO248" s="2475"/>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8"/>
      <c r="R249" s="968"/>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74"/>
      <c r="JX249" s="508"/>
      <c r="JY249" s="508"/>
      <c r="JZ249" s="508"/>
      <c r="KA249" s="508"/>
      <c r="KB249" s="2474"/>
      <c r="KC249" s="2474"/>
      <c r="KD249" s="2474"/>
      <c r="KE249" s="2474"/>
      <c r="KF249" s="2474"/>
      <c r="KG249" s="2474"/>
      <c r="KH249" s="2474"/>
      <c r="KI249" s="2474"/>
      <c r="KJ249" s="2474"/>
      <c r="KK249" s="2474"/>
      <c r="KL249" s="2474"/>
      <c r="KM249" s="2474"/>
      <c r="KN249" s="2474"/>
      <c r="KO249" s="2474"/>
      <c r="KP249" s="2474"/>
      <c r="KQ249" s="2474"/>
      <c r="KR249" s="2474"/>
      <c r="KS249" s="2474"/>
      <c r="KT249" s="2474"/>
      <c r="KU249" s="2474"/>
      <c r="KV249" s="2474"/>
      <c r="KW249" s="2474"/>
      <c r="KX249" s="2474"/>
      <c r="KY249" s="2474"/>
      <c r="KZ249" s="2474"/>
      <c r="LA249" s="2474"/>
      <c r="LB249" s="2474"/>
      <c r="LC249" s="2474"/>
      <c r="LD249" s="2474"/>
      <c r="LE249" s="2474"/>
      <c r="LF249" s="2474"/>
      <c r="LG249" s="2474"/>
      <c r="LH249" s="2474"/>
      <c r="LI249" s="2474"/>
      <c r="LJ249" s="2474"/>
      <c r="LK249" s="2474"/>
      <c r="LL249" s="2474"/>
      <c r="LM249" s="2474"/>
      <c r="LN249" s="2474"/>
      <c r="LO249" s="2474"/>
      <c r="LP249" s="2474"/>
      <c r="LQ249" s="2474"/>
      <c r="LR249" s="508"/>
      <c r="LS249" s="508"/>
      <c r="LT249" s="508"/>
      <c r="LU249" s="508"/>
      <c r="LV249" s="508"/>
      <c r="LW249" s="508"/>
      <c r="LX249" s="2475"/>
      <c r="LY249" s="508"/>
      <c r="LZ249" s="508"/>
      <c r="MA249" s="508"/>
      <c r="MB249" s="508"/>
      <c r="MC249" s="508"/>
      <c r="MD249" s="508"/>
      <c r="ME249" s="508"/>
      <c r="MF249" s="508"/>
      <c r="MG249" s="508"/>
      <c r="MH249" s="508"/>
      <c r="MI249" s="508"/>
      <c r="MJ249" s="508"/>
      <c r="MK249" s="508"/>
      <c r="ML249" s="508"/>
      <c r="MM249" s="508"/>
      <c r="MN249" s="2475"/>
      <c r="MO249" s="2475"/>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4429</v>
      </c>
      <c r="C250" s="11"/>
      <c r="D250" s="1"/>
      <c r="E250" s="1"/>
      <c r="H250" s="12"/>
      <c r="I250" s="1908" t="s">
        <v>4430</v>
      </c>
      <c r="K250" s="3589"/>
      <c r="L250" s="3590"/>
      <c r="M250" s="2001" t="s">
        <v>4486</v>
      </c>
      <c r="N250" s="1909"/>
      <c r="O250" s="10" t="s">
        <v>4432</v>
      </c>
      <c r="P250" s="1"/>
      <c r="Q250" s="1935">
        <f>K250*N250</f>
        <v>0</v>
      </c>
      <c r="R250" s="968"/>
      <c r="S250" s="3518"/>
      <c r="T250" s="3519"/>
      <c r="U250" s="3519"/>
      <c r="V250" s="3519"/>
      <c r="W250" s="3520"/>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74"/>
      <c r="JX250" s="508"/>
      <c r="JY250" s="508"/>
      <c r="JZ250" s="508"/>
      <c r="KA250" s="508"/>
      <c r="KB250" s="2474"/>
      <c r="KC250" s="2474"/>
      <c r="KD250" s="2474"/>
      <c r="KE250" s="2474"/>
      <c r="KF250" s="2474"/>
      <c r="KG250" s="2474"/>
      <c r="KH250" s="2474"/>
      <c r="KI250" s="2474"/>
      <c r="KJ250" s="2474"/>
      <c r="KK250" s="2474"/>
      <c r="KL250" s="2474"/>
      <c r="KM250" s="2474"/>
      <c r="KN250" s="2474"/>
      <c r="KO250" s="2474"/>
      <c r="KP250" s="2474"/>
      <c r="KQ250" s="2474"/>
      <c r="KR250" s="2474"/>
      <c r="KS250" s="2474"/>
      <c r="KT250" s="2474"/>
      <c r="KU250" s="2474"/>
      <c r="KV250" s="2474"/>
      <c r="KW250" s="2474"/>
      <c r="KX250" s="2474"/>
      <c r="KY250" s="2474"/>
      <c r="KZ250" s="2474"/>
      <c r="LA250" s="2474"/>
      <c r="LB250" s="2474"/>
      <c r="LC250" s="2474"/>
      <c r="LD250" s="2474"/>
      <c r="LE250" s="2474"/>
      <c r="LF250" s="2474"/>
      <c r="LG250" s="2474"/>
      <c r="LH250" s="2474"/>
      <c r="LI250" s="2474"/>
      <c r="LJ250" s="2474"/>
      <c r="LK250" s="2474"/>
      <c r="LL250" s="2474"/>
      <c r="LM250" s="2474"/>
      <c r="LN250" s="2474"/>
      <c r="LO250" s="2474"/>
      <c r="LP250" s="2474"/>
      <c r="LQ250" s="2474"/>
      <c r="LR250" s="508"/>
      <c r="LS250" s="508"/>
      <c r="LT250" s="508"/>
      <c r="LU250" s="508"/>
      <c r="LV250" s="508"/>
      <c r="LW250" s="508"/>
      <c r="LX250" s="2475"/>
      <c r="LY250" s="508"/>
      <c r="LZ250" s="508"/>
      <c r="MA250" s="508"/>
      <c r="MB250" s="508"/>
      <c r="MC250" s="508"/>
      <c r="MD250" s="508"/>
      <c r="ME250" s="508"/>
      <c r="MF250" s="508"/>
      <c r="MG250" s="508"/>
      <c r="MH250" s="508"/>
      <c r="MI250" s="508"/>
      <c r="MJ250" s="508"/>
      <c r="MK250" s="508"/>
      <c r="ML250" s="508"/>
      <c r="MM250" s="508"/>
      <c r="MN250" s="2475"/>
      <c r="MO250" s="2475"/>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8"/>
      <c r="R251" s="968"/>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74"/>
      <c r="JX251" s="508"/>
      <c r="JY251" s="508"/>
      <c r="JZ251" s="508"/>
      <c r="KA251" s="508"/>
      <c r="KB251" s="2474"/>
      <c r="KC251" s="2474"/>
      <c r="KD251" s="2474"/>
      <c r="KE251" s="2474"/>
      <c r="KF251" s="2474"/>
      <c r="KG251" s="2474"/>
      <c r="KH251" s="2474"/>
      <c r="KI251" s="2474"/>
      <c r="KJ251" s="2474"/>
      <c r="KK251" s="2474"/>
      <c r="KL251" s="2474"/>
      <c r="KM251" s="2474"/>
      <c r="KN251" s="2474"/>
      <c r="KO251" s="2474"/>
      <c r="KP251" s="2474"/>
      <c r="KQ251" s="2474"/>
      <c r="KR251" s="2474"/>
      <c r="KS251" s="2474"/>
      <c r="KT251" s="2474"/>
      <c r="KU251" s="2474"/>
      <c r="KV251" s="2474"/>
      <c r="KW251" s="2474"/>
      <c r="KX251" s="2474"/>
      <c r="KY251" s="2474"/>
      <c r="KZ251" s="2474"/>
      <c r="LA251" s="2474"/>
      <c r="LB251" s="2474"/>
      <c r="LC251" s="2474"/>
      <c r="LD251" s="2474"/>
      <c r="LE251" s="2474"/>
      <c r="LF251" s="2474"/>
      <c r="LG251" s="2474"/>
      <c r="LH251" s="2474"/>
      <c r="LI251" s="2474"/>
      <c r="LJ251" s="2474"/>
      <c r="LK251" s="2474"/>
      <c r="LL251" s="2474"/>
      <c r="LM251" s="2474"/>
      <c r="LN251" s="2474"/>
      <c r="LO251" s="2474"/>
      <c r="LP251" s="2474"/>
      <c r="LQ251" s="2474"/>
      <c r="LR251" s="508"/>
      <c r="LS251" s="508"/>
      <c r="LT251" s="508"/>
      <c r="LU251" s="508"/>
      <c r="LV251" s="508"/>
      <c r="LW251" s="508"/>
      <c r="LX251" s="2475"/>
      <c r="LY251" s="508"/>
      <c r="LZ251" s="508"/>
      <c r="MA251" s="508"/>
      <c r="MB251" s="508"/>
      <c r="MC251" s="508"/>
      <c r="MD251" s="508"/>
      <c r="ME251" s="508"/>
      <c r="MF251" s="508"/>
      <c r="MG251" s="508"/>
      <c r="MH251" s="508"/>
      <c r="MI251" s="508"/>
      <c r="MJ251" s="508"/>
      <c r="MK251" s="508"/>
      <c r="ML251" s="508"/>
      <c r="MM251" s="508"/>
      <c r="MN251" s="2475"/>
      <c r="MO251" s="2475"/>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4487</v>
      </c>
      <c r="C252" s="11"/>
      <c r="D252" s="1"/>
      <c r="E252" s="1"/>
      <c r="F252" s="12"/>
      <c r="G252" s="12"/>
      <c r="H252" s="1"/>
      <c r="I252" s="1"/>
      <c r="J252" s="1982" t="s">
        <v>1727</v>
      </c>
      <c r="K252" s="1908" t="s">
        <v>4489</v>
      </c>
      <c r="L252" s="1982" t="s">
        <v>1727</v>
      </c>
      <c r="M252" s="72" t="s">
        <v>4490</v>
      </c>
      <c r="N252" s="1909"/>
      <c r="O252" s="524" t="s">
        <v>4488</v>
      </c>
      <c r="P252" s="1"/>
      <c r="Q252" s="2002"/>
      <c r="R252" s="968"/>
      <c r="S252" s="3518"/>
      <c r="T252" s="3519"/>
      <c r="U252" s="3519"/>
      <c r="V252" s="3519"/>
      <c r="W252" s="3520"/>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74"/>
      <c r="JX252" s="508"/>
      <c r="JY252" s="508"/>
      <c r="JZ252" s="508"/>
      <c r="KA252" s="508"/>
      <c r="KB252" s="2474"/>
      <c r="KC252" s="2474"/>
      <c r="KD252" s="2474"/>
      <c r="KE252" s="2474"/>
      <c r="KF252" s="2474"/>
      <c r="KG252" s="2474"/>
      <c r="KH252" s="2474"/>
      <c r="KI252" s="2474"/>
      <c r="KJ252" s="2474"/>
      <c r="KK252" s="2474"/>
      <c r="KL252" s="2474"/>
      <c r="KM252" s="2474"/>
      <c r="KN252" s="2474"/>
      <c r="KO252" s="2474"/>
      <c r="KP252" s="2474"/>
      <c r="KQ252" s="2474"/>
      <c r="KR252" s="2474"/>
      <c r="KS252" s="2474"/>
      <c r="KT252" s="2474"/>
      <c r="KU252" s="2474"/>
      <c r="KV252" s="2474"/>
      <c r="KW252" s="2474"/>
      <c r="KX252" s="2474"/>
      <c r="KY252" s="2474"/>
      <c r="KZ252" s="2474"/>
      <c r="LA252" s="2474"/>
      <c r="LB252" s="2474"/>
      <c r="LC252" s="2474"/>
      <c r="LD252" s="2474"/>
      <c r="LE252" s="2474"/>
      <c r="LF252" s="2474"/>
      <c r="LG252" s="2474"/>
      <c r="LH252" s="2474"/>
      <c r="LI252" s="2474"/>
      <c r="LJ252" s="2474"/>
      <c r="LK252" s="2474"/>
      <c r="LL252" s="2474"/>
      <c r="LM252" s="2474"/>
      <c r="LN252" s="2474"/>
      <c r="LO252" s="2474"/>
      <c r="LP252" s="2474"/>
      <c r="LQ252" s="2474"/>
      <c r="LR252" s="508"/>
      <c r="LS252" s="508"/>
      <c r="LT252" s="508"/>
      <c r="LU252" s="508"/>
      <c r="LV252" s="508"/>
      <c r="LW252" s="508"/>
      <c r="LX252" s="2475"/>
      <c r="LY252" s="508"/>
      <c r="LZ252" s="508"/>
      <c r="MA252" s="508"/>
      <c r="MB252" s="508"/>
      <c r="MC252" s="508"/>
      <c r="MD252" s="508"/>
      <c r="ME252" s="508"/>
      <c r="MF252" s="508"/>
      <c r="MG252" s="508"/>
      <c r="MH252" s="508"/>
      <c r="MI252" s="508"/>
      <c r="MJ252" s="508"/>
      <c r="MK252" s="508"/>
      <c r="ML252" s="508"/>
      <c r="MM252" s="508"/>
      <c r="MN252" s="2475"/>
      <c r="MO252" s="2475"/>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8"/>
      <c r="R253" s="968"/>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74"/>
      <c r="JX253" s="508"/>
      <c r="JY253" s="508"/>
      <c r="JZ253" s="508"/>
      <c r="KA253" s="508"/>
      <c r="KB253" s="2474"/>
      <c r="KC253" s="2474"/>
      <c r="KD253" s="2474"/>
      <c r="KE253" s="2474"/>
      <c r="KF253" s="2474"/>
      <c r="KG253" s="2474"/>
      <c r="KH253" s="2474"/>
      <c r="KI253" s="2474"/>
      <c r="KJ253" s="2474"/>
      <c r="KK253" s="2474"/>
      <c r="KL253" s="2474"/>
      <c r="KM253" s="2474"/>
      <c r="KN253" s="2474"/>
      <c r="KO253" s="2474"/>
      <c r="KP253" s="2474"/>
      <c r="KQ253" s="2474"/>
      <c r="KR253" s="2474"/>
      <c r="KS253" s="2474"/>
      <c r="KT253" s="2474"/>
      <c r="KU253" s="2474"/>
      <c r="KV253" s="2474"/>
      <c r="KW253" s="2474"/>
      <c r="KX253" s="2474"/>
      <c r="KY253" s="2474"/>
      <c r="KZ253" s="2474"/>
      <c r="LA253" s="2474"/>
      <c r="LB253" s="2474"/>
      <c r="LC253" s="2474"/>
      <c r="LD253" s="2474"/>
      <c r="LE253" s="2474"/>
      <c r="LF253" s="2474"/>
      <c r="LG253" s="2474"/>
      <c r="LH253" s="2474"/>
      <c r="LI253" s="2474"/>
      <c r="LJ253" s="2474"/>
      <c r="LK253" s="2474"/>
      <c r="LL253" s="2474"/>
      <c r="LM253" s="2474"/>
      <c r="LN253" s="2474"/>
      <c r="LO253" s="2474"/>
      <c r="LP253" s="2474"/>
      <c r="LQ253" s="2474"/>
      <c r="LR253" s="508"/>
      <c r="LS253" s="508"/>
      <c r="LT253" s="508"/>
      <c r="LU253" s="508"/>
      <c r="LV253" s="508"/>
      <c r="LW253" s="508"/>
      <c r="LX253" s="2475"/>
      <c r="LY253" s="508"/>
      <c r="LZ253" s="508"/>
      <c r="MA253" s="508"/>
      <c r="MB253" s="508"/>
      <c r="MC253" s="508"/>
      <c r="MD253" s="508"/>
      <c r="ME253" s="508"/>
      <c r="MF253" s="508"/>
      <c r="MG253" s="508"/>
      <c r="MH253" s="508"/>
      <c r="MI253" s="508"/>
      <c r="MJ253" s="508"/>
      <c r="MK253" s="508"/>
      <c r="ML253" s="508"/>
      <c r="MM253" s="508"/>
      <c r="MN253" s="2475"/>
      <c r="MO253" s="2475"/>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3796</v>
      </c>
      <c r="B254" s="13" t="s">
        <v>555</v>
      </c>
      <c r="N254" s="13" t="s">
        <v>4428</v>
      </c>
      <c r="O254" s="13"/>
    </row>
    <row r="255" spans="1:503" ht="408.75" customHeight="1">
      <c r="A255" s="3184" t="s">
        <v>7110</v>
      </c>
      <c r="B255" s="3184"/>
      <c r="C255" s="3184"/>
      <c r="D255" s="3184"/>
      <c r="E255" s="3184"/>
      <c r="F255" s="3184"/>
      <c r="G255" s="3184"/>
      <c r="H255" s="3184"/>
      <c r="I255" s="3184"/>
      <c r="J255" s="3184"/>
      <c r="K255" s="3184"/>
      <c r="L255" s="3184"/>
      <c r="M255" s="3184"/>
      <c r="N255" s="3183"/>
      <c r="O255" s="3183"/>
      <c r="P255" s="3183"/>
      <c r="Q255" s="3183"/>
      <c r="R255" s="3522" t="s">
        <v>3795</v>
      </c>
      <c r="S255" s="2878"/>
      <c r="T255" s="2878"/>
      <c r="U255" s="2878"/>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74"/>
      <c r="JX260" s="508"/>
      <c r="JY260" s="508"/>
      <c r="JZ260" s="508"/>
      <c r="KA260" s="508"/>
      <c r="KB260" s="2474"/>
      <c r="KC260" s="2474"/>
      <c r="KD260" s="2474"/>
      <c r="KE260" s="2474"/>
      <c r="KF260" s="2474"/>
      <c r="KG260" s="2474"/>
      <c r="KH260" s="2474"/>
      <c r="KI260" s="2474"/>
      <c r="KJ260" s="2474"/>
      <c r="KK260" s="2474"/>
      <c r="KL260" s="2474"/>
      <c r="KM260" s="2474"/>
      <c r="KN260" s="2474"/>
      <c r="KO260" s="2474"/>
      <c r="KP260" s="2474"/>
      <c r="KQ260" s="2474"/>
      <c r="KR260" s="2474"/>
      <c r="KS260" s="2474"/>
      <c r="KT260" s="2474"/>
      <c r="KU260" s="2474"/>
      <c r="KV260" s="2474"/>
      <c r="KW260" s="2474"/>
      <c r="KX260" s="2474"/>
      <c r="KY260" s="2474"/>
      <c r="KZ260" s="2474"/>
      <c r="LA260" s="2474"/>
      <c r="LB260" s="2474"/>
      <c r="LC260" s="2474"/>
      <c r="LD260" s="2474"/>
      <c r="LE260" s="2474"/>
      <c r="LF260" s="2474"/>
      <c r="LG260" s="2474"/>
      <c r="LH260" s="2474"/>
      <c r="LI260" s="2474"/>
      <c r="LJ260" s="2474"/>
      <c r="LK260" s="2474"/>
      <c r="LL260" s="2474"/>
      <c r="LM260" s="2474"/>
      <c r="LN260" s="2474"/>
      <c r="LO260" s="2474"/>
      <c r="LP260" s="2474"/>
      <c r="LQ260" s="2474"/>
      <c r="LR260" s="508"/>
      <c r="LS260" s="508"/>
      <c r="LT260" s="508"/>
      <c r="LU260" s="508"/>
      <c r="LV260" s="508"/>
      <c r="LW260" s="508"/>
      <c r="LX260" s="2475"/>
      <c r="LY260" s="508"/>
      <c r="LZ260" s="508"/>
      <c r="MA260" s="508"/>
      <c r="MB260" s="508"/>
      <c r="MC260" s="508"/>
      <c r="MD260" s="508"/>
      <c r="ME260" s="508"/>
      <c r="MF260" s="508"/>
      <c r="MG260" s="508"/>
      <c r="MH260" s="508"/>
      <c r="MI260" s="508"/>
      <c r="MJ260" s="508"/>
      <c r="MK260" s="508"/>
      <c r="ML260" s="508"/>
      <c r="MM260" s="508"/>
      <c r="MN260" s="2475"/>
      <c r="MO260" s="2475"/>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74"/>
      <c r="JX261" s="508"/>
      <c r="JY261" s="508"/>
      <c r="JZ261" s="508"/>
      <c r="KA261" s="508"/>
      <c r="KB261" s="2474"/>
      <c r="KC261" s="2474"/>
      <c r="KD261" s="2474"/>
      <c r="KE261" s="2474"/>
      <c r="KF261" s="2474"/>
      <c r="KG261" s="2474"/>
      <c r="KH261" s="2474"/>
      <c r="KI261" s="2474"/>
      <c r="KJ261" s="2474"/>
      <c r="KK261" s="2474"/>
      <c r="KL261" s="2474"/>
      <c r="KM261" s="2474"/>
      <c r="KN261" s="2474"/>
      <c r="KO261" s="2474"/>
      <c r="KP261" s="2474"/>
      <c r="KQ261" s="2474"/>
      <c r="KR261" s="2474"/>
      <c r="KS261" s="2474"/>
      <c r="KT261" s="2474"/>
      <c r="KU261" s="2474"/>
      <c r="KV261" s="2474"/>
      <c r="KW261" s="2474"/>
      <c r="KX261" s="2474"/>
      <c r="KY261" s="2474"/>
      <c r="KZ261" s="2474"/>
      <c r="LA261" s="2474"/>
      <c r="LB261" s="2474"/>
      <c r="LC261" s="2474"/>
      <c r="LD261" s="2474"/>
      <c r="LE261" s="2474"/>
      <c r="LF261" s="2474"/>
      <c r="LG261" s="2474"/>
      <c r="LH261" s="2474"/>
      <c r="LI261" s="2474"/>
      <c r="LJ261" s="2474"/>
      <c r="LK261" s="2474"/>
      <c r="LL261" s="2474"/>
      <c r="LM261" s="2474"/>
      <c r="LN261" s="2474"/>
      <c r="LO261" s="2474"/>
      <c r="LP261" s="2474"/>
      <c r="LQ261" s="2474"/>
      <c r="LR261" s="508"/>
      <c r="LS261" s="508"/>
      <c r="LT261" s="508"/>
      <c r="LU261" s="508"/>
      <c r="LV261" s="508"/>
      <c r="LW261" s="508"/>
      <c r="LX261" s="2475"/>
      <c r="LY261" s="508"/>
      <c r="LZ261" s="508"/>
      <c r="MA261" s="508"/>
      <c r="MB261" s="508"/>
      <c r="MC261" s="508"/>
      <c r="MD261" s="508"/>
      <c r="ME261" s="508"/>
      <c r="MF261" s="508"/>
      <c r="MG261" s="508"/>
      <c r="MH261" s="508"/>
      <c r="MI261" s="508"/>
      <c r="MJ261" s="508"/>
      <c r="MK261" s="508"/>
      <c r="ML261" s="508"/>
      <c r="MM261" s="508"/>
      <c r="MN261" s="2475"/>
      <c r="MO261" s="2475"/>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74"/>
      <c r="JX262" s="508"/>
      <c r="JY262" s="508"/>
      <c r="JZ262" s="508"/>
      <c r="KA262" s="508"/>
      <c r="KB262" s="2474"/>
      <c r="KC262" s="2474"/>
      <c r="KD262" s="2474"/>
      <c r="KE262" s="2474"/>
      <c r="KF262" s="2474"/>
      <c r="KG262" s="2474"/>
      <c r="KH262" s="2474"/>
      <c r="KI262" s="2474"/>
      <c r="KJ262" s="2474"/>
      <c r="KK262" s="2474"/>
      <c r="KL262" s="2474"/>
      <c r="KM262" s="2474"/>
      <c r="KN262" s="2474"/>
      <c r="KO262" s="2474"/>
      <c r="KP262" s="2474"/>
      <c r="KQ262" s="2474"/>
      <c r="KR262" s="2474"/>
      <c r="KS262" s="2474"/>
      <c r="KT262" s="2474"/>
      <c r="KU262" s="2474"/>
      <c r="KV262" s="2474"/>
      <c r="KW262" s="2474"/>
      <c r="KX262" s="2474"/>
      <c r="KY262" s="2474"/>
      <c r="KZ262" s="2474"/>
      <c r="LA262" s="2474"/>
      <c r="LB262" s="2474"/>
      <c r="LC262" s="2474"/>
      <c r="LD262" s="2474"/>
      <c r="LE262" s="2474"/>
      <c r="LF262" s="2474"/>
      <c r="LG262" s="2474"/>
      <c r="LH262" s="2474"/>
      <c r="LI262" s="2474"/>
      <c r="LJ262" s="2474"/>
      <c r="LK262" s="2474"/>
      <c r="LL262" s="2474"/>
      <c r="LM262" s="2474"/>
      <c r="LN262" s="2474"/>
      <c r="LO262" s="2474"/>
      <c r="LP262" s="2474"/>
      <c r="LQ262" s="2474"/>
      <c r="LR262" s="508"/>
      <c r="LS262" s="508"/>
      <c r="LT262" s="508"/>
      <c r="LU262" s="508"/>
      <c r="LV262" s="508"/>
      <c r="LW262" s="508"/>
      <c r="LX262" s="2475"/>
      <c r="LY262" s="508"/>
      <c r="LZ262" s="508"/>
      <c r="MA262" s="508"/>
      <c r="MB262" s="508"/>
      <c r="MC262" s="508"/>
      <c r="MD262" s="508"/>
      <c r="ME262" s="508"/>
      <c r="MF262" s="508"/>
      <c r="MG262" s="508"/>
      <c r="MH262" s="508"/>
      <c r="MI262" s="508"/>
      <c r="MJ262" s="508"/>
      <c r="MK262" s="508"/>
      <c r="ML262" s="508"/>
      <c r="MM262" s="508"/>
      <c r="MN262" s="2475"/>
      <c r="MO262" s="2475"/>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74"/>
      <c r="JX263" s="508"/>
      <c r="JY263" s="508"/>
      <c r="JZ263" s="508"/>
      <c r="KA263" s="508"/>
      <c r="KB263" s="2474"/>
      <c r="KC263" s="2474"/>
      <c r="KD263" s="2474"/>
      <c r="KE263" s="2474"/>
      <c r="KF263" s="2474"/>
      <c r="KG263" s="2474"/>
      <c r="KH263" s="2474"/>
      <c r="KI263" s="2474"/>
      <c r="KJ263" s="2474"/>
      <c r="KK263" s="2474"/>
      <c r="KL263" s="2474"/>
      <c r="KM263" s="2474"/>
      <c r="KN263" s="2474"/>
      <c r="KO263" s="2474"/>
      <c r="KP263" s="2474"/>
      <c r="KQ263" s="2474"/>
      <c r="KR263" s="2474"/>
      <c r="KS263" s="2474"/>
      <c r="KT263" s="2474"/>
      <c r="KU263" s="2474"/>
      <c r="KV263" s="2474"/>
      <c r="KW263" s="2474"/>
      <c r="KX263" s="2474"/>
      <c r="KY263" s="2474"/>
      <c r="KZ263" s="2474"/>
      <c r="LA263" s="2474"/>
      <c r="LB263" s="2474"/>
      <c r="LC263" s="2474"/>
      <c r="LD263" s="2474"/>
      <c r="LE263" s="2474"/>
      <c r="LF263" s="2474"/>
      <c r="LG263" s="2474"/>
      <c r="LH263" s="2474"/>
      <c r="LI263" s="2474"/>
      <c r="LJ263" s="2474"/>
      <c r="LK263" s="2474"/>
      <c r="LL263" s="2474"/>
      <c r="LM263" s="2474"/>
      <c r="LN263" s="2474"/>
      <c r="LO263" s="2474"/>
      <c r="LP263" s="2474"/>
      <c r="LQ263" s="2474"/>
      <c r="LR263" s="508"/>
      <c r="LS263" s="508"/>
      <c r="LT263" s="508"/>
      <c r="LU263" s="508"/>
      <c r="LV263" s="508"/>
      <c r="LW263" s="508"/>
      <c r="LX263" s="2475"/>
      <c r="LY263" s="508"/>
      <c r="LZ263" s="508"/>
      <c r="MA263" s="508"/>
      <c r="MB263" s="508"/>
      <c r="MC263" s="508"/>
      <c r="MD263" s="508"/>
      <c r="ME263" s="508"/>
      <c r="MF263" s="508"/>
      <c r="MG263" s="508"/>
      <c r="MH263" s="508"/>
      <c r="MI263" s="508"/>
      <c r="MJ263" s="508"/>
      <c r="MK263" s="508"/>
      <c r="ML263" s="508"/>
      <c r="MM263" s="508"/>
      <c r="MN263" s="2475"/>
      <c r="MO263" s="2475"/>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74"/>
      <c r="JX264" s="508"/>
      <c r="JY264" s="508"/>
      <c r="JZ264" s="508"/>
      <c r="KA264" s="508"/>
      <c r="KB264" s="2474"/>
      <c r="KC264" s="2474"/>
      <c r="KD264" s="2474"/>
      <c r="KE264" s="2474"/>
      <c r="KF264" s="2474"/>
      <c r="KG264" s="2474"/>
      <c r="KH264" s="2474"/>
      <c r="KI264" s="2474"/>
      <c r="KJ264" s="2474"/>
      <c r="KK264" s="2474"/>
      <c r="KL264" s="2474"/>
      <c r="KM264" s="2474"/>
      <c r="KN264" s="2474"/>
      <c r="KO264" s="2474"/>
      <c r="KP264" s="2474"/>
      <c r="KQ264" s="2474"/>
      <c r="KR264" s="2474"/>
      <c r="KS264" s="2474"/>
      <c r="KT264" s="2474"/>
      <c r="KU264" s="2474"/>
      <c r="KV264" s="2474"/>
      <c r="KW264" s="2474"/>
      <c r="KX264" s="2474"/>
      <c r="KY264" s="2474"/>
      <c r="KZ264" s="2474"/>
      <c r="LA264" s="2474"/>
      <c r="LB264" s="2474"/>
      <c r="LC264" s="2474"/>
      <c r="LD264" s="2474"/>
      <c r="LE264" s="2474"/>
      <c r="LF264" s="2474"/>
      <c r="LG264" s="2474"/>
      <c r="LH264" s="2474"/>
      <c r="LI264" s="2474"/>
      <c r="LJ264" s="2474"/>
      <c r="LK264" s="2474"/>
      <c r="LL264" s="2474"/>
      <c r="LM264" s="2474"/>
      <c r="LN264" s="2474"/>
      <c r="LO264" s="2474"/>
      <c r="LP264" s="2474"/>
      <c r="LQ264" s="2474"/>
      <c r="LR264" s="508"/>
      <c r="LS264" s="508"/>
      <c r="LT264" s="508"/>
      <c r="LU264" s="508"/>
      <c r="LV264" s="508"/>
      <c r="LW264" s="508"/>
      <c r="LX264" s="2475"/>
      <c r="LY264" s="508"/>
      <c r="LZ264" s="508"/>
      <c r="MA264" s="508"/>
      <c r="MB264" s="508"/>
      <c r="MC264" s="508"/>
      <c r="MD264" s="508"/>
      <c r="ME264" s="508"/>
      <c r="MF264" s="508"/>
      <c r="MG264" s="508"/>
      <c r="MH264" s="508"/>
      <c r="MI264" s="508"/>
      <c r="MJ264" s="508"/>
      <c r="MK264" s="508"/>
      <c r="ML264" s="508"/>
      <c r="MM264" s="508"/>
      <c r="MN264" s="2475"/>
      <c r="MO264" s="2475"/>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7"/>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74"/>
      <c r="JX265" s="508"/>
      <c r="JY265" s="508"/>
      <c r="JZ265" s="508"/>
      <c r="KA265" s="508"/>
      <c r="KB265" s="2474"/>
      <c r="KC265" s="2474"/>
      <c r="KD265" s="2474"/>
      <c r="KE265" s="2474"/>
      <c r="KF265" s="2474"/>
      <c r="KG265" s="2474"/>
      <c r="KH265" s="2474"/>
      <c r="KI265" s="2474"/>
      <c r="KJ265" s="2474"/>
      <c r="KK265" s="2474"/>
      <c r="KL265" s="2474"/>
      <c r="KM265" s="2474"/>
      <c r="KN265" s="2474"/>
      <c r="KO265" s="2474"/>
      <c r="KP265" s="2474"/>
      <c r="KQ265" s="2474"/>
      <c r="KR265" s="2474"/>
      <c r="KS265" s="2474"/>
      <c r="KT265" s="2474"/>
      <c r="KU265" s="2474"/>
      <c r="KV265" s="2474"/>
      <c r="KW265" s="2474"/>
      <c r="KX265" s="2474"/>
      <c r="KY265" s="2474"/>
      <c r="KZ265" s="2474"/>
      <c r="LA265" s="2474"/>
      <c r="LB265" s="2474"/>
      <c r="LC265" s="2474"/>
      <c r="LD265" s="2474"/>
      <c r="LE265" s="2474"/>
      <c r="LF265" s="2474"/>
      <c r="LG265" s="2474"/>
      <c r="LH265" s="2474"/>
      <c r="LI265" s="2474"/>
      <c r="LJ265" s="2474"/>
      <c r="LK265" s="2474"/>
      <c r="LL265" s="2474"/>
      <c r="LM265" s="2474"/>
      <c r="LN265" s="2474"/>
      <c r="LO265" s="2474"/>
      <c r="LP265" s="2474"/>
      <c r="LQ265" s="2474"/>
      <c r="LR265" s="508"/>
      <c r="LS265" s="508"/>
      <c r="LT265" s="508"/>
      <c r="LU265" s="508"/>
      <c r="LV265" s="508"/>
      <c r="LW265" s="508"/>
      <c r="LX265" s="2475"/>
      <c r="LY265" s="508"/>
      <c r="LZ265" s="508"/>
      <c r="MA265" s="508"/>
      <c r="MB265" s="508"/>
      <c r="MC265" s="508"/>
      <c r="MD265" s="508"/>
      <c r="ME265" s="508"/>
      <c r="MF265" s="508"/>
      <c r="MG265" s="508"/>
      <c r="MH265" s="508"/>
      <c r="MI265" s="508"/>
      <c r="MJ265" s="508"/>
      <c r="MK265" s="508"/>
      <c r="ML265" s="508"/>
      <c r="MM265" s="508"/>
      <c r="MN265" s="2475"/>
      <c r="MO265" s="2475"/>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74"/>
      <c r="JX266" s="508"/>
      <c r="JY266" s="508"/>
      <c r="JZ266" s="508"/>
      <c r="KA266" s="508"/>
      <c r="KB266" s="2474"/>
      <c r="KC266" s="2474"/>
      <c r="KD266" s="2474"/>
      <c r="KE266" s="2474"/>
      <c r="KF266" s="2474"/>
      <c r="KG266" s="2474"/>
      <c r="KH266" s="2474"/>
      <c r="KI266" s="2474"/>
      <c r="KJ266" s="2474"/>
      <c r="KK266" s="2474"/>
      <c r="KL266" s="2474"/>
      <c r="KM266" s="2474"/>
      <c r="KN266" s="2474"/>
      <c r="KO266" s="2474"/>
      <c r="KP266" s="2474"/>
      <c r="KQ266" s="2474"/>
      <c r="KR266" s="2474"/>
      <c r="KS266" s="2474"/>
      <c r="KT266" s="2474"/>
      <c r="KU266" s="2474"/>
      <c r="KV266" s="2474"/>
      <c r="KW266" s="2474"/>
      <c r="KX266" s="2474"/>
      <c r="KY266" s="2474"/>
      <c r="KZ266" s="2474"/>
      <c r="LA266" s="2474"/>
      <c r="LB266" s="2474"/>
      <c r="LC266" s="2474"/>
      <c r="LD266" s="2474"/>
      <c r="LE266" s="2474"/>
      <c r="LF266" s="2474"/>
      <c r="LG266" s="2474"/>
      <c r="LH266" s="2474"/>
      <c r="LI266" s="2474"/>
      <c r="LJ266" s="2474"/>
      <c r="LK266" s="2474"/>
      <c r="LL266" s="2474"/>
      <c r="LM266" s="2474"/>
      <c r="LN266" s="2474"/>
      <c r="LO266" s="2474"/>
      <c r="LP266" s="2474"/>
      <c r="LQ266" s="2474"/>
      <c r="LR266" s="508"/>
      <c r="LS266" s="508"/>
      <c r="LT266" s="508"/>
      <c r="LU266" s="508"/>
      <c r="LV266" s="508"/>
      <c r="LW266" s="508"/>
      <c r="LX266" s="2475"/>
      <c r="LY266" s="508"/>
      <c r="LZ266" s="508"/>
      <c r="MA266" s="508"/>
      <c r="MB266" s="508"/>
      <c r="MC266" s="508"/>
      <c r="MD266" s="508"/>
      <c r="ME266" s="508"/>
      <c r="MF266" s="508"/>
      <c r="MG266" s="508"/>
      <c r="MH266" s="508"/>
      <c r="MI266" s="508"/>
      <c r="MJ266" s="508"/>
      <c r="MK266" s="508"/>
      <c r="ML266" s="508"/>
      <c r="MM266" s="508"/>
      <c r="MN266" s="2475"/>
      <c r="MO266" s="2475"/>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74"/>
      <c r="JX271" s="508"/>
      <c r="JY271" s="508"/>
      <c r="JZ271" s="508"/>
      <c r="KA271" s="508"/>
      <c r="KB271" s="2474"/>
      <c r="KC271" s="2474"/>
      <c r="KD271" s="2474"/>
      <c r="KE271" s="2474"/>
      <c r="KF271" s="2474"/>
      <c r="KG271" s="2474"/>
      <c r="KH271" s="2474"/>
      <c r="KI271" s="2474"/>
      <c r="KJ271" s="2474"/>
      <c r="KK271" s="2474"/>
      <c r="KL271" s="2474"/>
      <c r="KM271" s="2474"/>
      <c r="KN271" s="2474"/>
      <c r="KO271" s="2474"/>
      <c r="KP271" s="2474"/>
      <c r="KQ271" s="2474"/>
      <c r="KR271" s="2474"/>
      <c r="KS271" s="2474"/>
      <c r="KT271" s="2474"/>
      <c r="KU271" s="2474"/>
      <c r="KV271" s="2474"/>
      <c r="KW271" s="2474"/>
      <c r="KX271" s="2474"/>
      <c r="KY271" s="2474"/>
      <c r="KZ271" s="2474"/>
      <c r="LA271" s="2474"/>
      <c r="LB271" s="2474"/>
      <c r="LC271" s="2474"/>
      <c r="LD271" s="2474"/>
      <c r="LE271" s="2474"/>
      <c r="LF271" s="2474"/>
      <c r="LG271" s="2474"/>
      <c r="LH271" s="2474"/>
      <c r="LI271" s="2474"/>
      <c r="LJ271" s="2474"/>
      <c r="LK271" s="2474"/>
      <c r="LL271" s="2474"/>
      <c r="LM271" s="2474"/>
      <c r="LN271" s="2474"/>
      <c r="LO271" s="2474"/>
      <c r="LP271" s="2474"/>
      <c r="LQ271" s="2474"/>
      <c r="LR271" s="508"/>
      <c r="LS271" s="508"/>
      <c r="LT271" s="508"/>
      <c r="LU271" s="508"/>
      <c r="LV271" s="508"/>
      <c r="LW271" s="508"/>
      <c r="LX271" s="2475"/>
      <c r="LY271" s="508"/>
      <c r="LZ271" s="508"/>
      <c r="MA271" s="508"/>
      <c r="MB271" s="508"/>
      <c r="MC271" s="508"/>
      <c r="MD271" s="508"/>
      <c r="ME271" s="508"/>
      <c r="MF271" s="508"/>
      <c r="MG271" s="508"/>
      <c r="MH271" s="508"/>
      <c r="MI271" s="508"/>
      <c r="MJ271" s="508"/>
      <c r="MK271" s="508"/>
      <c r="ML271" s="508"/>
      <c r="MM271" s="508"/>
      <c r="MN271" s="2475"/>
      <c r="MO271" s="2475"/>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74"/>
      <c r="JX272" s="508"/>
      <c r="JY272" s="508"/>
      <c r="JZ272" s="508"/>
      <c r="KA272" s="508"/>
      <c r="KB272" s="2474"/>
      <c r="KC272" s="2474"/>
      <c r="KD272" s="2474"/>
      <c r="KE272" s="2474"/>
      <c r="KF272" s="2474"/>
      <c r="KG272" s="2474"/>
      <c r="KH272" s="2474"/>
      <c r="KI272" s="2474"/>
      <c r="KJ272" s="2474"/>
      <c r="KK272" s="2474"/>
      <c r="KL272" s="2474"/>
      <c r="KM272" s="2474"/>
      <c r="KN272" s="2474"/>
      <c r="KO272" s="2474"/>
      <c r="KP272" s="2474"/>
      <c r="KQ272" s="2474"/>
      <c r="KR272" s="2474"/>
      <c r="KS272" s="2474"/>
      <c r="KT272" s="2474"/>
      <c r="KU272" s="2474"/>
      <c r="KV272" s="2474"/>
      <c r="KW272" s="2474"/>
      <c r="KX272" s="2474"/>
      <c r="KY272" s="2474"/>
      <c r="KZ272" s="2474"/>
      <c r="LA272" s="2474"/>
      <c r="LB272" s="2474"/>
      <c r="LC272" s="2474"/>
      <c r="LD272" s="2474"/>
      <c r="LE272" s="2474"/>
      <c r="LF272" s="2474"/>
      <c r="LG272" s="2474"/>
      <c r="LH272" s="2474"/>
      <c r="LI272" s="2474"/>
      <c r="LJ272" s="2474"/>
      <c r="LK272" s="2474"/>
      <c r="LL272" s="2474"/>
      <c r="LM272" s="2474"/>
      <c r="LN272" s="2474"/>
      <c r="LO272" s="2474"/>
      <c r="LP272" s="2474"/>
      <c r="LQ272" s="2474"/>
      <c r="LR272" s="508"/>
      <c r="LS272" s="508"/>
      <c r="LT272" s="508"/>
      <c r="LU272" s="508"/>
      <c r="LV272" s="508"/>
      <c r="LW272" s="508"/>
      <c r="LX272" s="2475"/>
      <c r="LY272" s="508"/>
      <c r="LZ272" s="508"/>
      <c r="MA272" s="508"/>
      <c r="MB272" s="508"/>
      <c r="MC272" s="508"/>
      <c r="MD272" s="508"/>
      <c r="ME272" s="508"/>
      <c r="MF272" s="508"/>
      <c r="MG272" s="508"/>
      <c r="MH272" s="508"/>
      <c r="MI272" s="508"/>
      <c r="MJ272" s="508"/>
      <c r="MK272" s="508"/>
      <c r="ML272" s="508"/>
      <c r="MM272" s="508"/>
      <c r="MN272" s="2475"/>
      <c r="MO272" s="2475"/>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7"/>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74"/>
      <c r="JX273" s="508"/>
      <c r="JY273" s="508"/>
      <c r="JZ273" s="508"/>
      <c r="KA273" s="508"/>
      <c r="KB273" s="2474"/>
      <c r="KC273" s="2474"/>
      <c r="KD273" s="2474"/>
      <c r="KE273" s="2474"/>
      <c r="KF273" s="2474"/>
      <c r="KG273" s="2474"/>
      <c r="KH273" s="2474"/>
      <c r="KI273" s="2474"/>
      <c r="KJ273" s="2474"/>
      <c r="KK273" s="2474"/>
      <c r="KL273" s="2474"/>
      <c r="KM273" s="2474"/>
      <c r="KN273" s="2474"/>
      <c r="KO273" s="2474"/>
      <c r="KP273" s="2474"/>
      <c r="KQ273" s="2474"/>
      <c r="KR273" s="2474"/>
      <c r="KS273" s="2474"/>
      <c r="KT273" s="2474"/>
      <c r="KU273" s="2474"/>
      <c r="KV273" s="2474"/>
      <c r="KW273" s="2474"/>
      <c r="KX273" s="2474"/>
      <c r="KY273" s="2474"/>
      <c r="KZ273" s="2474"/>
      <c r="LA273" s="2474"/>
      <c r="LB273" s="2474"/>
      <c r="LC273" s="2474"/>
      <c r="LD273" s="2474"/>
      <c r="LE273" s="2474"/>
      <c r="LF273" s="2474"/>
      <c r="LG273" s="2474"/>
      <c r="LH273" s="2474"/>
      <c r="LI273" s="2474"/>
      <c r="LJ273" s="2474"/>
      <c r="LK273" s="2474"/>
      <c r="LL273" s="2474"/>
      <c r="LM273" s="2474"/>
      <c r="LN273" s="2474"/>
      <c r="LO273" s="2474"/>
      <c r="LP273" s="2474"/>
      <c r="LQ273" s="2474"/>
      <c r="LR273" s="508"/>
      <c r="LS273" s="508"/>
      <c r="LT273" s="508"/>
      <c r="LU273" s="508"/>
      <c r="LV273" s="508"/>
      <c r="LW273" s="508"/>
      <c r="LX273" s="2475"/>
      <c r="LY273" s="508"/>
      <c r="LZ273" s="508"/>
      <c r="MA273" s="508"/>
      <c r="MB273" s="508"/>
      <c r="MC273" s="508"/>
      <c r="MD273" s="508"/>
      <c r="ME273" s="508"/>
      <c r="MF273" s="508"/>
      <c r="MG273" s="508"/>
      <c r="MH273" s="508"/>
      <c r="MI273" s="508"/>
      <c r="MJ273" s="508"/>
      <c r="MK273" s="508"/>
      <c r="ML273" s="508"/>
      <c r="MM273" s="508"/>
      <c r="MN273" s="2475"/>
      <c r="MO273" s="2475"/>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74"/>
      <c r="JX274" s="508"/>
      <c r="JY274" s="508"/>
      <c r="JZ274" s="508"/>
      <c r="KA274" s="508"/>
      <c r="KB274" s="2474"/>
      <c r="KC274" s="2474"/>
      <c r="KD274" s="2474"/>
      <c r="KE274" s="2474"/>
      <c r="KF274" s="2474"/>
      <c r="KG274" s="2474"/>
      <c r="KH274" s="2474"/>
      <c r="KI274" s="2474"/>
      <c r="KJ274" s="2474"/>
      <c r="KK274" s="2474"/>
      <c r="KL274" s="2474"/>
      <c r="KM274" s="2474"/>
      <c r="KN274" s="2474"/>
      <c r="KO274" s="2474"/>
      <c r="KP274" s="2474"/>
      <c r="KQ274" s="2474"/>
      <c r="KR274" s="2474"/>
      <c r="KS274" s="2474"/>
      <c r="KT274" s="2474"/>
      <c r="KU274" s="2474"/>
      <c r="KV274" s="2474"/>
      <c r="KW274" s="2474"/>
      <c r="KX274" s="2474"/>
      <c r="KY274" s="2474"/>
      <c r="KZ274" s="2474"/>
      <c r="LA274" s="2474"/>
      <c r="LB274" s="2474"/>
      <c r="LC274" s="2474"/>
      <c r="LD274" s="2474"/>
      <c r="LE274" s="2474"/>
      <c r="LF274" s="2474"/>
      <c r="LG274" s="2474"/>
      <c r="LH274" s="2474"/>
      <c r="LI274" s="2474"/>
      <c r="LJ274" s="2474"/>
      <c r="LK274" s="2474"/>
      <c r="LL274" s="2474"/>
      <c r="LM274" s="2474"/>
      <c r="LN274" s="2474"/>
      <c r="LO274" s="2474"/>
      <c r="LP274" s="2474"/>
      <c r="LQ274" s="2474"/>
      <c r="LR274" s="508"/>
      <c r="LS274" s="508"/>
      <c r="LT274" s="508"/>
      <c r="LU274" s="508"/>
      <c r="LV274" s="508"/>
      <c r="LW274" s="508"/>
      <c r="LX274" s="2475"/>
      <c r="LY274" s="508"/>
      <c r="LZ274" s="508"/>
      <c r="MA274" s="508"/>
      <c r="MB274" s="508"/>
      <c r="MC274" s="508"/>
      <c r="MD274" s="508"/>
      <c r="ME274" s="508"/>
      <c r="MF274" s="508"/>
      <c r="MG274" s="508"/>
      <c r="MH274" s="508"/>
      <c r="MI274" s="508"/>
      <c r="MJ274" s="508"/>
      <c r="MK274" s="508"/>
      <c r="ML274" s="508"/>
      <c r="MM274" s="508"/>
      <c r="MN274" s="2475"/>
      <c r="MO274" s="2475"/>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74"/>
      <c r="JX275" s="508"/>
      <c r="JY275" s="508"/>
      <c r="JZ275" s="508"/>
      <c r="KA275" s="508"/>
      <c r="KB275" s="2474"/>
      <c r="KC275" s="2474"/>
      <c r="KD275" s="2474"/>
      <c r="KE275" s="2474"/>
      <c r="KF275" s="2474"/>
      <c r="KG275" s="2474"/>
      <c r="KH275" s="2474"/>
      <c r="KI275" s="2474"/>
      <c r="KJ275" s="2474"/>
      <c r="KK275" s="2474"/>
      <c r="KL275" s="2474"/>
      <c r="KM275" s="2474"/>
      <c r="KN275" s="2474"/>
      <c r="KO275" s="2474"/>
      <c r="KP275" s="2474"/>
      <c r="KQ275" s="2474"/>
      <c r="KR275" s="2474"/>
      <c r="KS275" s="2474"/>
      <c r="KT275" s="2474"/>
      <c r="KU275" s="2474"/>
      <c r="KV275" s="2474"/>
      <c r="KW275" s="2474"/>
      <c r="KX275" s="2474"/>
      <c r="KY275" s="2474"/>
      <c r="KZ275" s="2474"/>
      <c r="LA275" s="2474"/>
      <c r="LB275" s="2474"/>
      <c r="LC275" s="2474"/>
      <c r="LD275" s="2474"/>
      <c r="LE275" s="2474"/>
      <c r="LF275" s="2474"/>
      <c r="LG275" s="2474"/>
      <c r="LH275" s="2474"/>
      <c r="LI275" s="2474"/>
      <c r="LJ275" s="2474"/>
      <c r="LK275" s="2474"/>
      <c r="LL275" s="2474"/>
      <c r="LM275" s="2474"/>
      <c r="LN275" s="2474"/>
      <c r="LO275" s="2474"/>
      <c r="LP275" s="2474"/>
      <c r="LQ275" s="2474"/>
      <c r="LR275" s="508"/>
      <c r="LS275" s="508"/>
      <c r="LT275" s="508"/>
      <c r="LU275" s="508"/>
      <c r="LV275" s="508"/>
      <c r="LW275" s="508"/>
      <c r="LX275" s="2475"/>
      <c r="LY275" s="508"/>
      <c r="LZ275" s="508"/>
      <c r="MA275" s="508"/>
      <c r="MB275" s="508"/>
      <c r="MC275" s="508"/>
      <c r="MD275" s="508"/>
      <c r="ME275" s="508"/>
      <c r="MF275" s="508"/>
      <c r="MG275" s="508"/>
      <c r="MH275" s="508"/>
      <c r="MI275" s="508"/>
      <c r="MJ275" s="508"/>
      <c r="MK275" s="508"/>
      <c r="ML275" s="508"/>
      <c r="MM275" s="508"/>
      <c r="MN275" s="2475"/>
      <c r="MO275" s="2475"/>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74"/>
      <c r="JX283" s="508"/>
      <c r="JY283" s="508"/>
      <c r="JZ283" s="508"/>
      <c r="KA283" s="508"/>
      <c r="KB283" s="2474"/>
      <c r="KC283" s="2474"/>
      <c r="KD283" s="2474"/>
      <c r="KE283" s="2474"/>
      <c r="KF283" s="2474"/>
      <c r="KG283" s="2474"/>
      <c r="KH283" s="2474"/>
      <c r="KI283" s="2474"/>
      <c r="KJ283" s="2474"/>
      <c r="KK283" s="2474"/>
      <c r="KL283" s="2474"/>
      <c r="KM283" s="2474"/>
      <c r="KN283" s="2474"/>
      <c r="KO283" s="2474"/>
      <c r="KP283" s="2474"/>
      <c r="KQ283" s="2474"/>
      <c r="KR283" s="2474"/>
      <c r="KS283" s="2474"/>
      <c r="KT283" s="2474"/>
      <c r="KU283" s="2474"/>
      <c r="KV283" s="2474"/>
      <c r="KW283" s="2474"/>
      <c r="KX283" s="2474"/>
      <c r="KY283" s="2474"/>
      <c r="KZ283" s="2474"/>
      <c r="LA283" s="2474"/>
      <c r="LB283" s="2474"/>
      <c r="LC283" s="2474"/>
      <c r="LD283" s="2474"/>
      <c r="LE283" s="2474"/>
      <c r="LF283" s="2474"/>
      <c r="LG283" s="2474"/>
      <c r="LH283" s="2474"/>
      <c r="LI283" s="2474"/>
      <c r="LJ283" s="2474"/>
      <c r="LK283" s="2474"/>
      <c r="LL283" s="2474"/>
      <c r="LM283" s="2474"/>
      <c r="LN283" s="2474"/>
      <c r="LO283" s="2474"/>
      <c r="LP283" s="2474"/>
      <c r="LQ283" s="2474"/>
      <c r="LR283" s="508"/>
      <c r="LS283" s="508"/>
      <c r="LT283" s="508"/>
      <c r="LU283" s="508"/>
      <c r="LV283" s="508"/>
      <c r="LW283" s="508"/>
      <c r="LX283" s="2475"/>
      <c r="LY283" s="508"/>
      <c r="LZ283" s="508"/>
      <c r="MA283" s="508"/>
      <c r="MB283" s="508"/>
      <c r="MC283" s="508"/>
      <c r="MD283" s="508"/>
      <c r="ME283" s="508"/>
      <c r="MF283" s="508"/>
      <c r="MG283" s="508"/>
      <c r="MH283" s="508"/>
      <c r="MI283" s="508"/>
      <c r="MJ283" s="508"/>
      <c r="MK283" s="508"/>
      <c r="ML283" s="508"/>
      <c r="MM283" s="508"/>
      <c r="MN283" s="2475"/>
      <c r="MO283" s="2475"/>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74"/>
      <c r="JX284" s="508"/>
      <c r="JY284" s="508"/>
      <c r="JZ284" s="508"/>
      <c r="KA284" s="508"/>
      <c r="KB284" s="2474"/>
      <c r="KC284" s="2474"/>
      <c r="KD284" s="2474"/>
      <c r="KE284" s="2474"/>
      <c r="KF284" s="2474"/>
      <c r="KG284" s="2474"/>
      <c r="KH284" s="2474"/>
      <c r="KI284" s="2474"/>
      <c r="KJ284" s="2474"/>
      <c r="KK284" s="2474"/>
      <c r="KL284" s="2474"/>
      <c r="KM284" s="2474"/>
      <c r="KN284" s="2474"/>
      <c r="KO284" s="2474"/>
      <c r="KP284" s="2474"/>
      <c r="KQ284" s="2474"/>
      <c r="KR284" s="2474"/>
      <c r="KS284" s="2474"/>
      <c r="KT284" s="2474"/>
      <c r="KU284" s="2474"/>
      <c r="KV284" s="2474"/>
      <c r="KW284" s="2474"/>
      <c r="KX284" s="2474"/>
      <c r="KY284" s="2474"/>
      <c r="KZ284" s="2474"/>
      <c r="LA284" s="2474"/>
      <c r="LB284" s="2474"/>
      <c r="LC284" s="2474"/>
      <c r="LD284" s="2474"/>
      <c r="LE284" s="2474"/>
      <c r="LF284" s="2474"/>
      <c r="LG284" s="2474"/>
      <c r="LH284" s="2474"/>
      <c r="LI284" s="2474"/>
      <c r="LJ284" s="2474"/>
      <c r="LK284" s="2474"/>
      <c r="LL284" s="2474"/>
      <c r="LM284" s="2474"/>
      <c r="LN284" s="2474"/>
      <c r="LO284" s="2474"/>
      <c r="LP284" s="2474"/>
      <c r="LQ284" s="2474"/>
      <c r="LR284" s="508"/>
      <c r="LS284" s="508"/>
      <c r="LT284" s="508"/>
      <c r="LU284" s="508"/>
      <c r="LV284" s="508"/>
      <c r="LW284" s="508"/>
      <c r="LX284" s="2475"/>
      <c r="LY284" s="508"/>
      <c r="LZ284" s="508"/>
      <c r="MA284" s="508"/>
      <c r="MB284" s="508"/>
      <c r="MC284" s="508"/>
      <c r="MD284" s="508"/>
      <c r="ME284" s="508"/>
      <c r="MF284" s="508"/>
      <c r="MG284" s="508"/>
      <c r="MH284" s="508"/>
      <c r="MI284" s="508"/>
      <c r="MJ284" s="508"/>
      <c r="MK284" s="508"/>
      <c r="ML284" s="508"/>
      <c r="MM284" s="508"/>
      <c r="MN284" s="2475"/>
      <c r="MO284" s="2475"/>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7"/>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74"/>
      <c r="JX285" s="508"/>
      <c r="JY285" s="508"/>
      <c r="JZ285" s="508"/>
      <c r="KA285" s="508"/>
      <c r="KB285" s="2474"/>
      <c r="KC285" s="2474"/>
      <c r="KD285" s="2474"/>
      <c r="KE285" s="2474"/>
      <c r="KF285" s="2474"/>
      <c r="KG285" s="2474"/>
      <c r="KH285" s="2474"/>
      <c r="KI285" s="2474"/>
      <c r="KJ285" s="2474"/>
      <c r="KK285" s="2474"/>
      <c r="KL285" s="2474"/>
      <c r="KM285" s="2474"/>
      <c r="KN285" s="2474"/>
      <c r="KO285" s="2474"/>
      <c r="KP285" s="2474"/>
      <c r="KQ285" s="2474"/>
      <c r="KR285" s="2474"/>
      <c r="KS285" s="2474"/>
      <c r="KT285" s="2474"/>
      <c r="KU285" s="2474"/>
      <c r="KV285" s="2474"/>
      <c r="KW285" s="2474"/>
      <c r="KX285" s="2474"/>
      <c r="KY285" s="2474"/>
      <c r="KZ285" s="2474"/>
      <c r="LA285" s="2474"/>
      <c r="LB285" s="2474"/>
      <c r="LC285" s="2474"/>
      <c r="LD285" s="2474"/>
      <c r="LE285" s="2474"/>
      <c r="LF285" s="2474"/>
      <c r="LG285" s="2474"/>
      <c r="LH285" s="2474"/>
      <c r="LI285" s="2474"/>
      <c r="LJ285" s="2474"/>
      <c r="LK285" s="2474"/>
      <c r="LL285" s="2474"/>
      <c r="LM285" s="2474"/>
      <c r="LN285" s="2474"/>
      <c r="LO285" s="2474"/>
      <c r="LP285" s="2474"/>
      <c r="LQ285" s="2474"/>
      <c r="LR285" s="508"/>
      <c r="LS285" s="508"/>
      <c r="LT285" s="508"/>
      <c r="LU285" s="508"/>
      <c r="LV285" s="508"/>
      <c r="LW285" s="508"/>
      <c r="LX285" s="2475"/>
      <c r="LY285" s="508"/>
      <c r="LZ285" s="508"/>
      <c r="MA285" s="508"/>
      <c r="MB285" s="508"/>
      <c r="MC285" s="508"/>
      <c r="MD285" s="508"/>
      <c r="ME285" s="508"/>
      <c r="MF285" s="508"/>
      <c r="MG285" s="508"/>
      <c r="MH285" s="508"/>
      <c r="MI285" s="508"/>
      <c r="MJ285" s="508"/>
      <c r="MK285" s="508"/>
      <c r="ML285" s="508"/>
      <c r="MM285" s="508"/>
      <c r="MN285" s="2475"/>
      <c r="MO285" s="2475"/>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74"/>
      <c r="JX286" s="508"/>
      <c r="JY286" s="508"/>
      <c r="JZ286" s="508"/>
      <c r="KA286" s="508"/>
      <c r="KB286" s="2474"/>
      <c r="KC286" s="2474"/>
      <c r="KD286" s="2474"/>
      <c r="KE286" s="2474"/>
      <c r="KF286" s="2474"/>
      <c r="KG286" s="2474"/>
      <c r="KH286" s="2474"/>
      <c r="KI286" s="2474"/>
      <c r="KJ286" s="2474"/>
      <c r="KK286" s="2474"/>
      <c r="KL286" s="2474"/>
      <c r="KM286" s="2474"/>
      <c r="KN286" s="2474"/>
      <c r="KO286" s="2474"/>
      <c r="KP286" s="2474"/>
      <c r="KQ286" s="2474"/>
      <c r="KR286" s="2474"/>
      <c r="KS286" s="2474"/>
      <c r="KT286" s="2474"/>
      <c r="KU286" s="2474"/>
      <c r="KV286" s="2474"/>
      <c r="KW286" s="2474"/>
      <c r="KX286" s="2474"/>
      <c r="KY286" s="2474"/>
      <c r="KZ286" s="2474"/>
      <c r="LA286" s="2474"/>
      <c r="LB286" s="2474"/>
      <c r="LC286" s="2474"/>
      <c r="LD286" s="2474"/>
      <c r="LE286" s="2474"/>
      <c r="LF286" s="2474"/>
      <c r="LG286" s="2474"/>
      <c r="LH286" s="2474"/>
      <c r="LI286" s="2474"/>
      <c r="LJ286" s="2474"/>
      <c r="LK286" s="2474"/>
      <c r="LL286" s="2474"/>
      <c r="LM286" s="2474"/>
      <c r="LN286" s="2474"/>
      <c r="LO286" s="2474"/>
      <c r="LP286" s="2474"/>
      <c r="LQ286" s="2474"/>
      <c r="LR286" s="508"/>
      <c r="LS286" s="508"/>
      <c r="LT286" s="508"/>
      <c r="LU286" s="508"/>
      <c r="LV286" s="508"/>
      <c r="LW286" s="508"/>
      <c r="LX286" s="2475"/>
      <c r="LY286" s="508"/>
      <c r="LZ286" s="508"/>
      <c r="MA286" s="508"/>
      <c r="MB286" s="508"/>
      <c r="MC286" s="508"/>
      <c r="MD286" s="508"/>
      <c r="ME286" s="508"/>
      <c r="MF286" s="508"/>
      <c r="MG286" s="508"/>
      <c r="MH286" s="508"/>
      <c r="MI286" s="508"/>
      <c r="MJ286" s="508"/>
      <c r="MK286" s="508"/>
      <c r="ML286" s="508"/>
      <c r="MM286" s="508"/>
      <c r="MN286" s="2475"/>
      <c r="MO286" s="2475"/>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74"/>
      <c r="JX287" s="508"/>
      <c r="JY287" s="508"/>
      <c r="JZ287" s="508"/>
      <c r="KA287" s="508"/>
      <c r="KB287" s="2474"/>
      <c r="KC287" s="2474"/>
      <c r="KD287" s="2474"/>
      <c r="KE287" s="2474"/>
      <c r="KF287" s="2474"/>
      <c r="KG287" s="2474"/>
      <c r="KH287" s="2474"/>
      <c r="KI287" s="2474"/>
      <c r="KJ287" s="2474"/>
      <c r="KK287" s="2474"/>
      <c r="KL287" s="2474"/>
      <c r="KM287" s="2474"/>
      <c r="KN287" s="2474"/>
      <c r="KO287" s="2474"/>
      <c r="KP287" s="2474"/>
      <c r="KQ287" s="2474"/>
      <c r="KR287" s="2474"/>
      <c r="KS287" s="2474"/>
      <c r="KT287" s="2474"/>
      <c r="KU287" s="2474"/>
      <c r="KV287" s="2474"/>
      <c r="KW287" s="2474"/>
      <c r="KX287" s="2474"/>
      <c r="KY287" s="2474"/>
      <c r="KZ287" s="2474"/>
      <c r="LA287" s="2474"/>
      <c r="LB287" s="2474"/>
      <c r="LC287" s="2474"/>
      <c r="LD287" s="2474"/>
      <c r="LE287" s="2474"/>
      <c r="LF287" s="2474"/>
      <c r="LG287" s="2474"/>
      <c r="LH287" s="2474"/>
      <c r="LI287" s="2474"/>
      <c r="LJ287" s="2474"/>
      <c r="LK287" s="2474"/>
      <c r="LL287" s="2474"/>
      <c r="LM287" s="2474"/>
      <c r="LN287" s="2474"/>
      <c r="LO287" s="2474"/>
      <c r="LP287" s="2474"/>
      <c r="LQ287" s="2474"/>
      <c r="LR287" s="508"/>
      <c r="LS287" s="508"/>
      <c r="LT287" s="508"/>
      <c r="LU287" s="508"/>
      <c r="LV287" s="508"/>
      <c r="LW287" s="508"/>
      <c r="LX287" s="2475"/>
      <c r="LY287" s="508"/>
      <c r="LZ287" s="508"/>
      <c r="MA287" s="508"/>
      <c r="MB287" s="508"/>
      <c r="MC287" s="508"/>
      <c r="MD287" s="508"/>
      <c r="ME287" s="508"/>
      <c r="MF287" s="508"/>
      <c r="MG287" s="508"/>
      <c r="MH287" s="508"/>
      <c r="MI287" s="508"/>
      <c r="MJ287" s="508"/>
      <c r="MK287" s="508"/>
      <c r="ML287" s="508"/>
      <c r="MM287" s="508"/>
      <c r="MN287" s="2475"/>
      <c r="MO287" s="2475"/>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S4:LS9"/>
    <mergeCell ref="LT4:LT9"/>
    <mergeCell ref="LU4:LU9"/>
    <mergeCell ref="LV4:LV9"/>
    <mergeCell ref="LW4:LW9"/>
    <mergeCell ref="LX4:LX9"/>
    <mergeCell ref="HV4:HV9"/>
    <mergeCell ref="HW4:HW9"/>
    <mergeCell ref="LG8:LG9"/>
    <mergeCell ref="LH8:LH9"/>
    <mergeCell ref="LI8:LI9"/>
    <mergeCell ref="MF4:MF9"/>
    <mergeCell ref="MG4:MG9"/>
    <mergeCell ref="MH4:MH9"/>
    <mergeCell ref="LY4:LY9"/>
    <mergeCell ref="LZ4:LZ9"/>
    <mergeCell ref="MA4:MA9"/>
    <mergeCell ref="MB4:MB9"/>
    <mergeCell ref="MC4:MC9"/>
    <mergeCell ref="MD4:MD9"/>
    <mergeCell ref="ME4:ME9"/>
    <mergeCell ref="JE8:JE9"/>
    <mergeCell ref="KA8:KA9"/>
    <mergeCell ref="KB8:KB9"/>
    <mergeCell ref="LJ8:LJ9"/>
    <mergeCell ref="KL8:KL9"/>
    <mergeCell ref="IJ8:IJ9"/>
    <mergeCell ref="JF8:JF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IY8:IY9"/>
    <mergeCell ref="IZ8:IZ9"/>
    <mergeCell ref="JA8:JA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JD8:JD9"/>
    <mergeCell ref="IK8:IK9"/>
    <mergeCell ref="HE4:HE9"/>
    <mergeCell ref="HF4:HF9"/>
    <mergeCell ref="HG4:HG9"/>
    <mergeCell ref="HH4:HH9"/>
    <mergeCell ref="HI4:HI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GX4:GX9"/>
    <mergeCell ref="GY4:GY9"/>
    <mergeCell ref="GZ4:GZ9"/>
    <mergeCell ref="HA4:HA9"/>
    <mergeCell ref="HB4:HB9"/>
    <mergeCell ref="HL4:HL9"/>
    <mergeCell ref="HJ4:HJ9"/>
    <mergeCell ref="HK4:HK9"/>
    <mergeCell ref="IL8:IL9"/>
    <mergeCell ref="HP4:HP9"/>
    <mergeCell ref="HQ4:HQ9"/>
    <mergeCell ref="LC8:LC9"/>
    <mergeCell ref="LD8:LD9"/>
    <mergeCell ref="KS8:KS9"/>
    <mergeCell ref="KT8:KT9"/>
    <mergeCell ref="KU8:KU9"/>
    <mergeCell ref="KV8:KV9"/>
    <mergeCell ref="KW8:KW9"/>
    <mergeCell ref="HR4:HR9"/>
    <mergeCell ref="HM4:HM9"/>
    <mergeCell ref="HN4:HN9"/>
    <mergeCell ref="HO4:HO9"/>
    <mergeCell ref="KM8:KM9"/>
    <mergeCell ref="KN8:KN9"/>
    <mergeCell ref="JW8:JW9"/>
    <mergeCell ref="JX8:JX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B31" sqref="B31:G31"/>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3609" t="str">
        <f>CONCATENATE("PART SEVEN - OPERATING PRO FORMA","  -  ",'Part I-Project Information'!$O$6," ",'Part I-Project Information'!$F$34,", ",'Part I-Project Information'!F38,", ",'Part I-Project Information'!J39," County")</f>
        <v>PART SEVEN - OPERATING PRO FORMA  -  2020-5 Lakeview Terrace, Augusta, Richmond County</v>
      </c>
      <c r="B1" s="3610"/>
      <c r="C1" s="3610"/>
      <c r="D1" s="3610"/>
      <c r="E1" s="3610"/>
      <c r="F1" s="3610"/>
      <c r="G1" s="3610"/>
      <c r="H1" s="3610"/>
      <c r="I1" s="3610"/>
      <c r="J1" s="3610"/>
      <c r="K1" s="3611"/>
      <c r="L1" s="10"/>
      <c r="M1" s="10"/>
      <c r="N1" s="3612" t="str">
        <f>A1</f>
        <v>PART SEVEN - OPERATING PRO FORMA  -  2020-5 Lakeview Terrace, Augusta, Richmond County</v>
      </c>
      <c r="O1" s="3612"/>
      <c r="P1" s="10"/>
    </row>
    <row r="2" spans="1:19" ht="13.5" customHeight="1">
      <c r="A2" s="544"/>
      <c r="B2" s="544"/>
      <c r="C2" s="544"/>
      <c r="D2" s="544"/>
      <c r="E2" s="544"/>
      <c r="F2" s="544"/>
      <c r="G2" s="544"/>
      <c r="H2" s="544"/>
      <c r="I2" s="544"/>
      <c r="J2" s="544"/>
      <c r="K2" s="544"/>
      <c r="N2" s="3613" t="s">
        <v>1799</v>
      </c>
      <c r="O2" s="3613"/>
    </row>
    <row r="3" spans="1:19" ht="13.5" customHeight="1">
      <c r="A3" s="13" t="s">
        <v>88</v>
      </c>
      <c r="C3" s="3614" t="str">
        <f>'Part I-Project Information'!$B$6</f>
        <v>July 15, 2020 Version (4%)</v>
      </c>
      <c r="D3" s="1451" t="s">
        <v>78</v>
      </c>
      <c r="E3" s="241"/>
      <c r="F3" s="1452" t="s">
        <v>3836</v>
      </c>
      <c r="N3" s="13" t="str">
        <f>A3</f>
        <v>I.  OPERATING ASSUMPTIONS</v>
      </c>
      <c r="O3" s="31"/>
    </row>
    <row r="4" spans="1:19" ht="2.4" customHeight="1">
      <c r="A4" s="16"/>
      <c r="B4" s="16"/>
      <c r="C4" s="3614"/>
      <c r="H4" s="16"/>
      <c r="I4" s="16"/>
    </row>
    <row r="5" spans="1:19" ht="13.5" customHeight="1">
      <c r="A5" s="16" t="s">
        <v>2138</v>
      </c>
      <c r="B5" s="77">
        <v>0.02</v>
      </c>
      <c r="C5" s="3614"/>
      <c r="D5" s="3566" t="s">
        <v>3837</v>
      </c>
      <c r="E5" s="3566"/>
      <c r="F5" s="3566"/>
      <c r="G5" s="80">
        <v>5000</v>
      </c>
      <c r="H5" s="98" t="s">
        <v>1860</v>
      </c>
      <c r="K5" s="103">
        <f>IF(($B$14+$B$15+$B$16+$B$17)=0,"",B30/($B$14+$B$15+$B$16+$B$17))</f>
        <v>-2.6783158407169142E-3</v>
      </c>
      <c r="N5" s="3510"/>
      <c r="O5" s="3512"/>
    </row>
    <row r="6" spans="1:19">
      <c r="A6" s="16" t="s">
        <v>2139</v>
      </c>
      <c r="B6" s="77">
        <v>0.03</v>
      </c>
      <c r="C6" s="3614"/>
      <c r="D6" s="3566"/>
      <c r="E6" s="3566"/>
      <c r="F6" s="3566"/>
      <c r="G6" s="1453">
        <f>IF(OR('Part III-Sources of Funds'!E5="Yes",'Part III-Sources of Funds'!H5&gt;0),'DCA Underwriting Assumptions'!$Q$100,0)</f>
        <v>0</v>
      </c>
      <c r="H6" s="16"/>
      <c r="I6" s="16"/>
      <c r="J6" s="16"/>
      <c r="K6" s="16"/>
      <c r="N6" s="3503"/>
      <c r="O6" s="3505"/>
    </row>
    <row r="7" spans="1:19">
      <c r="A7" s="16" t="s">
        <v>2141</v>
      </c>
      <c r="B7" s="77">
        <v>0.03</v>
      </c>
      <c r="C7" s="3614"/>
      <c r="D7" s="79" t="s">
        <v>265</v>
      </c>
      <c r="G7" s="82"/>
      <c r="H7" s="98" t="s">
        <v>2314</v>
      </c>
      <c r="K7" s="103">
        <f>IF(($B$14+$B$15+$B$16+$B$17)=0,"",-B21/($B$14+$B$15+$B$16+$B$17))</f>
        <v>4.9999871440839644E-2</v>
      </c>
      <c r="N7" s="3503"/>
      <c r="O7" s="3505"/>
    </row>
    <row r="8" spans="1:19" ht="13.35" customHeight="1">
      <c r="A8" s="16" t="s">
        <v>2140</v>
      </c>
      <c r="B8" s="247">
        <v>7.0000000000000007E-2</v>
      </c>
      <c r="C8" s="1887" t="str">
        <f>IF(B8&lt;0.07, "Must be &gt;= 7%!","")</f>
        <v/>
      </c>
      <c r="D8" s="78" t="s">
        <v>2443</v>
      </c>
      <c r="G8" s="2875" t="s">
        <v>2889</v>
      </c>
      <c r="H8" s="181" t="s">
        <v>1416</v>
      </c>
      <c r="K8" s="1915"/>
      <c r="N8" s="3503"/>
      <c r="O8" s="3505"/>
    </row>
    <row r="9" spans="1:19">
      <c r="A9" s="16" t="s">
        <v>1390</v>
      </c>
      <c r="B9" s="77">
        <v>0.02</v>
      </c>
      <c r="D9" s="78" t="s">
        <v>1676</v>
      </c>
      <c r="G9" s="2876" t="s">
        <v>2886</v>
      </c>
      <c r="H9" s="181" t="s">
        <v>2296</v>
      </c>
      <c r="K9" s="1916">
        <v>0.05</v>
      </c>
      <c r="N9" s="3507"/>
      <c r="O9" s="3509"/>
    </row>
    <row r="10" spans="1:19" ht="9" customHeight="1"/>
    <row r="11" spans="1:19">
      <c r="A11" s="13" t="s">
        <v>89</v>
      </c>
      <c r="D11" s="1279"/>
      <c r="N11" s="13" t="str">
        <f>A11</f>
        <v>II.  OPERATING PRO FORMA</v>
      </c>
    </row>
    <row r="12" spans="1:19" ht="2.4" customHeight="1"/>
    <row r="13" spans="1:19" ht="14.4" customHeight="1">
      <c r="A13" s="13" t="s">
        <v>2416</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30" t="s">
        <v>2556</v>
      </c>
      <c r="O13" s="3230"/>
    </row>
    <row r="14" spans="1:19" ht="13.35" customHeight="1">
      <c r="A14" s="18" t="s">
        <v>2342</v>
      </c>
      <c r="B14" s="19">
        <f>'Part VI-Revenues &amp; Expenses'!$M$49</f>
        <v>1968000</v>
      </c>
      <c r="C14" s="19">
        <f t="shared" ref="C14:K14" si="1">$B$14*(1+$B$5)^(C13-1)</f>
        <v>2007360</v>
      </c>
      <c r="D14" s="19">
        <f t="shared" si="1"/>
        <v>2047507.2</v>
      </c>
      <c r="E14" s="19">
        <f t="shared" si="1"/>
        <v>2088457.3439999998</v>
      </c>
      <c r="F14" s="19">
        <f t="shared" si="1"/>
        <v>2130226.4908799999</v>
      </c>
      <c r="G14" s="19">
        <f t="shared" si="1"/>
        <v>2172831.0206976002</v>
      </c>
      <c r="H14" s="19">
        <f t="shared" si="1"/>
        <v>2216287.6411115522</v>
      </c>
      <c r="I14" s="19">
        <f t="shared" si="1"/>
        <v>2260613.3939337828</v>
      </c>
      <c r="J14" s="19">
        <f t="shared" si="1"/>
        <v>2305825.6618124587</v>
      </c>
      <c r="K14" s="20">
        <f t="shared" si="1"/>
        <v>2351942.1750487075</v>
      </c>
      <c r="N14" s="3510"/>
      <c r="O14" s="3512"/>
      <c r="S14" s="3605" t="s">
        <v>3842</v>
      </c>
    </row>
    <row r="15" spans="1:19" ht="13.35" customHeight="1">
      <c r="A15" s="21" t="s">
        <v>994</v>
      </c>
      <c r="B15" s="22">
        <f>MIN(B14*B9,'Part VI-Revenues &amp; Expenses'!$H$178)</f>
        <v>39360</v>
      </c>
      <c r="C15" s="22">
        <f t="shared" ref="C15:K15" si="2">$B$15*(1+$B$5)^(C13-1)</f>
        <v>40147.199999999997</v>
      </c>
      <c r="D15" s="22">
        <f t="shared" si="2"/>
        <v>40950.144</v>
      </c>
      <c r="E15" s="22">
        <f t="shared" si="2"/>
        <v>41769.14688</v>
      </c>
      <c r="F15" s="22">
        <f t="shared" si="2"/>
        <v>42604.5298176</v>
      </c>
      <c r="G15" s="22">
        <f t="shared" si="2"/>
        <v>43456.620413951998</v>
      </c>
      <c r="H15" s="22">
        <f t="shared" si="2"/>
        <v>44325.752822231043</v>
      </c>
      <c r="I15" s="22">
        <f t="shared" si="2"/>
        <v>45212.267878675651</v>
      </c>
      <c r="J15" s="22">
        <f t="shared" si="2"/>
        <v>46116.513236249171</v>
      </c>
      <c r="K15" s="23">
        <f t="shared" si="2"/>
        <v>47038.843500974152</v>
      </c>
      <c r="N15" s="3503"/>
      <c r="O15" s="3505"/>
      <c r="S15" s="3606"/>
    </row>
    <row r="16" spans="1:19" ht="13.35" customHeight="1">
      <c r="A16" s="21" t="s">
        <v>2343</v>
      </c>
      <c r="B16" s="22">
        <f t="shared" ref="B16:K16" si="3">-(B14+B15)*$B$8</f>
        <v>-140515.20000000001</v>
      </c>
      <c r="C16" s="22">
        <f t="shared" si="3"/>
        <v>-143325.50400000002</v>
      </c>
      <c r="D16" s="22">
        <f t="shared" si="3"/>
        <v>-146192.01408000002</v>
      </c>
      <c r="E16" s="22">
        <f t="shared" si="3"/>
        <v>-149115.85436160001</v>
      </c>
      <c r="F16" s="22">
        <f t="shared" si="3"/>
        <v>-152098.171448832</v>
      </c>
      <c r="G16" s="22">
        <f t="shared" si="3"/>
        <v>-155140.13487780868</v>
      </c>
      <c r="H16" s="22">
        <f t="shared" si="3"/>
        <v>-158242.93757536483</v>
      </c>
      <c r="I16" s="22">
        <f t="shared" si="3"/>
        <v>-161407.79632687211</v>
      </c>
      <c r="J16" s="22">
        <f t="shared" si="3"/>
        <v>-164635.95225340957</v>
      </c>
      <c r="K16" s="23">
        <f t="shared" si="3"/>
        <v>-167928.67129847774</v>
      </c>
      <c r="N16" s="3503"/>
      <c r="O16" s="3505"/>
      <c r="Q16" s="3608" t="s">
        <v>3665</v>
      </c>
      <c r="R16" s="3608" t="s">
        <v>3841</v>
      </c>
      <c r="S16" s="3606"/>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503"/>
      <c r="O17" s="3505"/>
      <c r="Q17" s="3608"/>
      <c r="R17" s="3608"/>
      <c r="S17" s="3607"/>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503"/>
      <c r="O18" s="3505"/>
    </row>
    <row r="19" spans="1:19" ht="13.35" customHeight="1">
      <c r="A19" s="479" t="s">
        <v>4384</v>
      </c>
      <c r="B19" s="22">
        <f>SUM(B14:B18)</f>
        <v>1866844.8</v>
      </c>
      <c r="C19" s="22">
        <f t="shared" ref="C19:K19" si="4">SUM(C14:C18)</f>
        <v>1904181.696</v>
      </c>
      <c r="D19" s="22">
        <f t="shared" si="4"/>
        <v>1942265.3299199999</v>
      </c>
      <c r="E19" s="22">
        <f t="shared" si="4"/>
        <v>1981110.6365183999</v>
      </c>
      <c r="F19" s="22">
        <f t="shared" si="4"/>
        <v>2020732.8492487678</v>
      </c>
      <c r="G19" s="22">
        <f t="shared" si="4"/>
        <v>2061147.5062337436</v>
      </c>
      <c r="H19" s="22">
        <f t="shared" si="4"/>
        <v>2102370.4563584183</v>
      </c>
      <c r="I19" s="22">
        <f t="shared" si="4"/>
        <v>2144417.8654855867</v>
      </c>
      <c r="J19" s="22">
        <f t="shared" si="4"/>
        <v>2187306.2227952983</v>
      </c>
      <c r="K19" s="23">
        <f t="shared" si="4"/>
        <v>2231052.3472512038</v>
      </c>
      <c r="N19" s="3503"/>
      <c r="O19" s="3505"/>
    </row>
    <row r="20" spans="1:19" ht="13.35" customHeight="1">
      <c r="A20" s="21" t="s">
        <v>597</v>
      </c>
      <c r="B20" s="22">
        <f>-('Part VI-Revenues &amp; Expenses'!$Q$227-'Part VI-Revenues &amp; Expenses'!$Q$219)</f>
        <v>-841200</v>
      </c>
      <c r="C20" s="22">
        <f t="shared" ref="C20:K20" si="5">$B$20*(1+$B$6)^(C13-1)</f>
        <v>-866436</v>
      </c>
      <c r="D20" s="22">
        <f t="shared" si="5"/>
        <v>-892429.08</v>
      </c>
      <c r="E20" s="22">
        <f t="shared" si="5"/>
        <v>-919201.95239999995</v>
      </c>
      <c r="F20" s="22">
        <f t="shared" si="5"/>
        <v>-946778.01097199996</v>
      </c>
      <c r="G20" s="22">
        <f t="shared" si="5"/>
        <v>-975181.35130115983</v>
      </c>
      <c r="H20" s="22">
        <f t="shared" si="5"/>
        <v>-1004436.7918401947</v>
      </c>
      <c r="I20" s="22">
        <f t="shared" si="5"/>
        <v>-1034569.8955954006</v>
      </c>
      <c r="J20" s="22">
        <f t="shared" si="5"/>
        <v>-1065606.9924632625</v>
      </c>
      <c r="K20" s="23">
        <f t="shared" si="5"/>
        <v>-1097575.2022371604</v>
      </c>
      <c r="N20" s="3503"/>
      <c r="O20" s="3505"/>
      <c r="Q20" s="62">
        <v>1</v>
      </c>
      <c r="R20" s="1289">
        <f>-B31</f>
        <v>149381</v>
      </c>
      <c r="S20" s="1289">
        <f>B32+R20</f>
        <v>149381.12574122997</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-93342</v>
      </c>
      <c r="C21" s="22">
        <f>IF(AND('Part VII-Pro Forma'!$G$8="Yes",'Part VII-Pro Forma'!$G$9="Yes"),"Choose One!",IF('Part VII-Pro Forma'!$G$8="Yes",ROUND((-$K$8*(1+'Part VII-Pro Forma'!$B$6)^('Part VII-Pro Forma'!C13-1)),),IF('Part VII-Pro Forma'!$G$9="Yes",ROUND((-(SUM(C14:C17)*'Part VII-Pro Forma'!$K$9)),),"Choose mgt fee")))</f>
        <v>-95209</v>
      </c>
      <c r="D21" s="22">
        <f>IF(AND('Part VII-Pro Forma'!$G$8="Yes",'Part VII-Pro Forma'!$G$9="Yes"),"Choose One!",IF('Part VII-Pro Forma'!$G$8="Yes",ROUND((-$K$8*(1+'Part VII-Pro Forma'!$B$6)^('Part VII-Pro Forma'!D13-1)),),IF('Part VII-Pro Forma'!$G$9="Yes",ROUND((-(SUM(D14:D17)*'Part VII-Pro Forma'!$K$9)),),"Choose mgt fee")))</f>
        <v>-97113</v>
      </c>
      <c r="E21" s="22">
        <f>IF(AND('Part VII-Pro Forma'!$G$8="Yes",'Part VII-Pro Forma'!$G$9="Yes"),"Choose One!",IF('Part VII-Pro Forma'!$G$8="Yes",ROUND((-$K$8*(1+'Part VII-Pro Forma'!$B$6)^('Part VII-Pro Forma'!E13-1)),),IF('Part VII-Pro Forma'!$G$9="Yes",ROUND((-(SUM(E14:E17)*'Part VII-Pro Forma'!$K$9)),),"Choose mgt fee")))</f>
        <v>-99056</v>
      </c>
      <c r="F21" s="22">
        <f>IF(AND('Part VII-Pro Forma'!$G$8="Yes",'Part VII-Pro Forma'!$G$9="Yes"),"Choose One!",IF('Part VII-Pro Forma'!$G$8="Yes",ROUND((-$K$8*(1+'Part VII-Pro Forma'!$B$6)^('Part VII-Pro Forma'!F13-1)),),IF('Part VII-Pro Forma'!$G$9="Yes",ROUND((-(SUM(F14:F17)*'Part VII-Pro Forma'!$K$9)),),"Choose mgt fee")))</f>
        <v>-101037</v>
      </c>
      <c r="G21" s="22">
        <f>IF(AND('Part VII-Pro Forma'!$G$8="Yes",'Part VII-Pro Forma'!$G$9="Yes"),"Choose One!",IF('Part VII-Pro Forma'!$G$8="Yes",ROUND((-$K$8*(1+'Part VII-Pro Forma'!$B$6)^('Part VII-Pro Forma'!G13-1)),),IF('Part VII-Pro Forma'!$G$9="Yes",ROUND((-(SUM(G14:G17)*'Part VII-Pro Forma'!$K$9)),),"Choose mgt fee")))</f>
        <v>-103057</v>
      </c>
      <c r="H21" s="22">
        <f>IF(AND('Part VII-Pro Forma'!$G$8="Yes",'Part VII-Pro Forma'!$G$9="Yes"),"Choose One!",IF('Part VII-Pro Forma'!$G$8="Yes",ROUND((-$K$8*(1+'Part VII-Pro Forma'!$B$6)^('Part VII-Pro Forma'!H13-1)),),IF('Part VII-Pro Forma'!$G$9="Yes",ROUND((-(SUM(H14:H17)*'Part VII-Pro Forma'!$K$9)),),"Choose mgt fee")))</f>
        <v>-105119</v>
      </c>
      <c r="I21" s="22">
        <f>IF(AND('Part VII-Pro Forma'!$G$8="Yes",'Part VII-Pro Forma'!$G$9="Yes"),"Choose One!",IF('Part VII-Pro Forma'!$G$8="Yes",ROUND((-$K$8*(1+'Part VII-Pro Forma'!$B$6)^('Part VII-Pro Forma'!I13-1)),),IF('Part VII-Pro Forma'!$G$9="Yes",ROUND((-(SUM(I14:I17)*'Part VII-Pro Forma'!$K$9)),),"Choose mgt fee")))</f>
        <v>-107221</v>
      </c>
      <c r="J21" s="22">
        <f>IF(AND('Part VII-Pro Forma'!$G$8="Yes",'Part VII-Pro Forma'!$G$9="Yes"),"Choose One!",IF('Part VII-Pro Forma'!$G$8="Yes",ROUND((-$K$8*(1+'Part VII-Pro Forma'!$B$6)^('Part VII-Pro Forma'!J13-1)),),IF('Part VII-Pro Forma'!$G$9="Yes",ROUND((-(SUM(J14:J17)*'Part VII-Pro Forma'!$K$9)),),"Choose mgt fee")))</f>
        <v>-109365</v>
      </c>
      <c r="K21" s="23">
        <f>IF(AND('Part VII-Pro Forma'!$G$8="Yes",'Part VII-Pro Forma'!$G$9="Yes"),"Choose One!",IF('Part VII-Pro Forma'!$G$8="Yes",ROUND((-$K$8*(1+'Part VII-Pro Forma'!$B$6)^('Part VII-Pro Forma'!K13-1)),),IF('Part VII-Pro Forma'!$G$9="Yes",ROUND((-(SUM(K14:K17)*'Part VII-Pro Forma'!$K$9)),),"Choose mgt fee")))</f>
        <v>-111553</v>
      </c>
      <c r="N21" s="3503"/>
      <c r="O21" s="3505"/>
      <c r="Q21" s="62">
        <v>2</v>
      </c>
      <c r="R21" s="1289">
        <f>-SUM(B31:C31)</f>
        <v>307496</v>
      </c>
      <c r="S21" s="1289">
        <f>SUM(B32:C32)+R21</f>
        <v>307496.1474824599</v>
      </c>
    </row>
    <row r="22" spans="1:19" ht="13.35" customHeight="1">
      <c r="A22" s="21" t="s">
        <v>1176</v>
      </c>
      <c r="B22" s="22">
        <f>-('Part VI-Revenues &amp; Expenses'!$Q$233)</f>
        <v>-50000</v>
      </c>
      <c r="C22" s="22">
        <f t="shared" ref="C22:K22" si="6">$B$22*(1+$B$7)^(C13-1)</f>
        <v>-51500</v>
      </c>
      <c r="D22" s="22">
        <f t="shared" si="6"/>
        <v>-53045</v>
      </c>
      <c r="E22" s="22">
        <f t="shared" si="6"/>
        <v>-54636.35</v>
      </c>
      <c r="F22" s="22">
        <f t="shared" si="6"/>
        <v>-56275.440499999997</v>
      </c>
      <c r="G22" s="22">
        <f t="shared" si="6"/>
        <v>-57963.703714999989</v>
      </c>
      <c r="H22" s="22">
        <f t="shared" si="6"/>
        <v>-59702.614826449993</v>
      </c>
      <c r="I22" s="22">
        <f t="shared" si="6"/>
        <v>-61493.693271243501</v>
      </c>
      <c r="J22" s="22">
        <f t="shared" si="6"/>
        <v>-63338.504069380797</v>
      </c>
      <c r="K22" s="23">
        <f t="shared" si="6"/>
        <v>-65238.659191462226</v>
      </c>
      <c r="N22" s="3503"/>
      <c r="O22" s="3505"/>
      <c r="Q22" s="62">
        <v>3</v>
      </c>
      <c r="R22" s="1289">
        <f>-SUM(B31:D31)</f>
        <v>474253</v>
      </c>
      <c r="S22" s="1289">
        <f>SUM(B32:D32)+R22</f>
        <v>474252.72314368968</v>
      </c>
    </row>
    <row r="23" spans="1:19" ht="13.35" customHeight="1">
      <c r="A23" s="479" t="s">
        <v>4383</v>
      </c>
      <c r="B23" s="2003">
        <f>IF(B13&lt;=+'Part VI-Revenues &amp; Expenses'!$N$250,-'Part VI-Revenues &amp; Expenses'!$K$250,0)</f>
        <v>0</v>
      </c>
      <c r="C23" s="2003">
        <f>IF(C13&lt;=+'Part VI-Revenues &amp; Expenses'!$N$250,-'Part VI-Revenues &amp; Expenses'!$K$250,0)</f>
        <v>0</v>
      </c>
      <c r="D23" s="2003">
        <f>IF(D13&lt;=+'Part VI-Revenues &amp; Expenses'!$N$250,-'Part VI-Revenues &amp; Expenses'!$K$250,0)</f>
        <v>0</v>
      </c>
      <c r="E23" s="2003">
        <f>IF(E13&lt;=+'Part VI-Revenues &amp; Expenses'!$N$250,-'Part VI-Revenues &amp; Expenses'!$K$250,0)</f>
        <v>0</v>
      </c>
      <c r="F23" s="2003">
        <f>IF(F13&lt;=+'Part VI-Revenues &amp; Expenses'!$N$250,-'Part VI-Revenues &amp; Expenses'!$K$250,0)</f>
        <v>0</v>
      </c>
      <c r="G23" s="2003">
        <f>IF(G13&lt;=+'Part VI-Revenues &amp; Expenses'!$N$250,-'Part VI-Revenues &amp; Expenses'!$K$250,0)</f>
        <v>0</v>
      </c>
      <c r="H23" s="2003">
        <f>IF(H13&lt;=+'Part VI-Revenues &amp; Expenses'!$N$250,-'Part VI-Revenues &amp; Expenses'!$K$250,0)</f>
        <v>0</v>
      </c>
      <c r="I23" s="2003">
        <f>IF(I13&lt;=+'Part VI-Revenues &amp; Expenses'!$N$250,-'Part VI-Revenues &amp; Expenses'!$K$250,0)</f>
        <v>0</v>
      </c>
      <c r="J23" s="2003">
        <f>IF(J13&lt;=+'Part VI-Revenues &amp; Expenses'!$N$250,-'Part VI-Revenues &amp; Expenses'!$K$250,0)</f>
        <v>0</v>
      </c>
      <c r="K23" s="2003">
        <f>IF(K13&lt;=+'Part VI-Revenues &amp; Expenses'!$N$250,-'Part VI-Revenues &amp; Expenses'!$K$250,0)</f>
        <v>0</v>
      </c>
      <c r="N23" s="3503"/>
      <c r="O23" s="3505"/>
      <c r="Q23" s="1091">
        <v>4</v>
      </c>
      <c r="R23" s="1289">
        <f>-SUM(B31:E31)</f>
        <v>649548</v>
      </c>
      <c r="S23" s="1289">
        <f>SUM(B32:E32)+R23</f>
        <v>649547.3830033195</v>
      </c>
    </row>
    <row r="24" spans="1:19" ht="13.35" customHeight="1">
      <c r="A24" s="21" t="s">
        <v>1177</v>
      </c>
      <c r="B24" s="22">
        <f>SUM(B19:B23)</f>
        <v>882302.8</v>
      </c>
      <c r="C24" s="22">
        <f t="shared" ref="C24:J24" si="7">SUM(C19:C23)</f>
        <v>891036.696</v>
      </c>
      <c r="D24" s="22">
        <f t="shared" si="7"/>
        <v>899678.24991999986</v>
      </c>
      <c r="E24" s="22">
        <f t="shared" si="7"/>
        <v>908216.33411839989</v>
      </c>
      <c r="F24" s="22">
        <f t="shared" si="7"/>
        <v>916642.39777676784</v>
      </c>
      <c r="G24" s="22">
        <f t="shared" si="7"/>
        <v>924945.45121758373</v>
      </c>
      <c r="H24" s="22">
        <f t="shared" si="7"/>
        <v>933112.0496917736</v>
      </c>
      <c r="I24" s="22">
        <f t="shared" si="7"/>
        <v>941133.27661894262</v>
      </c>
      <c r="J24" s="22">
        <f t="shared" si="7"/>
        <v>948995.72626265499</v>
      </c>
      <c r="K24" s="1894">
        <f>SUM(K19:K23)</f>
        <v>956685.48582258122</v>
      </c>
      <c r="N24" s="3503"/>
      <c r="O24" s="3505"/>
      <c r="Q24" s="1091">
        <v>5</v>
      </c>
      <c r="R24" s="1289">
        <f>-SUM(B31:F31)</f>
        <v>833269</v>
      </c>
      <c r="S24" s="1289">
        <f>SUM(B32:F32)+R24</f>
        <v>833268.10652131727</v>
      </c>
    </row>
    <row r="25" spans="1:19" ht="13.35" customHeight="1">
      <c r="A25" s="479" t="s">
        <v>1558</v>
      </c>
      <c r="B25" s="480">
        <f>IF('Part III-Sources of Funds'!$P$38="", 0,-'Part III-Sources of Funds'!$P$38)</f>
        <v>-727921.67425877007</v>
      </c>
      <c r="C25" s="480">
        <f>IF('Part III-Sources of Funds'!$P$38="", 0,-'Part III-Sources of Funds'!$P$38)</f>
        <v>-727921.67425877007</v>
      </c>
      <c r="D25" s="480">
        <f>IF('Part III-Sources of Funds'!$P$38="", 0,-'Part III-Sources of Funds'!$P$38)</f>
        <v>-727921.67425877007</v>
      </c>
      <c r="E25" s="480">
        <f>IF('Part III-Sources of Funds'!$P$38="", 0,-'Part III-Sources of Funds'!$P$38)</f>
        <v>-727921.67425877007</v>
      </c>
      <c r="F25" s="480">
        <f>IF('Part III-Sources of Funds'!$P$38="", 0,-'Part III-Sources of Funds'!$P$38)</f>
        <v>-727921.67425877007</v>
      </c>
      <c r="G25" s="480">
        <f>IF('Part III-Sources of Funds'!$P$38="", 0,-'Part III-Sources of Funds'!$P$38)</f>
        <v>-727921.67425877007</v>
      </c>
      <c r="H25" s="480">
        <f>IF('Part III-Sources of Funds'!$P$38="", 0,-'Part III-Sources of Funds'!$P$38)</f>
        <v>-727921.67425877007</v>
      </c>
      <c r="I25" s="480">
        <f>IF('Part III-Sources of Funds'!$P$38="", 0,-'Part III-Sources of Funds'!$P$38)</f>
        <v>-727921.67425877007</v>
      </c>
      <c r="J25" s="480">
        <f>IF('Part III-Sources of Funds'!$P$38="", 0,-'Part III-Sources of Funds'!$P$38)</f>
        <v>-727921.67425877007</v>
      </c>
      <c r="K25" s="480">
        <f>IF('Part III-Sources of Funds'!$P$38="", 0,-'Part III-Sources of Funds'!$P$38)</f>
        <v>-727921.67425877007</v>
      </c>
      <c r="N25" s="3503"/>
      <c r="O25" s="3505"/>
      <c r="Q25" s="1091">
        <v>6</v>
      </c>
      <c r="R25" s="1289">
        <f>-SUM(B31:G31)</f>
        <v>900082</v>
      </c>
      <c r="S25" s="1289">
        <f>SUM(B32:G32)+R25</f>
        <v>1025291.8834801309</v>
      </c>
    </row>
    <row r="26" spans="1:19" ht="13.35" customHeight="1">
      <c r="A26" s="479" t="s">
        <v>1559</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503"/>
      <c r="O26" s="3505"/>
      <c r="Q26" s="1091">
        <v>7</v>
      </c>
      <c r="R26" s="1289">
        <f>-SUM(B31:H31)</f>
        <v>900082</v>
      </c>
      <c r="S26" s="1289">
        <f>SUM(B32:H32)+R26</f>
        <v>1225482.2589131345</v>
      </c>
    </row>
    <row r="27" spans="1:19" ht="13.35"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503"/>
      <c r="O27" s="3505"/>
      <c r="Q27" s="1091">
        <v>8</v>
      </c>
      <c r="R27" s="1289">
        <f>-SUM(B31:I31)</f>
        <v>900082</v>
      </c>
      <c r="S27" s="1289">
        <f>SUM(B32:I32)+R27</f>
        <v>1433693.8612733069</v>
      </c>
    </row>
    <row r="28" spans="1:19" ht="13.35" customHeight="1">
      <c r="A28" s="479" t="s">
        <v>3640</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503"/>
      <c r="O28" s="3505"/>
      <c r="Q28" s="1091">
        <v>9</v>
      </c>
      <c r="R28" s="1289">
        <f>-SUM(B31:J31)</f>
        <v>900082</v>
      </c>
      <c r="S28" s="1289">
        <f>SUM(B32:J32)+R28</f>
        <v>1649767.913277192</v>
      </c>
    </row>
    <row r="29" spans="1:19" ht="13.35" customHeight="1">
      <c r="A29" s="21" t="s">
        <v>745</v>
      </c>
      <c r="B29" s="179"/>
      <c r="C29" s="179"/>
      <c r="D29" s="179"/>
      <c r="E29" s="179"/>
      <c r="F29" s="179"/>
      <c r="G29" s="179"/>
      <c r="H29" s="179"/>
      <c r="I29" s="179"/>
      <c r="J29" s="179"/>
      <c r="K29" s="179"/>
      <c r="N29" s="3503"/>
      <c r="O29" s="3505"/>
      <c r="Q29" s="1091">
        <v>10</v>
      </c>
      <c r="R29" s="1289">
        <f>-SUM(B31:K31)</f>
        <v>900082</v>
      </c>
      <c r="S29" s="1289">
        <f>SUM(B32:K32)+R29</f>
        <v>1873531.7248410031</v>
      </c>
    </row>
    <row r="30" spans="1:19" ht="13.35" customHeight="1">
      <c r="A30" s="479" t="s">
        <v>1141</v>
      </c>
      <c r="B30" s="1375">
        <f>-$G$5</f>
        <v>-5000</v>
      </c>
      <c r="C30" s="1375">
        <f t="shared" ref="C30:K30" si="8">+B30</f>
        <v>-5000</v>
      </c>
      <c r="D30" s="1375">
        <f t="shared" si="8"/>
        <v>-5000</v>
      </c>
      <c r="E30" s="1375">
        <f t="shared" si="8"/>
        <v>-5000</v>
      </c>
      <c r="F30" s="1375">
        <f t="shared" si="8"/>
        <v>-5000</v>
      </c>
      <c r="G30" s="1375">
        <f t="shared" si="8"/>
        <v>-5000</v>
      </c>
      <c r="H30" s="1375">
        <f t="shared" si="8"/>
        <v>-5000</v>
      </c>
      <c r="I30" s="1375">
        <f t="shared" si="8"/>
        <v>-5000</v>
      </c>
      <c r="J30" s="1375">
        <f t="shared" si="8"/>
        <v>-5000</v>
      </c>
      <c r="K30" s="1375">
        <f t="shared" si="8"/>
        <v>-5000</v>
      </c>
      <c r="N30" s="3503"/>
      <c r="O30" s="3505"/>
      <c r="Q30" s="1091">
        <v>11</v>
      </c>
      <c r="R30" s="1289">
        <f>-SUM(B31:K31)-B63</f>
        <v>900082</v>
      </c>
      <c r="S30" s="1289">
        <f>SUM(B32:K32)+B64+R30</f>
        <v>2104801.1675069802</v>
      </c>
    </row>
    <row r="31" spans="1:19" ht="13.35" customHeight="1">
      <c r="A31" s="479" t="s">
        <v>3776</v>
      </c>
      <c r="B31" s="240">
        <v>-149381</v>
      </c>
      <c r="C31" s="240">
        <v>-158115</v>
      </c>
      <c r="D31" s="240">
        <v>-166757</v>
      </c>
      <c r="E31" s="240">
        <v>-175295</v>
      </c>
      <c r="F31" s="240">
        <v>-183721</v>
      </c>
      <c r="G31" s="240">
        <v>-66813</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503"/>
      <c r="O31" s="3505"/>
      <c r="Q31" s="1091">
        <v>12</v>
      </c>
      <c r="R31" s="1289">
        <f>-SUM(B31:K31) - SUM(B63:C63)</f>
        <v>900082</v>
      </c>
      <c r="S31" s="1289">
        <f>SUM(B32:K32) + SUM(B64:C64)+R31</f>
        <v>2343378.1297387369</v>
      </c>
    </row>
    <row r="32" spans="1:19" ht="13.35" customHeight="1">
      <c r="A32" s="21" t="s">
        <v>1142</v>
      </c>
      <c r="B32" s="22">
        <f t="shared" ref="B32:K32" si="9">SUM(B24:B31)</f>
        <v>0.12574122997466475</v>
      </c>
      <c r="C32" s="22">
        <f t="shared" si="9"/>
        <v>2.1741229924373329E-2</v>
      </c>
      <c r="D32" s="22">
        <f t="shared" si="9"/>
        <v>-0.42433877021539956</v>
      </c>
      <c r="E32" s="22">
        <f t="shared" si="9"/>
        <v>-0.34014037018641829</v>
      </c>
      <c r="F32" s="22">
        <f t="shared" si="9"/>
        <v>-0.27648200222756714</v>
      </c>
      <c r="G32" s="22">
        <f t="shared" si="9"/>
        <v>125210.77695881366</v>
      </c>
      <c r="H32" s="22">
        <f t="shared" si="9"/>
        <v>200190.37543300353</v>
      </c>
      <c r="I32" s="22">
        <f t="shared" si="9"/>
        <v>208211.60236017255</v>
      </c>
      <c r="J32" s="22">
        <f t="shared" si="9"/>
        <v>216074.05200388492</v>
      </c>
      <c r="K32" s="23">
        <f t="shared" si="9"/>
        <v>223763.81156381115</v>
      </c>
      <c r="N32" s="3503"/>
      <c r="O32" s="3505"/>
      <c r="Q32" s="1091">
        <v>13</v>
      </c>
      <c r="R32" s="1289">
        <f>-SUM(B31:K31) - SUM(B63:D63)</f>
        <v>900082</v>
      </c>
      <c r="S32" s="1289">
        <f>SUM(B32:K32) + SUM(B64:D64)+R32</f>
        <v>2589047.9524444081</v>
      </c>
    </row>
    <row r="33" spans="1:19" ht="13.35" customHeight="1">
      <c r="A33" s="21" t="str">
        <f>IF('Part III-Sources of Funds'!$E$38 = "Neither", "", "DCR Mortgage A")</f>
        <v>DCR Mortgage A</v>
      </c>
      <c r="B33" s="24">
        <f t="shared" ref="B33:K33" si="10">IF(B25=0,"",-B24/B25)</f>
        <v>1.2120848041768142</v>
      </c>
      <c r="C33" s="24">
        <f t="shared" si="10"/>
        <v>1.2240832049785124</v>
      </c>
      <c r="D33" s="24">
        <f t="shared" si="10"/>
        <v>1.2359547486151261</v>
      </c>
      <c r="E33" s="24">
        <f t="shared" si="10"/>
        <v>1.2476841482199588</v>
      </c>
      <c r="F33" s="24">
        <f t="shared" si="10"/>
        <v>1.2592596568994443</v>
      </c>
      <c r="G33" s="24">
        <f t="shared" si="10"/>
        <v>1.2706661773183763</v>
      </c>
      <c r="H33" s="24">
        <f t="shared" si="10"/>
        <v>1.2818852394276421</v>
      </c>
      <c r="I33" s="24">
        <f t="shared" si="10"/>
        <v>1.2929045938593355</v>
      </c>
      <c r="J33" s="24">
        <f t="shared" si="10"/>
        <v>1.3037058241588984</v>
      </c>
      <c r="K33" s="25">
        <f t="shared" si="10"/>
        <v>1.3142698172804888</v>
      </c>
      <c r="N33" s="3503"/>
      <c r="O33" s="3505"/>
      <c r="Q33" s="1091">
        <v>14</v>
      </c>
      <c r="R33" s="1289">
        <f>-SUM(B31:K31) - SUM(B63:E63)</f>
        <v>900082</v>
      </c>
      <c r="S33" s="1289">
        <f>SUM(B32:K32) + SUM(B64:E64)+R33</f>
        <v>2841583.8440657952</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03"/>
      <c r="O34" s="3505"/>
      <c r="Q34" s="1091">
        <v>15</v>
      </c>
      <c r="R34" s="1289">
        <f>-SUM(B31:K31) - SUM(B63:F63)</f>
        <v>900082</v>
      </c>
      <c r="S34" s="1289">
        <f>SUM(B32:K32) + SUM(B64:F64)+R34</f>
        <v>3100741.274550505</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03"/>
      <c r="O35" s="3505"/>
      <c r="Q35" s="62">
        <v>16</v>
      </c>
      <c r="R35" s="1289">
        <f>-SUM(B31:K31) - SUM(B63:G63)</f>
        <v>900082</v>
      </c>
      <c r="S35" s="1289">
        <f>SUM(B32:K32) + SUM(B64:G64)+R35</f>
        <v>3366260.3475021748</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03"/>
      <c r="O36" s="3505"/>
      <c r="Q36" s="62">
        <v>17</v>
      </c>
      <c r="R36" s="1289">
        <f>-SUM(B31:K31) - SUM(B63:H63)</f>
        <v>900082</v>
      </c>
      <c r="S36" s="1289">
        <f>SUM(B32:K32) + SUM(B64:H64)+R36</f>
        <v>3637863.1497813086</v>
      </c>
    </row>
    <row r="37" spans="1:19" ht="13.35" customHeight="1">
      <c r="A37" s="479" t="s">
        <v>3536</v>
      </c>
      <c r="B37" s="24">
        <f t="shared" ref="B37:K37" si="14">IF(AND(B25=0,B26=0,B27=0,B28=0),"",-B24/(B25+B26+B27+B28))</f>
        <v>1.2120848041768142</v>
      </c>
      <c r="C37" s="24">
        <f t="shared" si="14"/>
        <v>1.2240832049785124</v>
      </c>
      <c r="D37" s="24">
        <f t="shared" si="14"/>
        <v>1.2359547486151261</v>
      </c>
      <c r="E37" s="24">
        <f t="shared" si="14"/>
        <v>1.2476841482199588</v>
      </c>
      <c r="F37" s="24">
        <f t="shared" si="14"/>
        <v>1.2592596568994443</v>
      </c>
      <c r="G37" s="24">
        <f t="shared" si="14"/>
        <v>1.2706661773183763</v>
      </c>
      <c r="H37" s="24">
        <f t="shared" si="14"/>
        <v>1.2818852394276421</v>
      </c>
      <c r="I37" s="24">
        <f t="shared" si="14"/>
        <v>1.2929045938593355</v>
      </c>
      <c r="J37" s="24">
        <f t="shared" si="14"/>
        <v>1.3037058241588984</v>
      </c>
      <c r="K37" s="25">
        <f t="shared" si="14"/>
        <v>1.3142698172804888</v>
      </c>
      <c r="N37" s="3503"/>
      <c r="O37" s="3505"/>
      <c r="Q37" s="62">
        <v>18</v>
      </c>
      <c r="R37" s="1289">
        <f>-SUM(B31:K31) - SUM(B63:I63)</f>
        <v>900082</v>
      </c>
      <c r="S37" s="1289">
        <f>SUM(B32:K32) + SUM(B64:I64)+R37</f>
        <v>3915255.0778059522</v>
      </c>
    </row>
    <row r="38" spans="1:19" ht="13.35" customHeight="1">
      <c r="A38" s="21" t="s">
        <v>752</v>
      </c>
      <c r="B38" s="294">
        <f t="shared" ref="B38:K38" si="15">IF(OR(B21="Choose mgt fee",B21="Choose One!"),"",(B14+B15+B16+B17+B18) / -(B20+B21+B22))</f>
        <v>1.8961555728450386</v>
      </c>
      <c r="C38" s="294">
        <f t="shared" si="15"/>
        <v>1.8794759841878508</v>
      </c>
      <c r="D38" s="294">
        <f t="shared" si="15"/>
        <v>1.862928638939205</v>
      </c>
      <c r="E38" s="294">
        <f t="shared" si="15"/>
        <v>1.8465105389102867</v>
      </c>
      <c r="F38" s="294">
        <f t="shared" si="15"/>
        <v>1.830224006153371</v>
      </c>
      <c r="G38" s="294">
        <f t="shared" si="15"/>
        <v>1.8140677506558713</v>
      </c>
      <c r="H38" s="294">
        <f t="shared" si="15"/>
        <v>1.7980374948527558</v>
      </c>
      <c r="I38" s="294">
        <f t="shared" si="15"/>
        <v>1.7821368987243342</v>
      </c>
      <c r="J38" s="294">
        <f t="shared" si="15"/>
        <v>1.7663633062304729</v>
      </c>
      <c r="K38" s="295">
        <f t="shared" si="15"/>
        <v>1.7507143466914179</v>
      </c>
      <c r="N38" s="3503"/>
      <c r="O38" s="3505"/>
      <c r="Q38" s="1091">
        <v>19</v>
      </c>
      <c r="R38" s="1289">
        <f>-SUM(B31:K31) - SUM(B63:J63)</f>
        <v>900082</v>
      </c>
      <c r="S38" s="1289">
        <f>SUM(B32:K32) + SUM(B64:J64)+R38</f>
        <v>4198123.1397774573</v>
      </c>
    </row>
    <row r="39" spans="1:19" ht="13.35" customHeight="1">
      <c r="A39" s="479" t="s">
        <v>2550</v>
      </c>
      <c r="B39" s="238">
        <f>IF('Part III-Sources of Funds'!$I$38="","",-FV('Part III-Sources of Funds'!$K$38/12,12,B25/12,'Part III-Sources of Funds'!$I$38))</f>
        <v>13516742.834649643</v>
      </c>
      <c r="C39" s="238">
        <f>IF('Part III-Sources of Funds'!$I$38="","",-FV('Part III-Sources of Funds'!$K$38/12,12,C25/12,B39))</f>
        <v>13326019.489631806</v>
      </c>
      <c r="D39" s="238">
        <f>IF('Part III-Sources of Funds'!$I$38="","",-FV('Part III-Sources of Funds'!$K$38/12,12,D25/12,C39))</f>
        <v>13127525.781267118</v>
      </c>
      <c r="E39" s="238">
        <f>IF('Part III-Sources of Funds'!$I$38="","",-FV('Part III-Sources of Funds'!$K$38/12,12,E25/12,D39))</f>
        <v>12920945.13296378</v>
      </c>
      <c r="F39" s="238">
        <f>IF('Part III-Sources of Funds'!$I$38="","",-FV('Part III-Sources of Funds'!$K$38/12,12,F25/12,E39))</f>
        <v>12705948.070311194</v>
      </c>
      <c r="G39" s="238">
        <f>IF('Part III-Sources of Funds'!$I$38="","",-FV('Part III-Sources of Funds'!$K$38/12,12,G25/12,F39))</f>
        <v>12482191.69560292</v>
      </c>
      <c r="H39" s="238">
        <f>IF('Part III-Sources of Funds'!$I$38="","",-FV('Part III-Sources of Funds'!$K$38/12,12,H25/12,G39))</f>
        <v>12249319.14095089</v>
      </c>
      <c r="I39" s="238">
        <f>IF('Part III-Sources of Funds'!$I$38="","",-FV('Part III-Sources of Funds'!$K$38/12,12,I25/12,H39))</f>
        <v>12006958.999118665</v>
      </c>
      <c r="J39" s="238">
        <f>IF('Part III-Sources of Funds'!$I$38="","",-FV('Part III-Sources of Funds'!$K$38/12,12,J25/12,I39))</f>
        <v>11754724.731165934</v>
      </c>
      <c r="K39" s="238">
        <f>IF('Part III-Sources of Funds'!$I$38="","",-FV('Part III-Sources of Funds'!$K$38/12,12,K25/12,J39))</f>
        <v>11492214.049959566</v>
      </c>
      <c r="N39" s="3503"/>
      <c r="O39" s="3505"/>
      <c r="Q39" s="1091">
        <v>20</v>
      </c>
      <c r="R39" s="1289">
        <f>-SUM(B31:K31) - SUM(B63:K63)</f>
        <v>900082</v>
      </c>
      <c r="S39" s="1289">
        <f>SUM(B32:K32) + SUM(B64:K64)+R39</f>
        <v>4486135.2330317982</v>
      </c>
    </row>
    <row r="40" spans="1:19" ht="13.35" customHeight="1">
      <c r="A40" s="479" t="s">
        <v>2551</v>
      </c>
      <c r="B40" s="239" t="str">
        <f>IF('Part III-Sources of Funds'!$I$39="","",-FV('Part III-Sources of Funds'!$K$39/12,12,B26/12,'Part III-Sources of Funds'!$I$39))</f>
        <v/>
      </c>
      <c r="C40" s="239" t="str">
        <f>IF('Part III-Sources of Funds'!$I$39="","",-FV('Part III-Sources of Funds'!$K$39/12,12,C26/12,B40))</f>
        <v/>
      </c>
      <c r="D40" s="239" t="str">
        <f>IF('Part III-Sources of Funds'!$I$39="","",-FV('Part III-Sources of Funds'!$K$39/12,12,D26/12,C40))</f>
        <v/>
      </c>
      <c r="E40" s="239" t="str">
        <f>IF('Part III-Sources of Funds'!$I$39="","",-FV('Part III-Sources of Funds'!$K$39/12,12,E26/12,D40))</f>
        <v/>
      </c>
      <c r="F40" s="239" t="str">
        <f>IF('Part III-Sources of Funds'!$I$39="","",-FV('Part III-Sources of Funds'!$K$39/12,12,F26/12,E40))</f>
        <v/>
      </c>
      <c r="G40" s="239" t="str">
        <f>IF('Part III-Sources of Funds'!$I$39="","",-FV('Part III-Sources of Funds'!$K$39/12,12,G26/12,F40))</f>
        <v/>
      </c>
      <c r="H40" s="239" t="str">
        <f>IF('Part III-Sources of Funds'!$I$39="","",-FV('Part III-Sources of Funds'!$K$39/12,12,H26/12,G40))</f>
        <v/>
      </c>
      <c r="I40" s="239" t="str">
        <f>IF('Part III-Sources of Funds'!$I$39="","",-FV('Part III-Sources of Funds'!$K$39/12,12,I26/12,H40))</f>
        <v/>
      </c>
      <c r="J40" s="239" t="str">
        <f>IF('Part III-Sources of Funds'!$I$39="","",-FV('Part III-Sources of Funds'!$K$39/12,12,J26/12,I40))</f>
        <v/>
      </c>
      <c r="K40" s="239" t="str">
        <f>IF('Part III-Sources of Funds'!$I$39="","",-FV('Part III-Sources of Funds'!$K$39/12,12,K26/12,J40))</f>
        <v/>
      </c>
      <c r="N40" s="3503"/>
      <c r="O40" s="3505"/>
    </row>
    <row r="41" spans="1:19" ht="13.35" customHeight="1">
      <c r="A41" s="479" t="s">
        <v>2552</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503"/>
      <c r="O41" s="3505"/>
    </row>
    <row r="42" spans="1:19" ht="13.35"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503"/>
      <c r="O42" s="3505"/>
    </row>
    <row r="43" spans="1:19" ht="13.35" customHeight="1">
      <c r="A43" s="479" t="s">
        <v>3777</v>
      </c>
      <c r="B43" s="240">
        <f>IF('Part III-Sources of Funds'!$I$43="","",-FV('Part III-Sources of Funds'!$K$43/12,12,B31/12,'Part III-Sources of Funds'!$I$43))</f>
        <v>750701</v>
      </c>
      <c r="C43" s="240">
        <f>IF('Part III-Sources of Funds'!$I$43="","",IF(-FV('Part III-Sources of Funds'!$K$43/12,12,C31/12,B43)&gt;0,-FV('Part III-Sources of Funds'!$K$43/12,12,C31/12,B43),0))</f>
        <v>592586</v>
      </c>
      <c r="D43" s="240">
        <f>IF('Part III-Sources of Funds'!$I$43="","",IF(-FV('Part III-Sources of Funds'!$K$43/12,12,D31/12,C43)&gt;0,-FV('Part III-Sources of Funds'!$K$43/12,12,D31/12,C43),0))</f>
        <v>425829</v>
      </c>
      <c r="E43" s="240">
        <f>IF('Part III-Sources of Funds'!$I$43="","",IF(-FV('Part III-Sources of Funds'!$K$43/12,12,E31/12,D43)&gt;0,-FV('Part III-Sources of Funds'!$K$43/12,12,E31/12,D43),0))</f>
        <v>250534</v>
      </c>
      <c r="F43" s="240">
        <f>IF('Part III-Sources of Funds'!$I$43="","",IF(-FV('Part III-Sources of Funds'!$K$43/12,12,F31/12,E43)&gt;0,-FV('Part III-Sources of Funds'!$K$43/12,12,F31/12,E43),0))</f>
        <v>66813</v>
      </c>
      <c r="G43" s="240">
        <f>IF('Part III-Sources of Funds'!$I$43="","",IF(-FV('Part III-Sources of Funds'!$K$43/12,12,G31/12,F43)&gt;0,-FV('Part III-Sources of Funds'!$K$43/12,12,G31/12,F43),0))</f>
        <v>0</v>
      </c>
      <c r="H43" s="240">
        <f>IF('Part III-Sources of Funds'!$I$43="","",IF(-FV('Part III-Sources of Funds'!$K$43/12,12,H31/12,G43)&gt;0,-FV('Part III-Sources of Funds'!$K$43/12,12,H31/12,G43),0))</f>
        <v>0</v>
      </c>
      <c r="I43" s="240">
        <f>IF('Part III-Sources of Funds'!$I$43="","",IF(-FV('Part III-Sources of Funds'!$K$43/12,12,I31/12,H43)&gt;0,-FV('Part III-Sources of Funds'!$K$43/12,12,I31/12,H43),0))</f>
        <v>0</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507"/>
      <c r="O43" s="3509"/>
    </row>
    <row r="44" spans="1:19" ht="4.3499999999999996" customHeight="1">
      <c r="B44" s="17"/>
      <c r="C44" s="17"/>
      <c r="D44" s="17"/>
      <c r="E44" s="17"/>
      <c r="F44" s="17"/>
      <c r="G44" s="17"/>
      <c r="H44" s="17"/>
      <c r="I44" s="17"/>
      <c r="J44" s="17"/>
      <c r="K44" s="17"/>
    </row>
    <row r="45" spans="1:19" ht="14.4" customHeight="1">
      <c r="A45" s="13" t="s">
        <v>2416</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30" t="s">
        <v>2554</v>
      </c>
      <c r="O45" s="3230"/>
    </row>
    <row r="46" spans="1:19" ht="13.35" customHeight="1">
      <c r="A46" s="18" t="s">
        <v>2342</v>
      </c>
      <c r="B46" s="19">
        <f t="shared" ref="B46:K46" si="17">$B$14*(1+$B$5)^(B45-1)</f>
        <v>2398981.0185496821</v>
      </c>
      <c r="C46" s="19">
        <f t="shared" si="17"/>
        <v>2446960.638920675</v>
      </c>
      <c r="D46" s="19">
        <f t="shared" si="17"/>
        <v>2495899.8516990892</v>
      </c>
      <c r="E46" s="19">
        <f t="shared" si="17"/>
        <v>2545817.8487330708</v>
      </c>
      <c r="F46" s="19">
        <f t="shared" si="17"/>
        <v>2596734.2057077326</v>
      </c>
      <c r="G46" s="19">
        <f t="shared" si="17"/>
        <v>2648668.8898218861</v>
      </c>
      <c r="H46" s="19">
        <f t="shared" si="17"/>
        <v>2701642.2676183246</v>
      </c>
      <c r="I46" s="19">
        <f t="shared" si="17"/>
        <v>2755675.1129706912</v>
      </c>
      <c r="J46" s="19">
        <f t="shared" si="17"/>
        <v>2810788.6152301049</v>
      </c>
      <c r="K46" s="20">
        <f t="shared" si="17"/>
        <v>2867004.3875347069</v>
      </c>
      <c r="N46" s="3510"/>
      <c r="O46" s="3512"/>
    </row>
    <row r="47" spans="1:19" ht="13.35" customHeight="1">
      <c r="A47" s="21" t="s">
        <v>994</v>
      </c>
      <c r="B47" s="22">
        <f t="shared" ref="B47:K47" si="18">$B$15*(1+$B$5)^(B45-1)</f>
        <v>47979.620370993638</v>
      </c>
      <c r="C47" s="22">
        <f t="shared" si="18"/>
        <v>48939.212778413501</v>
      </c>
      <c r="D47" s="22">
        <f t="shared" si="18"/>
        <v>49917.997033981781</v>
      </c>
      <c r="E47" s="22">
        <f t="shared" si="18"/>
        <v>50916.356974661416</v>
      </c>
      <c r="F47" s="22">
        <f t="shared" si="18"/>
        <v>51934.684114154647</v>
      </c>
      <c r="G47" s="22">
        <f t="shared" si="18"/>
        <v>52973.37779643773</v>
      </c>
      <c r="H47" s="22">
        <f t="shared" si="18"/>
        <v>54032.845352366487</v>
      </c>
      <c r="I47" s="22">
        <f t="shared" si="18"/>
        <v>55113.502259413821</v>
      </c>
      <c r="J47" s="22">
        <f t="shared" si="18"/>
        <v>56215.772304602091</v>
      </c>
      <c r="K47" s="23">
        <f t="shared" si="18"/>
        <v>57340.087750694132</v>
      </c>
      <c r="N47" s="3503"/>
      <c r="O47" s="3505"/>
    </row>
    <row r="48" spans="1:19" ht="13.35" customHeight="1">
      <c r="A48" s="21" t="s">
        <v>2343</v>
      </c>
      <c r="B48" s="22">
        <f t="shared" ref="B48:K48" si="19">-(B46+B47)*$B$8</f>
        <v>-171287.24472444734</v>
      </c>
      <c r="C48" s="22">
        <f t="shared" si="19"/>
        <v>-174712.98961893623</v>
      </c>
      <c r="D48" s="22">
        <f t="shared" si="19"/>
        <v>-178207.24941131496</v>
      </c>
      <c r="E48" s="22">
        <f t="shared" si="19"/>
        <v>-181771.39439954126</v>
      </c>
      <c r="F48" s="22">
        <f t="shared" si="19"/>
        <v>-185406.82228753212</v>
      </c>
      <c r="G48" s="22">
        <f t="shared" si="19"/>
        <v>-189114.95873328266</v>
      </c>
      <c r="H48" s="22">
        <f t="shared" si="19"/>
        <v>-192897.2579079484</v>
      </c>
      <c r="I48" s="22">
        <f t="shared" si="19"/>
        <v>-196755.20306610735</v>
      </c>
      <c r="J48" s="22">
        <f t="shared" si="19"/>
        <v>-200690.30712742949</v>
      </c>
      <c r="K48" s="23">
        <f t="shared" si="19"/>
        <v>-204704.11326997809</v>
      </c>
      <c r="N48" s="3503"/>
      <c r="O48" s="3505"/>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503"/>
      <c r="O49" s="3505"/>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503"/>
      <c r="O50" s="3505"/>
    </row>
    <row r="51" spans="1:19" ht="13.35" customHeight="1">
      <c r="A51" s="479" t="s">
        <v>4384</v>
      </c>
      <c r="B51" s="22">
        <f t="shared" ref="B51:K51" si="20">SUM(B46:B50)</f>
        <v>2275673.3941962286</v>
      </c>
      <c r="C51" s="22">
        <f t="shared" si="20"/>
        <v>2321186.8620801526</v>
      </c>
      <c r="D51" s="22">
        <f t="shared" si="20"/>
        <v>2367610.5993217556</v>
      </c>
      <c r="E51" s="22">
        <f t="shared" si="20"/>
        <v>2414962.8113081907</v>
      </c>
      <c r="F51" s="22">
        <f t="shared" si="20"/>
        <v>2463262.067534355</v>
      </c>
      <c r="G51" s="22">
        <f t="shared" si="20"/>
        <v>2512527.3088850412</v>
      </c>
      <c r="H51" s="22">
        <f t="shared" si="20"/>
        <v>2562777.8550627427</v>
      </c>
      <c r="I51" s="22">
        <f t="shared" si="20"/>
        <v>2614033.4121639975</v>
      </c>
      <c r="J51" s="22">
        <f t="shared" si="20"/>
        <v>2666314.0804072772</v>
      </c>
      <c r="K51" s="23">
        <f t="shared" si="20"/>
        <v>2719640.3620154229</v>
      </c>
      <c r="N51" s="3503"/>
      <c r="O51" s="3505"/>
    </row>
    <row r="52" spans="1:19" ht="13.35" customHeight="1">
      <c r="A52" s="21" t="s">
        <v>597</v>
      </c>
      <c r="B52" s="22">
        <f t="shared" ref="B52:K52" si="21">$B$20*(1+$B$6)^(B45-1)</f>
        <v>-1130502.4583042753</v>
      </c>
      <c r="C52" s="22">
        <f t="shared" si="21"/>
        <v>-1164417.5320534036</v>
      </c>
      <c r="D52" s="22">
        <f t="shared" si="21"/>
        <v>-1199350.0580150054</v>
      </c>
      <c r="E52" s="22">
        <f t="shared" si="21"/>
        <v>-1235330.5597554555</v>
      </c>
      <c r="F52" s="22">
        <f t="shared" si="21"/>
        <v>-1272390.4765481194</v>
      </c>
      <c r="G52" s="22">
        <f t="shared" si="21"/>
        <v>-1310562.1908445631</v>
      </c>
      <c r="H52" s="22">
        <f t="shared" si="21"/>
        <v>-1349879.0565698997</v>
      </c>
      <c r="I52" s="22">
        <f t="shared" si="21"/>
        <v>-1390375.4282669968</v>
      </c>
      <c r="J52" s="22">
        <f t="shared" si="21"/>
        <v>-1432086.6911150066</v>
      </c>
      <c r="K52" s="23">
        <f t="shared" si="21"/>
        <v>-1475049.2918484567</v>
      </c>
      <c r="N52" s="3503"/>
      <c r="O52" s="3505"/>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-113784</v>
      </c>
      <c r="C53" s="22">
        <f>IF(AND('Part VII-Pro Forma'!$G$8="Yes",'Part VII-Pro Forma'!$G$9="Yes"),"Choose One!",IF('Part VII-Pro Forma'!$G$8="Yes",ROUND((-$K$8*(1+'Part VII-Pro Forma'!$B$6)^('Part VII-Pro Forma'!C45-1)),),IF('Part VII-Pro Forma'!$G$9="Yes",ROUND((-(SUM(C46:C49)*'Part VII-Pro Forma'!$K$9)),),"Choose mgt fee")))</f>
        <v>-116059</v>
      </c>
      <c r="D53" s="22">
        <f>IF(AND('Part VII-Pro Forma'!$G$8="Yes",'Part VII-Pro Forma'!$G$9="Yes"),"Choose One!",IF('Part VII-Pro Forma'!$G$8="Yes",ROUND((-$K$8*(1+'Part VII-Pro Forma'!$B$6)^('Part VII-Pro Forma'!D45-1)),),IF('Part VII-Pro Forma'!$G$9="Yes",ROUND((-(SUM(D46:D49)*'Part VII-Pro Forma'!$K$9)),),"Choose mgt fee")))</f>
        <v>-118381</v>
      </c>
      <c r="E53" s="22">
        <f>IF(AND('Part VII-Pro Forma'!$G$8="Yes",'Part VII-Pro Forma'!$G$9="Yes"),"Choose One!",IF('Part VII-Pro Forma'!$G$8="Yes",ROUND((-$K$8*(1+'Part VII-Pro Forma'!$B$6)^('Part VII-Pro Forma'!E45-1)),),IF('Part VII-Pro Forma'!$G$9="Yes",ROUND((-(SUM(E46:E49)*'Part VII-Pro Forma'!$K$9)),),"Choose mgt fee")))</f>
        <v>-120748</v>
      </c>
      <c r="F53" s="22">
        <f>IF(AND('Part VII-Pro Forma'!$G$8="Yes",'Part VII-Pro Forma'!$G$9="Yes"),"Choose One!",IF('Part VII-Pro Forma'!$G$8="Yes",ROUND((-$K$8*(1+'Part VII-Pro Forma'!$B$6)^('Part VII-Pro Forma'!F45-1)),),IF('Part VII-Pro Forma'!$G$9="Yes",ROUND((-(SUM(F46:F49)*'Part VII-Pro Forma'!$K$9)),),"Choose mgt fee")))</f>
        <v>-123163</v>
      </c>
      <c r="G53" s="22">
        <f>IF(AND('Part VII-Pro Forma'!$G$8="Yes",'Part VII-Pro Forma'!$G$9="Yes"),"Choose One!",IF('Part VII-Pro Forma'!$G$8="Yes",ROUND((-$K$8*(1+'Part VII-Pro Forma'!$B$6)^('Part VII-Pro Forma'!G45-1)),),IF('Part VII-Pro Forma'!$G$9="Yes",ROUND((-(SUM(G46:G49)*'Part VII-Pro Forma'!$K$9)),),"Choose mgt fee")))</f>
        <v>-125626</v>
      </c>
      <c r="H53" s="22">
        <f>IF(AND('Part VII-Pro Forma'!$G$8="Yes",'Part VII-Pro Forma'!$G$9="Yes"),"Choose One!",IF('Part VII-Pro Forma'!$G$8="Yes",ROUND((-$K$8*(1+'Part VII-Pro Forma'!$B$6)^('Part VII-Pro Forma'!H45-1)),),IF('Part VII-Pro Forma'!$G$9="Yes",ROUND((-(SUM(H46:H49)*'Part VII-Pro Forma'!$K$9)),),"Choose mgt fee")))</f>
        <v>-128139</v>
      </c>
      <c r="I53" s="22">
        <f>IF(AND('Part VII-Pro Forma'!$G$8="Yes",'Part VII-Pro Forma'!$G$9="Yes"),"Choose One!",IF('Part VII-Pro Forma'!$G$8="Yes",ROUND((-$K$8*(1+'Part VII-Pro Forma'!$B$6)^('Part VII-Pro Forma'!I45-1)),),IF('Part VII-Pro Forma'!$G$9="Yes",ROUND((-(SUM(I46:I49)*'Part VII-Pro Forma'!$K$9)),),"Choose mgt fee")))</f>
        <v>-130702</v>
      </c>
      <c r="J53" s="22">
        <f>IF(AND('Part VII-Pro Forma'!$G$8="Yes",'Part VII-Pro Forma'!$G$9="Yes"),"Choose One!",IF('Part VII-Pro Forma'!$G$8="Yes",ROUND((-$K$8*(1+'Part VII-Pro Forma'!$B$6)^('Part VII-Pro Forma'!J45-1)),),IF('Part VII-Pro Forma'!$G$9="Yes",ROUND((-(SUM(J46:J49)*'Part VII-Pro Forma'!$K$9)),),"Choose mgt fee")))</f>
        <v>-133316</v>
      </c>
      <c r="K53" s="23">
        <f>IF(AND('Part VII-Pro Forma'!$G$8="Yes",'Part VII-Pro Forma'!$G$9="Yes"),"Choose One!",IF('Part VII-Pro Forma'!$G$8="Yes",ROUND((-$K$8*(1+'Part VII-Pro Forma'!$B$6)^('Part VII-Pro Forma'!K45-1)),),IF('Part VII-Pro Forma'!$G$9="Yes",ROUND((-(SUM(K46:K49)*'Part VII-Pro Forma'!$K$9)),),"Choose mgt fee")))</f>
        <v>-135982</v>
      </c>
      <c r="N53" s="3503"/>
      <c r="O53" s="3505"/>
    </row>
    <row r="54" spans="1:19" ht="13.35" customHeight="1">
      <c r="A54" s="21" t="s">
        <v>1176</v>
      </c>
      <c r="B54" s="22">
        <f t="shared" ref="B54:K54" si="22">$B$22*(1+$B$7)^(B45-1)</f>
        <v>-67195.818967206083</v>
      </c>
      <c r="C54" s="22">
        <f t="shared" si="22"/>
        <v>-69211.693536222272</v>
      </c>
      <c r="D54" s="22">
        <f t="shared" si="22"/>
        <v>-71288.044342308931</v>
      </c>
      <c r="E54" s="22">
        <f t="shared" si="22"/>
        <v>-73426.685672578198</v>
      </c>
      <c r="F54" s="22">
        <f t="shared" si="22"/>
        <v>-75629.486242755549</v>
      </c>
      <c r="G54" s="22">
        <f t="shared" si="22"/>
        <v>-77898.370830038228</v>
      </c>
      <c r="H54" s="22">
        <f t="shared" si="22"/>
        <v>-80235.321954939354</v>
      </c>
      <c r="I54" s="22">
        <f t="shared" si="22"/>
        <v>-82642.381613587539</v>
      </c>
      <c r="J54" s="22">
        <f t="shared" si="22"/>
        <v>-85121.653061995166</v>
      </c>
      <c r="K54" s="23">
        <f t="shared" si="22"/>
        <v>-87675.302653855018</v>
      </c>
      <c r="N54" s="3503"/>
      <c r="O54" s="3505"/>
      <c r="Q54" s="1091">
        <v>10</v>
      </c>
      <c r="R54" s="1289">
        <f>-SUM(B60:K60)</f>
        <v>0</v>
      </c>
      <c r="S54" s="1289">
        <f>SUM(B61:K61)+R54</f>
        <v>0</v>
      </c>
    </row>
    <row r="55" spans="1:19" ht="13.35" customHeight="1">
      <c r="A55" s="479" t="s">
        <v>4383</v>
      </c>
      <c r="B55" s="2003">
        <f>IF(B45&lt;=+'Part VI-Revenues &amp; Expenses'!$N$250,-'Part VI-Revenues &amp; Expenses'!$K$250,0)</f>
        <v>0</v>
      </c>
      <c r="C55" s="2003">
        <f>IF(C45&lt;=+'Part VI-Revenues &amp; Expenses'!$N$250,-'Part VI-Revenues &amp; Expenses'!$K$250,0)</f>
        <v>0</v>
      </c>
      <c r="D55" s="2003">
        <f>IF(D45&lt;=+'Part VI-Revenues &amp; Expenses'!$N$250,-'Part VI-Revenues &amp; Expenses'!$K$250,0)</f>
        <v>0</v>
      </c>
      <c r="E55" s="2003">
        <f>IF(E45&lt;=+'Part VI-Revenues &amp; Expenses'!$N$250,-'Part VI-Revenues &amp; Expenses'!$K$250,0)</f>
        <v>0</v>
      </c>
      <c r="F55" s="2003">
        <f>IF(F45&lt;=+'Part VI-Revenues &amp; Expenses'!$N$250,-'Part VI-Revenues &amp; Expenses'!$K$250,0)</f>
        <v>0</v>
      </c>
      <c r="G55" s="2003">
        <f>IF(G45&lt;=+'Part VI-Revenues &amp; Expenses'!$N$250,-'Part VI-Revenues &amp; Expenses'!$K$250,0)</f>
        <v>0</v>
      </c>
      <c r="H55" s="2003">
        <f>IF(H45&lt;=+'Part VI-Revenues &amp; Expenses'!$N$250,-'Part VI-Revenues &amp; Expenses'!$K$250,0)</f>
        <v>0</v>
      </c>
      <c r="I55" s="2003">
        <f>IF(I45&lt;=+'Part VI-Revenues &amp; Expenses'!$N$250,-'Part VI-Revenues &amp; Expenses'!$K$250,0)</f>
        <v>0</v>
      </c>
      <c r="J55" s="2003">
        <f>IF(J45&lt;=+'Part VI-Revenues &amp; Expenses'!$N$250,-'Part VI-Revenues &amp; Expenses'!$K$250,0)</f>
        <v>0</v>
      </c>
      <c r="K55" s="2003">
        <f>IF(K45&lt;=+'Part VI-Revenues &amp; Expenses'!$N$250,-'Part VI-Revenues &amp; Expenses'!$K$250,0)</f>
        <v>0</v>
      </c>
      <c r="N55" s="3503"/>
      <c r="O55" s="3505"/>
    </row>
    <row r="56" spans="1:19" ht="13.35" customHeight="1">
      <c r="A56" s="21" t="s">
        <v>1177</v>
      </c>
      <c r="B56" s="22">
        <f t="shared" ref="B56:K56" si="23">SUM(B51:B55)</f>
        <v>964191.11692474724</v>
      </c>
      <c r="C56" s="22">
        <f t="shared" si="23"/>
        <v>971498.63649052684</v>
      </c>
      <c r="D56" s="22">
        <f t="shared" si="23"/>
        <v>978591.49696444126</v>
      </c>
      <c r="E56" s="22">
        <f t="shared" si="23"/>
        <v>985457.56588015705</v>
      </c>
      <c r="F56" s="22">
        <f t="shared" si="23"/>
        <v>992079.10474347998</v>
      </c>
      <c r="G56" s="22">
        <f t="shared" si="23"/>
        <v>998440.74721043988</v>
      </c>
      <c r="H56" s="22">
        <f t="shared" si="23"/>
        <v>1004524.4765379037</v>
      </c>
      <c r="I56" s="22">
        <f t="shared" si="23"/>
        <v>1010313.6022834133</v>
      </c>
      <c r="J56" s="22">
        <f t="shared" si="23"/>
        <v>1015789.7362302755</v>
      </c>
      <c r="K56" s="1894">
        <f t="shared" si="23"/>
        <v>1020933.7675131111</v>
      </c>
      <c r="N56" s="3503"/>
      <c r="O56" s="3505"/>
    </row>
    <row r="57" spans="1:19" ht="13.35" customHeight="1">
      <c r="A57" s="21" t="str">
        <f>$A25</f>
        <v>Mortgage A</v>
      </c>
      <c r="B57" s="480">
        <f>IF('Part III-Sources of Funds'!$P$38="", 0,-'Part III-Sources of Funds'!$P$38)</f>
        <v>-727921.67425877007</v>
      </c>
      <c r="C57" s="480">
        <f>IF('Part III-Sources of Funds'!$P$38="", 0,-'Part III-Sources of Funds'!$P$38)</f>
        <v>-727921.67425877007</v>
      </c>
      <c r="D57" s="480">
        <f>IF('Part III-Sources of Funds'!$P$38="", 0,-'Part III-Sources of Funds'!$P$38)</f>
        <v>-727921.67425877007</v>
      </c>
      <c r="E57" s="480">
        <f>IF('Part III-Sources of Funds'!$P$38="", 0,-'Part III-Sources of Funds'!$P$38)</f>
        <v>-727921.67425877007</v>
      </c>
      <c r="F57" s="480">
        <f>IF('Part III-Sources of Funds'!$P$38="", 0,-'Part III-Sources of Funds'!$P$38)</f>
        <v>-727921.67425877007</v>
      </c>
      <c r="G57" s="480">
        <f>IF('Part III-Sources of Funds'!$P$38="", 0,-'Part III-Sources of Funds'!$P$38)</f>
        <v>-727921.67425877007</v>
      </c>
      <c r="H57" s="480">
        <f>IF('Part III-Sources of Funds'!$P$38="", 0,-'Part III-Sources of Funds'!$P$38)</f>
        <v>-727921.67425877007</v>
      </c>
      <c r="I57" s="480">
        <f>IF('Part III-Sources of Funds'!$P$38="", 0,-'Part III-Sources of Funds'!$P$38)</f>
        <v>-727921.67425877007</v>
      </c>
      <c r="J57" s="480">
        <f>IF('Part III-Sources of Funds'!$P$38="", 0,-'Part III-Sources of Funds'!$P$38)</f>
        <v>-727921.67425877007</v>
      </c>
      <c r="K57" s="480">
        <f>IF('Part III-Sources of Funds'!$P$38="", 0,-'Part III-Sources of Funds'!$P$38)</f>
        <v>-727921.67425877007</v>
      </c>
      <c r="N57" s="3503"/>
      <c r="O57" s="3505"/>
    </row>
    <row r="58" spans="1:19" ht="13.35"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503"/>
      <c r="O58" s="3505"/>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503"/>
      <c r="O59" s="3505"/>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503"/>
      <c r="O60" s="3505"/>
    </row>
    <row r="61" spans="1:19" ht="13.35" customHeight="1">
      <c r="A61" s="21" t="s">
        <v>745</v>
      </c>
      <c r="B61" s="179"/>
      <c r="C61" s="179"/>
      <c r="D61" s="179"/>
      <c r="E61" s="179"/>
      <c r="F61" s="179"/>
      <c r="G61" s="179"/>
      <c r="H61" s="179"/>
      <c r="I61" s="179"/>
      <c r="J61" s="179"/>
      <c r="K61" s="179"/>
      <c r="N61" s="3503"/>
      <c r="O61" s="3505"/>
      <c r="Q61" s="1091"/>
      <c r="R61" s="1289"/>
    </row>
    <row r="62" spans="1:19" ht="13.35" customHeight="1">
      <c r="A62" s="479" t="s">
        <v>1141</v>
      </c>
      <c r="B62" s="239">
        <f>+K30</f>
        <v>-5000</v>
      </c>
      <c r="C62" s="239">
        <f t="shared" ref="C62:K62" si="24">+B62</f>
        <v>-5000</v>
      </c>
      <c r="D62" s="239">
        <f t="shared" si="24"/>
        <v>-5000</v>
      </c>
      <c r="E62" s="239">
        <f t="shared" si="24"/>
        <v>-5000</v>
      </c>
      <c r="F62" s="239">
        <f t="shared" si="24"/>
        <v>-5000</v>
      </c>
      <c r="G62" s="239">
        <f t="shared" si="24"/>
        <v>-5000</v>
      </c>
      <c r="H62" s="239">
        <f t="shared" si="24"/>
        <v>-5000</v>
      </c>
      <c r="I62" s="239">
        <f t="shared" si="24"/>
        <v>-5000</v>
      </c>
      <c r="J62" s="239">
        <f t="shared" si="24"/>
        <v>-5000</v>
      </c>
      <c r="K62" s="239">
        <f t="shared" si="24"/>
        <v>-5000</v>
      </c>
      <c r="N62" s="3503"/>
      <c r="O62" s="3505"/>
    </row>
    <row r="63" spans="1:19" ht="13.35" customHeight="1">
      <c r="A63" s="479" t="s">
        <v>3776</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503"/>
      <c r="O63" s="3505"/>
    </row>
    <row r="64" spans="1:19" ht="13.35" customHeight="1">
      <c r="A64" s="21" t="s">
        <v>1142</v>
      </c>
      <c r="B64" s="22">
        <f t="shared" ref="B64:K64" si="25">SUM(B56:B63)</f>
        <v>231269.44266597717</v>
      </c>
      <c r="C64" s="22">
        <f t="shared" si="25"/>
        <v>238576.96223175677</v>
      </c>
      <c r="D64" s="22">
        <f t="shared" si="25"/>
        <v>245669.82270567119</v>
      </c>
      <c r="E64" s="22">
        <f t="shared" si="25"/>
        <v>252535.89162138698</v>
      </c>
      <c r="F64" s="22">
        <f t="shared" si="25"/>
        <v>259157.43048470991</v>
      </c>
      <c r="G64" s="22">
        <f t="shared" si="25"/>
        <v>265519.0729516698</v>
      </c>
      <c r="H64" s="22">
        <f t="shared" si="25"/>
        <v>271602.80227913358</v>
      </c>
      <c r="I64" s="22">
        <f t="shared" si="25"/>
        <v>277391.92802464322</v>
      </c>
      <c r="J64" s="22">
        <f t="shared" si="25"/>
        <v>282868.06197150541</v>
      </c>
      <c r="K64" s="708">
        <f t="shared" si="25"/>
        <v>288012.09325434105</v>
      </c>
      <c r="N64" s="3503"/>
      <c r="O64" s="3505"/>
    </row>
    <row r="65" spans="1:15" ht="13.35" customHeight="1">
      <c r="A65" s="21" t="str">
        <f>$A33</f>
        <v>DCR Mortgage A</v>
      </c>
      <c r="B65" s="24">
        <f t="shared" ref="B65:K65" si="26">IF(B57=0,"",-B56/B57)</f>
        <v>1.3245808594812982</v>
      </c>
      <c r="C65" s="24">
        <f t="shared" si="26"/>
        <v>1.3346197411689753</v>
      </c>
      <c r="D65" s="24">
        <f t="shared" si="26"/>
        <v>1.3443637297390876</v>
      </c>
      <c r="E65" s="24">
        <f t="shared" si="26"/>
        <v>1.3537961579226656</v>
      </c>
      <c r="F65" s="24">
        <f t="shared" si="26"/>
        <v>1.3628926570344218</v>
      </c>
      <c r="G65" s="24">
        <f t="shared" si="26"/>
        <v>1.3716321171877932</v>
      </c>
      <c r="H65" s="24">
        <f t="shared" si="26"/>
        <v>1.3799897874462845</v>
      </c>
      <c r="I65" s="24">
        <f t="shared" si="26"/>
        <v>1.3879427389110208</v>
      </c>
      <c r="J65" s="24">
        <f t="shared" si="26"/>
        <v>1.3954657103247219</v>
      </c>
      <c r="K65" s="25">
        <f t="shared" si="26"/>
        <v>1.4025324476740031</v>
      </c>
      <c r="N65" s="3503"/>
      <c r="O65" s="3505"/>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503"/>
      <c r="O66" s="3505"/>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503"/>
      <c r="O67" s="3505"/>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503"/>
      <c r="O68" s="3505"/>
    </row>
    <row r="69" spans="1:15" ht="13.35" customHeight="1">
      <c r="A69" s="479" t="s">
        <v>3536</v>
      </c>
      <c r="B69" s="24">
        <f t="shared" ref="B69:K69" si="30">IF(AND(B57=0,B58=0,B59=0,B60=0),"",-B56/(B57+B58+B59+B60))</f>
        <v>1.3245808594812982</v>
      </c>
      <c r="C69" s="24">
        <f t="shared" si="30"/>
        <v>1.3346197411689753</v>
      </c>
      <c r="D69" s="24">
        <f t="shared" si="30"/>
        <v>1.3443637297390876</v>
      </c>
      <c r="E69" s="24">
        <f t="shared" si="30"/>
        <v>1.3537961579226656</v>
      </c>
      <c r="F69" s="24">
        <f t="shared" si="30"/>
        <v>1.3628926570344218</v>
      </c>
      <c r="G69" s="24">
        <f t="shared" si="30"/>
        <v>1.3716321171877932</v>
      </c>
      <c r="H69" s="24">
        <f t="shared" si="30"/>
        <v>1.3799897874462845</v>
      </c>
      <c r="I69" s="24">
        <f t="shared" si="30"/>
        <v>1.3879427389110208</v>
      </c>
      <c r="J69" s="24">
        <f t="shared" si="30"/>
        <v>1.3954657103247219</v>
      </c>
      <c r="K69" s="25">
        <f t="shared" si="30"/>
        <v>1.4025324476740031</v>
      </c>
      <c r="N69" s="3503"/>
      <c r="O69" s="3505"/>
    </row>
    <row r="70" spans="1:15" ht="13.35" customHeight="1">
      <c r="A70" s="21" t="s">
        <v>752</v>
      </c>
      <c r="B70" s="294">
        <f t="shared" ref="B70:K70" si="31">IF(OR(B53="Choose mgt fee",B53="Choose One!"),"",(B46+B47+B48+B49+B50) / -(B52+B53+B54))</f>
        <v>1.735191876882036</v>
      </c>
      <c r="C70" s="294">
        <f t="shared" si="31"/>
        <v>1.719794851930428</v>
      </c>
      <c r="D70" s="294">
        <f t="shared" si="31"/>
        <v>1.7045198264758681</v>
      </c>
      <c r="E70" s="294">
        <f t="shared" si="31"/>
        <v>1.689369674600308</v>
      </c>
      <c r="F70" s="294">
        <f t="shared" si="31"/>
        <v>1.6743410777823842</v>
      </c>
      <c r="G70" s="294">
        <f t="shared" si="31"/>
        <v>1.6594343893430703</v>
      </c>
      <c r="H70" s="294">
        <f t="shared" si="31"/>
        <v>1.6446477128699462</v>
      </c>
      <c r="I70" s="294">
        <f t="shared" si="31"/>
        <v>1.6299813696001193</v>
      </c>
      <c r="J70" s="294">
        <f t="shared" si="31"/>
        <v>1.6154345676959871</v>
      </c>
      <c r="K70" s="295">
        <f t="shared" si="31"/>
        <v>1.6010065368659061</v>
      </c>
      <c r="N70" s="3503"/>
      <c r="O70" s="3505"/>
    </row>
    <row r="71" spans="1:15" ht="13.35" customHeight="1">
      <c r="A71" s="479" t="s">
        <v>2550</v>
      </c>
      <c r="B71" s="238">
        <f>IF('Part III-Sources of Funds'!$I$38="","",-FV('Part III-Sources of Funds'!$K$38/12,12,B57/12,K39))</f>
        <v>11219008.278567925</v>
      </c>
      <c r="C71" s="238">
        <f>IF('Part III-Sources of Funds'!$I$38="","",-FV('Part III-Sources of Funds'!$K$38/12,12,C57/12,B71))</f>
        <v>10934671.682515197</v>
      </c>
      <c r="D71" s="238">
        <f>IF('Part III-Sources of Funds'!$I$38="","",-FV('Part III-Sources of Funds'!$K$38/12,12,D57/12,C71))</f>
        <v>10638750.774830719</v>
      </c>
      <c r="E71" s="238">
        <f>IF('Part III-Sources of Funds'!$I$38="","",-FV('Part III-Sources of Funds'!$K$38/12,12,E57/12,D71))</f>
        <v>10330773.592784951</v>
      </c>
      <c r="F71" s="238">
        <f>IF('Part III-Sources of Funds'!$I$38="","",-FV('Part III-Sources of Funds'!$K$38/12,12,F57/12,E71))</f>
        <v>10010248.945158549</v>
      </c>
      <c r="G71" s="238">
        <f>IF('Part III-Sources of Funds'!$I$38="","",-FV('Part III-Sources of Funds'!$K$38/12,12,G57/12,F71))</f>
        <v>9676665.6288440246</v>
      </c>
      <c r="H71" s="238">
        <f>IF('Part III-Sources of Funds'!$I$38="","",-FV('Part III-Sources of Funds'!$K$38/12,12,H57/12,G71))</f>
        <v>9329491.6135305464</v>
      </c>
      <c r="I71" s="238">
        <f>IF('Part III-Sources of Funds'!$I$38="","",-FV('Part III-Sources of Funds'!$K$38/12,12,I57/12,H71))</f>
        <v>8968173.1931715384</v>
      </c>
      <c r="J71" s="238">
        <f>IF('Part III-Sources of Funds'!$I$38="","",-FV('Part III-Sources of Funds'!$K$38/12,12,J57/12,I71))</f>
        <v>8592134.1028817631</v>
      </c>
      <c r="K71" s="238">
        <f>IF('Part III-Sources of Funds'!$I$38="","",-FV('Part III-Sources of Funds'!$K$38/12,12,K57/12,J71))</f>
        <v>8200774.5998554267</v>
      </c>
      <c r="N71" s="3503"/>
      <c r="O71" s="3505"/>
    </row>
    <row r="72" spans="1:15" ht="13.35" customHeight="1">
      <c r="A72" s="479" t="s">
        <v>2551</v>
      </c>
      <c r="B72" s="239" t="str">
        <f>IF('Part III-Sources of Funds'!$I$39="","",-FV('Part III-Sources of Funds'!$K$39/12,12,B58/12,K40))</f>
        <v/>
      </c>
      <c r="C72" s="239" t="str">
        <f>IF('Part III-Sources of Funds'!$I$39="","",-FV('Part III-Sources of Funds'!$K$39/12,12,C58/12,B72))</f>
        <v/>
      </c>
      <c r="D72" s="239" t="str">
        <f>IF('Part III-Sources of Funds'!$I$39="","",-FV('Part III-Sources of Funds'!$K$39/12,12,D58/12,C72))</f>
        <v/>
      </c>
      <c r="E72" s="239" t="str">
        <f>IF('Part III-Sources of Funds'!$I$39="","",-FV('Part III-Sources of Funds'!$K$39/12,12,E58/12,D72))</f>
        <v/>
      </c>
      <c r="F72" s="239" t="str">
        <f>IF('Part III-Sources of Funds'!$I$39="","",-FV('Part III-Sources of Funds'!$K$39/12,12,F58/12,E72))</f>
        <v/>
      </c>
      <c r="G72" s="239" t="str">
        <f>IF('Part III-Sources of Funds'!$I$39="","",-FV('Part III-Sources of Funds'!$K$39/12,12,G58/12,F72))</f>
        <v/>
      </c>
      <c r="H72" s="239" t="str">
        <f>IF('Part III-Sources of Funds'!$I$39="","",-FV('Part III-Sources of Funds'!$K$39/12,12,H58/12,G72))</f>
        <v/>
      </c>
      <c r="I72" s="239" t="str">
        <f>IF('Part III-Sources of Funds'!$I$39="","",-FV('Part III-Sources of Funds'!$K$39/12,12,I58/12,H72))</f>
        <v/>
      </c>
      <c r="J72" s="239" t="str">
        <f>IF('Part III-Sources of Funds'!$I$39="","",-FV('Part III-Sources of Funds'!$K$39/12,12,J58/12,I72))</f>
        <v/>
      </c>
      <c r="K72" s="239" t="str">
        <f>IF('Part III-Sources of Funds'!$I$39="","",-FV('Part III-Sources of Funds'!$K$39/12,12,K58/12,J72))</f>
        <v/>
      </c>
      <c r="N72" s="3503"/>
      <c r="O72" s="3505"/>
    </row>
    <row r="73" spans="1:15" ht="13.35" customHeight="1">
      <c r="A73" s="479" t="s">
        <v>2552</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503"/>
      <c r="O73" s="3505"/>
    </row>
    <row r="74" spans="1:15" ht="13.35"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503"/>
      <c r="O74" s="3505"/>
    </row>
    <row r="75" spans="1:15" ht="13.35" customHeight="1">
      <c r="A75" s="479" t="s">
        <v>3777</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507"/>
      <c r="O75" s="3509"/>
    </row>
    <row r="76" spans="1:15" ht="4.3499999999999996" customHeight="1">
      <c r="B76" s="17"/>
      <c r="C76" s="17"/>
      <c r="D76" s="17"/>
      <c r="E76" s="17"/>
      <c r="F76" s="17"/>
      <c r="G76" s="17"/>
      <c r="H76" s="17"/>
      <c r="I76" s="17"/>
      <c r="J76" s="17"/>
      <c r="K76" s="17"/>
    </row>
    <row r="77" spans="1:15" ht="14.4" customHeight="1">
      <c r="A77" s="13" t="s">
        <v>2416</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230" t="s">
        <v>2555</v>
      </c>
      <c r="O77" s="3230"/>
    </row>
    <row r="78" spans="1:15" ht="13.35" customHeight="1">
      <c r="A78" s="18" t="s">
        <v>2342</v>
      </c>
      <c r="B78" s="19">
        <f t="shared" ref="B78:K78" si="33">$B$14*(1+$B$5)^(B77-1)</f>
        <v>2924344.4752854011</v>
      </c>
      <c r="C78" s="19">
        <f t="shared" si="33"/>
        <v>2982831.3647911088</v>
      </c>
      <c r="D78" s="19">
        <f t="shared" si="33"/>
        <v>3042487.9920869311</v>
      </c>
      <c r="E78" s="19">
        <f t="shared" si="33"/>
        <v>3103337.7519286694</v>
      </c>
      <c r="F78" s="19">
        <f t="shared" si="33"/>
        <v>3165404.5069672428</v>
      </c>
      <c r="G78" s="19">
        <f t="shared" si="33"/>
        <v>3228712.5971065876</v>
      </c>
      <c r="H78" s="19">
        <f t="shared" si="33"/>
        <v>3293286.8490487197</v>
      </c>
      <c r="I78" s="19">
        <f t="shared" si="33"/>
        <v>3359152.5860296935</v>
      </c>
      <c r="J78" s="19">
        <f t="shared" si="33"/>
        <v>3426335.637750288</v>
      </c>
      <c r="K78" s="20">
        <f t="shared" si="33"/>
        <v>3494862.3505052933</v>
      </c>
      <c r="N78" s="3510"/>
      <c r="O78" s="3512"/>
    </row>
    <row r="79" spans="1:15" ht="13.35" customHeight="1">
      <c r="A79" s="21" t="s">
        <v>994</v>
      </c>
      <c r="B79" s="22">
        <f t="shared" ref="B79:K79" si="34">$B$15*(1+$B$5)^(B77-1)</f>
        <v>58486.889505708023</v>
      </c>
      <c r="C79" s="22">
        <f t="shared" si="34"/>
        <v>59656.627295822182</v>
      </c>
      <c r="D79" s="22">
        <f t="shared" si="34"/>
        <v>60849.759841738625</v>
      </c>
      <c r="E79" s="22">
        <f t="shared" si="34"/>
        <v>62066.755038573385</v>
      </c>
      <c r="F79" s="22">
        <f t="shared" si="34"/>
        <v>63308.090139344858</v>
      </c>
      <c r="G79" s="22">
        <f t="shared" si="34"/>
        <v>64574.251942131756</v>
      </c>
      <c r="H79" s="22">
        <f t="shared" si="34"/>
        <v>65865.736980974398</v>
      </c>
      <c r="I79" s="22">
        <f t="shared" si="34"/>
        <v>67183.051720593867</v>
      </c>
      <c r="J79" s="22">
        <f t="shared" si="34"/>
        <v>68526.712755005763</v>
      </c>
      <c r="K79" s="23">
        <f t="shared" si="34"/>
        <v>69897.247010105872</v>
      </c>
      <c r="N79" s="3503"/>
      <c r="O79" s="3505"/>
    </row>
    <row r="80" spans="1:15" ht="13.35" customHeight="1">
      <c r="A80" s="21" t="s">
        <v>2343</v>
      </c>
      <c r="B80" s="22">
        <f t="shared" ref="B80:K80" si="35">-(B78+B79)*$B$8</f>
        <v>-208798.19553537766</v>
      </c>
      <c r="C80" s="22">
        <f t="shared" si="35"/>
        <v>-212974.15944608519</v>
      </c>
      <c r="D80" s="22">
        <f t="shared" si="35"/>
        <v>-217233.64263500692</v>
      </c>
      <c r="E80" s="22">
        <f t="shared" si="35"/>
        <v>-221578.315487707</v>
      </c>
      <c r="F80" s="22">
        <f t="shared" si="35"/>
        <v>-226009.88179746116</v>
      </c>
      <c r="G80" s="22">
        <f t="shared" si="35"/>
        <v>-230530.07943341037</v>
      </c>
      <c r="H80" s="22">
        <f t="shared" si="35"/>
        <v>-235140.68102207858</v>
      </c>
      <c r="I80" s="22">
        <f t="shared" si="35"/>
        <v>-239843.49464252015</v>
      </c>
      <c r="J80" s="22">
        <f t="shared" si="35"/>
        <v>-244640.36453537058</v>
      </c>
      <c r="K80" s="23">
        <f t="shared" si="35"/>
        <v>-249533.17182607797</v>
      </c>
      <c r="N80" s="3503"/>
      <c r="O80" s="3505"/>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503"/>
      <c r="O81" s="3505"/>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503"/>
      <c r="O82" s="3505"/>
    </row>
    <row r="83" spans="1:19" ht="13.35" customHeight="1">
      <c r="A83" s="479" t="s">
        <v>4384</v>
      </c>
      <c r="B83" s="22">
        <f t="shared" ref="B83:K83" si="36">SUM(B78:B82)</f>
        <v>2774033.1692557316</v>
      </c>
      <c r="C83" s="22">
        <f t="shared" si="36"/>
        <v>2829513.8326408458</v>
      </c>
      <c r="D83" s="22">
        <f t="shared" si="36"/>
        <v>2886104.1092936629</v>
      </c>
      <c r="E83" s="22">
        <f t="shared" si="36"/>
        <v>2943826.1914795358</v>
      </c>
      <c r="F83" s="22">
        <f t="shared" si="36"/>
        <v>3002702.7153091263</v>
      </c>
      <c r="G83" s="22">
        <f t="shared" si="36"/>
        <v>3062756.7696153088</v>
      </c>
      <c r="H83" s="22">
        <f t="shared" si="36"/>
        <v>3124011.9050076152</v>
      </c>
      <c r="I83" s="22">
        <f t="shared" si="36"/>
        <v>3186492.1431077672</v>
      </c>
      <c r="J83" s="22">
        <f t="shared" si="36"/>
        <v>3250221.9859699234</v>
      </c>
      <c r="K83" s="23">
        <f t="shared" si="36"/>
        <v>3315226.425689321</v>
      </c>
      <c r="N83" s="3503"/>
      <c r="O83" s="3505"/>
    </row>
    <row r="84" spans="1:19" ht="13.35" customHeight="1">
      <c r="A84" s="21" t="s">
        <v>597</v>
      </c>
      <c r="B84" s="22">
        <f t="shared" ref="B84:K84" si="37">$B$20*(1+$B$6)^(B77-1)</f>
        <v>-1519300.7706039103</v>
      </c>
      <c r="C84" s="22">
        <f t="shared" si="37"/>
        <v>-1564879.7937220274</v>
      </c>
      <c r="D84" s="22">
        <f t="shared" si="37"/>
        <v>-1611826.1875336885</v>
      </c>
      <c r="E84" s="22">
        <f t="shared" si="37"/>
        <v>-1660180.9731596992</v>
      </c>
      <c r="F84" s="22">
        <f t="shared" si="37"/>
        <v>-1709986.40235449</v>
      </c>
      <c r="G84" s="22">
        <f t="shared" si="37"/>
        <v>-1761285.9944251247</v>
      </c>
      <c r="H84" s="22">
        <f t="shared" si="37"/>
        <v>-1814124.5742578786</v>
      </c>
      <c r="I84" s="22">
        <f t="shared" si="37"/>
        <v>-1868548.3114856149</v>
      </c>
      <c r="J84" s="22">
        <f t="shared" si="37"/>
        <v>-1924604.7608301833</v>
      </c>
      <c r="K84" s="23">
        <f t="shared" si="37"/>
        <v>-1982342.9036550885</v>
      </c>
      <c r="N84" s="3503"/>
      <c r="O84" s="3505"/>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-138702</v>
      </c>
      <c r="C85" s="22">
        <f>IF(AND('Part VII-Pro Forma'!$G$8="Yes",'Part VII-Pro Forma'!$G$9="Yes"),"Choose One!",IF('Part VII-Pro Forma'!$G$8="Yes",ROUND((-$K$8*(1+'Part VII-Pro Forma'!$B$6)^('Part VII-Pro Forma'!C77-1)),),IF('Part VII-Pro Forma'!$G$9="Yes",ROUND((-(SUM(C78:C81)*'Part VII-Pro Forma'!$K$9)),),"Choose mgt fee")))</f>
        <v>-141476</v>
      </c>
      <c r="D85" s="22">
        <f>IF(AND('Part VII-Pro Forma'!$G$8="Yes",'Part VII-Pro Forma'!$G$9="Yes"),"Choose One!",IF('Part VII-Pro Forma'!$G$8="Yes",ROUND((-$K$8*(1+'Part VII-Pro Forma'!$B$6)^('Part VII-Pro Forma'!D77-1)),),IF('Part VII-Pro Forma'!$G$9="Yes",ROUND((-(SUM(D78:D81)*'Part VII-Pro Forma'!$K$9)),),"Choose mgt fee")))</f>
        <v>-144305</v>
      </c>
      <c r="E85" s="22">
        <f>IF(AND('Part VII-Pro Forma'!$G$8="Yes",'Part VII-Pro Forma'!$G$9="Yes"),"Choose One!",IF('Part VII-Pro Forma'!$G$8="Yes",ROUND((-$K$8*(1+'Part VII-Pro Forma'!$B$6)^('Part VII-Pro Forma'!E77-1)),),IF('Part VII-Pro Forma'!$G$9="Yes",ROUND((-(SUM(E78:E81)*'Part VII-Pro Forma'!$K$9)),),"Choose mgt fee")))</f>
        <v>-147191</v>
      </c>
      <c r="F85" s="22">
        <f>IF(AND('Part VII-Pro Forma'!$G$8="Yes",'Part VII-Pro Forma'!$G$9="Yes"),"Choose One!",IF('Part VII-Pro Forma'!$G$8="Yes",ROUND((-$K$8*(1+'Part VII-Pro Forma'!$B$6)^('Part VII-Pro Forma'!F77-1)),),IF('Part VII-Pro Forma'!$G$9="Yes",ROUND((-(SUM(F78:F81)*'Part VII-Pro Forma'!$K$9)),),"Choose mgt fee")))</f>
        <v>-150135</v>
      </c>
      <c r="G85" s="22">
        <f>IF(AND('Part VII-Pro Forma'!$G$8="Yes",'Part VII-Pro Forma'!$G$9="Yes"),"Choose One!",IF('Part VII-Pro Forma'!$G$8="Yes",ROUND((-$K$8*(1+'Part VII-Pro Forma'!$B$6)^('Part VII-Pro Forma'!G77-1)),),IF('Part VII-Pro Forma'!$G$9="Yes",ROUND((-(SUM(G78:G81)*'Part VII-Pro Forma'!$K$9)),),"Choose mgt fee")))</f>
        <v>-153138</v>
      </c>
      <c r="H85" s="22">
        <f>IF(AND('Part VII-Pro Forma'!$G$8="Yes",'Part VII-Pro Forma'!$G$9="Yes"),"Choose One!",IF('Part VII-Pro Forma'!$G$8="Yes",ROUND((-$K$8*(1+'Part VII-Pro Forma'!$B$6)^('Part VII-Pro Forma'!H77-1)),),IF('Part VII-Pro Forma'!$G$9="Yes",ROUND((-(SUM(H78:H81)*'Part VII-Pro Forma'!$K$9)),),"Choose mgt fee")))</f>
        <v>-156201</v>
      </c>
      <c r="I85" s="22">
        <f>IF(AND('Part VII-Pro Forma'!$G$8="Yes",'Part VII-Pro Forma'!$G$9="Yes"),"Choose One!",IF('Part VII-Pro Forma'!$G$8="Yes",ROUND((-$K$8*(1+'Part VII-Pro Forma'!$B$6)^('Part VII-Pro Forma'!I77-1)),),IF('Part VII-Pro Forma'!$G$9="Yes",ROUND((-(SUM(I78:I81)*'Part VII-Pro Forma'!$K$9)),),"Choose mgt fee")))</f>
        <v>-159325</v>
      </c>
      <c r="J85" s="22">
        <f>IF(AND('Part VII-Pro Forma'!$G$8="Yes",'Part VII-Pro Forma'!$G$9="Yes"),"Choose One!",IF('Part VII-Pro Forma'!$G$8="Yes",ROUND((-$K$8*(1+'Part VII-Pro Forma'!$B$6)^('Part VII-Pro Forma'!J77-1)),),IF('Part VII-Pro Forma'!$G$9="Yes",ROUND((-(SUM(J78:J81)*'Part VII-Pro Forma'!$K$9)),),"Choose mgt fee")))</f>
        <v>-162511</v>
      </c>
      <c r="K85" s="23">
        <f>IF(AND('Part VII-Pro Forma'!$G$8="Yes",'Part VII-Pro Forma'!$G$9="Yes"),"Choose One!",IF('Part VII-Pro Forma'!$G$8="Yes",ROUND((-$K$8*(1+'Part VII-Pro Forma'!$B$6)^('Part VII-Pro Forma'!K77-1)),),IF('Part VII-Pro Forma'!$G$9="Yes",ROUND((-(SUM(K78:K81)*'Part VII-Pro Forma'!$K$9)),),"Choose mgt fee")))</f>
        <v>-165761</v>
      </c>
      <c r="N85" s="3503"/>
      <c r="O85" s="3505"/>
    </row>
    <row r="86" spans="1:19" ht="13.35" customHeight="1">
      <c r="A86" s="21" t="s">
        <v>1176</v>
      </c>
      <c r="B86" s="22">
        <f t="shared" ref="B86:K86" si="38">$B$22*(1+$B$7)^(B77-1)</f>
        <v>-90305.561733470662</v>
      </c>
      <c r="C86" s="22">
        <f t="shared" si="38"/>
        <v>-93014.728585474775</v>
      </c>
      <c r="D86" s="22">
        <f t="shared" si="38"/>
        <v>-95805.170443039024</v>
      </c>
      <c r="E86" s="22">
        <f t="shared" si="38"/>
        <v>-98679.325556330194</v>
      </c>
      <c r="F86" s="22">
        <f t="shared" si="38"/>
        <v>-101639.70532302008</v>
      </c>
      <c r="G86" s="22">
        <f t="shared" si="38"/>
        <v>-104688.8964827107</v>
      </c>
      <c r="H86" s="22">
        <f t="shared" si="38"/>
        <v>-107829.56337719203</v>
      </c>
      <c r="I86" s="22">
        <f t="shared" si="38"/>
        <v>-111064.45027850778</v>
      </c>
      <c r="J86" s="22">
        <f t="shared" si="38"/>
        <v>-114396.38378686301</v>
      </c>
      <c r="K86" s="23">
        <f t="shared" si="38"/>
        <v>-117828.27530046889</v>
      </c>
      <c r="N86" s="3503"/>
      <c r="O86" s="3505"/>
      <c r="Q86" s="1091">
        <v>10</v>
      </c>
      <c r="R86" s="1289">
        <f>-SUM(B92:K92)</f>
        <v>0</v>
      </c>
      <c r="S86" s="1289">
        <f>SUM(B93:K93)+R86</f>
        <v>0</v>
      </c>
    </row>
    <row r="87" spans="1:19" ht="13.35" customHeight="1">
      <c r="A87" s="479" t="s">
        <v>4383</v>
      </c>
      <c r="B87" s="2003">
        <f>IF(B77&lt;=+'Part VI-Revenues &amp; Expenses'!$N$250,-'Part VI-Revenues &amp; Expenses'!$K$250,0)</f>
        <v>0</v>
      </c>
      <c r="C87" s="2003">
        <f>IF(C77&lt;=+'Part VI-Revenues &amp; Expenses'!$N$250,-'Part VI-Revenues &amp; Expenses'!$K$250,0)</f>
        <v>0</v>
      </c>
      <c r="D87" s="2003">
        <f>IF(D77&lt;=+'Part VI-Revenues &amp; Expenses'!$N$250,-'Part VI-Revenues &amp; Expenses'!$K$250,0)</f>
        <v>0</v>
      </c>
      <c r="E87" s="2003">
        <f>IF(E77&lt;=+'Part VI-Revenues &amp; Expenses'!$N$250,-'Part VI-Revenues &amp; Expenses'!$K$250,0)</f>
        <v>0</v>
      </c>
      <c r="F87" s="2003">
        <f>IF(F77&lt;=+'Part VI-Revenues &amp; Expenses'!$N$250,-'Part VI-Revenues &amp; Expenses'!$K$250,0)</f>
        <v>0</v>
      </c>
      <c r="G87" s="2003">
        <f>IF(G77&lt;=+'Part VI-Revenues &amp; Expenses'!$N$250,-'Part VI-Revenues &amp; Expenses'!$K$250,0)</f>
        <v>0</v>
      </c>
      <c r="H87" s="2003">
        <f>IF(H77&lt;=+'Part VI-Revenues &amp; Expenses'!$N$250,-'Part VI-Revenues &amp; Expenses'!$K$250,0)</f>
        <v>0</v>
      </c>
      <c r="I87" s="2003">
        <f>IF(I77&lt;=+'Part VI-Revenues &amp; Expenses'!$N$250,-'Part VI-Revenues &amp; Expenses'!$K$250,0)</f>
        <v>0</v>
      </c>
      <c r="J87" s="2003">
        <f>IF(J77&lt;=+'Part VI-Revenues &amp; Expenses'!$N$250,-'Part VI-Revenues &amp; Expenses'!$K$250,0)</f>
        <v>0</v>
      </c>
      <c r="K87" s="2003">
        <f>IF(K77&lt;=+'Part VI-Revenues &amp; Expenses'!$N$250,-'Part VI-Revenues &amp; Expenses'!$K$250,0)</f>
        <v>0</v>
      </c>
      <c r="N87" s="3503"/>
      <c r="O87" s="3505"/>
    </row>
    <row r="88" spans="1:19" ht="13.35" customHeight="1">
      <c r="A88" s="21" t="s">
        <v>1177</v>
      </c>
      <c r="B88" s="22">
        <f t="shared" ref="B88:K88" si="39">SUM(B83:B87)</f>
        <v>1025724.8369183507</v>
      </c>
      <c r="C88" s="22">
        <f t="shared" si="39"/>
        <v>1030143.3103333436</v>
      </c>
      <c r="D88" s="22">
        <f t="shared" si="39"/>
        <v>1034167.7513169354</v>
      </c>
      <c r="E88" s="22">
        <f t="shared" si="39"/>
        <v>1037774.8927635064</v>
      </c>
      <c r="F88" s="22">
        <f t="shared" si="39"/>
        <v>1040941.6076316162</v>
      </c>
      <c r="G88" s="22">
        <f t="shared" si="39"/>
        <v>1043643.8787074734</v>
      </c>
      <c r="H88" s="22">
        <f t="shared" si="39"/>
        <v>1045856.7673725446</v>
      </c>
      <c r="I88" s="22">
        <f t="shared" si="39"/>
        <v>1047554.3813436446</v>
      </c>
      <c r="J88" s="22">
        <f t="shared" si="39"/>
        <v>1048709.8413528772</v>
      </c>
      <c r="K88" s="1894">
        <f t="shared" si="39"/>
        <v>1049294.2467337637</v>
      </c>
      <c r="N88" s="3503"/>
      <c r="O88" s="3505"/>
    </row>
    <row r="89" spans="1:19" ht="13.35" customHeight="1">
      <c r="A89" s="21" t="str">
        <f>$A57</f>
        <v>Mortgage A</v>
      </c>
      <c r="B89" s="480">
        <f>IF('Part III-Sources of Funds'!$P$38="", 0,-'Part III-Sources of Funds'!$P$38)</f>
        <v>-727921.67425877007</v>
      </c>
      <c r="C89" s="480">
        <f>IF('Part III-Sources of Funds'!$P$38="", 0,-'Part III-Sources of Funds'!$P$38)</f>
        <v>-727921.67425877007</v>
      </c>
      <c r="D89" s="480">
        <f>IF('Part III-Sources of Funds'!$P$38="", 0,-'Part III-Sources of Funds'!$P$38)</f>
        <v>-727921.67425877007</v>
      </c>
      <c r="E89" s="480">
        <f>IF('Part III-Sources of Funds'!$P$38="", 0,-'Part III-Sources of Funds'!$P$38)</f>
        <v>-727921.67425877007</v>
      </c>
      <c r="F89" s="480">
        <f>IF('Part III-Sources of Funds'!$P$38="", 0,-'Part III-Sources of Funds'!$P$38)</f>
        <v>-727921.67425877007</v>
      </c>
      <c r="G89" s="480">
        <f>IF('Part III-Sources of Funds'!$P$38="", 0,-'Part III-Sources of Funds'!$P$38)</f>
        <v>-727921.67425877007</v>
      </c>
      <c r="H89" s="480">
        <f>IF('Part III-Sources of Funds'!$P$38="", 0,-'Part III-Sources of Funds'!$P$38)</f>
        <v>-727921.67425877007</v>
      </c>
      <c r="I89" s="480">
        <f>IF('Part III-Sources of Funds'!$P$38="", 0,-'Part III-Sources of Funds'!$P$38)</f>
        <v>-727921.67425877007</v>
      </c>
      <c r="J89" s="480">
        <f>IF('Part III-Sources of Funds'!$P$38="", 0,-'Part III-Sources of Funds'!$P$38)</f>
        <v>-727921.67425877007</v>
      </c>
      <c r="K89" s="480">
        <f>IF('Part III-Sources of Funds'!$P$38="", 0,-'Part III-Sources of Funds'!$P$38)</f>
        <v>-727921.67425877007</v>
      </c>
      <c r="N89" s="3503"/>
      <c r="O89" s="3505"/>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503"/>
      <c r="O90" s="3505"/>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503"/>
      <c r="O91" s="3505"/>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503"/>
      <c r="O92" s="3505"/>
    </row>
    <row r="93" spans="1:19" ht="13.35" customHeight="1">
      <c r="A93" s="21" t="s">
        <v>745</v>
      </c>
      <c r="B93" s="179"/>
      <c r="C93" s="179"/>
      <c r="D93" s="179"/>
      <c r="E93" s="179"/>
      <c r="F93" s="179"/>
      <c r="G93" s="179"/>
      <c r="H93" s="179"/>
      <c r="I93" s="179"/>
      <c r="J93" s="179"/>
      <c r="K93" s="179"/>
      <c r="N93" s="3503"/>
      <c r="O93" s="3505"/>
    </row>
    <row r="94" spans="1:19" ht="13.35" customHeight="1">
      <c r="A94" s="479" t="s">
        <v>1141</v>
      </c>
      <c r="B94" s="240">
        <f>+K62</f>
        <v>-5000</v>
      </c>
      <c r="C94" s="240">
        <f t="shared" ref="C94:K94" si="40">+B94</f>
        <v>-5000</v>
      </c>
      <c r="D94" s="240">
        <f t="shared" si="40"/>
        <v>-5000</v>
      </c>
      <c r="E94" s="240">
        <f t="shared" si="40"/>
        <v>-5000</v>
      </c>
      <c r="F94" s="240">
        <f t="shared" si="40"/>
        <v>-5000</v>
      </c>
      <c r="G94" s="240">
        <f t="shared" si="40"/>
        <v>-5000</v>
      </c>
      <c r="H94" s="240">
        <f t="shared" si="40"/>
        <v>-5000</v>
      </c>
      <c r="I94" s="240">
        <f t="shared" si="40"/>
        <v>-5000</v>
      </c>
      <c r="J94" s="240">
        <f t="shared" si="40"/>
        <v>-5000</v>
      </c>
      <c r="K94" s="240">
        <f t="shared" si="40"/>
        <v>-5000</v>
      </c>
      <c r="N94" s="3503"/>
      <c r="O94" s="3505"/>
    </row>
    <row r="95" spans="1:19" ht="13.35" customHeight="1">
      <c r="A95" s="21" t="s">
        <v>1142</v>
      </c>
      <c r="B95" s="22">
        <f t="shared" ref="B95:K95" si="41">SUM(B88:B94)</f>
        <v>292803.16265958059</v>
      </c>
      <c r="C95" s="22">
        <f t="shared" si="41"/>
        <v>297221.6360745735</v>
      </c>
      <c r="D95" s="22">
        <f t="shared" si="41"/>
        <v>301246.07705816533</v>
      </c>
      <c r="E95" s="22">
        <f t="shared" si="41"/>
        <v>304853.21850473632</v>
      </c>
      <c r="F95" s="22">
        <f t="shared" si="41"/>
        <v>308019.93337284611</v>
      </c>
      <c r="G95" s="22">
        <f t="shared" si="41"/>
        <v>310722.20444870333</v>
      </c>
      <c r="H95" s="22">
        <f t="shared" si="41"/>
        <v>312935.09311377455</v>
      </c>
      <c r="I95" s="22">
        <f t="shared" si="41"/>
        <v>314632.70708487451</v>
      </c>
      <c r="J95" s="22">
        <f t="shared" si="41"/>
        <v>315788.16709410714</v>
      </c>
      <c r="K95" s="23">
        <f t="shared" si="41"/>
        <v>316372.57247499365</v>
      </c>
      <c r="N95" s="3503"/>
      <c r="O95" s="3505"/>
    </row>
    <row r="96" spans="1:19" ht="13.35" customHeight="1">
      <c r="A96" s="21" t="str">
        <f>$A65</f>
        <v>DCR Mortgage A</v>
      </c>
      <c r="B96" s="24">
        <f t="shared" ref="B96:K96" si="42">IF(B89=0,"",-B88/B89)</f>
        <v>1.4091142951098803</v>
      </c>
      <c r="C96" s="24">
        <f t="shared" si="42"/>
        <v>1.4151842797953784</v>
      </c>
      <c r="D96" s="24">
        <f t="shared" si="42"/>
        <v>1.4207129529011626</v>
      </c>
      <c r="E96" s="24">
        <f t="shared" si="42"/>
        <v>1.4256683506783261</v>
      </c>
      <c r="F96" s="24">
        <f t="shared" si="42"/>
        <v>1.430018701794515</v>
      </c>
      <c r="G96" s="24">
        <f t="shared" si="42"/>
        <v>1.4337310120215856</v>
      </c>
      <c r="H96" s="24">
        <f t="shared" si="42"/>
        <v>1.4367710213293516</v>
      </c>
      <c r="I96" s="24">
        <f t="shared" si="42"/>
        <v>1.4391031595677528</v>
      </c>
      <c r="J96" s="24">
        <f t="shared" si="42"/>
        <v>1.4406905006926194</v>
      </c>
      <c r="K96" s="25">
        <f t="shared" si="42"/>
        <v>1.4414933417146036</v>
      </c>
      <c r="N96" s="3503"/>
      <c r="O96" s="3505"/>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503"/>
      <c r="O97" s="3505"/>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503"/>
      <c r="O98" s="3505"/>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503"/>
      <c r="O99" s="3505"/>
    </row>
    <row r="100" spans="1:15" ht="13.35" customHeight="1">
      <c r="A100" s="479" t="s">
        <v>3536</v>
      </c>
      <c r="B100" s="24">
        <f t="shared" ref="B100:K100" si="46">IF(AND(B89=0,B90=0,B91=0,B92=0),"",-B88/(B89+B90+B91+B92))</f>
        <v>1.4091142951098803</v>
      </c>
      <c r="C100" s="24">
        <f t="shared" si="46"/>
        <v>1.4151842797953784</v>
      </c>
      <c r="D100" s="24">
        <f t="shared" si="46"/>
        <v>1.4207129529011626</v>
      </c>
      <c r="E100" s="24">
        <f t="shared" si="46"/>
        <v>1.4256683506783261</v>
      </c>
      <c r="F100" s="24">
        <f t="shared" si="46"/>
        <v>1.430018701794515</v>
      </c>
      <c r="G100" s="24">
        <f t="shared" si="46"/>
        <v>1.4337310120215856</v>
      </c>
      <c r="H100" s="24">
        <f t="shared" si="46"/>
        <v>1.4367710213293516</v>
      </c>
      <c r="I100" s="24">
        <f t="shared" si="46"/>
        <v>1.4391031595677528</v>
      </c>
      <c r="J100" s="24">
        <f t="shared" si="46"/>
        <v>1.4406905006926194</v>
      </c>
      <c r="K100" s="25">
        <f t="shared" si="46"/>
        <v>1.4414933417146036</v>
      </c>
      <c r="N100" s="3503"/>
      <c r="O100" s="3505"/>
    </row>
    <row r="101" spans="1:15" ht="13.35" customHeight="1">
      <c r="A101" s="21" t="s">
        <v>752</v>
      </c>
      <c r="B101" s="294">
        <f>IF(OR(B85="Choose mgt fee",B85="Choose One!"),"",(B78+B79+B80+B81+B82) / -(B84+B85+B86))</f>
        <v>1.5866956176700362</v>
      </c>
      <c r="C101" s="294">
        <f t="shared" ref="C101:K101" si="47">IF(OR(C85="Choose mgt fee",C85="Choose One!"),"",(C78+C79+C80+C81+C82) / -(C84+C85+C86))</f>
        <v>1.5725020486677164</v>
      </c>
      <c r="D101" s="294">
        <f t="shared" si="47"/>
        <v>1.5584251029267451</v>
      </c>
      <c r="E101" s="294">
        <f t="shared" si="47"/>
        <v>1.5444632541960341</v>
      </c>
      <c r="F101" s="294">
        <f t="shared" si="47"/>
        <v>1.5306158856742584</v>
      </c>
      <c r="G101" s="294">
        <f t="shared" si="47"/>
        <v>1.5168823810729222</v>
      </c>
      <c r="H101" s="294">
        <f t="shared" si="47"/>
        <v>1.5032621234248777</v>
      </c>
      <c r="I101" s="294">
        <f t="shared" si="47"/>
        <v>1.4897544940623506</v>
      </c>
      <c r="J101" s="294">
        <f t="shared" si="47"/>
        <v>1.4763588717496268</v>
      </c>
      <c r="K101" s="295">
        <f t="shared" si="47"/>
        <v>1.4630739862732423</v>
      </c>
      <c r="N101" s="3503"/>
      <c r="O101" s="3505"/>
    </row>
    <row r="102" spans="1:15" ht="13.35" customHeight="1">
      <c r="A102" s="479" t="s">
        <v>2550</v>
      </c>
      <c r="B102" s="238">
        <f>IF('Part III-Sources of Funds'!$I$38="","",-FV('Part III-Sources of Funds'!$K$38/12,12,B89/12,K71))</f>
        <v>7793470.5068394747</v>
      </c>
      <c r="C102" s="238">
        <f>IF('Part III-Sources of Funds'!$I$38="","",-FV('Part III-Sources of Funds'!$K$38/12,12,C89/12,B102))</f>
        <v>7369572.2166365078</v>
      </c>
      <c r="D102" s="238">
        <f>IF('Part III-Sources of Funds'!$I$38="","",-FV('Part III-Sources of Funds'!$K$38/12,12,D89/12,C102))</f>
        <v>6928403.6560496101</v>
      </c>
      <c r="E102" s="238">
        <f>IF('Part III-Sources of Funds'!$I$38="","",-FV('Part III-Sources of Funds'!$K$38/12,12,E89/12,D102))</f>
        <v>6469261.2076166989</v>
      </c>
      <c r="F102" s="238">
        <f>IF('Part III-Sources of Funds'!$I$38="","",-FV('Part III-Sources of Funds'!$K$38/12,12,F89/12,E102))</f>
        <v>5991412.5874146605</v>
      </c>
      <c r="G102" s="238">
        <f>IF('Part III-Sources of Funds'!$I$38="","",-FV('Part III-Sources of Funds'!$K$38/12,12,G89/12,F102))</f>
        <v>5494095.6771434983</v>
      </c>
      <c r="H102" s="238">
        <f>IF('Part III-Sources of Funds'!$I$38="","",-FV('Part III-Sources of Funds'!$K$38/12,12,H89/12,G102))</f>
        <v>4976517.3086277861</v>
      </c>
      <c r="I102" s="238">
        <f>IF('Part III-Sources of Funds'!$I$38="","",-FV('Part III-Sources of Funds'!$K$38/12,12,I89/12,H102))</f>
        <v>4437851.9987968355</v>
      </c>
      <c r="J102" s="238">
        <f>IF('Part III-Sources of Funds'!$I$38="","",-FV('Part III-Sources of Funds'!$K$38/12,12,J89/12,I102))</f>
        <v>3877240.6331260046</v>
      </c>
      <c r="K102" s="238">
        <f>IF('Part III-Sources of Funds'!$I$38="","",-FV('Part III-Sources of Funds'!$K$38/12,12,K89/12,J102))</f>
        <v>3293789.095439373</v>
      </c>
      <c r="N102" s="3503"/>
      <c r="O102" s="3505"/>
    </row>
    <row r="103" spans="1:15" ht="13.35" customHeight="1">
      <c r="A103" s="479" t="s">
        <v>2551</v>
      </c>
      <c r="B103" s="239" t="str">
        <f>IF('Part III-Sources of Funds'!$I$39="","",-FV('Part III-Sources of Funds'!$K$39/12,12,B90/12,K72))</f>
        <v/>
      </c>
      <c r="C103" s="239" t="str">
        <f>IF('Part III-Sources of Funds'!$I$39="","",-FV('Part III-Sources of Funds'!$K$39/12,12,C90/12,B103))</f>
        <v/>
      </c>
      <c r="D103" s="239" t="str">
        <f>IF('Part III-Sources of Funds'!$I$39="","",-FV('Part III-Sources of Funds'!$K$39/12,12,D90/12,C103))</f>
        <v/>
      </c>
      <c r="E103" s="239" t="str">
        <f>IF('Part III-Sources of Funds'!$I$39="","",-FV('Part III-Sources of Funds'!$K$39/12,12,E90/12,D103))</f>
        <v/>
      </c>
      <c r="F103" s="239" t="str">
        <f>IF('Part III-Sources of Funds'!$I$39="","",-FV('Part III-Sources of Funds'!$K$39/12,12,F90/12,E103))</f>
        <v/>
      </c>
      <c r="G103" s="239" t="str">
        <f>IF('Part III-Sources of Funds'!$I$39="","",-FV('Part III-Sources of Funds'!$K$39/12,12,G90/12,F103))</f>
        <v/>
      </c>
      <c r="H103" s="239" t="str">
        <f>IF('Part III-Sources of Funds'!$I$39="","",-FV('Part III-Sources of Funds'!$K$39/12,12,H90/12,G103))</f>
        <v/>
      </c>
      <c r="I103" s="239" t="str">
        <f>IF('Part III-Sources of Funds'!$I$39="","",-FV('Part III-Sources of Funds'!$K$39/12,12,I90/12,H103))</f>
        <v/>
      </c>
      <c r="J103" s="239" t="str">
        <f>IF('Part III-Sources of Funds'!$I$39="","",-FV('Part III-Sources of Funds'!$K$39/12,12,J90/12,I103))</f>
        <v/>
      </c>
      <c r="K103" s="239" t="str">
        <f>IF('Part III-Sources of Funds'!$I$39="","",-FV('Part III-Sources of Funds'!$K$39/12,12,K90/12,J103))</f>
        <v/>
      </c>
      <c r="N103" s="3503"/>
      <c r="O103" s="3505"/>
    </row>
    <row r="104" spans="1:15" ht="13.35" customHeight="1">
      <c r="A104" s="479" t="s">
        <v>2552</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503"/>
      <c r="O104" s="3505"/>
    </row>
    <row r="105" spans="1:15" ht="13.35"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507"/>
      <c r="O105" s="3509"/>
    </row>
    <row r="106" spans="1:15" ht="4.3499999999999996" customHeight="1">
      <c r="B106" s="17"/>
      <c r="C106" s="17"/>
      <c r="D106" s="17"/>
      <c r="E106" s="17"/>
      <c r="F106" s="17"/>
      <c r="G106" s="17"/>
      <c r="H106" s="17"/>
      <c r="I106" s="17"/>
      <c r="J106" s="17"/>
      <c r="K106" s="17"/>
    </row>
    <row r="107" spans="1:15" ht="14.4" customHeight="1">
      <c r="A107" s="13" t="s">
        <v>2416</v>
      </c>
      <c r="B107" s="15">
        <f>K77+1</f>
        <v>31</v>
      </c>
      <c r="C107" s="15">
        <f>B107+1</f>
        <v>32</v>
      </c>
      <c r="D107" s="15">
        <f>C107+1</f>
        <v>33</v>
      </c>
      <c r="E107" s="15">
        <f>D107+1</f>
        <v>34</v>
      </c>
      <c r="F107" s="15">
        <f>E107+1</f>
        <v>35</v>
      </c>
      <c r="G107" s="17"/>
      <c r="H107" s="17"/>
      <c r="I107" s="17"/>
      <c r="J107" s="17"/>
      <c r="K107" s="17"/>
      <c r="N107" s="3230" t="s">
        <v>3527</v>
      </c>
      <c r="O107" s="3230"/>
    </row>
    <row r="108" spans="1:15" ht="13.35" customHeight="1">
      <c r="A108" s="18" t="s">
        <v>2342</v>
      </c>
      <c r="B108" s="19">
        <f>$B$14*(1+$B$5)^(B107-1)</f>
        <v>3564759.5975153996</v>
      </c>
      <c r="C108" s="19">
        <f>$B$14*(1+$B$5)^(C107-1)</f>
        <v>3636054.7894657068</v>
      </c>
      <c r="D108" s="19">
        <f>$B$14*(1+$B$5)^(D107-1)</f>
        <v>3708775.8852550215</v>
      </c>
      <c r="E108" s="19">
        <f>$B$14*(1+$B$5)^(E107-1)</f>
        <v>3782951.4029601226</v>
      </c>
      <c r="F108" s="708">
        <f>$B$14*(1+$B$5)^(F107-1)</f>
        <v>3858610.4310193243</v>
      </c>
      <c r="G108" s="17"/>
      <c r="H108" s="17"/>
      <c r="I108" s="17"/>
      <c r="J108" s="17"/>
      <c r="K108" s="17"/>
      <c r="N108" s="3510"/>
      <c r="O108" s="3512"/>
    </row>
    <row r="109" spans="1:15" ht="13.35" customHeight="1">
      <c r="A109" s="21" t="s">
        <v>994</v>
      </c>
      <c r="B109" s="22">
        <f>$B$15*(1+$B$5)^(B107-1)</f>
        <v>71295.191950307999</v>
      </c>
      <c r="C109" s="22">
        <f>$B$15*(1+$B$5)^(C107-1)</f>
        <v>72721.095789314131</v>
      </c>
      <c r="D109" s="22">
        <f>$B$15*(1+$B$5)^(D107-1)</f>
        <v>74175.517705100428</v>
      </c>
      <c r="E109" s="22">
        <f>$B$15*(1+$B$5)^(E107-1)</f>
        <v>75659.02805920245</v>
      </c>
      <c r="F109" s="23">
        <f>$B$15*(1+$B$5)^(F107-1)</f>
        <v>77172.208620386489</v>
      </c>
      <c r="G109" s="17"/>
      <c r="H109" s="17"/>
      <c r="I109" s="17"/>
      <c r="J109" s="17"/>
      <c r="K109" s="17"/>
      <c r="N109" s="3503"/>
      <c r="O109" s="3505"/>
    </row>
    <row r="110" spans="1:15" ht="13.35" customHeight="1">
      <c r="A110" s="21" t="s">
        <v>2343</v>
      </c>
      <c r="B110" s="22">
        <f>-(B108+B109)*$B$8</f>
        <v>-254523.83526259958</v>
      </c>
      <c r="C110" s="22">
        <f>-(C108+C109)*$B$8</f>
        <v>-259614.31196785151</v>
      </c>
      <c r="D110" s="22">
        <f>-(D108+D109)*$B$8</f>
        <v>-264806.59820720856</v>
      </c>
      <c r="E110" s="22">
        <f>-(E108+E109)*$B$8</f>
        <v>-270102.73017135274</v>
      </c>
      <c r="F110" s="23">
        <f>-(F108+F109)*$B$8</f>
        <v>-275504.78477477981</v>
      </c>
      <c r="G110" s="17"/>
      <c r="H110" s="17"/>
      <c r="I110" s="17"/>
      <c r="J110" s="17"/>
      <c r="K110" s="17"/>
      <c r="N110" s="3503"/>
      <c r="O110" s="3505"/>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503"/>
      <c r="O111" s="3505"/>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503"/>
      <c r="O112" s="3505"/>
    </row>
    <row r="113" spans="1:19" ht="13.35" customHeight="1">
      <c r="A113" s="479" t="s">
        <v>4384</v>
      </c>
      <c r="B113" s="22">
        <f>SUM(B108:B112)</f>
        <v>3381530.9542031083</v>
      </c>
      <c r="C113" s="22">
        <f>SUM(C108:C112)</f>
        <v>3449161.5732871694</v>
      </c>
      <c r="D113" s="22">
        <f>SUM(D108:D112)</f>
        <v>3518144.8047529133</v>
      </c>
      <c r="E113" s="22">
        <f>SUM(E108:E112)</f>
        <v>3588507.7008479722</v>
      </c>
      <c r="F113" s="23">
        <f>SUM(F108:F112)</f>
        <v>3660277.8548649312</v>
      </c>
      <c r="G113" s="17"/>
      <c r="H113" s="17"/>
      <c r="I113" s="17"/>
      <c r="J113" s="17"/>
      <c r="K113" s="17"/>
      <c r="N113" s="3503"/>
      <c r="O113" s="3505"/>
    </row>
    <row r="114" spans="1:19" ht="13.35" customHeight="1">
      <c r="A114" s="21" t="s">
        <v>597</v>
      </c>
      <c r="B114" s="22">
        <f>$B$20*(1+$B$6)^(B107-1)</f>
        <v>-2041813.1907647413</v>
      </c>
      <c r="C114" s="22">
        <f>$B$20*(1+$B$6)^(C107-1)</f>
        <v>-2103067.5864876839</v>
      </c>
      <c r="D114" s="22">
        <f>$B$20*(1+$B$6)^(D107-1)</f>
        <v>-2166159.6140823141</v>
      </c>
      <c r="E114" s="22">
        <f>$B$20*(1+$B$6)^(E107-1)</f>
        <v>-2231144.4025047836</v>
      </c>
      <c r="F114" s="23">
        <f>$B$20*(1+$B$6)^(F107-1)</f>
        <v>-2298078.7345799264</v>
      </c>
      <c r="G114" s="17"/>
      <c r="H114" s="17"/>
      <c r="I114" s="17"/>
      <c r="J114" s="17"/>
      <c r="K114" s="17"/>
      <c r="N114" s="3503"/>
      <c r="O114" s="3505"/>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-169077</v>
      </c>
      <c r="C115" s="22">
        <f>IF(AND('Part VII-Pro Forma'!$G$8="Yes",'Part VII-Pro Forma'!$G$9="Yes"),"Choose One!",IF('Part VII-Pro Forma'!$G$8="Yes",ROUND((-$K$8*(1+'Part VII-Pro Forma'!$B$6)^('Part VII-Pro Forma'!C107-1)),),IF('Part VII-Pro Forma'!$G$9="Yes",ROUND((-(SUM(C108:C111)*'Part VII-Pro Forma'!$K$9)),),"Choose mgt fee")))</f>
        <v>-172458</v>
      </c>
      <c r="D115" s="22">
        <f>IF(AND('Part VII-Pro Forma'!$G$8="Yes",'Part VII-Pro Forma'!$G$9="Yes"),"Choose One!",IF('Part VII-Pro Forma'!$G$8="Yes",ROUND((-$K$8*(1+'Part VII-Pro Forma'!$B$6)^('Part VII-Pro Forma'!D107-1)),),IF('Part VII-Pro Forma'!$G$9="Yes",ROUND((-(SUM(D108:D111)*'Part VII-Pro Forma'!$K$9)),),"Choose mgt fee")))</f>
        <v>-175907</v>
      </c>
      <c r="E115" s="22">
        <f>IF(AND('Part VII-Pro Forma'!$G$8="Yes",'Part VII-Pro Forma'!$G$9="Yes"),"Choose One!",IF('Part VII-Pro Forma'!$G$8="Yes",ROUND((-$K$8*(1+'Part VII-Pro Forma'!$B$6)^('Part VII-Pro Forma'!E107-1)),),IF('Part VII-Pro Forma'!$G$9="Yes",ROUND((-(SUM(E108:E111)*'Part VII-Pro Forma'!$K$9)),),"Choose mgt fee")))</f>
        <v>-179425</v>
      </c>
      <c r="F115" s="23">
        <f>IF(AND('Part VII-Pro Forma'!$G$8="Yes",'Part VII-Pro Forma'!$G$9="Yes"),"Choose One!",IF('Part VII-Pro Forma'!$G$8="Yes",ROUND((-$K$8*(1+'Part VII-Pro Forma'!$B$6)^('Part VII-Pro Forma'!F107-1)),),IF('Part VII-Pro Forma'!$G$9="Yes",ROUND((-(SUM(F108:F111)*'Part VII-Pro Forma'!$K$9)),),"Choose mgt fee")))</f>
        <v>-183014</v>
      </c>
      <c r="G115" s="17"/>
      <c r="H115" s="17"/>
      <c r="I115" s="17"/>
      <c r="J115" s="17"/>
      <c r="K115" s="17"/>
      <c r="N115" s="3503"/>
      <c r="O115" s="3505"/>
    </row>
    <row r="116" spans="1:19" ht="13.35" customHeight="1">
      <c r="A116" s="21" t="s">
        <v>1176</v>
      </c>
      <c r="B116" s="22">
        <f>$B$22*(1+$B$7)^(B107-1)</f>
        <v>-121363.12355948295</v>
      </c>
      <c r="C116" s="22">
        <f>$B$22*(1+$B$7)^(C107-1)</f>
        <v>-125004.01726626746</v>
      </c>
      <c r="D116" s="22">
        <f>$B$22*(1+$B$7)^(D107-1)</f>
        <v>-128754.13778425546</v>
      </c>
      <c r="E116" s="22">
        <f>$B$22*(1+$B$7)^(E107-1)</f>
        <v>-132616.76191778312</v>
      </c>
      <c r="F116" s="23">
        <f>$B$22*(1+$B$7)^(F107-1)</f>
        <v>-136595.26477531661</v>
      </c>
      <c r="G116" s="17"/>
      <c r="H116" s="17"/>
      <c r="I116" s="17"/>
      <c r="J116" s="17"/>
      <c r="K116" s="17"/>
      <c r="N116" s="3503"/>
      <c r="O116" s="3505"/>
      <c r="Q116" s="1091">
        <v>10</v>
      </c>
      <c r="R116" s="1289">
        <f>-SUM(B122:K122)</f>
        <v>0</v>
      </c>
      <c r="S116" s="1289">
        <f>SUM(B123:K123)+R116</f>
        <v>0</v>
      </c>
    </row>
    <row r="117" spans="1:19" ht="13.35" customHeight="1">
      <c r="A117" s="479" t="s">
        <v>4383</v>
      </c>
      <c r="B117" s="2003">
        <f>IF(B107&lt;=+'Part VI-Revenues &amp; Expenses'!$N$250,-'Part VI-Revenues &amp; Expenses'!$K$250,0)</f>
        <v>0</v>
      </c>
      <c r="C117" s="2003">
        <f>IF(C107&lt;=+'Part VI-Revenues &amp; Expenses'!$N$250,-'Part VI-Revenues &amp; Expenses'!$K$250,0)</f>
        <v>0</v>
      </c>
      <c r="D117" s="2003">
        <f>IF(D107&lt;=+'Part VI-Revenues &amp; Expenses'!$N$250,-'Part VI-Revenues &amp; Expenses'!$K$250,0)</f>
        <v>0</v>
      </c>
      <c r="E117" s="2003">
        <f>IF(E107&lt;=+'Part VI-Revenues &amp; Expenses'!$N$250,-'Part VI-Revenues &amp; Expenses'!$K$250,0)</f>
        <v>0</v>
      </c>
      <c r="F117" s="2003">
        <f>IF(F107&lt;=+'Part VI-Revenues &amp; Expenses'!$N$250,-'Part VI-Revenues &amp; Expenses'!$K$250,0)</f>
        <v>0</v>
      </c>
      <c r="G117" s="17"/>
      <c r="H117" s="17"/>
      <c r="I117" s="17"/>
      <c r="J117" s="17"/>
      <c r="K117" s="17"/>
      <c r="N117" s="3503"/>
      <c r="O117" s="3505"/>
    </row>
    <row r="118" spans="1:19" ht="13.35" customHeight="1">
      <c r="A118" s="21" t="s">
        <v>1177</v>
      </c>
      <c r="B118" s="22">
        <f>SUM(B113:B117)</f>
        <v>1049277.6398788842</v>
      </c>
      <c r="C118" s="22">
        <f>SUM(C113:C117)</f>
        <v>1048631.9695332181</v>
      </c>
      <c r="D118" s="22">
        <f>SUM(D113:D117)</f>
        <v>1047324.0528863438</v>
      </c>
      <c r="E118" s="22">
        <f>SUM(E113:E117)</f>
        <v>1045321.5364254054</v>
      </c>
      <c r="F118" s="1894">
        <f>SUM(F113:F117)</f>
        <v>1042589.8555096883</v>
      </c>
      <c r="G118" s="17"/>
      <c r="H118" s="17"/>
      <c r="I118" s="17"/>
      <c r="J118" s="17"/>
      <c r="K118" s="17"/>
      <c r="N118" s="3503"/>
      <c r="O118" s="3505"/>
    </row>
    <row r="119" spans="1:19" ht="13.35" customHeight="1">
      <c r="A119" s="21" t="str">
        <f>$A89</f>
        <v>Mortgage A</v>
      </c>
      <c r="B119" s="480">
        <f>IF('Part III-Sources of Funds'!$P$38="", 0,-'Part III-Sources of Funds'!$P$38)</f>
        <v>-727921.67425877007</v>
      </c>
      <c r="C119" s="480">
        <f>IF('Part III-Sources of Funds'!$P$38="", 0,-'Part III-Sources of Funds'!$P$38)</f>
        <v>-727921.67425877007</v>
      </c>
      <c r="D119" s="480">
        <f>IF('Part III-Sources of Funds'!$P$38="", 0,-'Part III-Sources of Funds'!$P$38)</f>
        <v>-727921.67425877007</v>
      </c>
      <c r="E119" s="480">
        <f>IF('Part III-Sources of Funds'!$P$38="", 0,-'Part III-Sources of Funds'!$P$38)</f>
        <v>-727921.67425877007</v>
      </c>
      <c r="F119" s="480">
        <f>IF('Part III-Sources of Funds'!$P$38="", 0,-'Part III-Sources of Funds'!$P$38)</f>
        <v>-727921.67425877007</v>
      </c>
      <c r="G119" s="17"/>
      <c r="H119" s="17"/>
      <c r="I119" s="17"/>
      <c r="J119" s="17"/>
      <c r="K119" s="17"/>
      <c r="N119" s="3503"/>
      <c r="O119" s="3505"/>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503"/>
      <c r="O120" s="3505"/>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503"/>
      <c r="O121" s="3505"/>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503"/>
      <c r="O122" s="3505"/>
    </row>
    <row r="123" spans="1:19" ht="13.35" customHeight="1">
      <c r="A123" s="21" t="s">
        <v>745</v>
      </c>
      <c r="B123" s="179"/>
      <c r="C123" s="179"/>
      <c r="D123" s="179"/>
      <c r="E123" s="179"/>
      <c r="F123" s="179"/>
      <c r="G123" s="17"/>
      <c r="H123" s="17"/>
      <c r="I123" s="17"/>
      <c r="J123" s="17"/>
      <c r="K123" s="17"/>
      <c r="N123" s="3503"/>
      <c r="O123" s="3505"/>
    </row>
    <row r="124" spans="1:19" ht="13.35" customHeight="1">
      <c r="A124" s="21" t="s">
        <v>1141</v>
      </c>
      <c r="B124" s="240">
        <f>+K94</f>
        <v>-5000</v>
      </c>
      <c r="C124" s="240">
        <f>+B124</f>
        <v>-5000</v>
      </c>
      <c r="D124" s="240">
        <f>+C124</f>
        <v>-5000</v>
      </c>
      <c r="E124" s="240">
        <f>+D124</f>
        <v>-5000</v>
      </c>
      <c r="F124" s="240">
        <f>+E124</f>
        <v>-5000</v>
      </c>
      <c r="G124" s="17"/>
      <c r="H124" s="17"/>
      <c r="I124" s="17"/>
      <c r="J124" s="17"/>
      <c r="K124" s="17"/>
      <c r="N124" s="3503"/>
      <c r="O124" s="3505"/>
    </row>
    <row r="125" spans="1:19" ht="13.35" customHeight="1">
      <c r="A125" s="21" t="s">
        <v>1142</v>
      </c>
      <c r="B125" s="22">
        <f>SUM(B118:B124)</f>
        <v>316355.96562011412</v>
      </c>
      <c r="C125" s="22">
        <f>SUM(C118:C124)</f>
        <v>315710.295274448</v>
      </c>
      <c r="D125" s="22">
        <f>SUM(D118:D124)</f>
        <v>314402.37862757372</v>
      </c>
      <c r="E125" s="22">
        <f>SUM(E118:E124)</f>
        <v>312399.86216663534</v>
      </c>
      <c r="F125" s="23">
        <f>SUM(F118:F124)</f>
        <v>309668.18125091819</v>
      </c>
      <c r="G125" s="17"/>
      <c r="H125" s="17"/>
      <c r="I125" s="17"/>
      <c r="J125" s="17"/>
      <c r="K125" s="17"/>
      <c r="N125" s="3503"/>
      <c r="O125" s="3505"/>
    </row>
    <row r="126" spans="1:19" ht="13.35" customHeight="1">
      <c r="A126" s="21" t="str">
        <f>$A96</f>
        <v>DCR Mortgage A</v>
      </c>
      <c r="B126" s="24">
        <f>IF(B119=0,"",-B118/B119)</f>
        <v>1.4414705276461857</v>
      </c>
      <c r="C126" s="24">
        <f>IF(C119=0,"",-C118/C119)</f>
        <v>1.4405835223975461</v>
      </c>
      <c r="D126" s="24">
        <f>IF(D119=0,"",-D118/D119)</f>
        <v>1.4387867402805605</v>
      </c>
      <c r="E126" s="24">
        <f>IF(E119=0,"",-E118/E119)</f>
        <v>1.4360357348746871</v>
      </c>
      <c r="F126" s="25">
        <f>IF(F119=0,"",-F118/F119)</f>
        <v>1.4322830221690257</v>
      </c>
      <c r="G126" s="17"/>
      <c r="H126" s="17"/>
      <c r="I126" s="17"/>
      <c r="J126" s="17"/>
      <c r="K126" s="17"/>
      <c r="N126" s="3503"/>
      <c r="O126" s="3505"/>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03"/>
      <c r="O127" s="3505"/>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03"/>
      <c r="O128" s="3505"/>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03"/>
      <c r="O129" s="3505"/>
    </row>
    <row r="130" spans="1:19" ht="13.35" customHeight="1">
      <c r="A130" s="479" t="s">
        <v>3536</v>
      </c>
      <c r="B130" s="24">
        <f>IF(AND(B119=0,B120=0,B121=0,B122=0),"",-B118/(B119+B120+B121+B122))</f>
        <v>1.4414705276461857</v>
      </c>
      <c r="C130" s="24">
        <f>IF(AND(C119=0,C120=0,C121=0,C122=0),"",-C118/(C119+C120+C121+C122))</f>
        <v>1.4405835223975461</v>
      </c>
      <c r="D130" s="24">
        <f>IF(AND(D119=0,D120=0,D121=0,D122=0),"",-D118/(D119+D120+D121+D122))</f>
        <v>1.4387867402805605</v>
      </c>
      <c r="E130" s="24">
        <f>IF(AND(E119=0,E120=0,E121=0,E122=0),"",-E118/(E119+E120+E121+E122))</f>
        <v>1.4360357348746871</v>
      </c>
      <c r="F130" s="25">
        <f>IF(AND(F119=0,F120=0,F121=0,F122=0),"",-F118/(F119+F120+F121+F122))</f>
        <v>1.4322830221690257</v>
      </c>
      <c r="G130" s="17"/>
      <c r="H130" s="17"/>
      <c r="I130" s="17"/>
      <c r="J130" s="17"/>
      <c r="K130" s="17"/>
      <c r="N130" s="3503"/>
      <c r="O130" s="3505"/>
    </row>
    <row r="131" spans="1:19" ht="13.35" customHeight="1">
      <c r="A131" s="21" t="s">
        <v>752</v>
      </c>
      <c r="B131" s="294">
        <f>IF(OR(B115="Choose mgt fee",B115="Choose One!"),"",(B108+B109+B110+B111+B112) / -(B114+B115+B116))</f>
        <v>1.4498986595643086</v>
      </c>
      <c r="C131" s="294">
        <f>IF(OR(C115="Choose mgt fee",C115="Choose One!"),"",(C108+C109+C110+C111+C112) / -(C114+C115+C116))</f>
        <v>1.4368335920095991</v>
      </c>
      <c r="D131" s="294">
        <f>IF(OR(D115="Choose mgt fee",D115="Choose One!"),"",(D108+D109+D110+D111+D112) / -(D114+D115+D116))</f>
        <v>1.4238769858538494</v>
      </c>
      <c r="E131" s="294">
        <f>IF(OR(E115="Choose mgt fee",E115="Choose One!"),"",(E108+E109+E110+E111+E112) / -(E114+E115+E116))</f>
        <v>1.4110283199274747</v>
      </c>
      <c r="F131" s="709">
        <f>IF(OR(F115="Choose mgt fee",F115="Choose One!"),"",(F108+F109+F110+F111+F112) / -(F114+F115+F116))</f>
        <v>1.398286524508072</v>
      </c>
      <c r="G131" s="17"/>
      <c r="H131" s="17"/>
      <c r="I131" s="17"/>
      <c r="J131" s="17"/>
      <c r="K131" s="17"/>
      <c r="N131" s="3503"/>
      <c r="O131" s="3505"/>
    </row>
    <row r="132" spans="1:19" ht="13.35" customHeight="1">
      <c r="A132" s="479" t="s">
        <v>2550</v>
      </c>
      <c r="B132" s="238">
        <f>IF('Part III-Sources of Funds'!$I$38="","",-FV('Part III-Sources of Funds'!$K$38/12,12,B119/12,K102))</f>
        <v>2686566.8418884636</v>
      </c>
      <c r="C132" s="238">
        <f>IF('Part III-Sources of Funds'!$I$38="","",-FV('Part III-Sources of Funds'!$K$38/12,12,C119/12,B132))</f>
        <v>2054605.4168326575</v>
      </c>
      <c r="D132" s="238">
        <f>IF('Part III-Sources of Funds'!$I$38="","",-FV('Part III-Sources of Funds'!$K$38/12,12,D119/12,C132))</f>
        <v>1396896.9082542881</v>
      </c>
      <c r="E132" s="238">
        <f>IF('Part III-Sources of Funds'!$I$38="","",-FV('Part III-Sources of Funds'!$K$38/12,12,E119/12,D132))</f>
        <v>712392.34024496155</v>
      </c>
      <c r="F132" s="238">
        <f>IF('Part III-Sources of Funds'!$I$38="","",-FV('Part III-Sources of Funds'!$K$38/12,12,F119/12,E132))</f>
        <v>-7.099006325006485E-7</v>
      </c>
      <c r="G132" s="17"/>
      <c r="H132" s="17"/>
      <c r="I132" s="17"/>
      <c r="J132" s="17"/>
      <c r="K132" s="17"/>
      <c r="N132" s="3503"/>
      <c r="O132" s="3505"/>
    </row>
    <row r="133" spans="1:19" ht="13.35" customHeight="1">
      <c r="A133" s="479" t="s">
        <v>2551</v>
      </c>
      <c r="B133" s="239" t="str">
        <f>IF('Part III-Sources of Funds'!$I$39="","",-FV('Part III-Sources of Funds'!$K$39/12,12,B120/12,K103))</f>
        <v/>
      </c>
      <c r="C133" s="239" t="str">
        <f>IF('Part III-Sources of Funds'!$I$39="","",-FV('Part III-Sources of Funds'!$K$39/12,12,C120/12,B133))</f>
        <v/>
      </c>
      <c r="D133" s="239" t="str">
        <f>IF('Part III-Sources of Funds'!$I$39="","",-FV('Part III-Sources of Funds'!$K$39/12,12,D120/12,C133))</f>
        <v/>
      </c>
      <c r="E133" s="239" t="str">
        <f>IF('Part III-Sources of Funds'!$I$39="","",-FV('Part III-Sources of Funds'!$K$39/12,12,E120/12,D133))</f>
        <v/>
      </c>
      <c r="F133" s="239" t="str">
        <f>IF('Part III-Sources of Funds'!$I$39="","",-FV('Part III-Sources of Funds'!$K$39/12,12,F120/12,E133))</f>
        <v/>
      </c>
      <c r="G133" s="17"/>
      <c r="H133" s="17"/>
      <c r="I133" s="17"/>
      <c r="J133" s="17"/>
      <c r="K133" s="17"/>
      <c r="N133" s="3503"/>
      <c r="O133" s="3505"/>
    </row>
    <row r="134" spans="1:19" ht="13.35" customHeight="1">
      <c r="A134" s="479" t="s">
        <v>2552</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503"/>
      <c r="O134" s="3505"/>
    </row>
    <row r="135" spans="1:19" ht="13.35"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507"/>
      <c r="O135" s="3509"/>
    </row>
    <row r="136" spans="1:19" ht="4.3499999999999996" customHeight="1"/>
    <row r="137" spans="1:19" ht="12" customHeight="1">
      <c r="A137" s="13" t="s">
        <v>554</v>
      </c>
      <c r="B137" s="13"/>
      <c r="G137" s="13" t="s">
        <v>1009</v>
      </c>
    </row>
    <row r="138" spans="1:19" ht="12" customHeight="1">
      <c r="B138" s="31"/>
    </row>
    <row r="139" spans="1:19" ht="409.5" customHeight="1">
      <c r="A139" s="3082" t="s">
        <v>3363</v>
      </c>
      <c r="B139" s="3600"/>
      <c r="C139" s="3600"/>
      <c r="D139" s="3600"/>
      <c r="E139" s="3600"/>
      <c r="F139" s="3601"/>
      <c r="G139" s="3602"/>
      <c r="H139" s="3603"/>
      <c r="I139" s="3603"/>
      <c r="J139" s="3603"/>
      <c r="K139" s="3604"/>
      <c r="N139" s="3182" t="s">
        <v>2614</v>
      </c>
      <c r="O139" s="3182"/>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20" zoomScaleNormal="120" workbookViewId="0">
      <selection activeCell="P482" sqref="P482"/>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30"/>
    <col min="33" max="16384" width="9.109375" style="35"/>
  </cols>
  <sheetData>
    <row r="1" spans="1:32" ht="14.1" customHeight="1">
      <c r="A1" s="3289" t="str">
        <f>CONCATENATE("PART EIGHT - THRESHOLD CRITERIA","  -  ",'Part I-Project Information'!$O$6," ",'Part I-Project Information'!$F$34,", ",'Part I-Project Information'!F38,", ",'Part I-Project Information'!J39," County")</f>
        <v>PART EIGHT - THRESHOLD CRITERIA  -  2020-5 Lakeview Terrace, Augusta, Richmond County</v>
      </c>
      <c r="B1" s="3290"/>
      <c r="C1" s="3290"/>
      <c r="D1" s="3290"/>
      <c r="E1" s="3290"/>
      <c r="F1" s="3290"/>
      <c r="G1" s="3290"/>
      <c r="H1" s="3290"/>
      <c r="I1" s="3290"/>
      <c r="J1" s="3290"/>
      <c r="K1" s="3290"/>
      <c r="L1" s="3290"/>
      <c r="M1" s="3290"/>
      <c r="N1" s="3290"/>
      <c r="O1" s="3290"/>
      <c r="P1" s="3290"/>
      <c r="Q1" s="3290"/>
      <c r="R1" s="3740" t="str">
        <f>'Part I-Project Information'!$B$6</f>
        <v>July 15, 2020 Version (4%)</v>
      </c>
      <c r="S1" s="3740"/>
    </row>
    <row r="2" spans="1:32" s="27" customFormat="1" ht="3" customHeight="1">
      <c r="R2" s="3740"/>
      <c r="S2" s="3740"/>
      <c r="AE2" s="119"/>
      <c r="AF2" s="119"/>
    </row>
    <row r="3" spans="1:32" ht="13.5" customHeight="1">
      <c r="A3" s="3728"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28"/>
      <c r="C3" s="3728"/>
      <c r="D3" s="3728"/>
      <c r="E3" s="3728"/>
      <c r="F3" s="3728"/>
      <c r="G3" s="3728"/>
      <c r="H3" s="3728"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28"/>
      <c r="J3" s="3728"/>
      <c r="K3" s="3728"/>
      <c r="L3" s="3728"/>
      <c r="M3" s="3728"/>
      <c r="N3" s="3729"/>
      <c r="O3" s="3730" t="s">
        <v>913</v>
      </c>
      <c r="P3" s="3731"/>
      <c r="Q3" s="1938" t="s">
        <v>1796</v>
      </c>
      <c r="R3" s="3740"/>
      <c r="S3" s="3740"/>
    </row>
    <row r="4" spans="1:32" ht="3" customHeight="1">
      <c r="A4" s="1330"/>
      <c r="B4" s="3732"/>
      <c r="C4" s="3732"/>
      <c r="D4" s="3732"/>
      <c r="E4" s="1330"/>
      <c r="F4" s="1330"/>
      <c r="G4" s="1330"/>
      <c r="H4" s="1330"/>
      <c r="I4" s="1330"/>
      <c r="J4" s="1330"/>
      <c r="K4" s="1330"/>
      <c r="L4" s="1330"/>
      <c r="M4" s="1330"/>
      <c r="N4" s="1330"/>
      <c r="P4" s="1330"/>
      <c r="Q4" s="1330"/>
      <c r="R4" s="3740"/>
      <c r="S4" s="3740"/>
    </row>
    <row r="5" spans="1:32" ht="11.1" hidden="1" customHeight="1">
      <c r="A5" s="1330"/>
      <c r="B5" s="1330"/>
      <c r="C5" s="1330"/>
      <c r="D5" s="1330"/>
      <c r="E5" s="1330"/>
      <c r="F5" s="1330"/>
      <c r="G5" s="1330"/>
      <c r="H5" s="1330"/>
      <c r="I5" s="1330"/>
      <c r="J5" s="1330"/>
      <c r="K5" s="1330"/>
      <c r="L5" s="1330"/>
      <c r="M5" s="1330"/>
      <c r="N5" s="1330"/>
      <c r="P5" s="1330"/>
      <c r="Q5" s="1330"/>
      <c r="R5" s="3740"/>
      <c r="S5" s="3740"/>
    </row>
    <row r="6" spans="1:32" ht="17.25" customHeight="1">
      <c r="A6" s="128" t="s">
        <v>550</v>
      </c>
      <c r="J6" s="3735" t="s">
        <v>3635</v>
      </c>
      <c r="K6" s="3735"/>
      <c r="L6" s="3735"/>
      <c r="M6" s="3735"/>
      <c r="N6" s="3735"/>
      <c r="O6" s="3736"/>
      <c r="P6" s="3733"/>
      <c r="Q6" s="3734"/>
      <c r="R6" s="3740"/>
      <c r="S6" s="3740"/>
    </row>
    <row r="7" spans="1:32" ht="12.6" customHeight="1">
      <c r="A7" s="129" t="s">
        <v>3337</v>
      </c>
      <c r="C7" s="130"/>
      <c r="D7" s="130"/>
      <c r="H7" s="1528"/>
      <c r="I7" s="1528"/>
      <c r="J7" s="1528"/>
      <c r="K7" s="1528"/>
      <c r="L7" s="1528"/>
      <c r="M7" s="1330"/>
      <c r="N7" s="1330"/>
    </row>
    <row r="8" spans="1:32" ht="24.6" customHeight="1">
      <c r="A8" s="3737" t="s">
        <v>1381</v>
      </c>
      <c r="B8" s="3738"/>
      <c r="C8" s="3738"/>
      <c r="D8" s="3738"/>
      <c r="E8" s="3738"/>
      <c r="F8" s="3738"/>
      <c r="G8" s="3738"/>
      <c r="H8" s="3738"/>
      <c r="I8" s="3738"/>
      <c r="J8" s="3738"/>
      <c r="K8" s="3738"/>
      <c r="L8" s="3738"/>
      <c r="M8" s="3738"/>
      <c r="N8" s="3738"/>
      <c r="O8" s="3738"/>
      <c r="P8" s="3738"/>
      <c r="Q8" s="3739"/>
      <c r="R8" s="3522" t="s">
        <v>1984</v>
      </c>
      <c r="S8" s="2878"/>
    </row>
    <row r="9" spans="1:32" ht="24.6" customHeight="1">
      <c r="A9" s="3725" t="s">
        <v>221</v>
      </c>
      <c r="B9" s="3726"/>
      <c r="C9" s="3726"/>
      <c r="D9" s="3726"/>
      <c r="E9" s="3726"/>
      <c r="F9" s="3726"/>
      <c r="G9" s="3726"/>
      <c r="H9" s="3726"/>
      <c r="I9" s="3726"/>
      <c r="J9" s="3726"/>
      <c r="K9" s="3726"/>
      <c r="L9" s="3726"/>
      <c r="M9" s="3726"/>
      <c r="N9" s="3726"/>
      <c r="O9" s="3726"/>
      <c r="P9" s="3726"/>
      <c r="Q9" s="3727"/>
      <c r="R9" s="3522"/>
      <c r="S9" s="2878"/>
    </row>
    <row r="10" spans="1:32" ht="24.6" customHeight="1">
      <c r="A10" s="3725" t="s">
        <v>1377</v>
      </c>
      <c r="B10" s="3726"/>
      <c r="C10" s="3726"/>
      <c r="D10" s="3726"/>
      <c r="E10" s="3726"/>
      <c r="F10" s="3726"/>
      <c r="G10" s="3726"/>
      <c r="H10" s="3726"/>
      <c r="I10" s="3726"/>
      <c r="J10" s="3726"/>
      <c r="K10" s="3726"/>
      <c r="L10" s="3726"/>
      <c r="M10" s="3726"/>
      <c r="N10" s="3726"/>
      <c r="O10" s="3726"/>
      <c r="P10" s="3726"/>
      <c r="Q10" s="3727"/>
      <c r="R10" s="3522"/>
      <c r="S10" s="2878"/>
    </row>
    <row r="11" spans="1:32" ht="24.6" customHeight="1">
      <c r="A11" s="3725" t="s">
        <v>1378</v>
      </c>
      <c r="B11" s="3726"/>
      <c r="C11" s="3726"/>
      <c r="D11" s="3726"/>
      <c r="E11" s="3726"/>
      <c r="F11" s="3726"/>
      <c r="G11" s="3726"/>
      <c r="H11" s="3726"/>
      <c r="I11" s="3726"/>
      <c r="J11" s="3726"/>
      <c r="K11" s="3726"/>
      <c r="L11" s="3726"/>
      <c r="M11" s="3726"/>
      <c r="N11" s="3726"/>
      <c r="O11" s="3726"/>
      <c r="P11" s="3726"/>
      <c r="Q11" s="3727"/>
      <c r="R11" s="3522"/>
      <c r="S11" s="2878"/>
    </row>
    <row r="12" spans="1:32" ht="24" customHeight="1">
      <c r="A12" s="3725" t="s">
        <v>1379</v>
      </c>
      <c r="B12" s="3726"/>
      <c r="C12" s="3726"/>
      <c r="D12" s="3726"/>
      <c r="E12" s="3726"/>
      <c r="F12" s="3726"/>
      <c r="G12" s="3726"/>
      <c r="H12" s="3726"/>
      <c r="I12" s="3726"/>
      <c r="J12" s="3726"/>
      <c r="K12" s="3726"/>
      <c r="L12" s="3726"/>
      <c r="M12" s="3726"/>
      <c r="N12" s="3726"/>
      <c r="O12" s="3726"/>
      <c r="P12" s="3726"/>
      <c r="Q12" s="3727"/>
      <c r="R12" s="1327"/>
      <c r="S12" s="1327"/>
    </row>
    <row r="13" spans="1:32" ht="11.25" customHeight="1">
      <c r="A13" s="3725" t="s">
        <v>1380</v>
      </c>
      <c r="B13" s="3726"/>
      <c r="C13" s="3726"/>
      <c r="D13" s="3726"/>
      <c r="E13" s="3726"/>
      <c r="F13" s="3726"/>
      <c r="G13" s="3726"/>
      <c r="H13" s="3726"/>
      <c r="I13" s="3726"/>
      <c r="J13" s="3726"/>
      <c r="K13" s="3726"/>
      <c r="L13" s="3726"/>
      <c r="M13" s="3726"/>
      <c r="N13" s="3726"/>
      <c r="O13" s="3726"/>
      <c r="P13" s="3726"/>
      <c r="Q13" s="3727"/>
      <c r="R13" s="1327"/>
      <c r="S13" s="1327"/>
    </row>
    <row r="14" spans="1:32" ht="11.25" customHeight="1">
      <c r="A14" s="3725" t="s">
        <v>1382</v>
      </c>
      <c r="B14" s="3726"/>
      <c r="C14" s="3726"/>
      <c r="D14" s="3726"/>
      <c r="E14" s="3726"/>
      <c r="F14" s="3726"/>
      <c r="G14" s="3726"/>
      <c r="H14" s="3726"/>
      <c r="I14" s="3726"/>
      <c r="J14" s="3726"/>
      <c r="K14" s="3726"/>
      <c r="L14" s="3726"/>
      <c r="M14" s="3726"/>
      <c r="N14" s="3726"/>
      <c r="O14" s="3726"/>
      <c r="P14" s="3726"/>
      <c r="Q14" s="3727"/>
    </row>
    <row r="15" spans="1:32" ht="11.25" customHeight="1">
      <c r="A15" s="3725" t="s">
        <v>1971</v>
      </c>
      <c r="B15" s="3726"/>
      <c r="C15" s="3726"/>
      <c r="D15" s="3726"/>
      <c r="E15" s="3726"/>
      <c r="F15" s="3726"/>
      <c r="G15" s="3726"/>
      <c r="H15" s="3726"/>
      <c r="I15" s="3726"/>
      <c r="J15" s="3726"/>
      <c r="K15" s="3726"/>
      <c r="L15" s="3726"/>
      <c r="M15" s="3726"/>
      <c r="N15" s="3726"/>
      <c r="O15" s="3726"/>
      <c r="P15" s="3726"/>
      <c r="Q15" s="3727"/>
      <c r="R15" s="3522" t="s">
        <v>1984</v>
      </c>
      <c r="S15" s="3147"/>
    </row>
    <row r="16" spans="1:32" ht="11.25" customHeight="1">
      <c r="A16" s="3725" t="s">
        <v>1972</v>
      </c>
      <c r="B16" s="3726"/>
      <c r="C16" s="3726"/>
      <c r="D16" s="3726"/>
      <c r="E16" s="3726"/>
      <c r="F16" s="3726"/>
      <c r="G16" s="3726"/>
      <c r="H16" s="3726"/>
      <c r="I16" s="3726"/>
      <c r="J16" s="3726"/>
      <c r="K16" s="3726"/>
      <c r="L16" s="3726"/>
      <c r="M16" s="3726"/>
      <c r="N16" s="3726"/>
      <c r="O16" s="3726"/>
      <c r="P16" s="3726"/>
      <c r="Q16" s="3727"/>
      <c r="R16" s="3522"/>
      <c r="S16" s="3147"/>
    </row>
    <row r="17" spans="1:31" ht="11.25" customHeight="1">
      <c r="A17" s="3725" t="s">
        <v>1973</v>
      </c>
      <c r="B17" s="3726"/>
      <c r="C17" s="3726"/>
      <c r="D17" s="3726"/>
      <c r="E17" s="3726"/>
      <c r="F17" s="3726"/>
      <c r="G17" s="3726"/>
      <c r="H17" s="3726"/>
      <c r="I17" s="3726"/>
      <c r="J17" s="3726"/>
      <c r="K17" s="3726"/>
      <c r="L17" s="3726"/>
      <c r="M17" s="3726"/>
      <c r="N17" s="3726"/>
      <c r="O17" s="3726"/>
      <c r="P17" s="3726"/>
      <c r="Q17" s="3727"/>
      <c r="R17" s="3522"/>
      <c r="S17" s="3147"/>
    </row>
    <row r="18" spans="1:31" ht="11.25" customHeight="1">
      <c r="A18" s="3725" t="s">
        <v>1974</v>
      </c>
      <c r="B18" s="3726"/>
      <c r="C18" s="3726"/>
      <c r="D18" s="3726"/>
      <c r="E18" s="3726"/>
      <c r="F18" s="3726"/>
      <c r="G18" s="3726"/>
      <c r="H18" s="3726"/>
      <c r="I18" s="3726"/>
      <c r="J18" s="3726"/>
      <c r="K18" s="3726"/>
      <c r="L18" s="3726"/>
      <c r="M18" s="3726"/>
      <c r="N18" s="3726"/>
      <c r="O18" s="3726"/>
      <c r="P18" s="3726"/>
      <c r="Q18" s="3727"/>
      <c r="R18" s="3522"/>
      <c r="S18" s="3147"/>
    </row>
    <row r="19" spans="1:31" ht="11.25" customHeight="1">
      <c r="A19" s="3725" t="s">
        <v>1975</v>
      </c>
      <c r="B19" s="3726"/>
      <c r="C19" s="3726"/>
      <c r="D19" s="3726"/>
      <c r="E19" s="3726"/>
      <c r="F19" s="3726"/>
      <c r="G19" s="3726"/>
      <c r="H19" s="3726"/>
      <c r="I19" s="3726"/>
      <c r="J19" s="3726"/>
      <c r="K19" s="3726"/>
      <c r="L19" s="3726"/>
      <c r="M19" s="3726"/>
      <c r="N19" s="3726"/>
      <c r="O19" s="3726"/>
      <c r="P19" s="3726"/>
      <c r="Q19" s="3727"/>
      <c r="R19" s="3522"/>
      <c r="S19" s="3147"/>
    </row>
    <row r="20" spans="1:31" ht="11.25" customHeight="1">
      <c r="A20" s="3725" t="s">
        <v>1976</v>
      </c>
      <c r="B20" s="3726"/>
      <c r="C20" s="3726"/>
      <c r="D20" s="3726"/>
      <c r="E20" s="3726"/>
      <c r="F20" s="3726"/>
      <c r="G20" s="3726"/>
      <c r="H20" s="3726"/>
      <c r="I20" s="3726"/>
      <c r="J20" s="3726"/>
      <c r="K20" s="3726"/>
      <c r="L20" s="3726"/>
      <c r="M20" s="3726"/>
      <c r="N20" s="3726"/>
      <c r="O20" s="3726"/>
      <c r="P20" s="3726"/>
      <c r="Q20" s="3727"/>
      <c r="R20" s="3522"/>
      <c r="S20" s="3147"/>
    </row>
    <row r="21" spans="1:31" ht="11.25" customHeight="1">
      <c r="A21" s="3725" t="s">
        <v>1977</v>
      </c>
      <c r="B21" s="3726"/>
      <c r="C21" s="3726"/>
      <c r="D21" s="3726"/>
      <c r="E21" s="3726"/>
      <c r="F21" s="3726"/>
      <c r="G21" s="3726"/>
      <c r="H21" s="3726"/>
      <c r="I21" s="3726"/>
      <c r="J21" s="3726"/>
      <c r="K21" s="3726"/>
      <c r="L21" s="3726"/>
      <c r="M21" s="3726"/>
      <c r="N21" s="3726"/>
      <c r="O21" s="3726"/>
      <c r="P21" s="3726"/>
      <c r="Q21" s="3727"/>
    </row>
    <row r="22" spans="1:31" ht="11.25" customHeight="1">
      <c r="A22" s="3725" t="s">
        <v>1978</v>
      </c>
      <c r="B22" s="3726"/>
      <c r="C22" s="3726"/>
      <c r="D22" s="3726"/>
      <c r="E22" s="3726"/>
      <c r="F22" s="3726"/>
      <c r="G22" s="3726"/>
      <c r="H22" s="3726"/>
      <c r="I22" s="3726"/>
      <c r="J22" s="3726"/>
      <c r="K22" s="3726"/>
      <c r="L22" s="3726"/>
      <c r="M22" s="3726"/>
      <c r="N22" s="3726"/>
      <c r="O22" s="3726"/>
      <c r="P22" s="3726"/>
      <c r="Q22" s="3727"/>
      <c r="R22" s="3522" t="s">
        <v>1984</v>
      </c>
      <c r="S22" s="3147"/>
    </row>
    <row r="23" spans="1:31" ht="11.25" customHeight="1">
      <c r="A23" s="3725" t="s">
        <v>1979</v>
      </c>
      <c r="B23" s="3726"/>
      <c r="C23" s="3726"/>
      <c r="D23" s="3726"/>
      <c r="E23" s="3726"/>
      <c r="F23" s="3726"/>
      <c r="G23" s="3726"/>
      <c r="H23" s="3726"/>
      <c r="I23" s="3726"/>
      <c r="J23" s="3726"/>
      <c r="K23" s="3726"/>
      <c r="L23" s="3726"/>
      <c r="M23" s="3726"/>
      <c r="N23" s="3726"/>
      <c r="O23" s="3726"/>
      <c r="P23" s="3726"/>
      <c r="Q23" s="3727"/>
      <c r="R23" s="3522"/>
      <c r="S23" s="3147"/>
    </row>
    <row r="24" spans="1:31" ht="11.25" customHeight="1">
      <c r="A24" s="3725" t="s">
        <v>1980</v>
      </c>
      <c r="B24" s="3726"/>
      <c r="C24" s="3726"/>
      <c r="D24" s="3726"/>
      <c r="E24" s="3726"/>
      <c r="F24" s="3726"/>
      <c r="G24" s="3726"/>
      <c r="H24" s="3726"/>
      <c r="I24" s="3726"/>
      <c r="J24" s="3726"/>
      <c r="K24" s="3726"/>
      <c r="L24" s="3726"/>
      <c r="M24" s="3726"/>
      <c r="N24" s="3726"/>
      <c r="O24" s="3726"/>
      <c r="P24" s="3726"/>
      <c r="Q24" s="3727"/>
      <c r="R24" s="3522"/>
      <c r="S24" s="3147"/>
    </row>
    <row r="25" spans="1:31" ht="11.25" customHeight="1">
      <c r="A25" s="3725" t="s">
        <v>1981</v>
      </c>
      <c r="B25" s="3726"/>
      <c r="C25" s="3726"/>
      <c r="D25" s="3726"/>
      <c r="E25" s="3726"/>
      <c r="F25" s="3726"/>
      <c r="G25" s="3726"/>
      <c r="H25" s="3726"/>
      <c r="I25" s="3726"/>
      <c r="J25" s="3726"/>
      <c r="K25" s="3726"/>
      <c r="L25" s="3726"/>
      <c r="M25" s="3726"/>
      <c r="N25" s="3726"/>
      <c r="O25" s="3726"/>
      <c r="P25" s="3726"/>
      <c r="Q25" s="3727"/>
      <c r="R25" s="3522"/>
      <c r="S25" s="3147"/>
    </row>
    <row r="26" spans="1:31" ht="11.25" customHeight="1">
      <c r="A26" s="3725" t="s">
        <v>1982</v>
      </c>
      <c r="B26" s="3726"/>
      <c r="C26" s="3726"/>
      <c r="D26" s="3726"/>
      <c r="E26" s="3726"/>
      <c r="F26" s="3726"/>
      <c r="G26" s="3726"/>
      <c r="H26" s="3726"/>
      <c r="I26" s="3726"/>
      <c r="J26" s="3726"/>
      <c r="K26" s="3726"/>
      <c r="L26" s="3726"/>
      <c r="M26" s="3726"/>
      <c r="N26" s="3726"/>
      <c r="O26" s="3726"/>
      <c r="P26" s="3726"/>
      <c r="Q26" s="3727"/>
      <c r="R26" s="3522"/>
      <c r="S26" s="3147"/>
    </row>
    <row r="27" spans="1:31" ht="11.25" customHeight="1">
      <c r="A27" s="3743" t="s">
        <v>1983</v>
      </c>
      <c r="B27" s="3744"/>
      <c r="C27" s="3744"/>
      <c r="D27" s="3744"/>
      <c r="E27" s="3744"/>
      <c r="F27" s="3744"/>
      <c r="G27" s="3744"/>
      <c r="H27" s="3744"/>
      <c r="I27" s="3744"/>
      <c r="J27" s="3744"/>
      <c r="K27" s="3744"/>
      <c r="L27" s="3744"/>
      <c r="M27" s="3744"/>
      <c r="N27" s="3744"/>
      <c r="O27" s="3744"/>
      <c r="P27" s="3744"/>
      <c r="Q27" s="3745"/>
      <c r="R27" s="3522"/>
      <c r="S27" s="3147"/>
    </row>
    <row r="28" spans="1:31" ht="6" customHeight="1"/>
    <row r="29" spans="1:31" ht="14.1" customHeight="1">
      <c r="A29" s="131" t="s">
        <v>598</v>
      </c>
      <c r="B29" s="132" t="s">
        <v>2579</v>
      </c>
      <c r="C29" s="133"/>
      <c r="D29" s="87"/>
      <c r="E29" s="87"/>
      <c r="F29" s="87"/>
      <c r="G29" s="87"/>
      <c r="I29" s="1337"/>
      <c r="J29" s="1337"/>
      <c r="K29" s="1337"/>
      <c r="L29" s="1330"/>
      <c r="M29" s="1330"/>
      <c r="O29" s="134" t="s">
        <v>1821</v>
      </c>
      <c r="P29" s="3666"/>
      <c r="Q29" s="3667"/>
    </row>
    <row r="30" spans="1:31" ht="3" customHeight="1"/>
    <row r="31" spans="1:31" ht="11.25" customHeight="1">
      <c r="B31" s="66" t="s">
        <v>3571</v>
      </c>
      <c r="C31" s="66"/>
      <c r="D31" s="66"/>
      <c r="E31" s="66"/>
      <c r="F31" s="66"/>
      <c r="G31" s="1337"/>
      <c r="H31" s="1337"/>
      <c r="I31" s="1337"/>
      <c r="J31" s="1337"/>
      <c r="K31" s="1330"/>
      <c r="L31" s="1330"/>
      <c r="M31" s="1330"/>
      <c r="N31" s="1330"/>
      <c r="O31" s="1330"/>
      <c r="P31" s="994"/>
      <c r="S31" s="161"/>
      <c r="T31" s="161"/>
    </row>
    <row r="32" spans="1:31" ht="108.75" customHeight="1">
      <c r="A32" s="3660" t="s">
        <v>7112</v>
      </c>
      <c r="B32" s="3661"/>
      <c r="C32" s="3661"/>
      <c r="D32" s="3661"/>
      <c r="E32" s="3661"/>
      <c r="F32" s="3661"/>
      <c r="G32" s="3661"/>
      <c r="H32" s="3661"/>
      <c r="I32" s="3661"/>
      <c r="J32" s="3661"/>
      <c r="K32" s="3661"/>
      <c r="L32" s="3661"/>
      <c r="M32" s="3661"/>
      <c r="N32" s="3661"/>
      <c r="O32" s="3661"/>
      <c r="P32" s="3661"/>
      <c r="Q32" s="3662"/>
      <c r="R32" s="503" t="s">
        <v>1228</v>
      </c>
      <c r="S32" s="504"/>
      <c r="T32" s="161"/>
      <c r="U32" s="138"/>
      <c r="V32" s="138"/>
      <c r="W32" s="138"/>
      <c r="X32" s="138"/>
      <c r="Y32" s="138"/>
      <c r="Z32" s="138"/>
      <c r="AA32" s="138"/>
      <c r="AB32" s="138"/>
      <c r="AC32" s="138"/>
      <c r="AD32" s="138"/>
      <c r="AE32" s="520"/>
    </row>
    <row r="33" spans="1:295" ht="11.25" customHeight="1">
      <c r="B33" s="139" t="s">
        <v>1820</v>
      </c>
      <c r="C33" s="140"/>
      <c r="D33" s="1331"/>
      <c r="E33" s="1331"/>
      <c r="F33" s="1331"/>
      <c r="G33" s="1331"/>
      <c r="H33" s="1331"/>
      <c r="I33" s="1331"/>
      <c r="J33" s="1331"/>
      <c r="K33" s="1331"/>
      <c r="L33" s="1331"/>
      <c r="M33" s="1331"/>
      <c r="N33" s="1331"/>
      <c r="O33" s="1331"/>
      <c r="P33" s="1331"/>
    </row>
    <row r="34" spans="1:295" ht="36" customHeight="1">
      <c r="A34" s="3746"/>
      <c r="B34" s="3746"/>
      <c r="C34" s="3746"/>
      <c r="D34" s="3746"/>
      <c r="E34" s="3746"/>
      <c r="F34" s="3746"/>
      <c r="G34" s="3746"/>
      <c r="H34" s="3746"/>
      <c r="I34" s="3746"/>
      <c r="J34" s="3746"/>
      <c r="K34" s="3746"/>
      <c r="L34" s="3746"/>
      <c r="M34" s="3746"/>
      <c r="N34" s="3746"/>
      <c r="O34" s="3746"/>
      <c r="P34" s="3746"/>
      <c r="Q34" s="3746"/>
      <c r="R34" s="503" t="s">
        <v>1228</v>
      </c>
      <c r="S34" s="504"/>
    </row>
    <row r="35" spans="1:295" ht="3" customHeight="1">
      <c r="B35" s="1337"/>
      <c r="C35" s="1331"/>
      <c r="D35" s="1331"/>
      <c r="E35" s="1331"/>
      <c r="F35" s="1331"/>
      <c r="G35" s="1331"/>
      <c r="H35" s="1331"/>
      <c r="I35" s="1331"/>
      <c r="J35" s="1331"/>
      <c r="K35" s="1331"/>
      <c r="L35" s="1331"/>
      <c r="M35" s="1331"/>
      <c r="N35" s="1331"/>
      <c r="O35" s="1331"/>
      <c r="P35" s="1331"/>
      <c r="Q35" s="1330"/>
    </row>
    <row r="36" spans="1:295" ht="12.75" customHeight="1">
      <c r="A36" s="1336" t="s">
        <v>722</v>
      </c>
      <c r="B36" s="4" t="s">
        <v>2631</v>
      </c>
      <c r="C36" s="4"/>
      <c r="D36" s="4"/>
      <c r="E36" s="1331"/>
      <c r="G36" s="697"/>
      <c r="H36" s="697"/>
      <c r="I36" s="697"/>
      <c r="J36" s="42"/>
      <c r="L36" s="698"/>
      <c r="M36" s="698"/>
      <c r="N36" s="698"/>
      <c r="O36" s="134" t="s">
        <v>1821</v>
      </c>
      <c r="P36" s="3666"/>
      <c r="Q36" s="3667"/>
    </row>
    <row r="37" spans="1:295" ht="11.25" customHeight="1">
      <c r="A37" s="3616"/>
      <c r="B37" s="3616"/>
      <c r="C37" s="3616"/>
      <c r="D37" s="3616"/>
      <c r="E37" s="3616"/>
      <c r="F37" s="1941"/>
      <c r="G37" s="3747" t="s">
        <v>2635</v>
      </c>
      <c r="H37" s="3748"/>
      <c r="I37" s="701"/>
      <c r="J37" s="42"/>
      <c r="K37" s="3749" t="s">
        <v>3471</v>
      </c>
      <c r="L37" s="3750"/>
      <c r="M37" s="3750"/>
      <c r="N37" s="3751"/>
    </row>
    <row r="38" spans="1:295" ht="11.25" customHeight="1">
      <c r="A38" s="3616"/>
      <c r="B38" s="3616"/>
      <c r="C38" s="3616"/>
      <c r="D38" s="3616"/>
      <c r="E38" s="3616"/>
      <c r="F38" s="1941"/>
      <c r="G38" s="3752" t="s">
        <v>341</v>
      </c>
      <c r="H38" s="3753"/>
      <c r="I38" s="701"/>
      <c r="J38" s="42"/>
      <c r="K38" s="3754" t="s">
        <v>3472</v>
      </c>
      <c r="L38" s="3755"/>
      <c r="M38" s="3755"/>
      <c r="N38" s="3756"/>
      <c r="P38" s="584" t="s">
        <v>2650</v>
      </c>
      <c r="Q38" s="97"/>
    </row>
    <row r="39" spans="1:295" ht="4.5" customHeight="1">
      <c r="A39" s="1941"/>
      <c r="B39" s="1941"/>
      <c r="C39" s="1941"/>
      <c r="D39" s="1941"/>
      <c r="E39" s="1941"/>
      <c r="F39" s="1941"/>
      <c r="G39" s="233"/>
      <c r="H39" s="233"/>
      <c r="I39" s="233"/>
      <c r="J39" s="42"/>
      <c r="K39" s="3623"/>
      <c r="L39" s="3623"/>
      <c r="M39" s="3623"/>
      <c r="N39" s="3623"/>
      <c r="P39" s="3797" t="s">
        <v>4538</v>
      </c>
      <c r="Q39" s="3797"/>
    </row>
    <row r="40" spans="1:295" s="83" customFormat="1" ht="10.5" customHeight="1">
      <c r="D40" s="702" t="s">
        <v>2634</v>
      </c>
      <c r="E40" s="35"/>
      <c r="F40" s="703" t="s">
        <v>3338</v>
      </c>
      <c r="G40" s="3757" t="s">
        <v>4461</v>
      </c>
      <c r="H40" s="3757"/>
      <c r="I40" s="3757"/>
      <c r="J40" s="35"/>
      <c r="K40" s="703" t="s">
        <v>3338</v>
      </c>
      <c r="L40" s="3757" t="s">
        <v>4460</v>
      </c>
      <c r="M40" s="3757"/>
      <c r="N40" s="3757"/>
      <c r="O40" s="35"/>
      <c r="P40" s="3797"/>
      <c r="Q40" s="3797"/>
      <c r="R40" s="462"/>
      <c r="U40" s="35"/>
      <c r="V40" s="508"/>
      <c r="W40" s="508"/>
      <c r="X40" s="509"/>
      <c r="Y40" s="508"/>
      <c r="Z40" s="512"/>
      <c r="AA40" s="513"/>
      <c r="AB40" s="513"/>
      <c r="AC40" s="513"/>
      <c r="AD40" s="513"/>
      <c r="AE40" s="513"/>
      <c r="AF40" s="513"/>
      <c r="AG40" s="720"/>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42" t="s">
        <v>3252</v>
      </c>
      <c r="B41" s="3742"/>
      <c r="C41" s="3742"/>
      <c r="D41" s="948" t="s">
        <v>551</v>
      </c>
      <c r="E41" s="949">
        <v>0</v>
      </c>
      <c r="F41" s="1939" t="str">
        <f>IF('Part VI-Revenues &amp; Expenses'!$K$149 =0,"",'Part VI-Revenues &amp; Expenses'!$K$149)</f>
        <v/>
      </c>
      <c r="G41" s="95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172490.4</v>
      </c>
      <c r="H41" s="40" t="str">
        <f>CONCATENATE("x ", F41," units = ")</f>
        <v xml:space="preserve">x  units = </v>
      </c>
      <c r="I41" s="1940" t="str">
        <f>IF(F41="","",F41*G41)</f>
        <v/>
      </c>
      <c r="J41" s="42"/>
      <c r="K41" s="1939" t="str">
        <f>IF('Part VI-Revenues &amp; Expenses'!$K$150 =0,"",'Part VI-Revenues &amp; Expenses'!$K$150)</f>
        <v/>
      </c>
      <c r="L41" s="950">
        <f>G41*(1+'DCA Underwriting Assumptions'!$Q$12)</f>
        <v>189739.44</v>
      </c>
      <c r="M41" s="40" t="str">
        <f>CONCATENATE("x ", K41," units = ")</f>
        <v xml:space="preserve">x  units = </v>
      </c>
      <c r="N41" s="1940" t="str">
        <f>IF(K41="","",K41*L41)</f>
        <v/>
      </c>
      <c r="O41" s="1331"/>
      <c r="P41" s="3798"/>
      <c r="Q41" s="3798"/>
      <c r="R41" s="462"/>
      <c r="U41" s="35"/>
      <c r="V41" s="508"/>
      <c r="W41" s="508"/>
      <c r="X41" s="509"/>
      <c r="Y41" s="508"/>
      <c r="Z41" s="512"/>
      <c r="AA41" s="513"/>
      <c r="AB41" s="513"/>
      <c r="AC41" s="513"/>
      <c r="AD41" s="513"/>
      <c r="AE41" s="513"/>
      <c r="AF41" s="513"/>
      <c r="AG41" s="720"/>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42"/>
      <c r="B42" s="3742"/>
      <c r="C42" s="3742"/>
      <c r="D42" s="948" t="s">
        <v>2377</v>
      </c>
      <c r="E42" s="949">
        <v>1</v>
      </c>
      <c r="F42" s="1939" t="str">
        <f>IF('Part VI-Revenues &amp; Expenses'!$L$149 =0,"",'Part VI-Revenues &amp; Expenses'!$L$149)</f>
        <v/>
      </c>
      <c r="G42" s="95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213659.65</v>
      </c>
      <c r="H42" s="40" t="str">
        <f>CONCATENATE("x ", F42," units = ")</f>
        <v xml:space="preserve">x  units = </v>
      </c>
      <c r="I42" s="1940" t="str">
        <f>IF(F42="","",F42*G42)</f>
        <v/>
      </c>
      <c r="J42" s="42"/>
      <c r="K42" s="1939" t="str">
        <f>IF('Part VI-Revenues &amp; Expenses'!$L$150 =0,"",'Part VI-Revenues &amp; Expenses'!$L$150)</f>
        <v/>
      </c>
      <c r="L42" s="950">
        <f>G42*(1+'DCA Underwriting Assumptions'!$Q$12)</f>
        <v>235025.61500000002</v>
      </c>
      <c r="M42" s="40" t="str">
        <f>CONCATENATE("x ", K42," units = ")</f>
        <v xml:space="preserve">x  units = </v>
      </c>
      <c r="N42" s="1940" t="str">
        <f>IF(K42="","",K42*L42)</f>
        <v/>
      </c>
      <c r="O42" s="1331"/>
      <c r="P42" s="3758" t="str">
        <f>IF('Part I-Project Information'!$F$38="","",VLOOKUP('Part I-Project Information'!$J$39,'DCA Underwriting Assumptions'!$G$173:$N$332,8,FALSE))</f>
        <v>Augusta</v>
      </c>
      <c r="Q42" s="3759"/>
      <c r="R42" s="462"/>
      <c r="W42" s="508"/>
      <c r="X42" s="509"/>
      <c r="Y42" s="508"/>
      <c r="Z42" s="512"/>
      <c r="AA42" s="513"/>
      <c r="AB42" s="513"/>
      <c r="AC42" s="513"/>
      <c r="AD42" s="513"/>
      <c r="AE42" s="513"/>
      <c r="AF42" s="513"/>
      <c r="AG42" s="720"/>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42"/>
      <c r="B43" s="3742"/>
      <c r="C43" s="3742"/>
      <c r="D43" s="948" t="s">
        <v>2378</v>
      </c>
      <c r="E43" s="949">
        <v>2</v>
      </c>
      <c r="F43" s="1939" t="str">
        <f>IF('Part VI-Revenues &amp; Expenses'!$M$149 =0,"",'Part VI-Revenues &amp; Expenses'!$M$149)</f>
        <v/>
      </c>
      <c r="G43" s="95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255516.19999999998</v>
      </c>
      <c r="H43" s="40" t="str">
        <f>CONCATENATE("x ", F43," units = ")</f>
        <v xml:space="preserve">x  units = </v>
      </c>
      <c r="I43" s="1940" t="str">
        <f>IF(F43="","",F43*G43)</f>
        <v/>
      </c>
      <c r="J43" s="42"/>
      <c r="K43" s="1939" t="str">
        <f>IF('Part VI-Revenues &amp; Expenses'!$M$150 =0,"",'Part VI-Revenues &amp; Expenses'!$M$150)</f>
        <v/>
      </c>
      <c r="L43" s="950">
        <f>G43*(1+'DCA Underwriting Assumptions'!$Q$12)</f>
        <v>281067.82</v>
      </c>
      <c r="M43" s="40" t="str">
        <f>CONCATENATE("x ", K43," units = ")</f>
        <v xml:space="preserve">x  units = </v>
      </c>
      <c r="N43" s="1940" t="str">
        <f>IF(K43="","",K43*L43)</f>
        <v/>
      </c>
      <c r="O43" s="1331"/>
      <c r="P43" s="3760"/>
      <c r="Q43" s="3761"/>
      <c r="W43" s="508"/>
      <c r="X43" s="509"/>
      <c r="Y43" s="508"/>
      <c r="Z43" s="512"/>
      <c r="AA43" s="513"/>
      <c r="AB43" s="513"/>
      <c r="AC43" s="513"/>
      <c r="AD43" s="513"/>
      <c r="AE43" s="513"/>
      <c r="AF43" s="513"/>
      <c r="AG43" s="720"/>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42"/>
      <c r="B44" s="3742"/>
      <c r="C44" s="3742"/>
      <c r="D44" s="948" t="s">
        <v>2379</v>
      </c>
      <c r="E44" s="949">
        <v>3</v>
      </c>
      <c r="F44" s="1939" t="str">
        <f>IF('Part VI-Revenues &amp; Expenses'!$N$149 =0,"",'Part VI-Revenues &amp; Expenses'!$N$149)</f>
        <v/>
      </c>
      <c r="G44" s="95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291187.60000000003</v>
      </c>
      <c r="H44" s="40" t="str">
        <f>CONCATENATE("x ", F44," units = ")</f>
        <v xml:space="preserve">x  units = </v>
      </c>
      <c r="I44" s="1940" t="str">
        <f>IF(F44="","",F44*G44)</f>
        <v/>
      </c>
      <c r="J44" s="42"/>
      <c r="K44" s="1939" t="str">
        <f>IF('Part VI-Revenues &amp; Expenses'!$N$150 =0,"",'Part VI-Revenues &amp; Expenses'!$N$150)</f>
        <v/>
      </c>
      <c r="L44" s="950">
        <f>G44*(1+'DCA Underwriting Assumptions'!$Q$12)</f>
        <v>320306.36000000004</v>
      </c>
      <c r="M44" s="40" t="str">
        <f>CONCATENATE("x ", K44," units = ")</f>
        <v xml:space="preserve">x  units = </v>
      </c>
      <c r="N44" s="1940" t="str">
        <f>IF(K44="","",K44*L44)</f>
        <v/>
      </c>
      <c r="O44" s="1331"/>
      <c r="P44" s="3741" t="s">
        <v>4539</v>
      </c>
      <c r="Q44" s="3741"/>
      <c r="W44" s="508"/>
      <c r="X44" s="509"/>
      <c r="AC44" s="513"/>
      <c r="AD44" s="513"/>
      <c r="AE44" s="513"/>
      <c r="AF44" s="513"/>
      <c r="AG44" s="720"/>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2" t="s">
        <v>2380</v>
      </c>
      <c r="E45" s="949">
        <v>4</v>
      </c>
      <c r="F45" s="1939" t="str">
        <f>IF('Part VI-Revenues &amp; Expenses'!$O$149 =0,"",'Part VI-Revenues &amp; Expenses'!$O$149)</f>
        <v/>
      </c>
      <c r="G45" s="95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342932.7</v>
      </c>
      <c r="H45" s="40" t="str">
        <f>CONCATENATE("x ", F45," units = ")</f>
        <v xml:space="preserve">x  units = </v>
      </c>
      <c r="I45" s="1940" t="str">
        <f>IF(F45="","",F45*G45)</f>
        <v/>
      </c>
      <c r="J45" s="42"/>
      <c r="K45" s="1939" t="str">
        <f>IF('Part VI-Revenues &amp; Expenses'!$O$150 =0,"",'Part VI-Revenues &amp; Expenses'!$O$150)</f>
        <v/>
      </c>
      <c r="L45" s="950">
        <f>G45*(1+'DCA Underwriting Assumptions'!$Q$12)</f>
        <v>377225.97000000003</v>
      </c>
      <c r="M45" s="40" t="str">
        <f>CONCATENATE("x ", K45," units = ")</f>
        <v xml:space="preserve">x  units = </v>
      </c>
      <c r="N45" s="1940" t="str">
        <f>IF(K45="","",K45*L45)</f>
        <v/>
      </c>
      <c r="O45" s="1331"/>
      <c r="P45" s="3795">
        <f>'Part IV-A-Uses of Funds'!$G$132</f>
        <v>43012994</v>
      </c>
      <c r="Q45" s="3796"/>
      <c r="AC45" s="513"/>
      <c r="AD45" s="513"/>
      <c r="AE45" s="513"/>
      <c r="AF45" s="513"/>
      <c r="AG45" s="720"/>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3262</v>
      </c>
      <c r="E46" s="135"/>
      <c r="F46" s="1290">
        <f>SUM(F41:F45)</f>
        <v>0</v>
      </c>
      <c r="G46" s="704"/>
      <c r="H46" s="1291"/>
      <c r="I46" s="1292">
        <f>SUM(I41:I45)</f>
        <v>0</v>
      </c>
      <c r="J46" s="1293"/>
      <c r="K46" s="1290">
        <f>SUM(K41:K45)</f>
        <v>0</v>
      </c>
      <c r="L46" s="1293"/>
      <c r="M46" s="1291"/>
      <c r="N46" s="1292">
        <f>SUM(N41:N45)</f>
        <v>0</v>
      </c>
      <c r="O46" s="1331"/>
      <c r="P46" s="3741" t="s">
        <v>4524</v>
      </c>
      <c r="Q46" s="3741"/>
      <c r="R46" s="3857" t="s">
        <v>4540</v>
      </c>
      <c r="S46" s="3857"/>
      <c r="T46" s="3857"/>
      <c r="V46" s="2079"/>
      <c r="W46" s="2079"/>
      <c r="AC46" s="513"/>
      <c r="AD46" s="513"/>
      <c r="AE46" s="513"/>
      <c r="AF46" s="513"/>
      <c r="AG46" s="720"/>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5"/>
      <c r="G47" s="142"/>
      <c r="H47" s="130"/>
      <c r="I47" s="1335"/>
      <c r="J47" s="130"/>
      <c r="K47" s="705"/>
      <c r="L47" s="130"/>
      <c r="M47" s="1331"/>
      <c r="N47" s="1335"/>
      <c r="O47" s="1331"/>
      <c r="R47" s="462"/>
      <c r="AC47" s="513"/>
      <c r="AD47" s="513"/>
      <c r="AE47" s="513"/>
      <c r="AF47" s="513"/>
      <c r="AG47" s="720"/>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42" t="s">
        <v>3247</v>
      </c>
      <c r="B48" s="3742"/>
      <c r="C48" s="3742"/>
      <c r="D48" s="948" t="s">
        <v>551</v>
      </c>
      <c r="E48" s="953">
        <v>0</v>
      </c>
      <c r="F48" s="1939" t="str">
        <f>IF('Part VI-Revenues &amp; Expenses'!$K$151 =0,"",'Part VI-Revenues &amp; Expenses'!$K$151)</f>
        <v/>
      </c>
      <c r="G48" s="95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149410.79999999999</v>
      </c>
      <c r="H48" s="40" t="str">
        <f>CONCATENATE("x ", F48," units = ")</f>
        <v xml:space="preserve">x  units = </v>
      </c>
      <c r="I48" s="1940" t="str">
        <f>IF(F48="","",F48*G48)</f>
        <v/>
      </c>
      <c r="J48" s="42"/>
      <c r="K48" s="1939" t="str">
        <f>IF('Part VI-Revenues &amp; Expenses'!$K$152 =0,"",'Part VI-Revenues &amp; Expenses'!$K$152)</f>
        <v/>
      </c>
      <c r="L48" s="950">
        <f>G48*(1+'DCA Underwriting Assumptions'!$Q$12)</f>
        <v>164351.88</v>
      </c>
      <c r="M48" s="40" t="str">
        <f>CONCATENATE("x ", K48," units = ")</f>
        <v xml:space="preserve">x  units = </v>
      </c>
      <c r="N48" s="1940" t="str">
        <f>IF(K48="","",K48*L48)</f>
        <v/>
      </c>
      <c r="P48" s="3795">
        <f>'Part IV-A-Uses of Funds'!$G$132-'Part IV-A-Uses of Funds'!$G$83-'Part IV-A-Uses of Funds'!$G$105-'Part IV-A-Uses of Funds'!$G$121-'Part IV-A-Uses of Funds'!$G$122-'Part IV-A-Uses of Funds'!$G$123</f>
        <v>41610634</v>
      </c>
      <c r="Q48" s="3796"/>
      <c r="AC48" s="513"/>
      <c r="AD48" s="513"/>
      <c r="AE48" s="513"/>
      <c r="AF48" s="513"/>
      <c r="AG48" s="720"/>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42"/>
      <c r="B49" s="3742"/>
      <c r="C49" s="3742"/>
      <c r="D49" s="948" t="s">
        <v>2377</v>
      </c>
      <c r="E49" s="949">
        <v>1</v>
      </c>
      <c r="F49" s="1939" t="str">
        <f>IF('Part VI-Revenues &amp; Expenses'!$L$151 =0,"",'Part VI-Revenues &amp; Expenses'!$L$151)</f>
        <v/>
      </c>
      <c r="G49" s="95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186693.3</v>
      </c>
      <c r="H49" s="40" t="str">
        <f>CONCATENATE("x ", F49," units = ")</f>
        <v xml:space="preserve">x  units = </v>
      </c>
      <c r="I49" s="1940" t="str">
        <f>IF(F49="","",F49*G49)</f>
        <v/>
      </c>
      <c r="J49" s="42"/>
      <c r="K49" s="1939" t="str">
        <f>IF('Part VI-Revenues &amp; Expenses'!$L$152 =0,"",'Part VI-Revenues &amp; Expenses'!$L$152)</f>
        <v/>
      </c>
      <c r="L49" s="950">
        <f>G49*(1+'DCA Underwriting Assumptions'!$Q$12)</f>
        <v>205362.63</v>
      </c>
      <c r="M49" s="40" t="str">
        <f>CONCATENATE("x ", K49," units = ")</f>
        <v xml:space="preserve">x  units = </v>
      </c>
      <c r="N49" s="1940" t="str">
        <f>IF(K49="","",K49*L49)</f>
        <v/>
      </c>
      <c r="P49" s="3314" t="s">
        <v>3780</v>
      </c>
      <c r="Q49" s="3314"/>
      <c r="AC49" s="513"/>
      <c r="AD49" s="513"/>
      <c r="AE49" s="513"/>
      <c r="AF49" s="513"/>
      <c r="AG49" s="720"/>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42"/>
      <c r="B50" s="3742"/>
      <c r="C50" s="3742"/>
      <c r="D50" s="948" t="s">
        <v>2378</v>
      </c>
      <c r="E50" s="949">
        <v>2</v>
      </c>
      <c r="F50" s="1939" t="str">
        <f>IF('Part VI-Revenues &amp; Expenses'!$M$151 =0,"",'Part VI-Revenues &amp; Expenses'!$M$151)</f>
        <v/>
      </c>
      <c r="G50" s="95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225984.19999999998</v>
      </c>
      <c r="H50" s="40" t="str">
        <f>CONCATENATE("x ", F50," units = ")</f>
        <v xml:space="preserve">x  units = </v>
      </c>
      <c r="I50" s="1940" t="str">
        <f>IF(F50="","",F50*G50)</f>
        <v/>
      </c>
      <c r="J50" s="42"/>
      <c r="K50" s="1939" t="str">
        <f>IF('Part VI-Revenues &amp; Expenses'!$M$152 =0,"",'Part VI-Revenues &amp; Expenses'!$M$152)</f>
        <v/>
      </c>
      <c r="L50" s="950">
        <f>G50*(1+'DCA Underwriting Assumptions'!$Q$12)</f>
        <v>248582.62</v>
      </c>
      <c r="M50" s="40" t="str">
        <f>CONCATENATE("x ", K50," units = ")</f>
        <v xml:space="preserve">x  units = </v>
      </c>
      <c r="N50" s="1940" t="str">
        <f>IF(K50="","",K50*L50)</f>
        <v/>
      </c>
      <c r="O50" s="636"/>
      <c r="P50" s="3762"/>
      <c r="Q50" s="3763"/>
      <c r="R50" s="462"/>
      <c r="S50" s="3766" t="s">
        <v>4527</v>
      </c>
      <c r="T50" s="3767"/>
      <c r="U50" s="3767"/>
      <c r="V50" s="3768"/>
      <c r="AC50" s="513"/>
      <c r="AD50" s="513"/>
      <c r="AE50" s="513"/>
      <c r="AF50" s="513"/>
      <c r="AG50" s="720"/>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8" t="s">
        <v>2379</v>
      </c>
      <c r="E51" s="949">
        <v>3</v>
      </c>
      <c r="F51" s="1939" t="str">
        <f>IF('Part VI-Revenues &amp; Expenses'!$N$151 =0,"",'Part VI-Revenues &amp; Expenses'!$N$151)</f>
        <v/>
      </c>
      <c r="G51" s="95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263362</v>
      </c>
      <c r="H51" s="40" t="str">
        <f>CONCATENATE("x ", F51," units = ")</f>
        <v xml:space="preserve">x  units = </v>
      </c>
      <c r="I51" s="1940" t="str">
        <f>IF(F51="","",F51*G51)</f>
        <v/>
      </c>
      <c r="J51" s="42"/>
      <c r="K51" s="1939" t="str">
        <f>IF('Part VI-Revenues &amp; Expenses'!$N$152 =0,"",'Part VI-Revenues &amp; Expenses'!$N$152)</f>
        <v/>
      </c>
      <c r="L51" s="950">
        <f>G51*(1+'DCA Underwriting Assumptions'!$Q$12)</f>
        <v>289698.2</v>
      </c>
      <c r="M51" s="40" t="str">
        <f>CONCATENATE("x ", K51," units = ")</f>
        <v xml:space="preserve">x  units = </v>
      </c>
      <c r="N51" s="1940" t="str">
        <f>IF(K51="","",K51*L51)</f>
        <v/>
      </c>
      <c r="O51" s="636"/>
      <c r="P51" s="3764"/>
      <c r="Q51" s="3765"/>
      <c r="S51" s="3769"/>
      <c r="T51" s="3770"/>
      <c r="U51" s="3770"/>
      <c r="V51" s="3771"/>
      <c r="AC51" s="513"/>
      <c r="AD51" s="513"/>
      <c r="AE51" s="513"/>
      <c r="AF51" s="513"/>
      <c r="AG51" s="720"/>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2" t="s">
        <v>2380</v>
      </c>
      <c r="E52" s="949">
        <v>4</v>
      </c>
      <c r="F52" s="1939" t="str">
        <f>IF('Part VI-Revenues &amp; Expenses'!$O$151 =0,"",'Part VI-Revenues &amp; Expenses'!$O$151)</f>
        <v/>
      </c>
      <c r="G52" s="95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312132.7</v>
      </c>
      <c r="H52" s="40" t="str">
        <f>CONCATENATE("x ", F52," units = ")</f>
        <v xml:space="preserve">x  units = </v>
      </c>
      <c r="I52" s="1940" t="str">
        <f>IF(F52="","",F52*G52)</f>
        <v/>
      </c>
      <c r="J52" s="42"/>
      <c r="K52" s="1939" t="str">
        <f>IF('Part VI-Revenues &amp; Expenses'!$O$152 =0,"",'Part VI-Revenues &amp; Expenses'!$O$152)</f>
        <v/>
      </c>
      <c r="L52" s="950">
        <f>G52*(1+'DCA Underwriting Assumptions'!$Q$12)</f>
        <v>343345.97000000003</v>
      </c>
      <c r="M52" s="40" t="str">
        <f>CONCATENATE("x ", K52," units = ")</f>
        <v xml:space="preserve">x  units = </v>
      </c>
      <c r="N52" s="1940" t="str">
        <f>IF(K52="","",K52*L52)</f>
        <v/>
      </c>
      <c r="O52" s="636"/>
      <c r="P52" s="3783" t="s">
        <v>3467</v>
      </c>
      <c r="Q52" s="3783"/>
      <c r="S52" s="3769"/>
      <c r="T52" s="3770"/>
      <c r="U52" s="3770"/>
      <c r="V52" s="3771"/>
      <c r="AC52" s="513"/>
      <c r="AD52" s="513"/>
      <c r="AE52" s="513"/>
      <c r="AF52" s="513"/>
      <c r="AG52" s="720"/>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3262</v>
      </c>
      <c r="E53" s="135"/>
      <c r="F53" s="1290">
        <f>SUM(F48:F52)</f>
        <v>0</v>
      </c>
      <c r="G53" s="704"/>
      <c r="H53" s="1291"/>
      <c r="I53" s="1292">
        <f>SUM(I48:I52)</f>
        <v>0</v>
      </c>
      <c r="J53" s="1293"/>
      <c r="K53" s="1290">
        <f>SUM(K48:K52)</f>
        <v>0</v>
      </c>
      <c r="L53" s="1293"/>
      <c r="M53" s="1291"/>
      <c r="N53" s="1292">
        <f>SUM(N48:N52)</f>
        <v>0</v>
      </c>
      <c r="O53" s="636"/>
      <c r="P53" s="1298" t="s">
        <v>3141</v>
      </c>
      <c r="Q53" s="1298" t="s">
        <v>251</v>
      </c>
      <c r="R53" s="462"/>
      <c r="S53" s="3769"/>
      <c r="T53" s="3770"/>
      <c r="U53" s="3770"/>
      <c r="V53" s="3771"/>
      <c r="AB53" s="513"/>
      <c r="AC53" s="513"/>
      <c r="AD53" s="513"/>
      <c r="AE53" s="513"/>
      <c r="AF53" s="513"/>
      <c r="AG53" s="720"/>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5"/>
      <c r="G54" s="142"/>
      <c r="H54" s="35"/>
      <c r="I54" s="1335"/>
      <c r="J54" s="35"/>
      <c r="K54" s="705"/>
      <c r="L54" s="35"/>
      <c r="M54" s="1331"/>
      <c r="N54" s="1335"/>
      <c r="O54" s="636"/>
      <c r="R54" s="462"/>
      <c r="S54" s="3769"/>
      <c r="T54" s="3770"/>
      <c r="U54" s="3770"/>
      <c r="V54" s="3771"/>
      <c r="W54" s="508"/>
      <c r="AB54" s="513"/>
      <c r="AC54" s="513"/>
      <c r="AD54" s="513"/>
      <c r="AE54" s="513"/>
      <c r="AF54" s="513"/>
      <c r="AG54" s="720"/>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3248</v>
      </c>
      <c r="B55" s="647"/>
      <c r="C55" s="1"/>
      <c r="D55" s="948" t="s">
        <v>551</v>
      </c>
      <c r="E55" s="949">
        <v>0</v>
      </c>
      <c r="F55" s="1939" t="str">
        <f>IF('Part VI-Revenues &amp; Expenses'!$K$153 =0,"",'Part VI-Revenues &amp; Expenses'!$K$153)</f>
        <v/>
      </c>
      <c r="G55" s="95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132063.6</v>
      </c>
      <c r="H55" s="40" t="str">
        <f>CONCATENATE("x ", F55," units = ")</f>
        <v xml:space="preserve">x  units = </v>
      </c>
      <c r="I55" s="1940" t="str">
        <f>IF(F55="","",F55*G55)</f>
        <v/>
      </c>
      <c r="J55" s="42"/>
      <c r="K55" s="1939" t="str">
        <f>IF('Part VI-Revenues &amp; Expenses'!$K$154 =0,"",'Part VI-Revenues &amp; Expenses'!$K$154)</f>
        <v/>
      </c>
      <c r="L55" s="950">
        <f>G55*(1+'DCA Underwriting Assumptions'!$Q$12)</f>
        <v>145269.96000000002</v>
      </c>
      <c r="M55" s="40" t="str">
        <f>CONCATENATE("x ", K55," units = ")</f>
        <v xml:space="preserve">x  units = </v>
      </c>
      <c r="N55" s="1940" t="str">
        <f>IF(K55="","",K55*L55)</f>
        <v/>
      </c>
      <c r="O55" s="636"/>
      <c r="P55" s="1297">
        <f>'Part IX Scoring Criteria'!O411</f>
        <v>0</v>
      </c>
      <c r="Q55" s="1297">
        <f>'Part IX Scoring Criteria'!P411</f>
        <v>0</v>
      </c>
      <c r="R55" s="462"/>
      <c r="S55" s="3769"/>
      <c r="T55" s="3770"/>
      <c r="U55" s="3770"/>
      <c r="V55" s="3771"/>
      <c r="W55" s="508"/>
      <c r="AB55" s="513"/>
      <c r="AC55" s="513"/>
      <c r="AD55" s="513"/>
      <c r="AE55" s="513"/>
      <c r="AF55" s="513"/>
      <c r="AG55" s="720"/>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8" t="s">
        <v>2377</v>
      </c>
      <c r="E56" s="949">
        <v>1</v>
      </c>
      <c r="F56" s="1939">
        <f>IF('Part VI-Revenues &amp; Expenses'!$L$153 =0,"",'Part VI-Revenues &amp; Expenses'!$L$153)</f>
        <v>18</v>
      </c>
      <c r="G56" s="95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173042.8</v>
      </c>
      <c r="H56" s="40" t="str">
        <f>CONCATENATE("x ", F56," units = ")</f>
        <v xml:space="preserve">x 18 units = </v>
      </c>
      <c r="I56" s="1940">
        <f>IF(F56="","",F56*G56)</f>
        <v>3114770.4</v>
      </c>
      <c r="J56" s="42"/>
      <c r="K56" s="1939" t="str">
        <f>IF('Part VI-Revenues &amp; Expenses'!$L$154 =0,"",'Part VI-Revenues &amp; Expenses'!$L$154)</f>
        <v/>
      </c>
      <c r="L56" s="950">
        <f>G56*(1+'DCA Underwriting Assumptions'!$Q$12)</f>
        <v>190347.08000000002</v>
      </c>
      <c r="M56" s="40" t="str">
        <f>CONCATENATE("x ", K56," units = ")</f>
        <v xml:space="preserve">x  units = </v>
      </c>
      <c r="N56" s="1940" t="str">
        <f>IF(K56="","",K56*L56)</f>
        <v/>
      </c>
      <c r="P56" s="3783" t="s">
        <v>3468</v>
      </c>
      <c r="Q56" s="3783"/>
      <c r="S56" s="3769"/>
      <c r="T56" s="3770"/>
      <c r="U56" s="3770"/>
      <c r="V56" s="3771"/>
      <c r="W56" s="508"/>
      <c r="AB56" s="513"/>
      <c r="AC56" s="513"/>
      <c r="AD56" s="513"/>
      <c r="AE56" s="513"/>
      <c r="AF56" s="513"/>
      <c r="AG56" s="720"/>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8" t="s">
        <v>2378</v>
      </c>
      <c r="E57" s="949">
        <v>2</v>
      </c>
      <c r="F57" s="1939">
        <f>IF('Part VI-Revenues &amp; Expenses'!$M$153 =0,"",'Part VI-Revenues &amp; Expenses'!$M$153)</f>
        <v>106</v>
      </c>
      <c r="G57" s="95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219212.99999999997</v>
      </c>
      <c r="H57" s="40" t="str">
        <f>CONCATENATE("x ", F57," units = ")</f>
        <v xml:space="preserve">x 106 units = </v>
      </c>
      <c r="I57" s="1940">
        <f>IF(F57="","",F57*G57)</f>
        <v>23236577.999999996</v>
      </c>
      <c r="J57" s="42"/>
      <c r="K57" s="1939" t="str">
        <f>IF('Part VI-Revenues &amp; Expenses'!$M$154 =0,"",'Part VI-Revenues &amp; Expenses'!$M$154)</f>
        <v/>
      </c>
      <c r="L57" s="950">
        <f>G57*(1+'DCA Underwriting Assumptions'!$Q$12)</f>
        <v>241134.3</v>
      </c>
      <c r="M57" s="40" t="str">
        <f>CONCATENATE("x ", K57," units = ")</f>
        <v xml:space="preserve">x  units = </v>
      </c>
      <c r="N57" s="1940" t="str">
        <f>IF(K57="","",K57*L57)</f>
        <v/>
      </c>
      <c r="P57" s="1298" t="s">
        <v>3141</v>
      </c>
      <c r="Q57" s="1298" t="s">
        <v>251</v>
      </c>
      <c r="S57" s="3769"/>
      <c r="T57" s="3770"/>
      <c r="U57" s="3770"/>
      <c r="V57" s="3771"/>
      <c r="W57" s="508"/>
      <c r="AB57" s="513"/>
      <c r="AC57" s="513"/>
      <c r="AD57" s="513"/>
      <c r="AE57" s="513"/>
      <c r="AF57" s="513"/>
      <c r="AG57" s="720"/>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8" t="s">
        <v>2379</v>
      </c>
      <c r="E58" s="949">
        <v>3</v>
      </c>
      <c r="F58" s="1939">
        <f>IF('Part VI-Revenues &amp; Expenses'!$N$153 =0,"",'Part VI-Revenues &amp; Expenses'!$N$153)</f>
        <v>76</v>
      </c>
      <c r="G58" s="95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276458.60000000003</v>
      </c>
      <c r="H58" s="40" t="str">
        <f>CONCATENATE("x ", F58," units = ")</f>
        <v xml:space="preserve">x 76 units = </v>
      </c>
      <c r="I58" s="1940">
        <f>IF(F58="","",F58*G58)</f>
        <v>21010853.600000001</v>
      </c>
      <c r="J58" s="42"/>
      <c r="K58" s="1939" t="str">
        <f>IF('Part VI-Revenues &amp; Expenses'!$N$154 =0,"",'Part VI-Revenues &amp; Expenses'!$N$154)</f>
        <v/>
      </c>
      <c r="L58" s="950">
        <f>G58*(1+'DCA Underwriting Assumptions'!$Q$12)</f>
        <v>304104.46000000008</v>
      </c>
      <c r="M58" s="40" t="str">
        <f>CONCATENATE("x ", K58," units = ")</f>
        <v xml:space="preserve">x  units = </v>
      </c>
      <c r="N58" s="1940" t="str">
        <f>IF(K58="","",K58*L58)</f>
        <v/>
      </c>
      <c r="O58" s="636"/>
      <c r="P58" s="1297">
        <f>'Part IX Scoring Criteria'!O74</f>
        <v>0</v>
      </c>
      <c r="Q58" s="1297">
        <f>'Part IX Scoring Criteria'!P74</f>
        <v>0</v>
      </c>
      <c r="S58" s="3769"/>
      <c r="T58" s="3770"/>
      <c r="U58" s="3770"/>
      <c r="V58" s="3771"/>
      <c r="W58" s="508"/>
      <c r="AB58" s="513"/>
      <c r="AC58" s="513"/>
      <c r="AD58" s="513"/>
      <c r="AE58" s="513"/>
      <c r="AF58" s="513"/>
      <c r="AG58" s="720"/>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2" t="s">
        <v>2380</v>
      </c>
      <c r="E59" s="949">
        <v>4</v>
      </c>
      <c r="F59" s="1939" t="str">
        <f>IF('Part VI-Revenues &amp; Expenses'!$O$153 =0,"",'Part VI-Revenues &amp; Expenses'!$O$153)</f>
        <v/>
      </c>
      <c r="G59" s="95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342822.7</v>
      </c>
      <c r="H59" s="40" t="str">
        <f>CONCATENATE("x ", F59," units = ")</f>
        <v xml:space="preserve">x  units = </v>
      </c>
      <c r="I59" s="1940" t="str">
        <f>IF(F59="","",F59*G59)</f>
        <v/>
      </c>
      <c r="J59" s="42"/>
      <c r="K59" s="1939" t="str">
        <f>IF('Part VI-Revenues &amp; Expenses'!$O$154 =0,"",'Part VI-Revenues &amp; Expenses'!$O$154)</f>
        <v/>
      </c>
      <c r="L59" s="950">
        <f>G59*(1+'DCA Underwriting Assumptions'!$Q$12)</f>
        <v>377104.97000000003</v>
      </c>
      <c r="M59" s="40" t="str">
        <f>CONCATENATE("x ", K59," units = ")</f>
        <v xml:space="preserve">x  units = </v>
      </c>
      <c r="N59" s="1940" t="str">
        <f>IF(K59="","",K59*L59)</f>
        <v/>
      </c>
      <c r="O59" s="636"/>
      <c r="P59" s="3789" t="s">
        <v>2679</v>
      </c>
      <c r="Q59" s="3789"/>
      <c r="S59" s="3769"/>
      <c r="T59" s="3770"/>
      <c r="U59" s="3770"/>
      <c r="V59" s="3771"/>
      <c r="W59" s="508"/>
      <c r="AB59" s="513"/>
      <c r="AC59" s="513"/>
      <c r="AD59" s="513"/>
      <c r="AE59" s="513"/>
      <c r="AF59" s="513"/>
      <c r="AG59" s="720"/>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3262</v>
      </c>
      <c r="E60" s="135"/>
      <c r="F60" s="1290">
        <f>SUM(F55:F59)</f>
        <v>200</v>
      </c>
      <c r="G60" s="704"/>
      <c r="H60" s="1291"/>
      <c r="I60" s="1292">
        <f>SUM(I55:I59)</f>
        <v>47362202</v>
      </c>
      <c r="J60" s="1293"/>
      <c r="K60" s="1290">
        <f>SUM(K55:K59)</f>
        <v>0</v>
      </c>
      <c r="L60" s="1293"/>
      <c r="M60" s="1291"/>
      <c r="N60" s="1292">
        <f>SUM(N55:N59)</f>
        <v>0</v>
      </c>
      <c r="O60" s="636"/>
      <c r="P60" s="3789"/>
      <c r="Q60" s="3789"/>
      <c r="S60" s="3769"/>
      <c r="T60" s="3770"/>
      <c r="U60" s="3770"/>
      <c r="V60" s="3771"/>
      <c r="W60" s="508"/>
      <c r="AB60" s="513"/>
      <c r="AC60" s="513"/>
      <c r="AD60" s="513"/>
      <c r="AE60" s="513"/>
      <c r="AF60" s="513"/>
      <c r="AG60" s="720"/>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5"/>
      <c r="G61" s="142"/>
      <c r="H61" s="35"/>
      <c r="I61" s="1335"/>
      <c r="J61" s="35"/>
      <c r="K61" s="705"/>
      <c r="L61" s="35"/>
      <c r="M61" s="1331"/>
      <c r="N61" s="1335"/>
      <c r="O61" s="636"/>
      <c r="P61" s="3789"/>
      <c r="Q61" s="3789"/>
      <c r="R61" s="462"/>
      <c r="S61" s="3769"/>
      <c r="T61" s="3770"/>
      <c r="U61" s="3770"/>
      <c r="V61" s="3771"/>
      <c r="W61" s="508"/>
      <c r="AB61" s="513"/>
      <c r="AC61" s="513"/>
      <c r="AD61" s="513"/>
      <c r="AE61" s="513"/>
      <c r="AF61" s="513"/>
      <c r="AG61" s="720"/>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3249</v>
      </c>
      <c r="B62" s="8"/>
      <c r="C62" s="1"/>
      <c r="D62" s="948" t="s">
        <v>551</v>
      </c>
      <c r="E62" s="949">
        <v>0</v>
      </c>
      <c r="F62" s="1939" t="str">
        <f>IF('Part VI-Revenues &amp; Expenses'!$K$155 =0,"",'Part VI-Revenues &amp; Expenses'!$K$155)</f>
        <v/>
      </c>
      <c r="G62" s="95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134532</v>
      </c>
      <c r="H62" s="40" t="str">
        <f>CONCATENATE("x ", F62," units = ")</f>
        <v xml:space="preserve">x  units = </v>
      </c>
      <c r="I62" s="1940" t="str">
        <f>IF(F62="","",F62*G62)</f>
        <v/>
      </c>
      <c r="J62" s="42"/>
      <c r="K62" s="1939" t="str">
        <f>IF('Part VI-Revenues &amp; Expenses'!$K$156 =0,"",'Part VI-Revenues &amp; Expenses'!$K$156)</f>
        <v/>
      </c>
      <c r="L62" s="950">
        <f>G62*(1+'DCA Underwriting Assumptions'!$Q$12)</f>
        <v>147985.20000000001</v>
      </c>
      <c r="M62" s="40" t="str">
        <f>CONCATENATE("x ", K62," units = ")</f>
        <v xml:space="preserve">x  units = </v>
      </c>
      <c r="N62" s="1940" t="str">
        <f>IF(K62="","",K62*L62)</f>
        <v/>
      </c>
      <c r="O62" s="636"/>
      <c r="P62" s="3790"/>
      <c r="Q62" s="3790"/>
      <c r="R62" s="462"/>
      <c r="S62" s="3772"/>
      <c r="T62" s="3773"/>
      <c r="U62" s="3773"/>
      <c r="V62" s="3774"/>
      <c r="W62" s="508"/>
      <c r="X62" s="509"/>
      <c r="Y62" s="508"/>
      <c r="Z62" s="512"/>
      <c r="AA62" s="513"/>
      <c r="AB62" s="513"/>
      <c r="AC62" s="513"/>
      <c r="AD62" s="513"/>
      <c r="AE62" s="513"/>
      <c r="AF62" s="513"/>
      <c r="AG62" s="720"/>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8" t="s">
        <v>2377</v>
      </c>
      <c r="E63" s="949">
        <v>1</v>
      </c>
      <c r="F63" s="1939" t="str">
        <f>IF('Part VI-Revenues &amp; Expenses'!$L$155 =0,"",'Part VI-Revenues &amp; Expenses'!$L$155)</f>
        <v/>
      </c>
      <c r="G63" s="95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180498.25</v>
      </c>
      <c r="H63" s="40" t="str">
        <f>CONCATENATE("x ", F63," units = ")</f>
        <v xml:space="preserve">x  units = </v>
      </c>
      <c r="I63" s="1940" t="str">
        <f>IF(F63="","",F63*G63)</f>
        <v/>
      </c>
      <c r="J63" s="42"/>
      <c r="K63" s="1939" t="str">
        <f>IF('Part VI-Revenues &amp; Expenses'!$L$156 =0,"",'Part VI-Revenues &amp; Expenses'!$L$156)</f>
        <v/>
      </c>
      <c r="L63" s="950">
        <f>G63*(1+'DCA Underwriting Assumptions'!$Q$12)</f>
        <v>198548.07500000001</v>
      </c>
      <c r="M63" s="40" t="str">
        <f>CONCATENATE("x ", K63," units = ")</f>
        <v xml:space="preserve">x  units = </v>
      </c>
      <c r="N63" s="1940" t="str">
        <f>IF(K63="","",K63*L63)</f>
        <v/>
      </c>
      <c r="O63" s="636"/>
      <c r="P63" s="3791">
        <f>IF(P50&gt;1,P50, IF(OR('Part IX Scoring Criteria'!$O$74='Part IX Scoring Criteria'!$M$74,AND('Part IV-A-Uses of Funds'!$T$172="Yes",'Part IX Scoring Criteria'!$O$411&gt;0)),H69+M69,H69))</f>
        <v>47362202</v>
      </c>
      <c r="Q63" s="3792"/>
      <c r="R63" s="2077"/>
      <c r="S63" s="2078"/>
      <c r="U63" s="35"/>
      <c r="V63" s="508"/>
      <c r="W63" s="508"/>
      <c r="X63" s="509"/>
      <c r="Y63" s="508"/>
      <c r="Z63" s="512"/>
      <c r="AA63" s="513"/>
      <c r="AB63" s="513"/>
      <c r="AC63" s="513"/>
      <c r="AD63" s="513"/>
      <c r="AE63" s="513"/>
      <c r="AF63" s="513"/>
      <c r="AG63" s="720"/>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8" t="s">
        <v>2378</v>
      </c>
      <c r="E64" s="949">
        <v>2</v>
      </c>
      <c r="F64" s="1939" t="str">
        <f>IF('Part VI-Revenues &amp; Expenses'!$M$155 =0,"",'Part VI-Revenues &amp; Expenses'!$M$155)</f>
        <v/>
      </c>
      <c r="G64" s="95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232068.84999999998</v>
      </c>
      <c r="H64" s="40" t="str">
        <f>CONCATENATE("x ", F64," units = ")</f>
        <v xml:space="preserve">x  units = </v>
      </c>
      <c r="I64" s="1940" t="str">
        <f>IF(F64="","",F64*G64)</f>
        <v/>
      </c>
      <c r="J64" s="42"/>
      <c r="K64" s="1939" t="str">
        <f>IF('Part VI-Revenues &amp; Expenses'!$M$156 =0,"",'Part VI-Revenues &amp; Expenses'!$M$156)</f>
        <v/>
      </c>
      <c r="L64" s="950">
        <f>G64*(1+'DCA Underwriting Assumptions'!$Q$12)</f>
        <v>255275.73499999999</v>
      </c>
      <c r="M64" s="40" t="str">
        <f>CONCATENATE("x ", K64," units = ")</f>
        <v xml:space="preserve">x  units = </v>
      </c>
      <c r="N64" s="1940" t="str">
        <f>IF(K64="","",K64*L64)</f>
        <v/>
      </c>
      <c r="P64" s="3793"/>
      <c r="Q64" s="3794"/>
      <c r="R64" s="2077"/>
      <c r="S64" s="2078"/>
      <c r="U64" s="35"/>
      <c r="V64" s="508"/>
      <c r="W64" s="508"/>
      <c r="X64" s="509"/>
      <c r="Y64" s="508"/>
      <c r="Z64" s="512"/>
      <c r="AA64" s="513"/>
      <c r="AB64" s="513"/>
      <c r="AC64" s="513"/>
      <c r="AD64" s="513"/>
      <c r="AE64" s="513"/>
      <c r="AF64" s="513"/>
      <c r="AG64" s="720"/>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8" t="s">
        <v>2379</v>
      </c>
      <c r="E65" s="949">
        <v>3</v>
      </c>
      <c r="F65" s="1939" t="str">
        <f>IF('Part VI-Revenues &amp; Expenses'!$N$155 =0,"",'Part VI-Revenues &amp; Expenses'!$N$155)</f>
        <v/>
      </c>
      <c r="G65" s="95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295971.5</v>
      </c>
      <c r="H65" s="40" t="str">
        <f>CONCATENATE("x ", F65," units = ")</f>
        <v xml:space="preserve">x  units = </v>
      </c>
      <c r="I65" s="1940" t="str">
        <f>IF(F65="","",F65*G65)</f>
        <v/>
      </c>
      <c r="J65" s="42"/>
      <c r="K65" s="1939" t="str">
        <f>IF('Part VI-Revenues &amp; Expenses'!$N$156 =0,"",'Part VI-Revenues &amp; Expenses'!$N$156)</f>
        <v/>
      </c>
      <c r="L65" s="950">
        <f>G65*(1+'DCA Underwriting Assumptions'!$Q$12)</f>
        <v>325568.65000000002</v>
      </c>
      <c r="M65" s="40" t="str">
        <f>CONCATENATE("x ", K65," units = ")</f>
        <v xml:space="preserve">x  units = </v>
      </c>
      <c r="N65" s="1940" t="str">
        <f>IF(K65="","",K65*L65)</f>
        <v/>
      </c>
      <c r="P65" s="3779" t="s">
        <v>3885</v>
      </c>
      <c r="Q65" s="3779"/>
      <c r="R65" s="462"/>
      <c r="U65" s="35"/>
      <c r="V65" s="508"/>
      <c r="W65" s="508"/>
      <c r="X65" s="509"/>
      <c r="Y65" s="508"/>
      <c r="Z65" s="512"/>
      <c r="AA65" s="513"/>
      <c r="AB65" s="513"/>
      <c r="AC65" s="513"/>
      <c r="AD65" s="513"/>
      <c r="AE65" s="513"/>
      <c r="AF65" s="513"/>
      <c r="AG65" s="720"/>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2" t="s">
        <v>2380</v>
      </c>
      <c r="E66" s="949">
        <v>4</v>
      </c>
      <c r="F66" s="1939" t="str">
        <f>IF('Part VI-Revenues &amp; Expenses'!$O$155 =0,"",'Part VI-Revenues &amp; Expenses'!$O$155)</f>
        <v/>
      </c>
      <c r="G66" s="95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369964.10000000003</v>
      </c>
      <c r="H66" s="40" t="str">
        <f>CONCATENATE("x ", F66," units = ")</f>
        <v xml:space="preserve">x  units = </v>
      </c>
      <c r="I66" s="1940" t="str">
        <f>IF(F66="","",F66*G66)</f>
        <v/>
      </c>
      <c r="J66" s="42"/>
      <c r="K66" s="1939" t="str">
        <f>IF('Part VI-Revenues &amp; Expenses'!$O$156 =0,"",'Part VI-Revenues &amp; Expenses'!$O$156)</f>
        <v/>
      </c>
      <c r="L66" s="950">
        <f>G66*(1+'DCA Underwriting Assumptions'!$Q$12)</f>
        <v>406960.51000000007</v>
      </c>
      <c r="M66" s="40" t="str">
        <f>CONCATENATE("x ", K66," units = ")</f>
        <v xml:space="preserve">x  units = </v>
      </c>
      <c r="N66" s="1940" t="str">
        <f>IF(K66="","",K66*L66)</f>
        <v/>
      </c>
      <c r="O66" s="636"/>
      <c r="P66" s="3780"/>
      <c r="Q66" s="3780"/>
      <c r="R66" s="462"/>
      <c r="U66" s="35"/>
      <c r="V66" s="508"/>
      <c r="W66" s="508"/>
      <c r="X66" s="509"/>
      <c r="Y66" s="508"/>
      <c r="Z66" s="512"/>
      <c r="AA66" s="513"/>
      <c r="AB66" s="513"/>
      <c r="AC66" s="513"/>
      <c r="AD66" s="513"/>
      <c r="AE66" s="513"/>
      <c r="AF66" s="513"/>
      <c r="AG66" s="720"/>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3262</v>
      </c>
      <c r="E67" s="135"/>
      <c r="F67" s="1290">
        <f>SUM(F62:F66)</f>
        <v>0</v>
      </c>
      <c r="G67" s="704"/>
      <c r="H67" s="1291"/>
      <c r="I67" s="1294">
        <f>SUM(I62:I66)</f>
        <v>0</v>
      </c>
      <c r="J67" s="1293"/>
      <c r="K67" s="1290">
        <f>SUM(K62:K66)</f>
        <v>0</v>
      </c>
      <c r="L67" s="1293"/>
      <c r="M67" s="1291"/>
      <c r="N67" s="1294">
        <f>SUM(N62:N66)</f>
        <v>0</v>
      </c>
      <c r="O67" s="636"/>
      <c r="P67" s="3780"/>
      <c r="Q67" s="3780"/>
      <c r="R67" s="462"/>
      <c r="U67" s="35"/>
      <c r="V67" s="508"/>
      <c r="W67" s="508"/>
      <c r="X67" s="509"/>
      <c r="Y67" s="508"/>
      <c r="Z67" s="512"/>
      <c r="AA67" s="513"/>
      <c r="AB67" s="513"/>
      <c r="AC67" s="513"/>
      <c r="AD67" s="513"/>
      <c r="AE67" s="513"/>
      <c r="AF67" s="513"/>
      <c r="AG67" s="720"/>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2"/>
      <c r="O68" s="636"/>
      <c r="P68" s="3780"/>
      <c r="Q68" s="3780"/>
      <c r="R68" s="462"/>
      <c r="S68" s="462"/>
      <c r="T68" s="35"/>
      <c r="U68" s="35"/>
      <c r="V68" s="508"/>
      <c r="W68" s="508"/>
      <c r="X68" s="509"/>
      <c r="Y68" s="508"/>
      <c r="Z68" s="512"/>
      <c r="AA68" s="513"/>
      <c r="AB68" s="513"/>
      <c r="AC68" s="513"/>
      <c r="AD68" s="513"/>
      <c r="AE68" s="513"/>
      <c r="AF68" s="513"/>
      <c r="AG68" s="720"/>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3263</v>
      </c>
      <c r="B69" s="1"/>
      <c r="C69" s="1"/>
      <c r="D69" s="91"/>
      <c r="E69" s="113"/>
      <c r="F69" s="695">
        <f>F46+F53+F60+F67</f>
        <v>200</v>
      </c>
      <c r="G69" s="367"/>
      <c r="H69" s="3782">
        <f>I46+I53+I60+I67</f>
        <v>47362202</v>
      </c>
      <c r="I69" s="3782"/>
      <c r="J69" s="3782"/>
      <c r="K69" s="695">
        <f>K46+K53+K60+K67</f>
        <v>0</v>
      </c>
      <c r="L69" s="696"/>
      <c r="M69" s="3782">
        <f>N46+N53+N60+N67</f>
        <v>0</v>
      </c>
      <c r="N69" s="3782"/>
      <c r="O69" s="3782"/>
      <c r="P69" s="3780"/>
      <c r="Q69" s="3780"/>
      <c r="R69" s="462"/>
      <c r="S69" s="462"/>
      <c r="T69" s="35"/>
      <c r="U69" s="35"/>
      <c r="V69" s="508"/>
      <c r="W69" s="508"/>
      <c r="X69" s="509"/>
      <c r="Y69" s="508"/>
      <c r="Z69" s="512"/>
      <c r="AA69" s="513"/>
      <c r="AB69" s="513"/>
      <c r="AC69" s="513"/>
      <c r="AD69" s="513"/>
      <c r="AE69" s="513"/>
      <c r="AF69" s="513"/>
      <c r="AG69" s="720"/>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3571</v>
      </c>
      <c r="D70" s="96"/>
      <c r="E70" s="96"/>
      <c r="F70" s="96"/>
      <c r="G70" s="96"/>
      <c r="H70" s="40"/>
      <c r="I70" s="1337"/>
      <c r="J70" s="1337"/>
      <c r="K70" s="139" t="s">
        <v>1820</v>
      </c>
      <c r="L70" s="1330"/>
      <c r="M70" s="1330"/>
      <c r="N70" s="1330"/>
      <c r="O70" s="1330"/>
      <c r="P70" s="3781"/>
      <c r="Q70" s="3781"/>
    </row>
    <row r="71" spans="1:295" ht="10.5" customHeight="1">
      <c r="A71" s="3660" t="s">
        <v>7113</v>
      </c>
      <c r="B71" s="3661"/>
      <c r="C71" s="3661"/>
      <c r="D71" s="3661"/>
      <c r="E71" s="3661"/>
      <c r="F71" s="3661"/>
      <c r="G71" s="3661"/>
      <c r="H71" s="3661"/>
      <c r="I71" s="3661"/>
      <c r="J71" s="3662"/>
      <c r="K71" s="3620"/>
      <c r="L71" s="3621"/>
      <c r="M71" s="3621"/>
      <c r="N71" s="3621"/>
      <c r="O71" s="3621"/>
      <c r="P71" s="3621"/>
      <c r="Q71" s="3622"/>
      <c r="R71" s="503" t="s">
        <v>1228</v>
      </c>
      <c r="U71" s="138"/>
      <c r="V71" s="138"/>
      <c r="W71" s="138"/>
      <c r="X71" s="138"/>
      <c r="Y71" s="138"/>
      <c r="Z71" s="138"/>
      <c r="AA71" s="138"/>
      <c r="AB71" s="138"/>
      <c r="AC71" s="138"/>
      <c r="AD71" s="138"/>
      <c r="AE71" s="520"/>
    </row>
    <row r="72" spans="1:295" ht="3" customHeight="1">
      <c r="B72" s="1337"/>
      <c r="C72" s="1331"/>
      <c r="D72" s="1331"/>
      <c r="E72" s="1331"/>
      <c r="F72" s="1331"/>
      <c r="G72" s="1331"/>
      <c r="H72" s="1331"/>
      <c r="I72" s="1331"/>
      <c r="J72" s="1331"/>
      <c r="K72" s="1331"/>
      <c r="L72" s="1331"/>
      <c r="M72" s="1331"/>
      <c r="N72" s="1331"/>
      <c r="O72" s="1331"/>
      <c r="P72" s="1331"/>
      <c r="Q72" s="1330"/>
    </row>
    <row r="73" spans="1:295" ht="12.75" customHeight="1">
      <c r="A73" s="1336" t="s">
        <v>724</v>
      </c>
      <c r="B73" s="4" t="s">
        <v>1166</v>
      </c>
      <c r="C73" s="4"/>
      <c r="D73" s="4"/>
      <c r="E73" s="1331"/>
      <c r="F73" s="1331"/>
      <c r="G73" s="142" t="s">
        <v>4563</v>
      </c>
      <c r="H73" s="1331"/>
      <c r="J73" s="3784" t="str">
        <f>'Part I-Project Information'!$H$82</f>
        <v>Family</v>
      </c>
      <c r="K73" s="3784"/>
      <c r="L73" s="3784"/>
      <c r="O73" s="134" t="s">
        <v>1821</v>
      </c>
      <c r="P73" s="3666"/>
      <c r="Q73" s="3667"/>
    </row>
    <row r="74" spans="1:295" ht="10.5" customHeight="1">
      <c r="B74" s="96" t="s">
        <v>3571</v>
      </c>
      <c r="D74" s="96"/>
      <c r="E74" s="96"/>
      <c r="F74" s="96"/>
      <c r="G74" s="96"/>
      <c r="H74" s="40"/>
      <c r="I74" s="1337"/>
      <c r="J74" s="1337"/>
      <c r="K74" s="139" t="s">
        <v>1820</v>
      </c>
      <c r="L74" s="1330"/>
      <c r="M74" s="1330"/>
      <c r="N74" s="1330"/>
      <c r="O74" s="1330"/>
      <c r="P74" s="1330"/>
      <c r="Q74" s="994"/>
    </row>
    <row r="75" spans="1:295" ht="10.5" customHeight="1">
      <c r="A75" s="3660" t="s">
        <v>7114</v>
      </c>
      <c r="B75" s="3661"/>
      <c r="C75" s="3661"/>
      <c r="D75" s="3661"/>
      <c r="E75" s="3661"/>
      <c r="F75" s="3661"/>
      <c r="G75" s="3661"/>
      <c r="H75" s="3661"/>
      <c r="I75" s="3661"/>
      <c r="J75" s="3662"/>
      <c r="K75" s="3620"/>
      <c r="L75" s="3621"/>
      <c r="M75" s="3621"/>
      <c r="N75" s="3621"/>
      <c r="O75" s="3621"/>
      <c r="P75" s="3621"/>
      <c r="Q75" s="3622"/>
      <c r="R75" s="503" t="s">
        <v>1228</v>
      </c>
      <c r="U75" s="138"/>
      <c r="V75" s="138"/>
      <c r="W75" s="138"/>
      <c r="X75" s="138"/>
      <c r="Y75" s="138"/>
      <c r="Z75" s="138"/>
      <c r="AA75" s="138"/>
      <c r="AB75" s="138"/>
      <c r="AC75" s="138"/>
      <c r="AD75" s="138"/>
      <c r="AE75" s="520"/>
    </row>
    <row r="76" spans="1:295" ht="3" customHeight="1">
      <c r="A76" s="1330"/>
      <c r="B76" s="1337"/>
      <c r="C76" s="1331"/>
      <c r="D76" s="1331"/>
      <c r="E76" s="1331"/>
      <c r="F76" s="1331"/>
      <c r="G76" s="1331"/>
      <c r="H76" s="1331"/>
      <c r="I76" s="1331"/>
      <c r="J76" s="1331"/>
      <c r="K76" s="1331"/>
      <c r="L76" s="1331"/>
      <c r="M76" s="1331"/>
      <c r="N76" s="1331"/>
      <c r="O76" s="1331"/>
      <c r="P76" s="1331"/>
      <c r="Q76" s="1330"/>
    </row>
    <row r="77" spans="1:295" ht="12.75" customHeight="1">
      <c r="A77" s="1336" t="s">
        <v>1748</v>
      </c>
      <c r="B77" s="1336" t="s">
        <v>2580</v>
      </c>
      <c r="C77" s="116"/>
      <c r="D77" s="1331"/>
      <c r="E77" s="1331"/>
      <c r="F77" s="1331"/>
      <c r="G77" s="1331"/>
      <c r="H77" s="1331"/>
      <c r="I77" s="1331"/>
      <c r="J77" s="1331"/>
      <c r="L77" s="2083" t="s">
        <v>4256</v>
      </c>
      <c r="M77" s="2084" t="s">
        <v>4257</v>
      </c>
      <c r="O77" s="134" t="s">
        <v>1821</v>
      </c>
      <c r="P77" s="3666"/>
      <c r="Q77" s="3667"/>
    </row>
    <row r="78" spans="1:295" ht="1.5" customHeight="1"/>
    <row r="79" spans="1:295" ht="12" customHeight="1">
      <c r="A79" s="144" t="s">
        <v>1936</v>
      </c>
      <c r="B79" s="3711" t="s">
        <v>4249</v>
      </c>
      <c r="C79" s="3711"/>
      <c r="D79" s="3711"/>
      <c r="E79" s="3711"/>
      <c r="F79" s="3711"/>
      <c r="G79" s="3711"/>
      <c r="H79" s="3711"/>
      <c r="I79" s="3711"/>
      <c r="J79" s="3711"/>
      <c r="K79" s="150"/>
      <c r="L79" s="492" t="s">
        <v>2808</v>
      </c>
      <c r="M79" s="1858">
        <v>2</v>
      </c>
      <c r="N79" s="447" t="s">
        <v>4708</v>
      </c>
      <c r="P79" s="3786" t="s">
        <v>7115</v>
      </c>
      <c r="Q79" s="3862"/>
    </row>
    <row r="80" spans="1:295" ht="12" customHeight="1">
      <c r="A80" s="144"/>
      <c r="B80" s="3711"/>
      <c r="C80" s="3711"/>
      <c r="D80" s="3711"/>
      <c r="E80" s="3711"/>
      <c r="F80" s="3711"/>
      <c r="G80" s="3711"/>
      <c r="H80" s="3711"/>
      <c r="I80" s="3711"/>
      <c r="J80" s="3711"/>
      <c r="K80" s="150"/>
      <c r="L80" s="492" t="s">
        <v>4255</v>
      </c>
      <c r="M80" s="1859">
        <v>4</v>
      </c>
      <c r="O80" s="145"/>
      <c r="P80" s="3787"/>
      <c r="Q80" s="3863"/>
    </row>
    <row r="81" spans="1:31" ht="12" customHeight="1">
      <c r="A81" s="47" t="s">
        <v>1938</v>
      </c>
      <c r="B81" s="447" t="s">
        <v>4258</v>
      </c>
      <c r="C81" s="447"/>
      <c r="D81" s="447"/>
      <c r="E81" s="447"/>
      <c r="F81" s="447"/>
      <c r="G81" s="447"/>
      <c r="H81" s="447"/>
      <c r="I81" s="447"/>
      <c r="J81" s="447"/>
      <c r="K81" s="659"/>
      <c r="L81" s="447"/>
      <c r="M81" s="150"/>
      <c r="N81" s="1046"/>
      <c r="O81" s="1046"/>
      <c r="P81" s="1046"/>
    </row>
    <row r="82" spans="1:31" ht="12" customHeight="1">
      <c r="A82" s="1767"/>
      <c r="B82" s="1906" t="s">
        <v>1694</v>
      </c>
      <c r="C82" s="447" t="s">
        <v>4262</v>
      </c>
      <c r="D82" s="1771"/>
      <c r="E82" s="1771"/>
      <c r="F82" s="1771"/>
      <c r="G82" s="1771"/>
      <c r="H82" s="1771"/>
      <c r="I82" s="1771"/>
      <c r="J82" s="1771"/>
      <c r="K82" s="1770"/>
      <c r="L82" s="1045"/>
      <c r="N82" s="447" t="s">
        <v>4709</v>
      </c>
      <c r="O82" s="1046"/>
      <c r="P82" s="236" t="s">
        <v>7115</v>
      </c>
      <c r="Q82" s="603"/>
    </row>
    <row r="83" spans="1:31" ht="12" customHeight="1">
      <c r="A83" s="1767"/>
      <c r="B83" s="1906" t="s">
        <v>1695</v>
      </c>
      <c r="C83" s="447" t="s">
        <v>4259</v>
      </c>
      <c r="D83" s="1771"/>
      <c r="E83" s="1771"/>
      <c r="F83" s="1771"/>
      <c r="G83" s="1771"/>
      <c r="H83" s="1771"/>
      <c r="I83" s="1771"/>
      <c r="J83" s="1771"/>
      <c r="K83" s="1770"/>
      <c r="L83" s="1045"/>
      <c r="N83" s="447" t="s">
        <v>4710</v>
      </c>
      <c r="O83" s="1046"/>
      <c r="P83" s="419" t="s">
        <v>7115</v>
      </c>
      <c r="Q83" s="604"/>
    </row>
    <row r="84" spans="1:31" ht="12" customHeight="1">
      <c r="A84" s="1766"/>
      <c r="B84" s="531" t="s">
        <v>1696</v>
      </c>
      <c r="C84" s="447" t="s">
        <v>4260</v>
      </c>
      <c r="E84" s="1771"/>
      <c r="F84" s="1771"/>
      <c r="G84" s="1771"/>
      <c r="H84" s="1771"/>
      <c r="I84" s="1771"/>
      <c r="J84" s="1771"/>
      <c r="K84" s="1770"/>
      <c r="L84" s="1045"/>
      <c r="M84" s="1046"/>
      <c r="N84" s="447" t="s">
        <v>4711</v>
      </c>
      <c r="O84" s="1046"/>
      <c r="P84" s="419" t="s">
        <v>7115</v>
      </c>
      <c r="Q84" s="604"/>
    </row>
    <row r="85" spans="1:31" ht="11.1" customHeight="1">
      <c r="A85" s="146"/>
      <c r="B85" s="531" t="s">
        <v>2305</v>
      </c>
      <c r="C85" s="531" t="s">
        <v>4263</v>
      </c>
      <c r="D85" s="136"/>
      <c r="E85" s="136"/>
      <c r="F85" s="136"/>
      <c r="G85" s="136"/>
      <c r="H85" s="136"/>
      <c r="I85" s="42"/>
      <c r="J85" s="42"/>
      <c r="N85" s="447" t="s">
        <v>4712</v>
      </c>
      <c r="O85" s="1046"/>
      <c r="P85" s="237" t="s">
        <v>7115</v>
      </c>
      <c r="Q85" s="605"/>
    </row>
    <row r="86" spans="1:31" ht="11.1" customHeight="1">
      <c r="A86" s="146"/>
      <c r="B86" s="531"/>
      <c r="C86" s="447" t="s">
        <v>4264</v>
      </c>
      <c r="D86" s="136"/>
      <c r="E86" s="136"/>
      <c r="F86" s="136"/>
      <c r="G86" s="136"/>
      <c r="H86" s="136"/>
      <c r="I86" s="42"/>
      <c r="J86" s="42"/>
      <c r="L86" s="3642" t="s">
        <v>7116</v>
      </c>
      <c r="M86" s="3643"/>
      <c r="N86" s="3643"/>
      <c r="O86" s="3643"/>
      <c r="P86" s="3643"/>
      <c r="Q86" s="3644"/>
    </row>
    <row r="87" spans="1:31" ht="11.25" customHeight="1">
      <c r="A87" s="146"/>
      <c r="B87" s="531" t="s">
        <v>1516</v>
      </c>
      <c r="C87" s="3711" t="s">
        <v>4261</v>
      </c>
      <c r="D87" s="3711"/>
      <c r="E87" s="3711"/>
      <c r="F87" s="3711"/>
      <c r="G87" s="3711"/>
      <c r="H87" s="3711"/>
      <c r="I87" s="3711"/>
      <c r="J87" s="3711"/>
      <c r="K87" s="3711"/>
      <c r="L87" s="3711"/>
      <c r="M87" s="596"/>
      <c r="N87" s="447" t="s">
        <v>4713</v>
      </c>
      <c r="O87" s="1046"/>
      <c r="P87" s="532" t="s">
        <v>7115</v>
      </c>
      <c r="Q87" s="602"/>
    </row>
    <row r="88" spans="1:31" ht="11.25" customHeight="1">
      <c r="A88" s="47"/>
      <c r="C88" s="3711"/>
      <c r="D88" s="3711"/>
      <c r="E88" s="3711"/>
      <c r="F88" s="3711"/>
      <c r="G88" s="3711"/>
      <c r="H88" s="3711"/>
      <c r="I88" s="3711"/>
      <c r="J88" s="3711"/>
      <c r="K88" s="3711"/>
      <c r="L88" s="3711"/>
      <c r="M88" s="596"/>
    </row>
    <row r="89" spans="1:31" ht="10.5" customHeight="1">
      <c r="B89" s="96" t="s">
        <v>3571</v>
      </c>
      <c r="D89" s="96"/>
      <c r="E89" s="96"/>
      <c r="F89" s="96"/>
      <c r="G89" s="96"/>
      <c r="H89" s="40"/>
      <c r="I89" s="1337"/>
      <c r="J89" s="1337"/>
      <c r="K89" s="139" t="s">
        <v>1820</v>
      </c>
      <c r="L89" s="1330"/>
      <c r="M89" s="1330"/>
      <c r="N89" s="1330"/>
      <c r="O89" s="1330"/>
      <c r="P89" s="1330"/>
      <c r="Q89" s="994"/>
    </row>
    <row r="90" spans="1:31" ht="10.5" customHeight="1">
      <c r="A90" s="3660" t="s">
        <v>7117</v>
      </c>
      <c r="B90" s="3661"/>
      <c r="C90" s="3661"/>
      <c r="D90" s="3661"/>
      <c r="E90" s="3661"/>
      <c r="F90" s="3661"/>
      <c r="G90" s="3661"/>
      <c r="H90" s="3661"/>
      <c r="I90" s="3661"/>
      <c r="J90" s="3662"/>
      <c r="K90" s="3620"/>
      <c r="L90" s="3621"/>
      <c r="M90" s="3621"/>
      <c r="N90" s="3621"/>
      <c r="O90" s="3621"/>
      <c r="P90" s="3621"/>
      <c r="Q90" s="3622"/>
      <c r="R90" s="503" t="s">
        <v>1228</v>
      </c>
      <c r="U90" s="138"/>
      <c r="V90" s="138"/>
      <c r="W90" s="138"/>
      <c r="X90" s="138"/>
      <c r="Y90" s="138"/>
      <c r="Z90" s="138"/>
      <c r="AA90" s="138"/>
      <c r="AB90" s="138"/>
      <c r="AC90" s="138"/>
      <c r="AD90" s="138"/>
      <c r="AE90" s="520"/>
    </row>
    <row r="91" spans="1:31" ht="3" customHeight="1">
      <c r="A91" s="1330"/>
      <c r="B91" s="1337"/>
      <c r="C91" s="1331"/>
      <c r="D91" s="1331"/>
      <c r="E91" s="1331"/>
      <c r="F91" s="1331"/>
      <c r="G91" s="1331"/>
      <c r="H91" s="1331"/>
      <c r="I91" s="1331"/>
      <c r="J91" s="1331"/>
      <c r="K91" s="1331"/>
      <c r="L91" s="1331"/>
      <c r="M91" s="1331"/>
      <c r="N91" s="1331"/>
      <c r="O91" s="1331"/>
      <c r="P91" s="1331"/>
      <c r="Q91" s="1330"/>
    </row>
    <row r="92" spans="1:31" ht="14.1" customHeight="1">
      <c r="A92" s="1336" t="s">
        <v>1750</v>
      </c>
      <c r="B92" s="1336" t="s">
        <v>4702</v>
      </c>
      <c r="C92" s="1336"/>
      <c r="D92" s="1331"/>
      <c r="E92" s="1331"/>
      <c r="F92" s="1331"/>
      <c r="G92" s="1331"/>
      <c r="H92" s="2138" t="str">
        <f>'Part I-Project Information'!$K$40</f>
        <v>Urban</v>
      </c>
      <c r="J92" s="47" t="s">
        <v>4707</v>
      </c>
      <c r="K92" s="699" t="str">
        <f>'Part I-Project Information'!$H$105</f>
        <v>N/A - 4% Bond</v>
      </c>
      <c r="L92" s="63" t="s">
        <v>4316</v>
      </c>
      <c r="M92" s="1861" t="str">
        <f>'Part I-Project Information'!$H$82</f>
        <v>Family</v>
      </c>
      <c r="O92" s="134" t="s">
        <v>1821</v>
      </c>
      <c r="P92" s="3666"/>
      <c r="Q92" s="3667"/>
    </row>
    <row r="93" spans="1:31" ht="3" customHeight="1"/>
    <row r="94" spans="1:31" ht="10.5" customHeight="1">
      <c r="A94" s="47" t="s">
        <v>1936</v>
      </c>
      <c r="B94" s="39" t="s">
        <v>2396</v>
      </c>
      <c r="D94" s="136"/>
      <c r="E94" s="136"/>
      <c r="F94" s="136"/>
      <c r="G94" s="136"/>
      <c r="H94" s="136"/>
      <c r="I94" s="42"/>
      <c r="J94" s="42"/>
      <c r="K94" s="42"/>
      <c r="L94" s="518" t="s">
        <v>1936</v>
      </c>
      <c r="M94" s="3653" t="s">
        <v>7118</v>
      </c>
      <c r="N94" s="3654"/>
      <c r="O94" s="3654"/>
      <c r="P94" s="3805"/>
      <c r="Q94" s="603"/>
    </row>
    <row r="95" spans="1:31" ht="10.5" customHeight="1">
      <c r="A95" s="47" t="s">
        <v>1938</v>
      </c>
      <c r="B95" s="52" t="s">
        <v>4564</v>
      </c>
      <c r="D95" s="136"/>
      <c r="E95" s="136"/>
      <c r="F95" s="136"/>
      <c r="L95" s="518" t="s">
        <v>1938</v>
      </c>
      <c r="M95" s="3806"/>
      <c r="N95" s="3807"/>
      <c r="O95" s="3807"/>
      <c r="P95" s="3808"/>
      <c r="Q95" s="604"/>
    </row>
    <row r="96" spans="1:31" ht="10.5" customHeight="1">
      <c r="A96" s="47" t="s">
        <v>731</v>
      </c>
      <c r="B96" s="52" t="s">
        <v>2779</v>
      </c>
      <c r="D96" s="136"/>
      <c r="E96" s="136"/>
      <c r="F96" s="136"/>
      <c r="L96" s="518" t="s">
        <v>731</v>
      </c>
      <c r="M96" s="3775"/>
      <c r="N96" s="3776"/>
      <c r="O96" s="3776"/>
      <c r="P96" s="3777"/>
      <c r="Q96" s="604"/>
    </row>
    <row r="97" spans="1:32" ht="10.5" customHeight="1">
      <c r="A97" s="47" t="s">
        <v>2065</v>
      </c>
      <c r="B97" s="52" t="s">
        <v>3672</v>
      </c>
      <c r="D97" s="136"/>
      <c r="E97" s="136"/>
      <c r="F97" s="136"/>
      <c r="L97" s="518" t="s">
        <v>3673</v>
      </c>
      <c r="M97" s="1429"/>
      <c r="N97" s="1299"/>
      <c r="O97" s="1300" t="s">
        <v>3812</v>
      </c>
      <c r="P97" s="1301"/>
      <c r="Q97" s="605"/>
    </row>
    <row r="98" spans="1:32" ht="10.5" customHeight="1">
      <c r="A98" s="47" t="s">
        <v>1692</v>
      </c>
      <c r="B98" s="52" t="s">
        <v>4565</v>
      </c>
      <c r="D98" s="142"/>
      <c r="E98" s="142"/>
      <c r="F98" s="142"/>
      <c r="G98" s="142"/>
      <c r="H98" s="142"/>
      <c r="I98" s="142"/>
      <c r="J98" s="142"/>
      <c r="K98" s="142"/>
      <c r="L98" s="142"/>
      <c r="M98" s="142"/>
      <c r="N98" s="142"/>
      <c r="O98" s="142"/>
      <c r="P98" s="142"/>
      <c r="Q98" s="142"/>
    </row>
    <row r="99" spans="1:32" ht="10.5" customHeight="1">
      <c r="B99" s="47"/>
      <c r="C99" s="52"/>
      <c r="D99" s="1338" t="s">
        <v>2317</v>
      </c>
      <c r="E99" s="995" t="s">
        <v>599</v>
      </c>
      <c r="F99" s="995"/>
      <c r="H99" s="52"/>
      <c r="I99" s="1338" t="s">
        <v>2317</v>
      </c>
      <c r="J99" s="995" t="s">
        <v>599</v>
      </c>
      <c r="K99" s="995"/>
      <c r="M99" s="52"/>
      <c r="N99" s="1338" t="s">
        <v>2317</v>
      </c>
      <c r="O99" s="995" t="s">
        <v>599</v>
      </c>
      <c r="P99" s="995"/>
      <c r="Q99" s="518"/>
    </row>
    <row r="100" spans="1:32" ht="10.5" customHeight="1">
      <c r="C100" s="518" t="s">
        <v>1694</v>
      </c>
      <c r="D100" s="547" t="s">
        <v>7128</v>
      </c>
      <c r="E100" s="3785" t="s">
        <v>7119</v>
      </c>
      <c r="F100" s="3785"/>
      <c r="G100" s="3785"/>
      <c r="H100" s="65" t="s">
        <v>1696</v>
      </c>
      <c r="I100" s="547" t="s">
        <v>7129</v>
      </c>
      <c r="J100" s="3785" t="s">
        <v>7130</v>
      </c>
      <c r="K100" s="3785"/>
      <c r="L100" s="3785"/>
      <c r="M100" s="64" t="s">
        <v>1516</v>
      </c>
      <c r="N100" s="547" t="s">
        <v>7127</v>
      </c>
      <c r="O100" s="3785" t="s">
        <v>7120</v>
      </c>
      <c r="P100" s="3785"/>
      <c r="Q100" s="3785"/>
    </row>
    <row r="101" spans="1:32" ht="10.5" customHeight="1">
      <c r="C101" s="65" t="s">
        <v>1695</v>
      </c>
      <c r="D101" s="548" t="s">
        <v>7126</v>
      </c>
      <c r="E101" s="3788" t="s">
        <v>7121</v>
      </c>
      <c r="F101" s="3788"/>
      <c r="G101" s="3788"/>
      <c r="H101" s="518" t="s">
        <v>2305</v>
      </c>
      <c r="I101" s="548" t="s">
        <v>7124</v>
      </c>
      <c r="J101" s="3788" t="s">
        <v>7122</v>
      </c>
      <c r="K101" s="3788"/>
      <c r="L101" s="3788"/>
      <c r="M101" s="64" t="s">
        <v>1517</v>
      </c>
      <c r="N101" s="548" t="s">
        <v>7125</v>
      </c>
      <c r="O101" s="3788" t="s">
        <v>7123</v>
      </c>
      <c r="P101" s="3788"/>
      <c r="Q101" s="3788"/>
    </row>
    <row r="102" spans="1:32" ht="10.5" customHeight="1">
      <c r="A102" s="47" t="s">
        <v>1693</v>
      </c>
      <c r="B102" s="52" t="s">
        <v>0</v>
      </c>
      <c r="D102" s="136"/>
      <c r="E102" s="136"/>
      <c r="F102" s="136"/>
      <c r="G102" s="136"/>
      <c r="H102" s="136"/>
      <c r="I102" s="42"/>
      <c r="J102" s="42"/>
      <c r="K102" s="136"/>
      <c r="L102" s="1333"/>
      <c r="M102" s="1333"/>
      <c r="O102" s="518" t="s">
        <v>1693</v>
      </c>
      <c r="P102" s="2004" t="s">
        <v>2886</v>
      </c>
      <c r="Q102" s="2005"/>
    </row>
    <row r="103" spans="1:32" s="135" customFormat="1" ht="43.2" customHeight="1">
      <c r="A103" s="144" t="s">
        <v>1900</v>
      </c>
      <c r="B103" s="3615" t="s">
        <v>4799</v>
      </c>
      <c r="C103" s="3615"/>
      <c r="D103" s="3615"/>
      <c r="E103" s="3615"/>
      <c r="F103" s="3615"/>
      <c r="G103" s="3615"/>
      <c r="H103" s="3615"/>
      <c r="I103" s="3615"/>
      <c r="J103" s="3615"/>
      <c r="K103" s="3615"/>
      <c r="L103" s="3615"/>
      <c r="M103" s="3615"/>
      <c r="N103" s="3615"/>
      <c r="O103" s="2243" t="s">
        <v>4797</v>
      </c>
      <c r="P103" s="2275" t="s">
        <v>2886</v>
      </c>
      <c r="Q103" s="2274"/>
      <c r="AE103" s="521"/>
      <c r="AF103" s="521"/>
    </row>
    <row r="104" spans="1:32" s="42" customFormat="1" ht="10.5" customHeight="1">
      <c r="A104" s="47"/>
      <c r="B104" s="1906" t="s">
        <v>1695</v>
      </c>
      <c r="C104" s="52" t="s">
        <v>4798</v>
      </c>
      <c r="D104" s="136"/>
      <c r="E104" s="136"/>
      <c r="F104" s="136"/>
      <c r="G104" s="136"/>
      <c r="H104" s="136"/>
      <c r="K104" s="136"/>
      <c r="L104" s="2276"/>
      <c r="M104" s="2276"/>
      <c r="O104" s="518" t="s">
        <v>1695</v>
      </c>
      <c r="P104" s="237" t="s">
        <v>2889</v>
      </c>
      <c r="Q104" s="605"/>
      <c r="AE104" s="50"/>
      <c r="AF104" s="50"/>
    </row>
    <row r="105" spans="1:32" ht="9.75" customHeight="1">
      <c r="B105" s="143" t="s">
        <v>3571</v>
      </c>
      <c r="D105" s="143"/>
      <c r="E105" s="143"/>
      <c r="F105" s="143"/>
      <c r="G105" s="143"/>
      <c r="H105" s="40"/>
      <c r="I105" s="1337"/>
      <c r="J105" s="1337"/>
      <c r="K105" s="1337"/>
      <c r="L105" s="1330"/>
      <c r="M105" s="1330"/>
      <c r="N105" s="1330"/>
      <c r="O105" s="1330"/>
      <c r="P105" s="1330"/>
      <c r="Q105" s="994"/>
    </row>
    <row r="106" spans="1:32" ht="33" customHeight="1">
      <c r="A106" s="3660" t="s">
        <v>7131</v>
      </c>
      <c r="B106" s="3661"/>
      <c r="C106" s="3661"/>
      <c r="D106" s="3661"/>
      <c r="E106" s="3661"/>
      <c r="F106" s="3661"/>
      <c r="G106" s="3661"/>
      <c r="H106" s="3661"/>
      <c r="I106" s="3661"/>
      <c r="J106" s="3661"/>
      <c r="K106" s="3661"/>
      <c r="L106" s="3661"/>
      <c r="M106" s="3661"/>
      <c r="N106" s="3661"/>
      <c r="O106" s="3661"/>
      <c r="P106" s="3661"/>
      <c r="Q106" s="3662"/>
      <c r="U106" s="138"/>
      <c r="V106" s="138"/>
      <c r="W106" s="138"/>
      <c r="X106" s="138"/>
      <c r="Y106" s="138"/>
      <c r="Z106" s="138"/>
      <c r="AA106" s="138"/>
      <c r="AB106" s="138"/>
      <c r="AC106" s="138"/>
      <c r="AD106" s="138"/>
      <c r="AE106" s="520"/>
    </row>
    <row r="107" spans="1:32" ht="9.75" customHeight="1">
      <c r="B107" s="139" t="s">
        <v>1820</v>
      </c>
      <c r="C107" s="140"/>
      <c r="D107" s="1331"/>
      <c r="E107" s="1331"/>
      <c r="F107" s="1331"/>
      <c r="G107" s="1331"/>
      <c r="H107" s="1331"/>
      <c r="I107" s="1331"/>
      <c r="J107" s="1331"/>
      <c r="K107" s="1331"/>
      <c r="L107" s="1331"/>
      <c r="M107" s="1331"/>
      <c r="N107" s="1331"/>
      <c r="O107" s="1331"/>
      <c r="P107" s="1331"/>
      <c r="Q107" s="1331"/>
    </row>
    <row r="108" spans="1:32" ht="33" customHeight="1">
      <c r="A108" s="3620"/>
      <c r="B108" s="3621"/>
      <c r="C108" s="3621"/>
      <c r="D108" s="3621"/>
      <c r="E108" s="3621"/>
      <c r="F108" s="3621"/>
      <c r="G108" s="3621"/>
      <c r="H108" s="3621"/>
      <c r="I108" s="3621"/>
      <c r="J108" s="3621"/>
      <c r="K108" s="3621"/>
      <c r="L108" s="3621"/>
      <c r="M108" s="3621"/>
      <c r="N108" s="3621"/>
      <c r="O108" s="3621"/>
      <c r="P108" s="3621"/>
      <c r="Q108" s="3622"/>
    </row>
    <row r="109" spans="1:32" ht="14.1" customHeight="1">
      <c r="A109" s="1336" t="s">
        <v>516</v>
      </c>
      <c r="B109" s="1336" t="s">
        <v>2581</v>
      </c>
      <c r="C109" s="1336"/>
      <c r="D109" s="1331"/>
      <c r="E109" s="1331"/>
      <c r="F109" s="1331"/>
      <c r="G109" s="1331"/>
      <c r="H109" s="1331"/>
      <c r="I109" s="1331"/>
      <c r="J109" s="1331"/>
      <c r="K109" s="1331"/>
      <c r="L109" s="1331"/>
      <c r="M109" s="1331"/>
      <c r="O109" s="134" t="s">
        <v>1821</v>
      </c>
      <c r="P109" s="3666"/>
      <c r="Q109" s="3667"/>
    </row>
    <row r="110" spans="1:32" ht="3" customHeight="1"/>
    <row r="111" spans="1:32" ht="10.5" customHeight="1">
      <c r="A111" s="47" t="s">
        <v>1936</v>
      </c>
      <c r="B111" s="52" t="s">
        <v>4714</v>
      </c>
      <c r="C111" s="52"/>
      <c r="E111" s="52"/>
      <c r="F111" s="52"/>
      <c r="G111" s="52"/>
      <c r="H111" s="52"/>
      <c r="I111" s="52"/>
      <c r="J111" s="52"/>
      <c r="K111" s="52"/>
      <c r="L111" s="995"/>
      <c r="M111" s="995"/>
      <c r="O111" s="518" t="s">
        <v>1936</v>
      </c>
      <c r="P111" s="532" t="s">
        <v>2886</v>
      </c>
      <c r="Q111" s="2005"/>
    </row>
    <row r="112" spans="1:32" ht="10.5" customHeight="1">
      <c r="B112" s="1906" t="s">
        <v>1694</v>
      </c>
      <c r="C112" s="39" t="s">
        <v>538</v>
      </c>
      <c r="E112" s="42"/>
      <c r="F112" s="42"/>
      <c r="G112" s="42"/>
      <c r="H112" s="42"/>
      <c r="I112" s="42"/>
      <c r="L112" s="65" t="s">
        <v>539</v>
      </c>
      <c r="M112" s="3642" t="s">
        <v>7132</v>
      </c>
      <c r="N112" s="3643"/>
      <c r="O112" s="3643"/>
      <c r="P112" s="3271"/>
      <c r="Q112" s="604"/>
    </row>
    <row r="113" spans="1:32" s="42" customFormat="1" ht="9.75" customHeight="1">
      <c r="B113" s="148" t="s">
        <v>1695</v>
      </c>
      <c r="C113" s="36" t="s">
        <v>4382</v>
      </c>
      <c r="O113" s="65" t="s">
        <v>1695</v>
      </c>
      <c r="P113" s="2004" t="s">
        <v>2886</v>
      </c>
      <c r="Q113" s="2005"/>
      <c r="AE113" s="50"/>
      <c r="AF113" s="50"/>
    </row>
    <row r="114" spans="1:32" s="42" customFormat="1" ht="9.75" customHeight="1">
      <c r="B114" s="1906" t="s">
        <v>1696</v>
      </c>
      <c r="C114" s="36" t="s">
        <v>4750</v>
      </c>
      <c r="O114" s="152" t="s">
        <v>1696</v>
      </c>
      <c r="P114" s="2241">
        <v>44403</v>
      </c>
      <c r="Q114" s="2242"/>
      <c r="AE114" s="50"/>
      <c r="AF114" s="50"/>
    </row>
    <row r="115" spans="1:32" ht="10.5" customHeight="1">
      <c r="A115" s="1761"/>
      <c r="B115" s="531" t="s">
        <v>2305</v>
      </c>
      <c r="C115" s="995" t="s">
        <v>4265</v>
      </c>
      <c r="D115" s="1150"/>
      <c r="E115" s="1150"/>
      <c r="F115" s="1150"/>
      <c r="G115" s="1150"/>
      <c r="H115" s="1150"/>
      <c r="I115" s="1150"/>
      <c r="J115" s="1150"/>
      <c r="K115" s="1150"/>
      <c r="L115" s="1150"/>
      <c r="M115" s="1150"/>
      <c r="O115" s="165" t="s">
        <v>2305</v>
      </c>
      <c r="P115" s="1139" t="s">
        <v>2886</v>
      </c>
      <c r="Q115" s="604"/>
    </row>
    <row r="116" spans="1:32" ht="10.5" customHeight="1">
      <c r="A116" s="1761"/>
      <c r="B116" s="531" t="s">
        <v>1516</v>
      </c>
      <c r="C116" s="995" t="s">
        <v>3353</v>
      </c>
      <c r="D116" s="1150"/>
      <c r="E116" s="1150"/>
      <c r="F116" s="1150"/>
      <c r="G116" s="1150"/>
      <c r="H116" s="1150"/>
      <c r="I116" s="1150"/>
      <c r="J116" s="1150"/>
      <c r="K116" s="1150"/>
      <c r="L116" s="1150"/>
      <c r="M116" s="1150"/>
      <c r="O116" s="165" t="s">
        <v>1516</v>
      </c>
      <c r="P116" s="419" t="s">
        <v>2886</v>
      </c>
      <c r="Q116" s="604"/>
    </row>
    <row r="117" spans="1:32" ht="10.5" customHeight="1">
      <c r="A117" s="1337"/>
      <c r="B117" s="531" t="s">
        <v>1517</v>
      </c>
      <c r="C117" s="995" t="s">
        <v>3354</v>
      </c>
      <c r="D117" s="1150"/>
      <c r="E117" s="1150"/>
      <c r="F117" s="1150"/>
      <c r="G117" s="1150"/>
      <c r="H117" s="1150"/>
      <c r="I117" s="1150"/>
      <c r="J117" s="1150"/>
      <c r="K117" s="1150"/>
      <c r="L117" s="1150"/>
      <c r="M117" s="1150"/>
      <c r="O117" s="165" t="s">
        <v>1517</v>
      </c>
      <c r="P117" s="419" t="s">
        <v>2886</v>
      </c>
      <c r="Q117" s="604"/>
    </row>
    <row r="118" spans="1:32" ht="10.5" customHeight="1">
      <c r="A118" s="1337"/>
      <c r="B118" s="531" t="s">
        <v>96</v>
      </c>
      <c r="C118" s="995" t="s">
        <v>2780</v>
      </c>
      <c r="D118" s="995"/>
      <c r="E118" s="995"/>
      <c r="F118" s="995"/>
      <c r="G118" s="995"/>
      <c r="H118" s="995"/>
      <c r="I118" s="995"/>
      <c r="J118" s="995"/>
      <c r="K118" s="995"/>
      <c r="L118" s="995"/>
      <c r="M118" s="1396"/>
      <c r="O118" s="165" t="s">
        <v>96</v>
      </c>
      <c r="P118" s="419" t="s">
        <v>2886</v>
      </c>
      <c r="Q118" s="604"/>
    </row>
    <row r="119" spans="1:32" s="135" customFormat="1" ht="20.399999999999999" customHeight="1">
      <c r="A119" s="492"/>
      <c r="B119" s="531" t="s">
        <v>500</v>
      </c>
      <c r="C119" s="3615" t="s">
        <v>4567</v>
      </c>
      <c r="D119" s="3615"/>
      <c r="E119" s="3615"/>
      <c r="F119" s="3615"/>
      <c r="G119" s="3615"/>
      <c r="H119" s="3615"/>
      <c r="I119" s="3615"/>
      <c r="J119" s="3615"/>
      <c r="K119" s="3615"/>
      <c r="L119" s="3615"/>
      <c r="M119" s="3615"/>
      <c r="N119" s="3615"/>
      <c r="O119" s="165" t="s">
        <v>500</v>
      </c>
      <c r="P119" s="2228"/>
      <c r="Q119" s="2229"/>
      <c r="AE119" s="521"/>
      <c r="AF119" s="521"/>
    </row>
    <row r="120" spans="1:32" ht="10.5" customHeight="1">
      <c r="A120" s="47" t="s">
        <v>1938</v>
      </c>
      <c r="B120" s="52" t="s">
        <v>4566</v>
      </c>
      <c r="C120" s="52"/>
      <c r="E120" s="52"/>
      <c r="F120" s="52"/>
      <c r="G120" s="52"/>
      <c r="H120" s="52"/>
      <c r="I120" s="52"/>
      <c r="J120" s="52"/>
      <c r="K120" s="52"/>
      <c r="L120" s="52"/>
      <c r="M120" s="52"/>
      <c r="O120" s="518" t="s">
        <v>1938</v>
      </c>
      <c r="P120" s="2004" t="s">
        <v>2889</v>
      </c>
      <c r="Q120" s="2005"/>
    </row>
    <row r="121" spans="1:32" ht="10.5" customHeight="1">
      <c r="B121" s="1906" t="s">
        <v>1694</v>
      </c>
      <c r="C121" s="52" t="s">
        <v>4806</v>
      </c>
      <c r="D121" s="52"/>
      <c r="E121" s="52"/>
      <c r="F121" s="52"/>
      <c r="G121" s="52"/>
      <c r="H121" s="52"/>
      <c r="I121" s="52"/>
      <c r="J121" s="52"/>
      <c r="K121" s="52"/>
      <c r="L121" s="52"/>
      <c r="M121" s="52"/>
      <c r="O121" s="152" t="s">
        <v>1694</v>
      </c>
      <c r="P121" s="2004"/>
      <c r="Q121" s="2005"/>
    </row>
    <row r="122" spans="1:32" ht="10.5" customHeight="1">
      <c r="A122" s="47"/>
      <c r="B122" s="148" t="s">
        <v>1695</v>
      </c>
      <c r="C122" s="52" t="s">
        <v>4805</v>
      </c>
      <c r="D122" s="52"/>
      <c r="E122" s="52"/>
      <c r="F122" s="52"/>
      <c r="G122" s="52"/>
      <c r="H122" s="52"/>
      <c r="I122" s="52"/>
      <c r="J122" s="52"/>
      <c r="K122" s="52"/>
      <c r="L122" s="52"/>
      <c r="M122" s="52"/>
      <c r="O122" s="65" t="s">
        <v>1695</v>
      </c>
      <c r="P122" s="2231"/>
      <c r="Q122" s="2230"/>
    </row>
    <row r="123" spans="1:32" ht="10.5" customHeight="1">
      <c r="A123" s="47" t="s">
        <v>731</v>
      </c>
      <c r="B123" s="52" t="s">
        <v>1400</v>
      </c>
      <c r="D123" s="52"/>
      <c r="E123" s="52"/>
      <c r="G123" s="52"/>
      <c r="I123" s="52"/>
      <c r="K123" s="52"/>
      <c r="L123" s="995"/>
      <c r="M123" s="995"/>
      <c r="N123" s="995"/>
      <c r="O123" s="518" t="s">
        <v>731</v>
      </c>
      <c r="P123" s="995"/>
      <c r="Q123" s="995"/>
    </row>
    <row r="124" spans="1:32" ht="10.5" customHeight="1">
      <c r="A124" s="47"/>
      <c r="B124" s="148" t="s">
        <v>1694</v>
      </c>
      <c r="C124" s="52" t="s">
        <v>1401</v>
      </c>
      <c r="E124" s="52"/>
      <c r="F124" s="52"/>
      <c r="G124" s="52"/>
      <c r="H124" s="52"/>
      <c r="I124" s="52"/>
      <c r="J124" s="52"/>
      <c r="K124" s="52"/>
      <c r="L124" s="995"/>
      <c r="M124" s="995"/>
      <c r="O124" s="65" t="s">
        <v>1694</v>
      </c>
      <c r="P124" s="236" t="s">
        <v>2889</v>
      </c>
      <c r="Q124" s="603"/>
    </row>
    <row r="125" spans="1:32" ht="10.5" customHeight="1">
      <c r="B125" s="148" t="s">
        <v>1695</v>
      </c>
      <c r="C125" s="52" t="s">
        <v>1402</v>
      </c>
      <c r="E125" s="52"/>
      <c r="F125" s="52"/>
      <c r="G125" s="52"/>
      <c r="H125" s="52"/>
      <c r="I125" s="52"/>
      <c r="J125" s="52"/>
      <c r="K125" s="52"/>
      <c r="L125" s="995"/>
      <c r="M125" s="995"/>
      <c r="O125" s="65" t="s">
        <v>1695</v>
      </c>
      <c r="P125" s="419" t="s">
        <v>2889</v>
      </c>
      <c r="Q125" s="604"/>
    </row>
    <row r="126" spans="1:32" ht="10.5" customHeight="1">
      <c r="B126" s="148" t="s">
        <v>1696</v>
      </c>
      <c r="C126" s="52" t="s">
        <v>1403</v>
      </c>
      <c r="E126" s="52"/>
      <c r="F126" s="52"/>
      <c r="G126" s="52"/>
      <c r="H126" s="52"/>
      <c r="I126" s="52"/>
      <c r="J126" s="52"/>
      <c r="K126" s="52"/>
      <c r="L126" s="995"/>
      <c r="M126" s="995"/>
      <c r="O126" s="65" t="s">
        <v>1696</v>
      </c>
      <c r="P126" s="237" t="s">
        <v>2889</v>
      </c>
      <c r="Q126" s="605"/>
    </row>
    <row r="127" spans="1:32" ht="10.5" customHeight="1">
      <c r="B127" s="143" t="s">
        <v>3571</v>
      </c>
      <c r="D127" s="143"/>
      <c r="E127" s="143"/>
      <c r="F127" s="143"/>
      <c r="G127" s="143"/>
      <c r="H127" s="40"/>
      <c r="I127" s="1337"/>
      <c r="J127" s="1337"/>
      <c r="K127" s="1337"/>
      <c r="L127" s="1330"/>
      <c r="M127" s="1330"/>
      <c r="N127" s="1330"/>
      <c r="O127" s="1330"/>
      <c r="P127" s="1330"/>
      <c r="Q127" s="994"/>
    </row>
    <row r="128" spans="1:32" ht="22.5" customHeight="1">
      <c r="A128" s="3660" t="s">
        <v>7133</v>
      </c>
      <c r="B128" s="3661"/>
      <c r="C128" s="3661"/>
      <c r="D128" s="3661"/>
      <c r="E128" s="3661"/>
      <c r="F128" s="3661"/>
      <c r="G128" s="3661"/>
      <c r="H128" s="3661"/>
      <c r="I128" s="3661"/>
      <c r="J128" s="3661"/>
      <c r="K128" s="3661"/>
      <c r="L128" s="3661"/>
      <c r="M128" s="3661"/>
      <c r="N128" s="3661"/>
      <c r="O128" s="3661"/>
      <c r="P128" s="3661"/>
      <c r="Q128" s="3662"/>
      <c r="U128" s="138"/>
      <c r="V128" s="138"/>
      <c r="W128" s="138"/>
      <c r="X128" s="138"/>
      <c r="Y128" s="138"/>
      <c r="Z128" s="138"/>
      <c r="AA128" s="138"/>
      <c r="AB128" s="138"/>
      <c r="AC128" s="138"/>
      <c r="AD128" s="138"/>
      <c r="AE128" s="520"/>
    </row>
    <row r="129" spans="1:17" ht="11.25" customHeight="1">
      <c r="B129" s="139" t="s">
        <v>1820</v>
      </c>
      <c r="C129" s="140"/>
      <c r="D129" s="1331"/>
      <c r="E129" s="1331"/>
      <c r="F129" s="1331"/>
      <c r="G129" s="1331"/>
      <c r="H129" s="1331"/>
      <c r="I129" s="1331"/>
      <c r="J129" s="1331"/>
      <c r="K129" s="1331"/>
      <c r="L129" s="1331"/>
      <c r="M129" s="1331"/>
      <c r="N129" s="1331"/>
      <c r="O129" s="1331"/>
      <c r="P129" s="1331"/>
      <c r="Q129" s="1331"/>
    </row>
    <row r="130" spans="1:17" ht="22.5" customHeight="1">
      <c r="A130" s="3620"/>
      <c r="B130" s="3621"/>
      <c r="C130" s="3621"/>
      <c r="D130" s="3621"/>
      <c r="E130" s="3621"/>
      <c r="F130" s="3621"/>
      <c r="G130" s="3621"/>
      <c r="H130" s="3621"/>
      <c r="I130" s="3621"/>
      <c r="J130" s="3621"/>
      <c r="K130" s="3621"/>
      <c r="L130" s="3621"/>
      <c r="M130" s="3621"/>
      <c r="N130" s="3621"/>
      <c r="O130" s="3621"/>
      <c r="P130" s="3621"/>
      <c r="Q130" s="3622"/>
    </row>
    <row r="131" spans="1:17" ht="14.1" customHeight="1">
      <c r="A131" s="1336" t="s">
        <v>754</v>
      </c>
      <c r="B131" s="1336" t="s">
        <v>2582</v>
      </c>
      <c r="C131" s="40"/>
      <c r="D131" s="1331"/>
      <c r="E131" s="1331"/>
      <c r="F131" s="1331"/>
      <c r="G131" s="1331"/>
      <c r="H131" s="1331"/>
      <c r="I131" s="1331"/>
      <c r="J131" s="1331"/>
      <c r="K131" s="1331"/>
      <c r="L131" s="1331"/>
      <c r="M131" s="1331"/>
      <c r="O131" s="134" t="s">
        <v>1821</v>
      </c>
      <c r="P131" s="3666"/>
      <c r="Q131" s="3667"/>
    </row>
    <row r="132" spans="1:17" ht="6.6" customHeight="1"/>
    <row r="133" spans="1:17" ht="12" customHeight="1">
      <c r="A133" s="47" t="s">
        <v>1936</v>
      </c>
      <c r="B133" s="52" t="s">
        <v>3473</v>
      </c>
      <c r="D133" s="136"/>
      <c r="E133" s="136"/>
      <c r="F133" s="136"/>
      <c r="G133" s="136"/>
      <c r="H133" s="136"/>
      <c r="I133" s="42"/>
      <c r="J133" s="42"/>
      <c r="K133" s="518" t="s">
        <v>1936</v>
      </c>
      <c r="L133" s="3861" t="s">
        <v>7135</v>
      </c>
      <c r="M133" s="3850"/>
      <c r="N133" s="3850"/>
      <c r="O133" s="3850"/>
      <c r="P133" s="3850"/>
      <c r="Q133" s="602"/>
    </row>
    <row r="134" spans="1:17" ht="12" customHeight="1">
      <c r="A134" s="47" t="s">
        <v>1938</v>
      </c>
      <c r="B134" s="52" t="s">
        <v>1505</v>
      </c>
      <c r="D134" s="136"/>
      <c r="E134" s="136"/>
      <c r="F134" s="136"/>
      <c r="G134" s="136"/>
      <c r="H134" s="136"/>
      <c r="I134" s="42"/>
      <c r="J134" s="42"/>
      <c r="K134" s="136"/>
      <c r="L134" s="1333"/>
      <c r="O134" s="518" t="s">
        <v>1938</v>
      </c>
      <c r="P134" s="1139" t="s">
        <v>2889</v>
      </c>
      <c r="Q134" s="1050"/>
    </row>
    <row r="135" spans="1:17" ht="12" customHeight="1">
      <c r="A135" s="47" t="s">
        <v>731</v>
      </c>
      <c r="B135" s="52" t="s">
        <v>147</v>
      </c>
      <c r="D135" s="136"/>
      <c r="E135" s="136"/>
      <c r="F135" s="136"/>
      <c r="G135" s="136"/>
      <c r="H135" s="136"/>
      <c r="I135" s="42"/>
      <c r="J135" s="42"/>
      <c r="K135" s="1333"/>
      <c r="L135" s="1333"/>
      <c r="O135" s="518" t="s">
        <v>731</v>
      </c>
      <c r="P135" s="237" t="s">
        <v>2886</v>
      </c>
      <c r="Q135" s="1003"/>
    </row>
    <row r="136" spans="1:17" ht="12" customHeight="1">
      <c r="A136" s="47"/>
      <c r="B136" s="995" t="s">
        <v>1694</v>
      </c>
      <c r="C136" s="52" t="s">
        <v>2611</v>
      </c>
      <c r="E136" s="136"/>
      <c r="F136" s="136"/>
      <c r="G136" s="136"/>
      <c r="H136" s="136"/>
      <c r="I136" s="42"/>
      <c r="J136" s="42"/>
      <c r="K136" s="65" t="s">
        <v>1694</v>
      </c>
      <c r="L136" s="3850" t="s">
        <v>7134</v>
      </c>
      <c r="M136" s="3850"/>
      <c r="N136" s="3850"/>
      <c r="O136" s="3850"/>
      <c r="P136" s="3850"/>
      <c r="Q136" s="602"/>
    </row>
    <row r="137" spans="1:17" ht="12" customHeight="1">
      <c r="A137" s="141"/>
      <c r="B137" s="148" t="s">
        <v>1695</v>
      </c>
      <c r="C137" s="36" t="s">
        <v>3355</v>
      </c>
      <c r="E137" s="42"/>
      <c r="F137" s="42"/>
      <c r="G137" s="42"/>
      <c r="H137" s="52"/>
      <c r="I137" s="42"/>
      <c r="J137" s="42"/>
      <c r="K137" s="136"/>
      <c r="L137" s="1333"/>
      <c r="M137" s="1333"/>
      <c r="O137" s="518" t="s">
        <v>1695</v>
      </c>
      <c r="P137" s="2004">
        <v>65</v>
      </c>
      <c r="Q137" s="2005"/>
    </row>
    <row r="138" spans="1:17" ht="12" customHeight="1">
      <c r="A138" s="141"/>
      <c r="B138" s="40" t="s">
        <v>1696</v>
      </c>
      <c r="C138" s="36" t="s">
        <v>4250</v>
      </c>
      <c r="D138" s="150"/>
      <c r="E138" s="42"/>
      <c r="F138" s="42"/>
      <c r="G138" s="42"/>
      <c r="H138" s="52"/>
      <c r="I138" s="42"/>
      <c r="J138" s="42"/>
      <c r="K138" s="136"/>
      <c r="L138" s="1758"/>
      <c r="M138" s="1758"/>
      <c r="O138" s="518" t="s">
        <v>1696</v>
      </c>
      <c r="P138" s="237" t="s">
        <v>7137</v>
      </c>
      <c r="Q138" s="605"/>
    </row>
    <row r="139" spans="1:17" ht="12" customHeight="1">
      <c r="A139" s="47" t="s">
        <v>2065</v>
      </c>
      <c r="B139" s="52" t="s">
        <v>1234</v>
      </c>
      <c r="D139" s="136"/>
      <c r="E139" s="136"/>
      <c r="F139" s="136"/>
      <c r="G139" s="136"/>
      <c r="H139" s="136"/>
      <c r="I139" s="42"/>
      <c r="J139" s="42"/>
      <c r="K139" s="136"/>
      <c r="L139" s="1333"/>
      <c r="M139" s="1333"/>
      <c r="N139" s="1333"/>
      <c r="O139" s="518" t="s">
        <v>2065</v>
      </c>
    </row>
    <row r="140" spans="1:17" ht="12" customHeight="1">
      <c r="A140" s="47"/>
      <c r="B140" s="148" t="s">
        <v>1694</v>
      </c>
      <c r="C140" s="52" t="s">
        <v>145</v>
      </c>
      <c r="E140" s="136"/>
      <c r="F140" s="136"/>
      <c r="G140" s="136"/>
      <c r="H140" s="136"/>
      <c r="I140" s="42"/>
      <c r="J140" s="42"/>
      <c r="K140" s="136"/>
      <c r="L140" s="1333"/>
      <c r="M140" s="1333"/>
      <c r="O140" s="65" t="s">
        <v>1694</v>
      </c>
      <c r="P140" s="236" t="s">
        <v>2889</v>
      </c>
      <c r="Q140" s="603"/>
    </row>
    <row r="141" spans="1:17" ht="12" customHeight="1">
      <c r="A141" s="47"/>
      <c r="B141" s="148" t="s">
        <v>1695</v>
      </c>
      <c r="C141" s="52" t="s">
        <v>1235</v>
      </c>
      <c r="E141" s="136"/>
      <c r="F141" s="136"/>
      <c r="G141" s="136"/>
      <c r="H141" s="42"/>
      <c r="I141" s="42"/>
      <c r="J141" s="42"/>
      <c r="K141" s="136"/>
      <c r="L141" s="1333"/>
      <c r="M141" s="1333"/>
      <c r="O141" s="65" t="s">
        <v>1695</v>
      </c>
      <c r="P141" s="419" t="s">
        <v>2889</v>
      </c>
      <c r="Q141" s="604"/>
    </row>
    <row r="142" spans="1:17" ht="12" customHeight="1">
      <c r="A142" s="47"/>
      <c r="B142" s="148"/>
      <c r="C142" s="52" t="s">
        <v>2562</v>
      </c>
      <c r="E142" s="518" t="s">
        <v>2372</v>
      </c>
      <c r="F142" s="52" t="s">
        <v>2563</v>
      </c>
      <c r="G142" s="42"/>
      <c r="H142" s="52"/>
      <c r="I142" s="42"/>
      <c r="J142" s="42"/>
      <c r="K142" s="136"/>
      <c r="L142" s="1333"/>
      <c r="M142" s="1333"/>
      <c r="O142" s="518" t="s">
        <v>2372</v>
      </c>
      <c r="P142" s="619"/>
      <c r="Q142" s="954"/>
    </row>
    <row r="143" spans="1:17" ht="12" customHeight="1">
      <c r="A143" s="47"/>
      <c r="B143" s="148"/>
      <c r="E143" s="518" t="s">
        <v>2373</v>
      </c>
      <c r="F143" s="52" t="s">
        <v>2564</v>
      </c>
      <c r="G143" s="42"/>
      <c r="H143" s="52"/>
      <c r="I143" s="42"/>
      <c r="J143" s="42"/>
      <c r="K143" s="136"/>
      <c r="L143" s="1333"/>
      <c r="M143" s="1333"/>
      <c r="O143" s="518" t="s">
        <v>2373</v>
      </c>
      <c r="P143" s="419"/>
      <c r="Q143" s="604"/>
    </row>
    <row r="144" spans="1:17" ht="12" customHeight="1">
      <c r="A144" s="47"/>
      <c r="B144" s="148"/>
      <c r="E144" s="518" t="s">
        <v>2374</v>
      </c>
      <c r="F144" s="52" t="s">
        <v>2565</v>
      </c>
      <c r="G144" s="42"/>
      <c r="H144" s="52"/>
      <c r="I144" s="42"/>
      <c r="J144" s="42"/>
      <c r="K144" s="136"/>
      <c r="L144" s="1333"/>
      <c r="M144" s="1333"/>
      <c r="O144" s="518" t="s">
        <v>2374</v>
      </c>
      <c r="P144" s="419"/>
      <c r="Q144" s="604"/>
    </row>
    <row r="145" spans="1:17" ht="12" customHeight="1">
      <c r="A145" s="47"/>
      <c r="B145" s="148" t="s">
        <v>1696</v>
      </c>
      <c r="C145" s="52" t="s">
        <v>1236</v>
      </c>
      <c r="E145" s="136"/>
      <c r="F145" s="136"/>
      <c r="G145" s="136"/>
      <c r="H145" s="52"/>
      <c r="I145" s="42"/>
      <c r="J145" s="42"/>
      <c r="K145" s="136"/>
      <c r="L145" s="1333"/>
      <c r="M145" s="1333"/>
      <c r="O145" s="65" t="s">
        <v>1696</v>
      </c>
      <c r="P145" s="419" t="s">
        <v>2886</v>
      </c>
      <c r="Q145" s="604"/>
    </row>
    <row r="146" spans="1:17" ht="12" customHeight="1">
      <c r="A146" s="47"/>
      <c r="B146" s="65"/>
      <c r="C146" s="52" t="s">
        <v>2562</v>
      </c>
      <c r="E146" s="518" t="s">
        <v>2372</v>
      </c>
      <c r="F146" s="52" t="s">
        <v>2566</v>
      </c>
      <c r="G146" s="42"/>
      <c r="H146" s="52"/>
      <c r="I146" s="42"/>
      <c r="J146" s="42"/>
      <c r="K146" s="136"/>
      <c r="L146" s="1333"/>
      <c r="O146" s="518" t="s">
        <v>2372</v>
      </c>
      <c r="P146" s="619">
        <v>2.8000000000000001E-2</v>
      </c>
      <c r="Q146" s="954"/>
    </row>
    <row r="147" spans="1:17" ht="12" customHeight="1">
      <c r="A147" s="47"/>
      <c r="B147" s="65"/>
      <c r="E147" s="518" t="s">
        <v>2373</v>
      </c>
      <c r="F147" s="52" t="s">
        <v>2567</v>
      </c>
      <c r="G147" s="42"/>
      <c r="H147" s="52"/>
      <c r="I147" s="42"/>
      <c r="J147" s="42"/>
      <c r="O147" s="518" t="s">
        <v>2373</v>
      </c>
      <c r="P147" s="419" t="s">
        <v>2889</v>
      </c>
      <c r="Q147" s="604"/>
    </row>
    <row r="148" spans="1:17" ht="12" customHeight="1">
      <c r="A148" s="47"/>
      <c r="B148" s="65"/>
      <c r="E148" s="518" t="s">
        <v>2374</v>
      </c>
      <c r="F148" s="52" t="s">
        <v>2565</v>
      </c>
      <c r="G148" s="42"/>
      <c r="H148" s="52"/>
      <c r="I148" s="42"/>
      <c r="J148" s="42"/>
      <c r="O148" s="518" t="s">
        <v>2374</v>
      </c>
      <c r="P148" s="237" t="s">
        <v>2886</v>
      </c>
      <c r="Q148" s="605"/>
    </row>
    <row r="149" spans="1:17" ht="12" customHeight="1">
      <c r="A149" s="47" t="s">
        <v>1692</v>
      </c>
      <c r="B149" s="148" t="s">
        <v>2352</v>
      </c>
      <c r="D149" s="136"/>
      <c r="E149" s="136"/>
      <c r="F149" s="136"/>
      <c r="G149" s="136"/>
      <c r="H149" s="136"/>
      <c r="I149" s="42"/>
      <c r="J149" s="42"/>
      <c r="K149" s="136"/>
      <c r="L149" s="1333"/>
      <c r="M149" s="1333"/>
      <c r="N149" s="1333"/>
      <c r="O149" s="1333"/>
      <c r="P149" s="1333"/>
      <c r="Q149" s="1333"/>
    </row>
    <row r="150" spans="1:17" ht="12" customHeight="1">
      <c r="B150" s="148" t="s">
        <v>1694</v>
      </c>
      <c r="C150" s="52" t="s">
        <v>2430</v>
      </c>
      <c r="E150" s="136"/>
      <c r="F150" s="236" t="s">
        <v>2889</v>
      </c>
      <c r="G150" s="603"/>
      <c r="H150" s="518" t="s">
        <v>4413</v>
      </c>
      <c r="I150" s="55" t="s">
        <v>2569</v>
      </c>
      <c r="L150" s="236" t="s">
        <v>2889</v>
      </c>
      <c r="M150" s="603"/>
      <c r="N150" s="518" t="s">
        <v>4417</v>
      </c>
      <c r="O150" s="52" t="s">
        <v>1519</v>
      </c>
      <c r="P150" s="236" t="s">
        <v>2889</v>
      </c>
      <c r="Q150" s="603"/>
    </row>
    <row r="151" spans="1:17" ht="12" customHeight="1">
      <c r="A151" s="36"/>
      <c r="B151" s="148" t="s">
        <v>1695</v>
      </c>
      <c r="C151" s="52" t="s">
        <v>2710</v>
      </c>
      <c r="E151" s="136"/>
      <c r="F151" s="419" t="s">
        <v>2886</v>
      </c>
      <c r="G151" s="604"/>
      <c r="H151" s="518" t="s">
        <v>4414</v>
      </c>
      <c r="I151" s="55" t="s">
        <v>2570</v>
      </c>
      <c r="L151" s="419" t="s">
        <v>2889</v>
      </c>
      <c r="M151" s="604"/>
      <c r="N151" s="518" t="s">
        <v>4418</v>
      </c>
      <c r="O151" s="52" t="s">
        <v>1518</v>
      </c>
      <c r="P151" s="419" t="s">
        <v>2889</v>
      </c>
      <c r="Q151" s="604"/>
    </row>
    <row r="152" spans="1:17" ht="12" customHeight="1">
      <c r="A152" s="36"/>
      <c r="B152" s="148" t="s">
        <v>1696</v>
      </c>
      <c r="C152" s="52" t="s">
        <v>2568</v>
      </c>
      <c r="E152" s="136"/>
      <c r="F152" s="419" t="s">
        <v>2889</v>
      </c>
      <c r="G152" s="604"/>
      <c r="H152" s="518" t="s">
        <v>4415</v>
      </c>
      <c r="I152" s="55" t="s">
        <v>3636</v>
      </c>
      <c r="L152" s="419" t="s">
        <v>2889</v>
      </c>
      <c r="M152" s="604"/>
      <c r="N152" s="518" t="s">
        <v>4419</v>
      </c>
      <c r="O152" s="52" t="s">
        <v>1520</v>
      </c>
      <c r="P152" s="237" t="s">
        <v>2889</v>
      </c>
      <c r="Q152" s="605"/>
    </row>
    <row r="153" spans="1:17" ht="12" customHeight="1">
      <c r="A153" s="36"/>
      <c r="B153" s="148" t="s">
        <v>2305</v>
      </c>
      <c r="C153" s="52" t="s">
        <v>2712</v>
      </c>
      <c r="E153" s="136"/>
      <c r="F153" s="237" t="s">
        <v>2889</v>
      </c>
      <c r="G153" s="605"/>
      <c r="H153" s="518" t="s">
        <v>4416</v>
      </c>
      <c r="I153" s="52" t="s">
        <v>2709</v>
      </c>
      <c r="L153" s="237" t="s">
        <v>2889</v>
      </c>
      <c r="M153" s="605"/>
      <c r="O153" s="65"/>
    </row>
    <row r="154" spans="1:17" ht="12" customHeight="1">
      <c r="A154" s="36"/>
      <c r="B154" s="40" t="s">
        <v>2792</v>
      </c>
      <c r="C154" s="52" t="s">
        <v>2711</v>
      </c>
      <c r="E154" s="136"/>
      <c r="F154" s="136"/>
      <c r="G154" s="136"/>
      <c r="H154" s="136"/>
      <c r="I154" s="136"/>
      <c r="J154" s="136"/>
      <c r="K154" s="136"/>
      <c r="L154" s="136"/>
      <c r="M154" s="52"/>
      <c r="O154" s="65"/>
      <c r="P154" s="65"/>
    </row>
    <row r="155" spans="1:17" ht="12" customHeight="1">
      <c r="A155" s="36"/>
      <c r="C155" s="3778"/>
      <c r="D155" s="3778"/>
      <c r="E155" s="3778"/>
      <c r="F155" s="3778"/>
      <c r="G155" s="3778"/>
      <c r="H155" s="3778"/>
      <c r="I155" s="3778"/>
      <c r="J155" s="3778"/>
      <c r="K155" s="3778"/>
      <c r="L155" s="3778"/>
      <c r="M155" s="3778"/>
      <c r="N155" s="3778"/>
      <c r="O155" s="3778"/>
      <c r="P155" s="3778"/>
      <c r="Q155" s="3778"/>
    </row>
    <row r="156" spans="1:17" ht="12" customHeight="1">
      <c r="A156" s="47" t="s">
        <v>1693</v>
      </c>
      <c r="B156" s="52" t="s">
        <v>3438</v>
      </c>
      <c r="D156" s="136"/>
      <c r="E156" s="136"/>
      <c r="F156" s="136"/>
      <c r="G156" s="136"/>
      <c r="H156" s="136"/>
      <c r="I156" s="42"/>
      <c r="J156" s="42"/>
      <c r="K156" s="136"/>
      <c r="L156" s="136"/>
      <c r="M156" s="1333"/>
    </row>
    <row r="157" spans="1:17" ht="12" customHeight="1">
      <c r="A157" s="42"/>
      <c r="B157" s="148" t="s">
        <v>1694</v>
      </c>
      <c r="C157" s="52" t="s">
        <v>2713</v>
      </c>
      <c r="E157" s="136"/>
      <c r="F157" s="136"/>
      <c r="G157" s="136"/>
      <c r="H157" s="136"/>
      <c r="O157" s="65" t="s">
        <v>1694</v>
      </c>
      <c r="P157" s="236"/>
      <c r="Q157" s="603"/>
    </row>
    <row r="158" spans="1:17" ht="12" customHeight="1">
      <c r="A158" s="1337"/>
      <c r="B158" s="148" t="s">
        <v>1695</v>
      </c>
      <c r="C158" s="52" t="s">
        <v>480</v>
      </c>
      <c r="E158" s="52"/>
      <c r="F158" s="52"/>
      <c r="G158" s="52"/>
      <c r="H158" s="52"/>
      <c r="I158" s="42"/>
      <c r="J158" s="42"/>
      <c r="K158" s="52"/>
      <c r="L158" s="52"/>
      <c r="M158" s="52"/>
      <c r="O158" s="65" t="s">
        <v>1695</v>
      </c>
      <c r="P158" s="419"/>
      <c r="Q158" s="604"/>
    </row>
    <row r="159" spans="1:17" ht="12" customHeight="1">
      <c r="A159" s="1337"/>
      <c r="B159" s="148" t="s">
        <v>1696</v>
      </c>
      <c r="C159" s="52" t="s">
        <v>663</v>
      </c>
      <c r="E159" s="52"/>
      <c r="F159" s="52"/>
      <c r="G159" s="52"/>
      <c r="H159" s="52"/>
      <c r="I159" s="42"/>
      <c r="J159" s="42"/>
      <c r="K159" s="52"/>
      <c r="L159" s="52"/>
      <c r="M159" s="52"/>
      <c r="O159" s="65" t="s">
        <v>1696</v>
      </c>
      <c r="P159" s="419"/>
      <c r="Q159" s="604"/>
    </row>
    <row r="160" spans="1:17" ht="12" customHeight="1">
      <c r="A160" s="1885"/>
      <c r="B160" s="40" t="s">
        <v>2305</v>
      </c>
      <c r="C160" s="52" t="s">
        <v>4399</v>
      </c>
      <c r="E160" s="52"/>
      <c r="F160" s="52"/>
      <c r="G160" s="52"/>
      <c r="H160" s="52"/>
      <c r="I160" s="42"/>
      <c r="J160" s="42"/>
      <c r="K160" s="52"/>
      <c r="L160" s="52"/>
      <c r="M160" s="52"/>
      <c r="O160" s="518" t="s">
        <v>2305</v>
      </c>
      <c r="P160" s="237"/>
      <c r="Q160" s="605"/>
    </row>
    <row r="161" spans="1:32" ht="12" customHeight="1">
      <c r="A161" s="466" t="s">
        <v>4568</v>
      </c>
      <c r="C161" s="52"/>
      <c r="D161" s="136"/>
      <c r="E161" s="136"/>
      <c r="F161" s="136"/>
      <c r="G161" s="136"/>
      <c r="H161" s="136"/>
      <c r="I161" s="42"/>
      <c r="J161" s="42"/>
      <c r="K161" s="136"/>
      <c r="L161" s="136"/>
      <c r="M161" s="1333"/>
      <c r="N161" s="1333"/>
      <c r="O161" s="1333"/>
      <c r="P161" s="1333"/>
      <c r="Q161" s="1333"/>
      <c r="R161" s="1333"/>
    </row>
    <row r="162" spans="1:32" s="1" customFormat="1" ht="23.4" customHeight="1">
      <c r="A162" s="47" t="s">
        <v>1900</v>
      </c>
      <c r="B162" s="3615" t="s">
        <v>144</v>
      </c>
      <c r="C162" s="3615"/>
      <c r="D162" s="3615"/>
      <c r="E162" s="3615"/>
      <c r="F162" s="3615"/>
      <c r="G162" s="3615"/>
      <c r="H162" s="3615"/>
      <c r="I162" s="3615"/>
      <c r="J162" s="3615"/>
      <c r="K162" s="3615"/>
      <c r="L162" s="3615"/>
      <c r="M162" s="518" t="s">
        <v>1900</v>
      </c>
      <c r="N162" s="3846" t="s">
        <v>1727</v>
      </c>
      <c r="O162" s="3847"/>
      <c r="P162" s="3848" t="s">
        <v>1727</v>
      </c>
      <c r="Q162" s="3849"/>
      <c r="AE162" s="5"/>
      <c r="AF162" s="5"/>
    </row>
    <row r="163" spans="1:32" ht="11.25" customHeight="1">
      <c r="B163" s="143" t="s">
        <v>3571</v>
      </c>
      <c r="D163" s="143"/>
      <c r="E163" s="143"/>
      <c r="F163" s="143"/>
      <c r="G163" s="143"/>
      <c r="H163" s="40"/>
      <c r="I163" s="1337"/>
      <c r="J163" s="1337"/>
      <c r="K163" s="1337"/>
      <c r="L163" s="1330"/>
      <c r="M163" s="1330"/>
      <c r="N163" s="1330"/>
      <c r="O163" s="1330"/>
      <c r="P163" s="1330"/>
      <c r="Q163" s="994"/>
    </row>
    <row r="164" spans="1:32" ht="45" customHeight="1">
      <c r="A164" s="3660" t="s">
        <v>7136</v>
      </c>
      <c r="B164" s="3661"/>
      <c r="C164" s="3661"/>
      <c r="D164" s="3661"/>
      <c r="E164" s="3661"/>
      <c r="F164" s="3661"/>
      <c r="G164" s="3661"/>
      <c r="H164" s="3661"/>
      <c r="I164" s="3661"/>
      <c r="J164" s="3661"/>
      <c r="K164" s="3661"/>
      <c r="L164" s="3661"/>
      <c r="M164" s="3661"/>
      <c r="N164" s="3661"/>
      <c r="O164" s="3661"/>
      <c r="P164" s="3661"/>
      <c r="Q164" s="3662"/>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1820</v>
      </c>
      <c r="C166" s="140"/>
      <c r="D166" s="1331"/>
      <c r="E166" s="1331"/>
      <c r="F166" s="1331"/>
      <c r="G166" s="1331"/>
      <c r="H166" s="1331"/>
      <c r="I166" s="1331"/>
      <c r="J166" s="1331"/>
      <c r="K166" s="1331"/>
      <c r="L166" s="1331"/>
      <c r="M166" s="1331"/>
      <c r="N166" s="1331"/>
      <c r="O166" s="1331"/>
      <c r="P166" s="1331"/>
      <c r="Q166" s="1331"/>
    </row>
    <row r="167" spans="1:32" ht="45" customHeight="1">
      <c r="A167" s="3620"/>
      <c r="B167" s="3621"/>
      <c r="C167" s="3621"/>
      <c r="D167" s="3621"/>
      <c r="E167" s="3621"/>
      <c r="F167" s="3621"/>
      <c r="G167" s="3621"/>
      <c r="H167" s="3621"/>
      <c r="I167" s="3621"/>
      <c r="J167" s="3621"/>
      <c r="K167" s="3621"/>
      <c r="L167" s="3621"/>
      <c r="M167" s="3621"/>
      <c r="N167" s="3621"/>
      <c r="O167" s="3621"/>
      <c r="P167" s="3621"/>
      <c r="Q167" s="3622"/>
    </row>
    <row r="168" spans="1:32" ht="3" customHeight="1">
      <c r="A168" s="1330"/>
      <c r="B168" s="1337"/>
      <c r="C168" s="1331"/>
      <c r="D168" s="1331"/>
      <c r="E168" s="1331"/>
      <c r="F168" s="1331"/>
      <c r="G168" s="1331"/>
      <c r="H168" s="1331"/>
      <c r="I168" s="1331"/>
      <c r="J168" s="1331"/>
      <c r="K168" s="1331"/>
      <c r="L168" s="1331"/>
      <c r="M168" s="1331"/>
      <c r="N168" s="1331"/>
      <c r="O168" s="1331"/>
      <c r="P168" s="1331"/>
      <c r="Q168" s="1330"/>
    </row>
    <row r="169" spans="1:32" ht="14.1" customHeight="1">
      <c r="A169" s="1336" t="s">
        <v>287</v>
      </c>
      <c r="B169" s="1336" t="s">
        <v>2583</v>
      </c>
      <c r="C169" s="1336"/>
      <c r="D169" s="1331"/>
      <c r="E169" s="1331"/>
      <c r="F169" s="1331"/>
      <c r="G169" s="1331"/>
      <c r="H169" s="1331"/>
      <c r="I169" s="1331"/>
      <c r="J169" s="1331"/>
      <c r="K169" s="1331"/>
      <c r="O169" s="134" t="s">
        <v>1821</v>
      </c>
      <c r="P169" s="3666"/>
      <c r="Q169" s="3667"/>
    </row>
    <row r="170" spans="1:32" ht="12" customHeight="1">
      <c r="A170" s="47" t="s">
        <v>1936</v>
      </c>
      <c r="B170" s="148" t="s">
        <v>1694</v>
      </c>
      <c r="C170" s="52" t="s">
        <v>4751</v>
      </c>
      <c r="D170" s="52"/>
      <c r="E170" s="52"/>
      <c r="F170" s="52"/>
      <c r="G170" s="52"/>
      <c r="K170" s="52" t="s">
        <v>2627</v>
      </c>
      <c r="M170" s="3799"/>
      <c r="N170" s="3800"/>
      <c r="O170" s="65" t="s">
        <v>1694</v>
      </c>
      <c r="P170" s="97"/>
      <c r="Q170" s="601"/>
    </row>
    <row r="171" spans="1:32" ht="12" customHeight="1">
      <c r="A171" s="47"/>
      <c r="B171" s="148" t="s">
        <v>1695</v>
      </c>
      <c r="C171" s="52" t="s">
        <v>4752</v>
      </c>
      <c r="D171" s="52"/>
      <c r="E171" s="52"/>
      <c r="F171" s="52"/>
      <c r="G171" s="52"/>
      <c r="K171" s="52" t="s">
        <v>2627</v>
      </c>
      <c r="M171" s="3799">
        <v>44593</v>
      </c>
      <c r="N171" s="3800"/>
      <c r="O171" s="65" t="s">
        <v>1695</v>
      </c>
      <c r="P171" s="97" t="s">
        <v>2886</v>
      </c>
      <c r="Q171" s="601"/>
    </row>
    <row r="172" spans="1:32" ht="12" customHeight="1">
      <c r="A172" s="47" t="s">
        <v>1938</v>
      </c>
      <c r="B172" s="142" t="s">
        <v>146</v>
      </c>
      <c r="D172" s="142"/>
      <c r="E172" s="142"/>
      <c r="F172" s="142" t="str">
        <f>IF(N172="Ground lease/Option","Ground lease/Option:","")</f>
        <v/>
      </c>
      <c r="H172" s="55" t="str">
        <f>IF(N172="Ground lease/Option","Annual Pymt:","")</f>
        <v/>
      </c>
      <c r="I172" s="1926" t="str">
        <f>IF(N172="Ground lease/Option",'Part VI-Revenues &amp; Expenses'!$K$250,"")</f>
        <v/>
      </c>
      <c r="K172" s="501" t="str">
        <f>IF(N172="Ground lease/Option","Term:","")</f>
        <v/>
      </c>
      <c r="L172" s="1925" t="str">
        <f>IF(N172="Ground lease/Option",'Part VI-Revenues &amp; Expenses'!$N$250,"")</f>
        <v/>
      </c>
      <c r="M172" s="518" t="s">
        <v>1938</v>
      </c>
      <c r="N172" s="3801" t="s">
        <v>7138</v>
      </c>
      <c r="O172" s="3802"/>
      <c r="P172" s="3803" t="s">
        <v>1727</v>
      </c>
      <c r="Q172" s="3804"/>
    </row>
    <row r="173" spans="1:32" ht="12" customHeight="1">
      <c r="A173" s="47" t="s">
        <v>731</v>
      </c>
      <c r="B173" s="142" t="s">
        <v>664</v>
      </c>
      <c r="D173" s="142"/>
      <c r="E173" s="142"/>
      <c r="F173" s="142"/>
      <c r="G173" s="142"/>
      <c r="H173" s="142"/>
      <c r="J173" s="518" t="s">
        <v>731</v>
      </c>
      <c r="K173" s="3642" t="s">
        <v>7095</v>
      </c>
      <c r="L173" s="3643"/>
      <c r="M173" s="3643"/>
      <c r="N173" s="3643"/>
      <c r="O173" s="3643"/>
      <c r="P173" s="3644"/>
      <c r="Q173" s="601"/>
    </row>
    <row r="174" spans="1:32" ht="12" customHeight="1">
      <c r="B174" s="143" t="s">
        <v>3571</v>
      </c>
      <c r="D174" s="143"/>
      <c r="E174" s="143"/>
      <c r="F174" s="143"/>
      <c r="G174" s="143"/>
      <c r="H174" s="40"/>
      <c r="I174" s="1337"/>
      <c r="J174" s="1337"/>
      <c r="K174" s="1337"/>
      <c r="L174" s="1330"/>
      <c r="M174" s="1330"/>
      <c r="N174" s="1330"/>
      <c r="O174" s="1330"/>
      <c r="P174" s="1330"/>
      <c r="Q174" s="994"/>
    </row>
    <row r="175" spans="1:32" ht="11.4" customHeight="1">
      <c r="A175" s="3660" t="s">
        <v>7139</v>
      </c>
      <c r="B175" s="3661"/>
      <c r="C175" s="3661"/>
      <c r="D175" s="3661"/>
      <c r="E175" s="3661"/>
      <c r="F175" s="3661"/>
      <c r="G175" s="3661"/>
      <c r="H175" s="3661"/>
      <c r="I175" s="3661"/>
      <c r="J175" s="3661"/>
      <c r="K175" s="3661"/>
      <c r="L175" s="3661"/>
      <c r="M175" s="3661"/>
      <c r="N175" s="3661"/>
      <c r="O175" s="3661"/>
      <c r="P175" s="3661"/>
      <c r="Q175" s="3662"/>
      <c r="U175" s="138"/>
      <c r="V175" s="138"/>
      <c r="W175" s="138"/>
      <c r="X175" s="138"/>
      <c r="Y175" s="138"/>
      <c r="Z175" s="138"/>
      <c r="AA175" s="138"/>
      <c r="AB175" s="138"/>
      <c r="AC175" s="138"/>
      <c r="AD175" s="138"/>
      <c r="AE175" s="520"/>
    </row>
    <row r="176" spans="1:32" ht="12" customHeight="1">
      <c r="B176" s="139" t="s">
        <v>1820</v>
      </c>
      <c r="C176" s="140"/>
      <c r="D176" s="1331"/>
      <c r="E176" s="1331"/>
      <c r="F176" s="1331"/>
      <c r="G176" s="1331"/>
      <c r="H176" s="1331"/>
      <c r="I176" s="1331"/>
      <c r="J176" s="1331"/>
      <c r="K176" s="1331"/>
      <c r="L176" s="1331"/>
      <c r="M176" s="1331"/>
      <c r="N176" s="1331"/>
      <c r="O176" s="1331"/>
      <c r="P176" s="1331"/>
      <c r="Q176" s="1331"/>
    </row>
    <row r="177" spans="1:31" ht="11.4" customHeight="1">
      <c r="A177" s="3620"/>
      <c r="B177" s="3621"/>
      <c r="C177" s="3621"/>
      <c r="D177" s="3621"/>
      <c r="E177" s="3621"/>
      <c r="F177" s="3621"/>
      <c r="G177" s="3621"/>
      <c r="H177" s="3621"/>
      <c r="I177" s="3621"/>
      <c r="J177" s="3621"/>
      <c r="K177" s="3621"/>
      <c r="L177" s="3621"/>
      <c r="M177" s="3621"/>
      <c r="N177" s="3621"/>
      <c r="O177" s="3621"/>
      <c r="P177" s="3621"/>
      <c r="Q177" s="3622"/>
    </row>
    <row r="178" spans="1:31" ht="3" customHeight="1">
      <c r="A178" s="1330"/>
      <c r="B178" s="1337"/>
      <c r="C178" s="1331"/>
      <c r="D178" s="1331"/>
      <c r="E178" s="1331"/>
      <c r="F178" s="1331"/>
      <c r="G178" s="1331"/>
      <c r="H178" s="1331"/>
      <c r="I178" s="1331"/>
      <c r="J178" s="1331"/>
      <c r="K178" s="1331"/>
      <c r="L178" s="1331"/>
      <c r="M178" s="1331"/>
      <c r="Q178" s="1330"/>
    </row>
    <row r="179" spans="1:31" ht="14.1" customHeight="1">
      <c r="A179" s="1336" t="s">
        <v>418</v>
      </c>
      <c r="B179" s="1336" t="s">
        <v>2584</v>
      </c>
      <c r="C179" s="1336"/>
      <c r="D179" s="1331"/>
      <c r="E179" s="1331"/>
      <c r="F179" s="1331"/>
      <c r="G179" s="1331"/>
      <c r="H179" s="1331"/>
      <c r="I179" s="1331"/>
      <c r="J179" s="1331"/>
      <c r="K179" s="1331"/>
      <c r="L179" s="1331"/>
      <c r="M179" s="1331"/>
      <c r="O179" s="134" t="s">
        <v>1821</v>
      </c>
      <c r="P179" s="3666"/>
      <c r="Q179" s="3667"/>
    </row>
    <row r="180" spans="1:31" ht="21.75" customHeight="1">
      <c r="A180" s="144" t="s">
        <v>1936</v>
      </c>
      <c r="B180" s="3615" t="s">
        <v>3560</v>
      </c>
      <c r="C180" s="3615"/>
      <c r="D180" s="3615"/>
      <c r="E180" s="3615"/>
      <c r="F180" s="3615"/>
      <c r="G180" s="3615"/>
      <c r="H180" s="3615"/>
      <c r="I180" s="3615"/>
      <c r="J180" s="3615"/>
      <c r="K180" s="3615"/>
      <c r="L180" s="3615"/>
      <c r="M180" s="3615"/>
      <c r="N180" s="3615"/>
      <c r="O180" s="165" t="s">
        <v>1936</v>
      </c>
      <c r="P180" s="1369" t="s">
        <v>2886</v>
      </c>
      <c r="Q180" s="1368"/>
    </row>
    <row r="181" spans="1:31" ht="22.35" customHeight="1">
      <c r="A181" s="144" t="s">
        <v>1938</v>
      </c>
      <c r="B181" s="3615" t="s">
        <v>4266</v>
      </c>
      <c r="C181" s="3615"/>
      <c r="D181" s="3615"/>
      <c r="E181" s="3615"/>
      <c r="F181" s="3615"/>
      <c r="G181" s="3615"/>
      <c r="H181" s="3615"/>
      <c r="I181" s="3615"/>
      <c r="J181" s="3615"/>
      <c r="K181" s="3615"/>
      <c r="L181" s="3615"/>
      <c r="M181" s="3615"/>
      <c r="N181" s="3615"/>
      <c r="O181" s="165" t="s">
        <v>1938</v>
      </c>
      <c r="P181" s="618"/>
      <c r="Q181" s="606"/>
    </row>
    <row r="182" spans="1:31" ht="22.35" customHeight="1">
      <c r="A182" s="144" t="s">
        <v>731</v>
      </c>
      <c r="B182" s="3615" t="s">
        <v>3561</v>
      </c>
      <c r="C182" s="3615"/>
      <c r="D182" s="3615"/>
      <c r="E182" s="3615"/>
      <c r="F182" s="3615"/>
      <c r="G182" s="3615"/>
      <c r="H182" s="3615"/>
      <c r="I182" s="3615"/>
      <c r="J182" s="3615"/>
      <c r="K182" s="3615"/>
      <c r="L182" s="3615"/>
      <c r="M182" s="3615"/>
      <c r="N182" s="3615"/>
      <c r="O182" s="165" t="s">
        <v>731</v>
      </c>
      <c r="P182" s="618"/>
      <c r="Q182" s="606"/>
    </row>
    <row r="183" spans="1:31" ht="21.75" customHeight="1">
      <c r="A183" s="144" t="s">
        <v>2065</v>
      </c>
      <c r="B183" s="3615" t="s">
        <v>4360</v>
      </c>
      <c r="C183" s="3615"/>
      <c r="D183" s="3615"/>
      <c r="E183" s="3615"/>
      <c r="F183" s="3615"/>
      <c r="G183" s="3615"/>
      <c r="H183" s="3615"/>
      <c r="I183" s="3615"/>
      <c r="J183" s="3615"/>
      <c r="K183" s="3615"/>
      <c r="L183" s="3615"/>
      <c r="M183" s="3615"/>
      <c r="N183" s="3615"/>
      <c r="O183" s="165" t="s">
        <v>2065</v>
      </c>
      <c r="P183" s="1373"/>
      <c r="Q183" s="1370"/>
    </row>
    <row r="184" spans="1:31" ht="12" customHeight="1">
      <c r="B184" s="143" t="s">
        <v>3571</v>
      </c>
      <c r="D184" s="143"/>
      <c r="E184" s="143"/>
      <c r="F184" s="143"/>
      <c r="G184" s="143"/>
      <c r="H184" s="40"/>
      <c r="I184" s="1337"/>
      <c r="J184" s="1337"/>
      <c r="K184" s="1337"/>
      <c r="L184" s="1330"/>
      <c r="M184" s="1330"/>
      <c r="N184" s="1330"/>
      <c r="O184" s="1330"/>
      <c r="P184" s="1330"/>
      <c r="Q184" s="994"/>
    </row>
    <row r="185" spans="1:31" ht="11.4" customHeight="1">
      <c r="A185" s="3660" t="s">
        <v>7140</v>
      </c>
      <c r="B185" s="3661"/>
      <c r="C185" s="3661"/>
      <c r="D185" s="3661"/>
      <c r="E185" s="3661"/>
      <c r="F185" s="3661"/>
      <c r="G185" s="3661"/>
      <c r="H185" s="3661"/>
      <c r="I185" s="3661"/>
      <c r="J185" s="3661"/>
      <c r="K185" s="3661"/>
      <c r="L185" s="3661"/>
      <c r="M185" s="3661"/>
      <c r="N185" s="3661"/>
      <c r="O185" s="3661"/>
      <c r="P185" s="3661"/>
      <c r="Q185" s="3662"/>
      <c r="U185" s="138"/>
      <c r="V185" s="138"/>
      <c r="W185" s="138"/>
      <c r="X185" s="138"/>
      <c r="Y185" s="138"/>
      <c r="Z185" s="138"/>
      <c r="AA185" s="138"/>
      <c r="AB185" s="138"/>
      <c r="AC185" s="138"/>
      <c r="AD185" s="138"/>
      <c r="AE185" s="520"/>
    </row>
    <row r="186" spans="1:31" ht="12" customHeight="1">
      <c r="B186" s="139" t="s">
        <v>1820</v>
      </c>
      <c r="C186" s="140"/>
      <c r="D186" s="1331"/>
      <c r="E186" s="1331"/>
      <c r="F186" s="1331"/>
      <c r="G186" s="1331"/>
      <c r="H186" s="1331"/>
      <c r="I186" s="1331"/>
      <c r="J186" s="1331"/>
      <c r="K186" s="1331"/>
      <c r="L186" s="1331"/>
      <c r="M186" s="1331"/>
      <c r="N186" s="1331"/>
      <c r="O186" s="1331"/>
      <c r="P186" s="1331"/>
      <c r="Q186" s="1331"/>
    </row>
    <row r="187" spans="1:31" ht="11.4" customHeight="1">
      <c r="A187" s="3620"/>
      <c r="B187" s="3621"/>
      <c r="C187" s="3621"/>
      <c r="D187" s="3621"/>
      <c r="E187" s="3621"/>
      <c r="F187" s="3621"/>
      <c r="G187" s="3621"/>
      <c r="H187" s="3621"/>
      <c r="I187" s="3621"/>
      <c r="J187" s="3621"/>
      <c r="K187" s="3621"/>
      <c r="L187" s="3621"/>
      <c r="M187" s="3621"/>
      <c r="N187" s="3621"/>
      <c r="O187" s="3621"/>
      <c r="P187" s="3621"/>
      <c r="Q187" s="3622"/>
    </row>
    <row r="188" spans="1:31" ht="3" customHeight="1">
      <c r="B188" s="1337"/>
      <c r="C188" s="1331"/>
      <c r="D188" s="1331"/>
      <c r="E188" s="1331"/>
      <c r="F188" s="1331"/>
      <c r="G188" s="1331"/>
      <c r="H188" s="1331"/>
      <c r="I188" s="1331"/>
      <c r="J188" s="1331"/>
      <c r="K188" s="1331"/>
      <c r="L188" s="1331"/>
      <c r="M188" s="1331"/>
      <c r="N188" s="1331"/>
      <c r="O188" s="1331"/>
      <c r="P188" s="1331"/>
      <c r="Q188" s="1330"/>
    </row>
    <row r="189" spans="1:31" ht="14.1" customHeight="1">
      <c r="A189" s="1329" t="s">
        <v>356</v>
      </c>
      <c r="B189" s="3521" t="s">
        <v>2585</v>
      </c>
      <c r="C189" s="3521"/>
      <c r="D189" s="3521"/>
      <c r="O189" s="134" t="s">
        <v>1821</v>
      </c>
      <c r="P189" s="3666"/>
      <c r="Q189" s="3667"/>
    </row>
    <row r="190" spans="1:31" ht="12" customHeight="1">
      <c r="A190" s="144" t="s">
        <v>1936</v>
      </c>
      <c r="B190" s="976" t="s">
        <v>459</v>
      </c>
      <c r="D190" s="976"/>
      <c r="E190" s="976"/>
      <c r="F190" s="976"/>
      <c r="G190" s="976"/>
      <c r="H190" s="976"/>
      <c r="I190" s="976"/>
      <c r="J190" s="976"/>
      <c r="K190" s="976"/>
      <c r="L190" s="976"/>
      <c r="M190" s="976"/>
      <c r="O190" s="165" t="s">
        <v>1936</v>
      </c>
      <c r="P190" s="236" t="s">
        <v>2886</v>
      </c>
      <c r="Q190" s="603"/>
    </row>
    <row r="191" spans="1:31" ht="12" customHeight="1">
      <c r="A191" s="144" t="s">
        <v>1938</v>
      </c>
      <c r="B191" s="976" t="s">
        <v>2571</v>
      </c>
      <c r="D191" s="976"/>
      <c r="E191" s="976"/>
      <c r="F191" s="976"/>
      <c r="G191" s="976"/>
      <c r="H191" s="976"/>
      <c r="I191" s="976"/>
      <c r="J191" s="976"/>
      <c r="K191" s="976"/>
      <c r="L191" s="976"/>
      <c r="M191" s="976"/>
      <c r="O191" s="165" t="s">
        <v>1938</v>
      </c>
      <c r="P191" s="419" t="s">
        <v>2886</v>
      </c>
      <c r="Q191" s="604"/>
    </row>
    <row r="192" spans="1:31" ht="12" customHeight="1">
      <c r="A192" s="144" t="s">
        <v>731</v>
      </c>
      <c r="B192" s="976" t="s">
        <v>2572</v>
      </c>
      <c r="D192" s="976"/>
      <c r="E192" s="976"/>
      <c r="F192" s="976"/>
      <c r="G192" s="976"/>
      <c r="H192" s="976"/>
      <c r="I192" s="976"/>
      <c r="J192" s="142" t="s">
        <v>4372</v>
      </c>
      <c r="L192" s="976"/>
      <c r="M192" s="976"/>
      <c r="O192" s="165" t="s">
        <v>731</v>
      </c>
      <c r="P192" s="419" t="s">
        <v>2886</v>
      </c>
      <c r="Q192" s="604"/>
    </row>
    <row r="193" spans="1:32" ht="12" customHeight="1">
      <c r="B193" s="40" t="s">
        <v>1694</v>
      </c>
      <c r="C193" s="995" t="s">
        <v>2573</v>
      </c>
      <c r="G193" s="976"/>
      <c r="H193" s="976"/>
      <c r="J193" s="976"/>
      <c r="K193" s="976"/>
      <c r="L193" s="976"/>
      <c r="M193" s="976"/>
      <c r="O193" s="501" t="s">
        <v>1694</v>
      </c>
      <c r="P193" s="419" t="s">
        <v>2886</v>
      </c>
      <c r="Q193" s="604"/>
    </row>
    <row r="194" spans="1:32" ht="12" customHeight="1">
      <c r="A194" s="142"/>
      <c r="B194" s="40" t="s">
        <v>1695</v>
      </c>
      <c r="C194" s="995" t="s">
        <v>2574</v>
      </c>
      <c r="G194" s="976"/>
      <c r="H194" s="976"/>
      <c r="I194" s="976"/>
      <c r="J194" s="976"/>
      <c r="K194" s="976"/>
      <c r="L194" s="976"/>
      <c r="M194" s="976"/>
      <c r="O194" s="501" t="s">
        <v>1695</v>
      </c>
      <c r="P194" s="419" t="s">
        <v>2886</v>
      </c>
      <c r="Q194" s="604"/>
    </row>
    <row r="195" spans="1:32" s="135" customFormat="1" ht="21.75" customHeight="1">
      <c r="A195" s="144"/>
      <c r="B195" s="531" t="s">
        <v>1696</v>
      </c>
      <c r="C195" s="3615" t="s">
        <v>3562</v>
      </c>
      <c r="D195" s="3615"/>
      <c r="E195" s="3615"/>
      <c r="F195" s="3615"/>
      <c r="G195" s="3615"/>
      <c r="H195" s="3615"/>
      <c r="I195" s="3615"/>
      <c r="J195" s="3615"/>
      <c r="K195" s="3615"/>
      <c r="L195" s="3615"/>
      <c r="M195" s="3615"/>
      <c r="N195" s="3615"/>
      <c r="O195" s="165" t="s">
        <v>1696</v>
      </c>
      <c r="P195" s="618" t="s">
        <v>2886</v>
      </c>
      <c r="Q195" s="606"/>
      <c r="AE195" s="521"/>
      <c r="AF195" s="521"/>
    </row>
    <row r="196" spans="1:32" ht="12" customHeight="1">
      <c r="A196" s="144"/>
      <c r="B196" s="40" t="s">
        <v>2305</v>
      </c>
      <c r="C196" s="995" t="s">
        <v>2575</v>
      </c>
      <c r="G196" s="976"/>
      <c r="H196" s="976"/>
      <c r="I196" s="976"/>
      <c r="J196" s="976"/>
      <c r="K196" s="976"/>
      <c r="L196" s="976"/>
      <c r="M196" s="976"/>
      <c r="O196" s="501" t="s">
        <v>2305</v>
      </c>
      <c r="P196" s="419" t="s">
        <v>2886</v>
      </c>
      <c r="Q196" s="604"/>
    </row>
    <row r="197" spans="1:32" s="135" customFormat="1" ht="21.75" customHeight="1">
      <c r="A197" s="144"/>
      <c r="B197" s="531" t="s">
        <v>1516</v>
      </c>
      <c r="C197" s="3615" t="s">
        <v>2576</v>
      </c>
      <c r="D197" s="3615"/>
      <c r="E197" s="3615"/>
      <c r="F197" s="3615"/>
      <c r="G197" s="3615"/>
      <c r="H197" s="3615"/>
      <c r="I197" s="3615"/>
      <c r="J197" s="3615"/>
      <c r="K197" s="3615"/>
      <c r="L197" s="3615"/>
      <c r="M197" s="3615"/>
      <c r="N197" s="3615"/>
      <c r="O197" s="165" t="s">
        <v>1516</v>
      </c>
      <c r="P197" s="618" t="s">
        <v>7137</v>
      </c>
      <c r="Q197" s="606"/>
      <c r="AE197" s="521"/>
      <c r="AF197" s="521"/>
    </row>
    <row r="198" spans="1:32" s="135" customFormat="1" ht="21.75" customHeight="1">
      <c r="A198" s="144"/>
      <c r="B198" s="531" t="s">
        <v>1517</v>
      </c>
      <c r="C198" s="3615" t="s">
        <v>3674</v>
      </c>
      <c r="D198" s="3615"/>
      <c r="E198" s="3615"/>
      <c r="F198" s="3615"/>
      <c r="G198" s="3615"/>
      <c r="H198" s="3615"/>
      <c r="I198" s="3615"/>
      <c r="J198" s="3615"/>
      <c r="K198" s="3615"/>
      <c r="L198" s="3615"/>
      <c r="M198" s="3615"/>
      <c r="N198" s="3615"/>
      <c r="O198" s="165" t="s">
        <v>1517</v>
      </c>
      <c r="P198" s="618" t="s">
        <v>7137</v>
      </c>
      <c r="Q198" s="606"/>
      <c r="AE198" s="521"/>
      <c r="AF198" s="521"/>
    </row>
    <row r="199" spans="1:32" ht="21.75" customHeight="1">
      <c r="A199" s="144" t="s">
        <v>2065</v>
      </c>
      <c r="B199" s="3615" t="s">
        <v>2577</v>
      </c>
      <c r="C199" s="3615"/>
      <c r="D199" s="3615"/>
      <c r="E199" s="3615"/>
      <c r="F199" s="3615"/>
      <c r="G199" s="3615"/>
      <c r="H199" s="3615"/>
      <c r="I199" s="3615"/>
      <c r="J199" s="3615"/>
      <c r="K199" s="3615"/>
      <c r="L199" s="3615"/>
      <c r="M199" s="3615"/>
      <c r="N199" s="3615"/>
      <c r="O199" s="165" t="s">
        <v>2065</v>
      </c>
      <c r="P199" s="618" t="s">
        <v>2886</v>
      </c>
      <c r="Q199" s="606"/>
    </row>
    <row r="200" spans="1:32" ht="12" customHeight="1">
      <c r="A200" s="144" t="s">
        <v>1692</v>
      </c>
      <c r="B200" s="976" t="s">
        <v>2318</v>
      </c>
      <c r="D200" s="976"/>
      <c r="E200" s="976"/>
      <c r="F200" s="976"/>
      <c r="G200" s="976"/>
      <c r="H200" s="976"/>
      <c r="I200" s="976"/>
      <c r="J200" s="976"/>
      <c r="K200" s="976"/>
      <c r="L200" s="976"/>
      <c r="M200" s="976"/>
      <c r="O200" s="165" t="s">
        <v>1692</v>
      </c>
      <c r="P200" s="237" t="s">
        <v>2886</v>
      </c>
      <c r="Q200" s="605"/>
    </row>
    <row r="201" spans="1:32" ht="12" customHeight="1">
      <c r="B201" s="143" t="s">
        <v>3571</v>
      </c>
      <c r="D201" s="143"/>
      <c r="E201" s="143"/>
      <c r="F201" s="143"/>
      <c r="G201" s="143"/>
      <c r="H201" s="40"/>
      <c r="I201" s="1337"/>
      <c r="J201" s="1337"/>
      <c r="K201" s="1337"/>
      <c r="L201" s="1330"/>
      <c r="M201" s="1330"/>
      <c r="N201" s="1330"/>
      <c r="O201" s="1330"/>
      <c r="P201" s="1330"/>
      <c r="Q201" s="994"/>
    </row>
    <row r="202" spans="1:32" ht="11.4" customHeight="1">
      <c r="A202" s="3660" t="s">
        <v>7141</v>
      </c>
      <c r="B202" s="3661"/>
      <c r="C202" s="3661"/>
      <c r="D202" s="3661"/>
      <c r="E202" s="3661"/>
      <c r="F202" s="3661"/>
      <c r="G202" s="3661"/>
      <c r="H202" s="3661"/>
      <c r="I202" s="3661"/>
      <c r="J202" s="3661"/>
      <c r="K202" s="3661"/>
      <c r="L202" s="3661"/>
      <c r="M202" s="3661"/>
      <c r="N202" s="3661"/>
      <c r="O202" s="3661"/>
      <c r="P202" s="3661"/>
      <c r="Q202" s="3662"/>
      <c r="U202" s="138"/>
      <c r="V202" s="138"/>
      <c r="W202" s="138"/>
      <c r="X202" s="138"/>
      <c r="Y202" s="138"/>
      <c r="Z202" s="138"/>
      <c r="AA202" s="138"/>
      <c r="AB202" s="138"/>
      <c r="AC202" s="138"/>
      <c r="AD202" s="138"/>
      <c r="AE202" s="520"/>
    </row>
    <row r="203" spans="1:32" ht="12" customHeight="1">
      <c r="B203" s="139" t="s">
        <v>1820</v>
      </c>
      <c r="C203" s="140"/>
      <c r="D203" s="1331"/>
      <c r="E203" s="1331"/>
      <c r="F203" s="1331"/>
      <c r="G203" s="1331"/>
      <c r="H203" s="1331"/>
      <c r="I203" s="1331"/>
      <c r="J203" s="1331"/>
      <c r="K203" s="1331"/>
      <c r="L203" s="1331"/>
      <c r="M203" s="1331"/>
      <c r="N203" s="1331"/>
      <c r="O203" s="1331"/>
      <c r="P203" s="1331"/>
      <c r="Q203" s="1331"/>
    </row>
    <row r="204" spans="1:32" ht="11.4" customHeight="1">
      <c r="A204" s="3620"/>
      <c r="B204" s="3621"/>
      <c r="C204" s="3621"/>
      <c r="D204" s="3621"/>
      <c r="E204" s="3621"/>
      <c r="F204" s="3621"/>
      <c r="G204" s="3621"/>
      <c r="H204" s="3621"/>
      <c r="I204" s="3621"/>
      <c r="J204" s="3621"/>
      <c r="K204" s="3621"/>
      <c r="L204" s="3621"/>
      <c r="M204" s="3621"/>
      <c r="N204" s="3621"/>
      <c r="O204" s="3621"/>
      <c r="P204" s="3621"/>
      <c r="Q204" s="3622"/>
    </row>
    <row r="205" spans="1:32" ht="3" customHeight="1">
      <c r="A205" s="1330"/>
      <c r="B205" s="1337"/>
      <c r="C205" s="1331"/>
      <c r="D205" s="1331"/>
      <c r="E205" s="1331"/>
      <c r="F205" s="1331"/>
      <c r="G205" s="1331"/>
      <c r="H205" s="1331"/>
      <c r="I205" s="1331"/>
      <c r="J205" s="1331"/>
      <c r="K205" s="1331"/>
      <c r="L205" s="1331"/>
      <c r="M205" s="1331"/>
      <c r="N205" s="1331"/>
      <c r="O205" s="1331"/>
      <c r="P205" s="1331"/>
      <c r="Q205" s="1330"/>
    </row>
    <row r="206" spans="1:32" ht="14.1" customHeight="1">
      <c r="A206" s="1336" t="s">
        <v>357</v>
      </c>
      <c r="B206" s="1336" t="s">
        <v>2586</v>
      </c>
      <c r="C206" s="1336"/>
      <c r="D206" s="1331"/>
      <c r="E206" s="149"/>
      <c r="F206" s="149"/>
      <c r="G206" s="1331"/>
      <c r="J206" s="996"/>
      <c r="K206" s="996"/>
      <c r="L206" s="996"/>
      <c r="M206" s="996"/>
      <c r="N206" s="996"/>
      <c r="O206" s="134" t="s">
        <v>1821</v>
      </c>
      <c r="P206" s="3666"/>
      <c r="Q206" s="3667"/>
    </row>
    <row r="207" spans="1:32" ht="22.5" customHeight="1">
      <c r="A207" s="3851" t="s">
        <v>4491</v>
      </c>
      <c r="B207" s="3851"/>
      <c r="C207" s="3851"/>
      <c r="D207" s="3851"/>
      <c r="E207" s="3851"/>
      <c r="F207" s="3851"/>
      <c r="G207" s="3851"/>
      <c r="H207" s="3851"/>
      <c r="I207" s="3851"/>
      <c r="J207" s="3851"/>
      <c r="K207" s="3851"/>
      <c r="L207" s="3851"/>
      <c r="M207" s="3851"/>
      <c r="N207" s="3851"/>
      <c r="O207" s="3851"/>
      <c r="P207" s="3851"/>
      <c r="Q207" s="3851"/>
    </row>
    <row r="208" spans="1:32" ht="11.25" customHeight="1">
      <c r="A208" s="141"/>
      <c r="B208" s="142" t="s">
        <v>95</v>
      </c>
      <c r="D208" s="142"/>
      <c r="E208" s="142"/>
      <c r="F208" s="142"/>
      <c r="G208" s="142"/>
      <c r="H208" s="65" t="s">
        <v>1694</v>
      </c>
      <c r="I208" s="52" t="s">
        <v>148</v>
      </c>
      <c r="J208" s="3653" t="s">
        <v>1797</v>
      </c>
      <c r="K208" s="3654"/>
      <c r="L208" s="3654"/>
      <c r="M208" s="3654"/>
      <c r="N208" s="3655"/>
      <c r="O208" s="65" t="s">
        <v>1694</v>
      </c>
      <c r="P208" s="236" t="s">
        <v>2889</v>
      </c>
      <c r="Q208" s="603"/>
    </row>
    <row r="209" spans="1:44" ht="11.25" customHeight="1">
      <c r="A209" s="141"/>
      <c r="B209" s="143" t="s">
        <v>3571</v>
      </c>
      <c r="C209" s="106"/>
      <c r="D209" s="106"/>
      <c r="E209" s="106"/>
      <c r="F209" s="106"/>
      <c r="H209" s="65" t="s">
        <v>1695</v>
      </c>
      <c r="I209" s="52" t="s">
        <v>1563</v>
      </c>
      <c r="J209" s="3635" t="s">
        <v>7142</v>
      </c>
      <c r="K209" s="3656"/>
      <c r="L209" s="3656"/>
      <c r="M209" s="3656"/>
      <c r="N209" s="3636"/>
      <c r="O209" s="65" t="s">
        <v>1695</v>
      </c>
      <c r="P209" s="237" t="s">
        <v>2886</v>
      </c>
      <c r="Q209" s="605"/>
    </row>
    <row r="210" spans="1:44" ht="11.4" customHeight="1">
      <c r="A210" s="3660" t="s">
        <v>7143</v>
      </c>
      <c r="B210" s="3661"/>
      <c r="C210" s="3661"/>
      <c r="D210" s="3661"/>
      <c r="E210" s="3661"/>
      <c r="F210" s="3661"/>
      <c r="G210" s="3661"/>
      <c r="H210" s="3661"/>
      <c r="I210" s="3661"/>
      <c r="J210" s="3661"/>
      <c r="K210" s="3661"/>
      <c r="L210" s="3661"/>
      <c r="M210" s="3661"/>
      <c r="N210" s="3661"/>
      <c r="O210" s="3661"/>
      <c r="P210" s="3661"/>
      <c r="Q210" s="3662"/>
      <c r="U210" s="138"/>
      <c r="V210" s="138"/>
      <c r="W210" s="138"/>
      <c r="X210" s="138"/>
      <c r="Y210" s="138"/>
      <c r="Z210" s="138"/>
      <c r="AA210" s="138"/>
      <c r="AB210" s="138"/>
      <c r="AC210" s="138"/>
      <c r="AD210" s="138"/>
      <c r="AE210" s="520"/>
    </row>
    <row r="211" spans="1:44" ht="11.25" customHeight="1">
      <c r="B211" s="139" t="s">
        <v>1820</v>
      </c>
      <c r="C211" s="140"/>
      <c r="D211" s="1331"/>
      <c r="E211" s="1331"/>
      <c r="F211" s="1331"/>
      <c r="G211" s="1331"/>
      <c r="H211" s="1331"/>
      <c r="I211" s="1331"/>
      <c r="J211" s="1331"/>
      <c r="K211" s="1331"/>
      <c r="L211" s="1331"/>
      <c r="M211" s="1331"/>
      <c r="N211" s="1331"/>
      <c r="O211" s="1331"/>
      <c r="P211" s="1331"/>
      <c r="Q211" s="1331"/>
    </row>
    <row r="212" spans="1:44" ht="11.4" customHeight="1">
      <c r="A212" s="3620"/>
      <c r="B212" s="3621"/>
      <c r="C212" s="3621"/>
      <c r="D212" s="3621"/>
      <c r="E212" s="3621"/>
      <c r="F212" s="3621"/>
      <c r="G212" s="3621"/>
      <c r="H212" s="3621"/>
      <c r="I212" s="3621"/>
      <c r="J212" s="3621"/>
      <c r="K212" s="3621"/>
      <c r="L212" s="3621"/>
      <c r="M212" s="3621"/>
      <c r="N212" s="3621"/>
      <c r="O212" s="3621"/>
      <c r="P212" s="3621"/>
      <c r="Q212" s="3622"/>
    </row>
    <row r="213" spans="1:44" ht="4.3499999999999996" customHeight="1">
      <c r="B213" s="1337"/>
      <c r="C213" s="1331"/>
      <c r="D213" s="1331"/>
      <c r="E213" s="1331"/>
      <c r="F213" s="1331"/>
      <c r="G213" s="1331"/>
      <c r="H213" s="1331"/>
      <c r="I213" s="1331"/>
      <c r="J213" s="1331"/>
      <c r="K213" s="1331"/>
      <c r="L213" s="1331"/>
      <c r="M213" s="1331"/>
      <c r="Q213" s="994"/>
    </row>
    <row r="214" spans="1:44" ht="14.1" customHeight="1">
      <c r="A214" s="1336" t="s">
        <v>358</v>
      </c>
      <c r="B214" s="4" t="s">
        <v>2587</v>
      </c>
      <c r="C214" s="4"/>
      <c r="D214" s="87"/>
      <c r="E214" s="87"/>
      <c r="F214" s="87"/>
      <c r="G214" s="1331"/>
      <c r="H214" s="1331"/>
      <c r="I214" s="1331"/>
      <c r="J214" s="1331"/>
      <c r="K214" s="1331"/>
      <c r="L214" s="1331"/>
      <c r="M214" s="1331"/>
      <c r="O214" s="134" t="s">
        <v>1821</v>
      </c>
      <c r="P214" s="3666"/>
      <c r="Q214" s="3667"/>
    </row>
    <row r="215" spans="1:44" ht="11.4" customHeight="1">
      <c r="A215" s="144" t="s">
        <v>1936</v>
      </c>
      <c r="B215" s="3615" t="s">
        <v>1803</v>
      </c>
      <c r="C215" s="3615"/>
      <c r="D215" s="3615"/>
      <c r="E215" s="3615"/>
      <c r="F215" s="3615"/>
      <c r="G215" s="3615"/>
      <c r="H215" s="65" t="s">
        <v>1694</v>
      </c>
      <c r="I215" s="52" t="s">
        <v>617</v>
      </c>
      <c r="J215" s="3653" t="s">
        <v>7144</v>
      </c>
      <c r="K215" s="3654"/>
      <c r="L215" s="3654"/>
      <c r="M215" s="3654"/>
      <c r="N215" s="3655"/>
      <c r="O215" s="165" t="s">
        <v>1455</v>
      </c>
      <c r="P215" s="2004" t="s">
        <v>2886</v>
      </c>
      <c r="Q215" s="2005"/>
    </row>
    <row r="216" spans="1:44" ht="11.4" customHeight="1">
      <c r="A216" s="153"/>
      <c r="B216" s="3615"/>
      <c r="C216" s="3615"/>
      <c r="D216" s="3615"/>
      <c r="E216" s="3615"/>
      <c r="F216" s="3615"/>
      <c r="G216" s="3615"/>
      <c r="H216" s="65" t="s">
        <v>1695</v>
      </c>
      <c r="I216" s="52" t="s">
        <v>113</v>
      </c>
      <c r="J216" s="3635" t="s">
        <v>7144</v>
      </c>
      <c r="K216" s="3656"/>
      <c r="L216" s="3656"/>
      <c r="M216" s="3656"/>
      <c r="N216" s="3636"/>
      <c r="O216" s="165" t="s">
        <v>1695</v>
      </c>
      <c r="P216" s="419" t="s">
        <v>2886</v>
      </c>
      <c r="Q216" s="604"/>
    </row>
    <row r="217" spans="1:44" ht="12" customHeight="1">
      <c r="A217" s="144" t="s">
        <v>1938</v>
      </c>
      <c r="B217" s="52" t="s">
        <v>3679</v>
      </c>
      <c r="D217" s="52"/>
      <c r="E217" s="52"/>
      <c r="F217" s="52"/>
      <c r="G217" s="52"/>
      <c r="H217" s="52"/>
      <c r="I217" s="52"/>
      <c r="J217" s="52"/>
      <c r="K217" s="42"/>
      <c r="L217" s="52"/>
      <c r="M217" s="52"/>
      <c r="O217" s="518" t="s">
        <v>1938</v>
      </c>
      <c r="P217" s="419" t="s">
        <v>2886</v>
      </c>
      <c r="Q217" s="604"/>
    </row>
    <row r="218" spans="1:44" ht="12" customHeight="1">
      <c r="A218" s="47" t="s">
        <v>731</v>
      </c>
      <c r="B218" s="52" t="s">
        <v>3680</v>
      </c>
      <c r="D218" s="52"/>
      <c r="E218" s="52"/>
      <c r="F218" s="52"/>
      <c r="G218" s="52"/>
      <c r="H218" s="52"/>
      <c r="I218" s="52"/>
      <c r="J218" s="52"/>
      <c r="K218" s="42"/>
      <c r="L218" s="52"/>
      <c r="M218" s="52"/>
      <c r="O218" s="518" t="s">
        <v>731</v>
      </c>
      <c r="P218" s="237"/>
      <c r="Q218" s="605"/>
    </row>
    <row r="219" spans="1:44" ht="11.25" customHeight="1">
      <c r="B219" s="143" t="s">
        <v>3571</v>
      </c>
      <c r="D219" s="143"/>
      <c r="E219" s="143"/>
      <c r="F219" s="143"/>
      <c r="G219" s="143"/>
      <c r="H219" s="40"/>
      <c r="I219" s="1337"/>
      <c r="J219" s="1337"/>
      <c r="K219" s="1337"/>
      <c r="L219" s="1330"/>
      <c r="M219" s="1330"/>
      <c r="N219" s="1330"/>
      <c r="O219" s="1330"/>
      <c r="P219" s="1330"/>
      <c r="Q219" s="994"/>
    </row>
    <row r="220" spans="1:44" ht="11.4" customHeight="1">
      <c r="A220" s="3660" t="s">
        <v>7145</v>
      </c>
      <c r="B220" s="3661"/>
      <c r="C220" s="3661"/>
      <c r="D220" s="3661"/>
      <c r="E220" s="3661"/>
      <c r="F220" s="3661"/>
      <c r="G220" s="3661"/>
      <c r="H220" s="3661"/>
      <c r="I220" s="3661"/>
      <c r="J220" s="3661"/>
      <c r="K220" s="3661"/>
      <c r="L220" s="3661"/>
      <c r="M220" s="3661"/>
      <c r="N220" s="3661"/>
      <c r="O220" s="3661"/>
      <c r="P220" s="3661"/>
      <c r="Q220" s="3662"/>
      <c r="U220" s="138"/>
      <c r="V220" s="138"/>
      <c r="W220" s="138"/>
      <c r="X220" s="138"/>
      <c r="Y220" s="138"/>
      <c r="Z220" s="138"/>
      <c r="AA220" s="138"/>
      <c r="AB220" s="138"/>
      <c r="AC220" s="138"/>
      <c r="AD220" s="138"/>
      <c r="AE220" s="520"/>
    </row>
    <row r="221" spans="1:44" ht="11.25" customHeight="1">
      <c r="B221" s="139" t="s">
        <v>1820</v>
      </c>
      <c r="C221" s="140"/>
      <c r="D221" s="1331"/>
      <c r="E221" s="1331"/>
      <c r="F221" s="1331"/>
      <c r="G221" s="1331"/>
      <c r="H221" s="1331"/>
      <c r="I221" s="1331"/>
      <c r="J221" s="1331"/>
      <c r="K221" s="1331"/>
      <c r="L221" s="1331"/>
      <c r="M221" s="1331"/>
      <c r="N221" s="1331"/>
      <c r="O221" s="1331"/>
      <c r="P221" s="1331"/>
      <c r="Q221" s="1331"/>
    </row>
    <row r="222" spans="1:44" ht="11.4" customHeight="1">
      <c r="A222" s="3620"/>
      <c r="B222" s="3621"/>
      <c r="C222" s="3621"/>
      <c r="D222" s="3621"/>
      <c r="E222" s="3621"/>
      <c r="F222" s="3621"/>
      <c r="G222" s="3621"/>
      <c r="H222" s="3621"/>
      <c r="I222" s="3621"/>
      <c r="J222" s="3621"/>
      <c r="K222" s="3621"/>
      <c r="L222" s="3621"/>
      <c r="M222" s="3621"/>
      <c r="N222" s="3621"/>
      <c r="O222" s="3621"/>
      <c r="P222" s="3621"/>
      <c r="Q222" s="3622"/>
      <c r="S222" s="2284"/>
      <c r="T222" s="2284"/>
      <c r="U222" s="2284"/>
      <c r="V222" s="2284"/>
      <c r="W222" s="2284"/>
      <c r="X222" s="2284"/>
      <c r="Y222" s="2284"/>
      <c r="Z222" s="2284"/>
      <c r="AA222" s="2284"/>
      <c r="AB222" s="2284"/>
      <c r="AC222" s="2284"/>
      <c r="AD222" s="2284"/>
      <c r="AE222" s="2285"/>
      <c r="AF222" s="2285"/>
      <c r="AG222" s="2284"/>
      <c r="AH222" s="2284"/>
      <c r="AI222" s="2284"/>
      <c r="AJ222" s="2284"/>
      <c r="AK222" s="2284"/>
      <c r="AL222" s="2284"/>
      <c r="AM222" s="2284"/>
      <c r="AN222" s="2284"/>
      <c r="AO222" s="2284"/>
      <c r="AP222" s="2284"/>
      <c r="AQ222" s="2284"/>
      <c r="AR222" s="2284"/>
    </row>
    <row r="223" spans="1:44" ht="3" customHeight="1">
      <c r="A223" s="1330"/>
      <c r="B223" s="1337"/>
      <c r="C223" s="1331"/>
      <c r="D223" s="1331"/>
      <c r="E223" s="1331"/>
      <c r="F223" s="1331"/>
      <c r="G223" s="1331"/>
      <c r="H223" s="1331"/>
      <c r="I223" s="1331"/>
      <c r="J223" s="1331"/>
      <c r="K223" s="1331"/>
      <c r="L223" s="1331"/>
      <c r="M223" s="1331"/>
      <c r="Q223" s="1330"/>
      <c r="S223" s="2284"/>
      <c r="T223" s="2284"/>
      <c r="U223" s="2284"/>
      <c r="V223" s="2284"/>
      <c r="W223" s="2284"/>
      <c r="X223" s="2284"/>
      <c r="Y223" s="2284"/>
      <c r="Z223" s="2284"/>
      <c r="AA223" s="2284"/>
      <c r="AB223" s="2284"/>
      <c r="AC223" s="2284"/>
      <c r="AD223" s="2284"/>
      <c r="AE223" s="2285"/>
      <c r="AF223" s="2285"/>
      <c r="AG223" s="2284"/>
      <c r="AH223" s="2284"/>
      <c r="AI223" s="2284"/>
      <c r="AJ223" s="2284"/>
      <c r="AK223" s="2284"/>
      <c r="AL223" s="2284"/>
      <c r="AM223" s="2284"/>
      <c r="AN223" s="2284"/>
      <c r="AO223" s="2284"/>
      <c r="AP223" s="2284"/>
      <c r="AQ223" s="2284"/>
      <c r="AR223" s="2284"/>
    </row>
    <row r="224" spans="1:44" ht="14.1" customHeight="1">
      <c r="A224" s="1336" t="s">
        <v>1683</v>
      </c>
      <c r="B224" s="1336" t="s">
        <v>2588</v>
      </c>
      <c r="C224" s="116"/>
      <c r="D224" s="1331"/>
      <c r="E224" s="1331"/>
      <c r="F224" s="1331"/>
      <c r="G224" s="1331"/>
      <c r="H224" s="1331"/>
      <c r="I224" s="1331"/>
      <c r="J224" s="1331"/>
      <c r="K224" s="1331"/>
      <c r="L224" s="1331"/>
      <c r="M224" s="1331"/>
      <c r="O224" s="134" t="s">
        <v>1821</v>
      </c>
      <c r="P224" s="3666"/>
      <c r="Q224" s="3667"/>
      <c r="S224" s="2284"/>
      <c r="T224" s="2284"/>
      <c r="U224" s="2284"/>
      <c r="V224" s="2284"/>
      <c r="W224" s="2284"/>
      <c r="X224" s="2284"/>
      <c r="Y224" s="2284"/>
      <c r="Z224" s="2284"/>
      <c r="AA224" s="2284"/>
      <c r="AB224" s="2284"/>
      <c r="AC224" s="2284"/>
      <c r="AD224" s="2284"/>
      <c r="AE224" s="2285"/>
      <c r="AF224" s="2285"/>
      <c r="AG224" s="2284"/>
      <c r="AH224" s="2284"/>
      <c r="AI224" s="2284"/>
      <c r="AJ224" s="2284"/>
      <c r="AK224" s="2284"/>
      <c r="AL224" s="2284"/>
      <c r="AM224" s="2284"/>
      <c r="AN224" s="2284"/>
      <c r="AO224" s="2284"/>
      <c r="AP224" s="2284"/>
      <c r="AQ224" s="2284"/>
      <c r="AR224" s="2284"/>
    </row>
    <row r="225" spans="1:44" s="27" customFormat="1" ht="11.4" customHeight="1">
      <c r="B225" s="147" t="s">
        <v>1167</v>
      </c>
      <c r="N225" s="123"/>
      <c r="P225" s="97" t="s">
        <v>2889</v>
      </c>
      <c r="Q225" s="601"/>
      <c r="S225" s="2286"/>
      <c r="T225" s="2286"/>
      <c r="U225" s="2286"/>
      <c r="V225" s="2286"/>
      <c r="W225" s="2286"/>
      <c r="X225" s="2286"/>
      <c r="Y225" s="2286"/>
      <c r="Z225" s="2286"/>
      <c r="AA225" s="2286"/>
      <c r="AB225" s="2286"/>
      <c r="AC225" s="2286"/>
      <c r="AD225" s="2286"/>
      <c r="AE225" s="2287"/>
      <c r="AF225" s="2287"/>
      <c r="AG225" s="2286"/>
      <c r="AH225" s="2286"/>
      <c r="AI225" s="2286"/>
      <c r="AJ225" s="2286"/>
      <c r="AK225" s="2286"/>
      <c r="AL225" s="2286"/>
      <c r="AM225" s="2286"/>
      <c r="AN225" s="2286"/>
      <c r="AO225" s="2286"/>
      <c r="AP225" s="2286"/>
      <c r="AQ225" s="2286"/>
      <c r="AR225" s="2286"/>
    </row>
    <row r="226" spans="1:44" ht="12" customHeight="1">
      <c r="A226" s="47" t="s">
        <v>1936</v>
      </c>
      <c r="B226" s="36" t="s">
        <v>4715</v>
      </c>
      <c r="D226" s="42"/>
      <c r="E226" s="42"/>
      <c r="F226" s="42"/>
      <c r="G226" s="42"/>
      <c r="H226" s="42"/>
      <c r="I226" s="42"/>
      <c r="J226" s="42"/>
      <c r="K226" s="42"/>
      <c r="L226" s="42"/>
      <c r="M226" s="42"/>
      <c r="O226" s="518" t="s">
        <v>1936</v>
      </c>
      <c r="P226" s="97" t="s">
        <v>7115</v>
      </c>
      <c r="Q226" s="603"/>
      <c r="S226" s="2284"/>
      <c r="T226" s="2284"/>
      <c r="U226" s="2284"/>
      <c r="V226" s="2284"/>
      <c r="W226" s="2284"/>
      <c r="X226" s="2284"/>
      <c r="Y226" s="2284"/>
      <c r="Z226" s="2284"/>
      <c r="AA226" s="2284"/>
      <c r="AB226" s="2284"/>
      <c r="AC226" s="2284"/>
      <c r="AD226" s="2284"/>
      <c r="AE226" s="2285"/>
      <c r="AF226" s="2285"/>
      <c r="AG226" s="2284"/>
      <c r="AH226" s="2284"/>
      <c r="AI226" s="2284"/>
      <c r="AJ226" s="2284"/>
      <c r="AK226" s="2284"/>
      <c r="AL226" s="2284"/>
      <c r="AM226" s="2284"/>
      <c r="AN226" s="2284"/>
      <c r="AO226" s="2284"/>
      <c r="AP226" s="2284"/>
      <c r="AQ226" s="2284"/>
      <c r="AR226" s="2284"/>
    </row>
    <row r="227" spans="1:44" ht="11.4" customHeight="1">
      <c r="A227" s="47"/>
      <c r="B227" s="148" t="s">
        <v>1694</v>
      </c>
      <c r="C227" s="52" t="s">
        <v>1884</v>
      </c>
      <c r="E227" s="52"/>
      <c r="F227" s="52"/>
      <c r="G227" s="52"/>
      <c r="H227" s="52"/>
      <c r="I227" s="42"/>
      <c r="J227" s="65" t="s">
        <v>1455</v>
      </c>
      <c r="K227" s="3653" t="s">
        <v>7146</v>
      </c>
      <c r="L227" s="3655"/>
      <c r="Q227" s="604"/>
      <c r="S227" s="2284"/>
      <c r="T227" s="2284"/>
      <c r="U227" s="2284"/>
      <c r="V227" s="2284"/>
      <c r="W227" s="2284"/>
      <c r="X227" s="2284"/>
      <c r="Y227" s="2284"/>
      <c r="Z227" s="2284"/>
      <c r="AA227" s="2284"/>
      <c r="AB227" s="2284"/>
      <c r="AC227" s="2284"/>
      <c r="AD227" s="2284"/>
      <c r="AE227" s="2285"/>
      <c r="AF227" s="2285"/>
      <c r="AG227" s="2284"/>
      <c r="AH227" s="2284"/>
      <c r="AI227" s="2284"/>
      <c r="AJ227" s="2284"/>
      <c r="AK227" s="2284"/>
      <c r="AL227" s="2284"/>
      <c r="AM227" s="2284"/>
      <c r="AN227" s="2284"/>
      <c r="AO227" s="2284"/>
      <c r="AP227" s="2284"/>
      <c r="AQ227" s="2284"/>
      <c r="AR227" s="2284"/>
    </row>
    <row r="228" spans="1:44" ht="11.4" customHeight="1">
      <c r="A228" s="47"/>
      <c r="B228" s="148" t="s">
        <v>1695</v>
      </c>
      <c r="C228" s="995" t="s">
        <v>4251</v>
      </c>
      <c r="E228" s="995"/>
      <c r="F228" s="995"/>
      <c r="G228" s="995"/>
      <c r="H228" s="995"/>
      <c r="I228" s="42"/>
      <c r="J228" s="65" t="s">
        <v>1456</v>
      </c>
      <c r="K228" s="3855" t="s">
        <v>7147</v>
      </c>
      <c r="L228" s="3856"/>
      <c r="M228" s="3852" t="s">
        <v>2642</v>
      </c>
      <c r="N228" s="3853"/>
      <c r="O228" s="3853"/>
      <c r="P228" s="3854"/>
      <c r="Q228" s="604"/>
      <c r="S228" s="2284"/>
      <c r="T228" s="2284"/>
      <c r="U228" s="2284"/>
      <c r="V228" s="2284"/>
      <c r="W228" s="2284"/>
      <c r="X228" s="2284"/>
      <c r="Y228" s="2284"/>
      <c r="Z228" s="2284"/>
      <c r="AA228" s="2284"/>
      <c r="AB228" s="2284"/>
      <c r="AC228" s="2284"/>
      <c r="AD228" s="2284"/>
      <c r="AE228" s="2285"/>
      <c r="AF228" s="2285"/>
      <c r="AG228" s="2284"/>
      <c r="AH228" s="2284"/>
      <c r="AI228" s="2284"/>
      <c r="AJ228" s="2284"/>
      <c r="AK228" s="2284"/>
      <c r="AL228" s="2284"/>
      <c r="AM228" s="2284"/>
      <c r="AN228" s="2284"/>
      <c r="AO228" s="2284"/>
      <c r="AP228" s="2284"/>
      <c r="AQ228" s="2284"/>
      <c r="AR228" s="2284"/>
    </row>
    <row r="229" spans="1:44" ht="11.4" customHeight="1">
      <c r="A229" s="47"/>
      <c r="B229" s="40" t="s">
        <v>1696</v>
      </c>
      <c r="C229" s="995" t="s">
        <v>4254</v>
      </c>
      <c r="D229" s="150"/>
      <c r="E229" s="995"/>
      <c r="F229" s="995"/>
      <c r="G229" s="995"/>
      <c r="H229" s="995"/>
      <c r="I229" s="95"/>
      <c r="J229" s="518" t="s">
        <v>1457</v>
      </c>
      <c r="K229" s="3712" t="s">
        <v>7148</v>
      </c>
      <c r="L229" s="3713"/>
      <c r="M229" s="3713"/>
      <c r="N229" s="3714"/>
      <c r="O229" s="1764"/>
      <c r="P229" s="1397"/>
      <c r="Q229" s="604"/>
      <c r="R229" s="42"/>
      <c r="S229" s="2284"/>
      <c r="T229" s="2284"/>
      <c r="U229" s="2284"/>
      <c r="V229" s="2284"/>
      <c r="W229" s="2284"/>
      <c r="X229" s="2284"/>
      <c r="Y229" s="2284"/>
      <c r="Z229" s="2284"/>
      <c r="AA229" s="2284"/>
      <c r="AB229" s="2284"/>
      <c r="AC229" s="2284"/>
      <c r="AD229" s="2284"/>
      <c r="AE229" s="2285"/>
      <c r="AF229" s="2285"/>
      <c r="AG229" s="2284"/>
      <c r="AH229" s="2284"/>
      <c r="AI229" s="2284"/>
      <c r="AJ229" s="2284"/>
      <c r="AK229" s="2284"/>
      <c r="AL229" s="2284"/>
      <c r="AM229" s="2284"/>
      <c r="AN229" s="2284"/>
      <c r="AO229" s="2284"/>
      <c r="AP229" s="2284"/>
      <c r="AQ229" s="2284"/>
      <c r="AR229" s="2284"/>
    </row>
    <row r="230" spans="1:44" ht="11.4" customHeight="1">
      <c r="A230" s="47"/>
      <c r="B230" s="40" t="s">
        <v>2305</v>
      </c>
      <c r="C230" s="995" t="s">
        <v>4253</v>
      </c>
      <c r="D230" s="150"/>
      <c r="E230" s="995"/>
      <c r="F230" s="995"/>
      <c r="G230" s="995"/>
      <c r="H230" s="995"/>
      <c r="I230" s="95"/>
      <c r="J230" s="518" t="s">
        <v>4252</v>
      </c>
      <c r="K230" s="3635" t="s">
        <v>7149</v>
      </c>
      <c r="L230" s="3656"/>
      <c r="M230" s="3656"/>
      <c r="N230" s="3636"/>
      <c r="O230" s="130"/>
      <c r="P230" s="1763"/>
      <c r="Q230" s="605"/>
      <c r="R230" s="42"/>
      <c r="S230" s="2284"/>
      <c r="T230" s="2284"/>
      <c r="U230" s="2284"/>
      <c r="V230" s="2284"/>
      <c r="W230" s="2284"/>
      <c r="X230" s="2284"/>
      <c r="Y230" s="2284"/>
      <c r="Z230" s="2284"/>
      <c r="AA230" s="2284"/>
      <c r="AB230" s="2284"/>
      <c r="AC230" s="2284"/>
      <c r="AD230" s="2284"/>
      <c r="AE230" s="2285"/>
      <c r="AF230" s="2285"/>
      <c r="AG230" s="2284"/>
      <c r="AH230" s="2284"/>
      <c r="AI230" s="2284"/>
      <c r="AJ230" s="2284"/>
      <c r="AK230" s="2284"/>
      <c r="AL230" s="2284"/>
      <c r="AM230" s="2284"/>
      <c r="AN230" s="2284"/>
      <c r="AO230" s="2284"/>
      <c r="AP230" s="2284"/>
      <c r="AQ230" s="2284"/>
      <c r="AR230" s="2284"/>
    </row>
    <row r="231" spans="1:44" ht="11.25" customHeight="1">
      <c r="A231" s="47" t="s">
        <v>1938</v>
      </c>
      <c r="B231" s="52" t="s">
        <v>4716</v>
      </c>
      <c r="D231" s="52"/>
      <c r="E231" s="52"/>
      <c r="F231" s="52"/>
      <c r="G231" s="52"/>
      <c r="H231" s="52"/>
      <c r="I231" s="52"/>
      <c r="J231" s="52"/>
      <c r="K231" s="42"/>
      <c r="L231" s="42"/>
      <c r="M231" s="42"/>
      <c r="N231" s="42"/>
      <c r="O231" s="518" t="s">
        <v>1938</v>
      </c>
      <c r="P231" s="97" t="s">
        <v>7115</v>
      </c>
      <c r="Q231" s="601"/>
      <c r="S231" s="2284"/>
      <c r="T231" s="2284"/>
      <c r="U231" s="2284"/>
      <c r="V231" s="2284"/>
      <c r="W231" s="2284"/>
      <c r="X231" s="2284"/>
      <c r="Y231" s="2284"/>
      <c r="Z231" s="2284"/>
      <c r="AA231" s="2284"/>
      <c r="AB231" s="2284"/>
      <c r="AC231" s="2284"/>
      <c r="AD231" s="2284"/>
      <c r="AE231" s="2285"/>
      <c r="AF231" s="2285"/>
      <c r="AG231" s="2284"/>
      <c r="AH231" s="2284"/>
      <c r="AI231" s="2284"/>
      <c r="AJ231" s="2284"/>
      <c r="AK231" s="2284"/>
      <c r="AL231" s="2284"/>
      <c r="AM231" s="2284"/>
      <c r="AN231" s="2284"/>
      <c r="AO231" s="2284"/>
      <c r="AP231" s="2284"/>
      <c r="AQ231" s="2284"/>
      <c r="AR231" s="2284"/>
    </row>
    <row r="232" spans="1:44" ht="11.1" customHeight="1">
      <c r="A232" s="47"/>
      <c r="B232" s="52" t="s">
        <v>4408</v>
      </c>
      <c r="D232" s="52"/>
      <c r="E232" s="52"/>
      <c r="F232" s="52"/>
      <c r="G232" s="52"/>
      <c r="H232" s="52"/>
      <c r="I232" s="52"/>
      <c r="J232" s="52"/>
      <c r="K232" s="42"/>
      <c r="L232" s="42"/>
      <c r="M232" s="42"/>
      <c r="N232" s="518" t="s">
        <v>3455</v>
      </c>
      <c r="O232" s="1920">
        <f>'Part VI-Revenues &amp; Expenses'!$P$67</f>
        <v>200</v>
      </c>
      <c r="P232" s="3715" t="s">
        <v>4410</v>
      </c>
      <c r="Q232" s="3716"/>
      <c r="S232" s="2284"/>
      <c r="T232" s="2284"/>
      <c r="U232" s="2284"/>
      <c r="V232" s="2284"/>
      <c r="W232" s="2284"/>
      <c r="X232" s="2284"/>
      <c r="Y232" s="2284"/>
      <c r="Z232" s="2284"/>
      <c r="AA232" s="2284"/>
      <c r="AB232" s="2284"/>
      <c r="AC232" s="2284"/>
      <c r="AD232" s="2284"/>
      <c r="AE232" s="2285"/>
      <c r="AF232" s="2285"/>
      <c r="AG232" s="2284"/>
      <c r="AH232" s="2284"/>
      <c r="AI232" s="2284"/>
      <c r="AJ232" s="2284"/>
      <c r="AK232" s="2284"/>
      <c r="AL232" s="2284"/>
      <c r="AM232" s="2284"/>
      <c r="AN232" s="2284"/>
      <c r="AO232" s="2284"/>
      <c r="AP232" s="2284"/>
      <c r="AQ232" s="2284"/>
      <c r="AR232" s="2284"/>
    </row>
    <row r="233" spans="1:44" ht="11.1" customHeight="1">
      <c r="A233" s="47"/>
      <c r="B233" s="148" t="s">
        <v>1694</v>
      </c>
      <c r="C233" s="52" t="s">
        <v>4411</v>
      </c>
      <c r="D233" s="52"/>
      <c r="E233" s="52"/>
      <c r="F233" s="52"/>
      <c r="H233" s="518" t="s">
        <v>4412</v>
      </c>
      <c r="I233" s="52" t="s">
        <v>4421</v>
      </c>
      <c r="M233" s="42"/>
      <c r="N233" s="42"/>
      <c r="O233" s="322"/>
      <c r="P233" s="1904" t="s">
        <v>755</v>
      </c>
      <c r="Q233" s="1905" t="s">
        <v>4409</v>
      </c>
      <c r="S233" s="2284"/>
      <c r="T233" s="2284"/>
      <c r="U233" s="2284"/>
      <c r="V233" s="2284"/>
      <c r="W233" s="2284"/>
      <c r="X233" s="2284"/>
      <c r="Y233" s="2284"/>
      <c r="Z233" s="2284"/>
      <c r="AA233" s="2284"/>
      <c r="AB233" s="2284"/>
      <c r="AC233" s="2284"/>
      <c r="AD233" s="2284"/>
      <c r="AE233" s="2285"/>
      <c r="AF233" s="2285"/>
      <c r="AG233" s="2284"/>
      <c r="AH233" s="2284"/>
      <c r="AI233" s="2284"/>
      <c r="AJ233" s="2284"/>
      <c r="AK233" s="2284"/>
      <c r="AL233" s="2284"/>
      <c r="AM233" s="2284"/>
      <c r="AN233" s="2284"/>
      <c r="AO233" s="2284"/>
      <c r="AP233" s="2284"/>
      <c r="AQ233" s="2284"/>
      <c r="AR233" s="2284"/>
    </row>
    <row r="234" spans="1:44" s="43" customFormat="1" ht="11.4" customHeight="1">
      <c r="A234" s="51"/>
      <c r="B234" s="518" t="s">
        <v>2066</v>
      </c>
      <c r="C234" s="3717" t="s">
        <v>1615</v>
      </c>
      <c r="D234" s="3718"/>
      <c r="E234" s="3718"/>
      <c r="F234" s="3718"/>
      <c r="G234" s="3719"/>
      <c r="H234" s="518" t="s">
        <v>2066</v>
      </c>
      <c r="I234" s="3720" t="s">
        <v>3834</v>
      </c>
      <c r="J234" s="3132"/>
      <c r="K234" s="3132"/>
      <c r="L234" s="3132"/>
      <c r="M234" s="3132"/>
      <c r="N234" s="3132"/>
      <c r="O234" s="3721"/>
      <c r="P234" s="603"/>
      <c r="Q234" s="609"/>
      <c r="S234" s="2288"/>
      <c r="T234" s="2288"/>
      <c r="U234" s="2288"/>
      <c r="V234" s="2288"/>
      <c r="W234" s="2288"/>
      <c r="X234" s="2288"/>
      <c r="Y234" s="2288"/>
      <c r="Z234" s="2288"/>
      <c r="AA234" s="2288"/>
      <c r="AB234" s="2288"/>
      <c r="AC234" s="2288"/>
      <c r="AD234" s="2288"/>
      <c r="AE234" s="2289"/>
      <c r="AF234" s="2289"/>
      <c r="AG234" s="2288"/>
      <c r="AH234" s="2288"/>
      <c r="AI234" s="2288"/>
      <c r="AJ234" s="2288"/>
      <c r="AK234" s="2288"/>
      <c r="AL234" s="2288"/>
      <c r="AM234" s="2288"/>
      <c r="AN234" s="2288"/>
      <c r="AO234" s="2288"/>
      <c r="AP234" s="2288"/>
      <c r="AQ234" s="2288"/>
      <c r="AR234" s="2288"/>
    </row>
    <row r="235" spans="1:44" s="43" customFormat="1" ht="11.4" customHeight="1">
      <c r="A235" s="51"/>
      <c r="B235" s="518" t="s">
        <v>2067</v>
      </c>
      <c r="C235" s="3722" t="s">
        <v>4405</v>
      </c>
      <c r="D235" s="3723"/>
      <c r="E235" s="3723"/>
      <c r="F235" s="3723"/>
      <c r="G235" s="3724"/>
      <c r="H235" s="518" t="s">
        <v>2067</v>
      </c>
      <c r="I235" s="3071"/>
      <c r="J235" s="3072"/>
      <c r="K235" s="3072"/>
      <c r="L235" s="3072"/>
      <c r="M235" s="3072"/>
      <c r="N235" s="3072"/>
      <c r="O235" s="3074"/>
      <c r="P235" s="604"/>
      <c r="Q235" s="1871"/>
      <c r="S235" s="2288"/>
      <c r="T235" s="2288"/>
      <c r="U235" s="2288"/>
      <c r="V235" s="2288"/>
      <c r="W235" s="2288"/>
      <c r="X235" s="2288"/>
      <c r="Y235" s="2288"/>
      <c r="Z235" s="2288"/>
      <c r="AA235" s="2288"/>
      <c r="AB235" s="2288"/>
      <c r="AC235" s="2288"/>
      <c r="AD235" s="2288"/>
      <c r="AE235" s="2289"/>
      <c r="AF235" s="2289"/>
      <c r="AG235" s="2288"/>
      <c r="AH235" s="2288"/>
      <c r="AI235" s="2288"/>
      <c r="AJ235" s="2288"/>
      <c r="AK235" s="2288"/>
      <c r="AL235" s="2288"/>
      <c r="AM235" s="2288"/>
      <c r="AN235" s="2288"/>
      <c r="AO235" s="2288"/>
      <c r="AP235" s="2288"/>
      <c r="AQ235" s="2288"/>
      <c r="AR235" s="2288"/>
    </row>
    <row r="236" spans="1:44" s="43" customFormat="1" ht="11.4" customHeight="1">
      <c r="A236" s="51"/>
      <c r="B236" s="518" t="s">
        <v>1691</v>
      </c>
      <c r="C236" s="3722" t="s">
        <v>4485</v>
      </c>
      <c r="D236" s="3723"/>
      <c r="E236" s="3723"/>
      <c r="F236" s="3723"/>
      <c r="G236" s="3724"/>
      <c r="H236" s="518" t="s">
        <v>1691</v>
      </c>
      <c r="I236" s="3071" t="s">
        <v>3834</v>
      </c>
      <c r="J236" s="3072"/>
      <c r="K236" s="3072"/>
      <c r="L236" s="3072"/>
      <c r="M236" s="3072"/>
      <c r="N236" s="3072"/>
      <c r="O236" s="3074"/>
      <c r="P236" s="604"/>
      <c r="Q236" s="1871"/>
      <c r="S236" s="2288"/>
      <c r="T236" s="2288"/>
      <c r="U236" s="2288"/>
      <c r="V236" s="2288"/>
      <c r="W236" s="2288"/>
      <c r="X236" s="2288"/>
      <c r="Y236" s="2288"/>
      <c r="Z236" s="2288"/>
      <c r="AA236" s="2288"/>
      <c r="AB236" s="2288"/>
      <c r="AC236" s="2288"/>
      <c r="AD236" s="2288"/>
      <c r="AE236" s="2289"/>
      <c r="AF236" s="2289"/>
      <c r="AG236" s="2288"/>
      <c r="AH236" s="2288"/>
      <c r="AI236" s="2288"/>
      <c r="AJ236" s="2288"/>
      <c r="AK236" s="2288"/>
      <c r="AL236" s="2288"/>
      <c r="AM236" s="2288"/>
      <c r="AN236" s="2288"/>
      <c r="AO236" s="2288"/>
      <c r="AP236" s="2288"/>
      <c r="AQ236" s="2288"/>
      <c r="AR236" s="2288"/>
    </row>
    <row r="237" spans="1:44" s="43" customFormat="1" ht="11.4" customHeight="1">
      <c r="A237" s="51"/>
      <c r="B237" s="518" t="s">
        <v>4420</v>
      </c>
      <c r="C237" s="3689" t="s">
        <v>4406</v>
      </c>
      <c r="D237" s="3690"/>
      <c r="E237" s="3690"/>
      <c r="F237" s="3690"/>
      <c r="G237" s="3691"/>
      <c r="H237" s="518" t="s">
        <v>4420</v>
      </c>
      <c r="I237" s="3078"/>
      <c r="J237" s="3079"/>
      <c r="K237" s="3079"/>
      <c r="L237" s="3079"/>
      <c r="M237" s="3079"/>
      <c r="N237" s="3079"/>
      <c r="O237" s="3081"/>
      <c r="P237" s="605"/>
      <c r="Q237" s="610"/>
      <c r="S237" s="2288"/>
      <c r="T237" s="2288"/>
      <c r="U237" s="2288"/>
      <c r="V237" s="2288"/>
      <c r="W237" s="2288"/>
      <c r="X237" s="2288"/>
      <c r="Y237" s="2288"/>
      <c r="Z237" s="2288"/>
      <c r="AA237" s="2288"/>
      <c r="AB237" s="2288"/>
      <c r="AC237" s="2288"/>
      <c r="AD237" s="2288"/>
      <c r="AE237" s="2289"/>
      <c r="AF237" s="2289"/>
      <c r="AG237" s="2288"/>
      <c r="AH237" s="2288"/>
      <c r="AI237" s="2288"/>
      <c r="AJ237" s="2288"/>
      <c r="AK237" s="2288"/>
      <c r="AL237" s="2288"/>
      <c r="AM237" s="2288"/>
      <c r="AN237" s="2288"/>
      <c r="AO237" s="2288"/>
      <c r="AP237" s="2288"/>
      <c r="AQ237" s="2288"/>
      <c r="AR237" s="2288"/>
    </row>
    <row r="238" spans="1:44" ht="12" customHeight="1">
      <c r="A238" s="47" t="s">
        <v>731</v>
      </c>
      <c r="B238" s="52" t="s">
        <v>1354</v>
      </c>
      <c r="C238" s="52"/>
      <c r="E238" s="52"/>
      <c r="F238" s="52"/>
      <c r="G238" s="52"/>
      <c r="H238" s="52"/>
      <c r="I238" s="52"/>
      <c r="J238" s="52"/>
      <c r="K238" s="42"/>
      <c r="L238" s="52"/>
      <c r="M238" s="52"/>
      <c r="O238" s="518" t="s">
        <v>731</v>
      </c>
      <c r="P238" s="236" t="s">
        <v>7115</v>
      </c>
      <c r="Q238" s="603"/>
      <c r="S238" s="2284"/>
      <c r="T238" s="2284"/>
      <c r="U238" s="2284"/>
      <c r="V238" s="2284"/>
      <c r="W238" s="2284"/>
      <c r="X238" s="2284"/>
      <c r="Y238" s="2284"/>
      <c r="Z238" s="2284"/>
      <c r="AA238" s="2284"/>
      <c r="AB238" s="2284"/>
      <c r="AC238" s="2284"/>
      <c r="AD238" s="2284"/>
      <c r="AE238" s="2285"/>
      <c r="AF238" s="2285"/>
      <c r="AG238" s="2284"/>
      <c r="AH238" s="2284"/>
      <c r="AI238" s="2284"/>
      <c r="AJ238" s="2284"/>
      <c r="AK238" s="2284"/>
      <c r="AL238" s="2284"/>
      <c r="AM238" s="2284"/>
      <c r="AN238" s="2284"/>
      <c r="AO238" s="2284"/>
      <c r="AP238" s="2284"/>
      <c r="AQ238" s="2284"/>
      <c r="AR238" s="2284"/>
    </row>
    <row r="239" spans="1:44" ht="11.4" customHeight="1">
      <c r="A239" s="47"/>
      <c r="B239" s="148" t="s">
        <v>1694</v>
      </c>
      <c r="C239" s="52" t="s">
        <v>3348</v>
      </c>
      <c r="E239" s="52"/>
      <c r="F239" s="52"/>
      <c r="L239" s="33"/>
      <c r="M239" s="33"/>
      <c r="O239" s="65" t="s">
        <v>1694</v>
      </c>
      <c r="P239" s="419" t="s">
        <v>2886</v>
      </c>
      <c r="Q239" s="604"/>
      <c r="S239" s="2284"/>
      <c r="T239" s="2284"/>
      <c r="U239" s="2284"/>
      <c r="V239" s="2284"/>
      <c r="W239" s="2284"/>
      <c r="X239" s="2284"/>
      <c r="Y239" s="2284"/>
      <c r="Z239" s="2284"/>
      <c r="AA239" s="2284"/>
      <c r="AB239" s="2284"/>
      <c r="AC239" s="2284"/>
      <c r="AD239" s="2284"/>
      <c r="AE239" s="2285"/>
      <c r="AF239" s="2285"/>
      <c r="AG239" s="2284"/>
      <c r="AH239" s="2284"/>
      <c r="AI239" s="2284"/>
      <c r="AJ239" s="2284"/>
      <c r="AK239" s="2284"/>
      <c r="AL239" s="2284"/>
      <c r="AM239" s="2284"/>
      <c r="AN239" s="2284"/>
      <c r="AO239" s="2284"/>
      <c r="AP239" s="2284"/>
      <c r="AQ239" s="2284"/>
      <c r="AR239" s="2284"/>
    </row>
    <row r="240" spans="1:44" ht="11.4" customHeight="1">
      <c r="B240" s="148" t="s">
        <v>1695</v>
      </c>
      <c r="C240" s="995" t="s">
        <v>2714</v>
      </c>
      <c r="E240" s="995"/>
      <c r="F240" s="995"/>
      <c r="L240" s="33"/>
      <c r="M240" s="33"/>
      <c r="O240" s="65" t="s">
        <v>1695</v>
      </c>
      <c r="P240" s="419" t="s">
        <v>2886</v>
      </c>
      <c r="Q240" s="604"/>
      <c r="S240" s="2284"/>
      <c r="T240" s="2284"/>
      <c r="U240" s="2284"/>
      <c r="V240" s="2284"/>
      <c r="W240" s="2284"/>
      <c r="X240" s="2284"/>
      <c r="Y240" s="2284"/>
      <c r="Z240" s="2284"/>
      <c r="AA240" s="2284"/>
      <c r="AB240" s="2284"/>
      <c r="AC240" s="2284"/>
      <c r="AD240" s="2284"/>
      <c r="AE240" s="2285"/>
      <c r="AF240" s="2285"/>
      <c r="AG240" s="2284"/>
      <c r="AH240" s="2284"/>
      <c r="AI240" s="2284"/>
      <c r="AJ240" s="2284"/>
      <c r="AK240" s="2284"/>
      <c r="AL240" s="2284"/>
      <c r="AM240" s="2284"/>
      <c r="AN240" s="2284"/>
      <c r="AO240" s="2284"/>
      <c r="AP240" s="2284"/>
      <c r="AQ240" s="2284"/>
      <c r="AR240" s="2284"/>
    </row>
    <row r="241" spans="1:44" ht="11.4" customHeight="1">
      <c r="B241" s="148" t="s">
        <v>1696</v>
      </c>
      <c r="C241" s="995" t="s">
        <v>4570</v>
      </c>
      <c r="E241" s="995"/>
      <c r="F241" s="995"/>
      <c r="G241" s="995"/>
      <c r="H241" s="995"/>
      <c r="I241" s="42"/>
      <c r="J241" s="33"/>
      <c r="K241" s="42"/>
      <c r="L241" s="33"/>
      <c r="M241" s="33"/>
      <c r="O241" s="65" t="s">
        <v>1696</v>
      </c>
      <c r="P241" s="419" t="s">
        <v>2886</v>
      </c>
      <c r="Q241" s="604"/>
      <c r="S241" s="2284"/>
      <c r="T241" s="2284"/>
      <c r="U241" s="2284"/>
      <c r="V241" s="2284"/>
      <c r="W241" s="2284"/>
      <c r="X241" s="2284"/>
      <c r="Y241" s="2284"/>
      <c r="Z241" s="2284"/>
      <c r="AA241" s="2284"/>
      <c r="AB241" s="2284"/>
      <c r="AC241" s="2284"/>
      <c r="AD241" s="2284"/>
      <c r="AE241" s="2285"/>
      <c r="AF241" s="2285"/>
      <c r="AG241" s="2284"/>
      <c r="AH241" s="2284"/>
      <c r="AI241" s="2284"/>
      <c r="AJ241" s="2284"/>
      <c r="AK241" s="2284"/>
      <c r="AL241" s="2284"/>
      <c r="AM241" s="2284"/>
      <c r="AN241" s="2284"/>
      <c r="AO241" s="2284"/>
      <c r="AP241" s="2284"/>
      <c r="AQ241" s="2284"/>
      <c r="AR241" s="2284"/>
    </row>
    <row r="242" spans="1:44" ht="11.4" customHeight="1">
      <c r="A242" s="47"/>
      <c r="B242" s="148" t="s">
        <v>2305</v>
      </c>
      <c r="C242" s="995" t="s">
        <v>2715</v>
      </c>
      <c r="E242" s="995"/>
      <c r="F242" s="995"/>
      <c r="G242" s="995"/>
      <c r="H242" s="995"/>
      <c r="I242" s="42"/>
      <c r="J242" s="33"/>
      <c r="K242" s="42"/>
      <c r="L242" s="33"/>
      <c r="M242" s="33"/>
      <c r="O242" s="65" t="s">
        <v>2305</v>
      </c>
      <c r="P242" s="419" t="s">
        <v>2886</v>
      </c>
      <c r="Q242" s="604"/>
      <c r="S242" s="2284"/>
      <c r="T242" s="2284"/>
      <c r="U242" s="2284"/>
      <c r="V242" s="2284"/>
      <c r="W242" s="2284"/>
      <c r="X242" s="2284"/>
      <c r="Y242" s="2284"/>
      <c r="Z242" s="2284"/>
      <c r="AA242" s="2284"/>
      <c r="AB242" s="2284"/>
      <c r="AC242" s="2284"/>
      <c r="AD242" s="2284"/>
      <c r="AE242" s="2285"/>
      <c r="AF242" s="2285"/>
      <c r="AG242" s="2284"/>
      <c r="AH242" s="2284"/>
      <c r="AI242" s="2284"/>
      <c r="AJ242" s="2284"/>
      <c r="AK242" s="2284"/>
      <c r="AL242" s="2284"/>
      <c r="AM242" s="2284"/>
      <c r="AN242" s="2284"/>
      <c r="AO242" s="2284"/>
      <c r="AP242" s="2284"/>
      <c r="AQ242" s="2284"/>
      <c r="AR242" s="2284"/>
    </row>
    <row r="243" spans="1:44" ht="11.4" customHeight="1">
      <c r="A243" s="47"/>
      <c r="B243" s="148" t="s">
        <v>1516</v>
      </c>
      <c r="C243" s="995" t="s">
        <v>2716</v>
      </c>
      <c r="E243" s="995"/>
      <c r="F243" s="995"/>
      <c r="G243" s="995"/>
      <c r="H243" s="995"/>
      <c r="I243" s="42"/>
      <c r="J243" s="33"/>
      <c r="K243" s="42"/>
      <c r="L243" s="33"/>
      <c r="M243" s="33"/>
      <c r="O243" s="65" t="s">
        <v>1516</v>
      </c>
      <c r="P243" s="419" t="s">
        <v>2886</v>
      </c>
      <c r="Q243" s="604"/>
      <c r="S243" s="2284"/>
      <c r="T243" s="2284"/>
      <c r="U243" s="2284"/>
      <c r="V243" s="2284"/>
      <c r="W243" s="2284"/>
      <c r="X243" s="2284"/>
      <c r="Y243" s="2284"/>
      <c r="Z243" s="2284"/>
      <c r="AA243" s="2284"/>
      <c r="AB243" s="2284"/>
      <c r="AC243" s="2284"/>
      <c r="AD243" s="2284"/>
      <c r="AE243" s="2285"/>
      <c r="AF243" s="2285"/>
      <c r="AG243" s="2284"/>
      <c r="AH243" s="2284"/>
      <c r="AI243" s="2284"/>
      <c r="AJ243" s="2284"/>
      <c r="AK243" s="2284"/>
      <c r="AL243" s="2284"/>
      <c r="AM243" s="2284"/>
      <c r="AN243" s="2284"/>
      <c r="AO243" s="2284"/>
      <c r="AP243" s="2284"/>
      <c r="AQ243" s="2284"/>
      <c r="AR243" s="2284"/>
    </row>
    <row r="244" spans="1:44" ht="11.4" customHeight="1">
      <c r="A244" s="47"/>
      <c r="B244" s="40" t="s">
        <v>1517</v>
      </c>
      <c r="C244" s="52" t="s">
        <v>4646</v>
      </c>
      <c r="E244" s="52"/>
      <c r="F244" s="52"/>
      <c r="G244" s="52"/>
      <c r="H244" s="52"/>
      <c r="I244" s="42"/>
      <c r="J244" s="33"/>
      <c r="K244" s="42"/>
      <c r="L244" s="33"/>
      <c r="M244" s="33"/>
      <c r="O244" s="518" t="s">
        <v>2706</v>
      </c>
      <c r="P244" s="419" t="s">
        <v>2886</v>
      </c>
      <c r="Q244" s="604"/>
      <c r="S244" s="2284"/>
      <c r="T244" s="2284"/>
      <c r="U244" s="2284"/>
      <c r="V244" s="2284"/>
      <c r="W244" s="2284"/>
      <c r="X244" s="2284"/>
      <c r="Y244" s="2284"/>
      <c r="Z244" s="2284"/>
      <c r="AA244" s="2284"/>
      <c r="AB244" s="2284"/>
      <c r="AC244" s="2284"/>
      <c r="AD244" s="2284"/>
      <c r="AE244" s="2285"/>
      <c r="AF244" s="2285"/>
      <c r="AG244" s="2284"/>
      <c r="AH244" s="2284"/>
      <c r="AI244" s="2284"/>
      <c r="AJ244" s="2284"/>
      <c r="AK244" s="2284"/>
      <c r="AL244" s="2284"/>
      <c r="AM244" s="2284"/>
      <c r="AN244" s="2284"/>
      <c r="AO244" s="2284"/>
      <c r="AP244" s="2284"/>
      <c r="AQ244" s="2284"/>
      <c r="AR244" s="2284"/>
    </row>
    <row r="245" spans="1:44" ht="11.4" customHeight="1">
      <c r="A245" s="47"/>
      <c r="B245" s="65"/>
      <c r="C245" s="52" t="s">
        <v>1458</v>
      </c>
      <c r="E245" s="52"/>
      <c r="F245" s="52"/>
      <c r="G245" s="52"/>
      <c r="H245" s="52"/>
      <c r="I245" s="42"/>
      <c r="J245" s="33"/>
      <c r="K245" s="42"/>
      <c r="L245" s="33"/>
      <c r="M245" s="33"/>
      <c r="O245" s="518" t="s">
        <v>2707</v>
      </c>
      <c r="P245" s="237" t="s">
        <v>2889</v>
      </c>
      <c r="Q245" s="605"/>
      <c r="S245" s="2284"/>
      <c r="T245" s="2284"/>
      <c r="U245" s="2284"/>
      <c r="V245" s="2284"/>
      <c r="W245" s="2284"/>
      <c r="X245" s="2284"/>
      <c r="Y245" s="2284"/>
      <c r="Z245" s="2284"/>
      <c r="AA245" s="2284"/>
      <c r="AB245" s="2284"/>
      <c r="AC245" s="2284"/>
      <c r="AD245" s="2284"/>
      <c r="AE245" s="2285"/>
      <c r="AF245" s="2285"/>
      <c r="AG245" s="2284"/>
      <c r="AH245" s="2284"/>
      <c r="AI245" s="2284"/>
      <c r="AJ245" s="2284"/>
      <c r="AK245" s="2284"/>
      <c r="AL245" s="2284"/>
      <c r="AM245" s="2284"/>
      <c r="AN245" s="2284"/>
      <c r="AO245" s="2284"/>
      <c r="AP245" s="2284"/>
      <c r="AQ245" s="2284"/>
      <c r="AR245" s="2284"/>
    </row>
    <row r="246" spans="1:44" ht="11.25" customHeight="1">
      <c r="A246" s="47" t="s">
        <v>2065</v>
      </c>
      <c r="B246" s="52" t="s">
        <v>4569</v>
      </c>
      <c r="C246" s="52"/>
      <c r="E246" s="52"/>
      <c r="F246" s="52"/>
      <c r="G246" s="52"/>
      <c r="H246" s="52"/>
      <c r="I246" s="52"/>
      <c r="J246" s="52"/>
      <c r="K246" s="42"/>
      <c r="M246" s="64"/>
      <c r="N246" s="1861" t="str">
        <f>'Part I-Project Information'!$H$82</f>
        <v>Family</v>
      </c>
      <c r="O246" s="518" t="s">
        <v>2065</v>
      </c>
      <c r="P246" s="236" t="s">
        <v>948</v>
      </c>
      <c r="Q246" s="603"/>
      <c r="S246" s="2284"/>
      <c r="T246" s="2284"/>
      <c r="U246" s="2284"/>
      <c r="V246" s="2284"/>
      <c r="W246" s="2284"/>
      <c r="X246" s="2284"/>
      <c r="Y246" s="2284"/>
      <c r="Z246" s="2284"/>
      <c r="AA246" s="2284"/>
      <c r="AB246" s="2284"/>
      <c r="AC246" s="2284"/>
      <c r="AD246" s="2284"/>
      <c r="AE246" s="2285"/>
      <c r="AF246" s="2285"/>
      <c r="AG246" s="2284"/>
      <c r="AH246" s="2284"/>
      <c r="AI246" s="2284"/>
      <c r="AJ246" s="2284"/>
      <c r="AK246" s="2284"/>
      <c r="AL246" s="2284"/>
      <c r="AM246" s="2284"/>
      <c r="AN246" s="2284"/>
      <c r="AO246" s="2284"/>
      <c r="AP246" s="2284"/>
      <c r="AQ246" s="2284"/>
      <c r="AR246" s="2284"/>
    </row>
    <row r="247" spans="1:44" ht="11.4" customHeight="1">
      <c r="B247" s="148" t="s">
        <v>1694</v>
      </c>
      <c r="C247" s="39" t="s">
        <v>1229</v>
      </c>
      <c r="E247" s="42"/>
      <c r="F247" s="42"/>
      <c r="G247" s="39"/>
      <c r="H247" s="995"/>
      <c r="I247" s="42"/>
      <c r="J247" s="995"/>
      <c r="K247" s="42"/>
      <c r="L247" s="995"/>
      <c r="M247" s="995"/>
      <c r="O247" s="65" t="s">
        <v>1694</v>
      </c>
      <c r="P247" s="419"/>
      <c r="Q247" s="604"/>
      <c r="S247" s="2284"/>
      <c r="T247" s="2284"/>
      <c r="U247" s="2284"/>
      <c r="V247" s="2284"/>
      <c r="W247" s="2284"/>
      <c r="X247" s="2284"/>
      <c r="Y247" s="2284"/>
      <c r="Z247" s="2284"/>
      <c r="AA247" s="2284"/>
      <c r="AB247" s="2284"/>
      <c r="AC247" s="2284"/>
      <c r="AD247" s="2284"/>
      <c r="AE247" s="2285"/>
      <c r="AF247" s="2285"/>
      <c r="AG247" s="2284"/>
      <c r="AH247" s="2284"/>
      <c r="AI247" s="2284"/>
      <c r="AJ247" s="2284"/>
      <c r="AK247" s="2284"/>
      <c r="AL247" s="2284"/>
      <c r="AM247" s="2284"/>
      <c r="AN247" s="2284"/>
      <c r="AO247" s="2284"/>
      <c r="AP247" s="2284"/>
      <c r="AQ247" s="2284"/>
      <c r="AR247" s="2284"/>
    </row>
    <row r="248" spans="1:44" ht="11.4" customHeight="1">
      <c r="B248" s="148" t="s">
        <v>1695</v>
      </c>
      <c r="C248" s="36" t="s">
        <v>4267</v>
      </c>
      <c r="E248" s="42"/>
      <c r="F248" s="42"/>
      <c r="G248" s="995"/>
      <c r="H248" s="995"/>
      <c r="I248" s="42"/>
      <c r="J248" s="995"/>
      <c r="K248" s="42"/>
      <c r="L248" s="995"/>
      <c r="M248" s="995"/>
      <c r="O248" s="65" t="s">
        <v>1695</v>
      </c>
      <c r="P248" s="237"/>
      <c r="Q248" s="605"/>
      <c r="S248" s="2284"/>
      <c r="T248" s="2284"/>
      <c r="U248" s="2284"/>
      <c r="V248" s="2284"/>
      <c r="W248" s="2284"/>
      <c r="X248" s="2284"/>
      <c r="Y248" s="2284"/>
      <c r="Z248" s="2284"/>
      <c r="AA248" s="2284"/>
      <c r="AB248" s="2284"/>
      <c r="AC248" s="2284"/>
      <c r="AD248" s="2284"/>
      <c r="AE248" s="2285"/>
      <c r="AF248" s="2285"/>
      <c r="AG248" s="2284"/>
      <c r="AH248" s="2284"/>
      <c r="AI248" s="2284"/>
      <c r="AJ248" s="2284"/>
      <c r="AK248" s="2284"/>
      <c r="AL248" s="2284"/>
      <c r="AM248" s="2284"/>
      <c r="AN248" s="2284"/>
      <c r="AO248" s="2284"/>
      <c r="AP248" s="2284"/>
      <c r="AQ248" s="2284"/>
      <c r="AR248" s="2284"/>
    </row>
    <row r="249" spans="1:44" ht="11.25" customHeight="1">
      <c r="B249" s="143" t="s">
        <v>3571</v>
      </c>
      <c r="D249" s="143"/>
      <c r="E249" s="143"/>
      <c r="F249" s="143"/>
      <c r="G249" s="143"/>
      <c r="H249" s="40"/>
      <c r="I249" s="1337"/>
      <c r="J249" s="1337"/>
      <c r="K249" s="1337"/>
      <c r="L249" s="1330"/>
      <c r="M249" s="1330"/>
      <c r="N249" s="1330"/>
      <c r="O249" s="1330"/>
      <c r="P249" s="1330"/>
      <c r="Q249" s="994"/>
      <c r="S249" s="2284"/>
      <c r="T249" s="2284"/>
      <c r="U249" s="2284"/>
      <c r="V249" s="2284"/>
      <c r="W249" s="2284"/>
      <c r="X249" s="2284"/>
      <c r="Y249" s="2284"/>
      <c r="Z249" s="2284"/>
      <c r="AA249" s="2284"/>
      <c r="AB249" s="2284"/>
      <c r="AC249" s="2284"/>
      <c r="AD249" s="2284"/>
      <c r="AE249" s="2285"/>
      <c r="AF249" s="2285"/>
      <c r="AG249" s="2284"/>
      <c r="AH249" s="2284"/>
      <c r="AI249" s="2284"/>
      <c r="AJ249" s="2284"/>
      <c r="AK249" s="2284"/>
      <c r="AL249" s="2284"/>
      <c r="AM249" s="2284"/>
      <c r="AN249" s="2284"/>
      <c r="AO249" s="2284"/>
      <c r="AP249" s="2284"/>
      <c r="AQ249" s="2284"/>
      <c r="AR249" s="2284"/>
    </row>
    <row r="250" spans="1:44" ht="11.4" customHeight="1">
      <c r="A250" s="3660" t="s">
        <v>7150</v>
      </c>
      <c r="B250" s="3661"/>
      <c r="C250" s="3661"/>
      <c r="D250" s="3661"/>
      <c r="E250" s="3661"/>
      <c r="F250" s="3661"/>
      <c r="G250" s="3661"/>
      <c r="H250" s="3661"/>
      <c r="I250" s="3661"/>
      <c r="J250" s="3661"/>
      <c r="K250" s="3661"/>
      <c r="L250" s="3661"/>
      <c r="M250" s="3661"/>
      <c r="N250" s="3661"/>
      <c r="O250" s="3661"/>
      <c r="P250" s="3661"/>
      <c r="Q250" s="3662"/>
      <c r="R250" s="503" t="s">
        <v>1228</v>
      </c>
      <c r="S250" s="2290"/>
      <c r="T250" s="2284"/>
      <c r="U250" s="2291"/>
      <c r="V250" s="2291"/>
      <c r="W250" s="2291"/>
      <c r="X250" s="2291"/>
      <c r="Y250" s="2291"/>
      <c r="Z250" s="2291"/>
      <c r="AA250" s="2291"/>
      <c r="AB250" s="2291"/>
      <c r="AC250" s="2291"/>
      <c r="AD250" s="2291"/>
      <c r="AE250" s="2292"/>
      <c r="AF250" s="2285"/>
      <c r="AG250" s="2284"/>
      <c r="AH250" s="2284"/>
      <c r="AI250" s="2284"/>
      <c r="AJ250" s="2284"/>
      <c r="AK250" s="2284"/>
      <c r="AL250" s="2284"/>
      <c r="AM250" s="2284"/>
      <c r="AN250" s="2284"/>
      <c r="AO250" s="2284"/>
      <c r="AP250" s="2284"/>
      <c r="AQ250" s="2284"/>
      <c r="AR250" s="2284"/>
    </row>
    <row r="251" spans="1:44" ht="11.25" customHeight="1">
      <c r="B251" s="139" t="s">
        <v>1820</v>
      </c>
      <c r="C251" s="140"/>
      <c r="D251" s="1331"/>
      <c r="E251" s="1331"/>
      <c r="F251" s="1331"/>
      <c r="G251" s="1331"/>
      <c r="H251" s="1331"/>
      <c r="I251" s="1331"/>
      <c r="J251" s="1331"/>
      <c r="K251" s="1331"/>
      <c r="L251" s="1331"/>
      <c r="M251" s="1331"/>
      <c r="N251" s="1331"/>
      <c r="O251" s="1331"/>
      <c r="P251" s="1331"/>
      <c r="Q251" s="1331"/>
      <c r="S251" s="2284"/>
      <c r="T251" s="2284"/>
      <c r="U251" s="2284"/>
      <c r="V251" s="2284"/>
      <c r="W251" s="2284"/>
      <c r="X251" s="2284"/>
      <c r="Y251" s="2284"/>
      <c r="Z251" s="2284"/>
      <c r="AA251" s="2284"/>
      <c r="AB251" s="2284"/>
      <c r="AC251" s="2284"/>
      <c r="AD251" s="2284"/>
      <c r="AE251" s="2285"/>
      <c r="AF251" s="2285"/>
      <c r="AG251" s="2284"/>
      <c r="AH251" s="2284"/>
      <c r="AI251" s="2284"/>
      <c r="AJ251" s="2284"/>
      <c r="AK251" s="2284"/>
      <c r="AL251" s="2284"/>
      <c r="AM251" s="2284"/>
      <c r="AN251" s="2284"/>
      <c r="AO251" s="2284"/>
      <c r="AP251" s="2284"/>
      <c r="AQ251" s="2284"/>
      <c r="AR251" s="2284"/>
    </row>
    <row r="252" spans="1:44" ht="11.25" customHeight="1">
      <c r="A252" s="3620"/>
      <c r="B252" s="3621"/>
      <c r="C252" s="3621"/>
      <c r="D252" s="3621"/>
      <c r="E252" s="3621"/>
      <c r="F252" s="3621"/>
      <c r="G252" s="3621"/>
      <c r="H252" s="3621"/>
      <c r="I252" s="3621"/>
      <c r="J252" s="3621"/>
      <c r="K252" s="3621"/>
      <c r="L252" s="3621"/>
      <c r="M252" s="3621"/>
      <c r="N252" s="3621"/>
      <c r="O252" s="3621"/>
      <c r="P252" s="3621"/>
      <c r="Q252" s="3622"/>
      <c r="S252" s="2284"/>
      <c r="T252" s="2284"/>
      <c r="U252" s="2284"/>
      <c r="V252" s="2284"/>
      <c r="W252" s="2284"/>
      <c r="X252" s="2284"/>
      <c r="Y252" s="2284"/>
      <c r="Z252" s="2284"/>
      <c r="AA252" s="2284"/>
      <c r="AB252" s="2284"/>
      <c r="AC252" s="2284"/>
      <c r="AD252" s="2284"/>
      <c r="AE252" s="2285"/>
      <c r="AF252" s="2285"/>
      <c r="AG252" s="2284"/>
      <c r="AH252" s="2284"/>
      <c r="AI252" s="2284"/>
      <c r="AJ252" s="2284"/>
      <c r="AK252" s="2284"/>
      <c r="AL252" s="2284"/>
      <c r="AM252" s="2284"/>
      <c r="AN252" s="2284"/>
      <c r="AO252" s="2284"/>
      <c r="AP252" s="2284"/>
      <c r="AQ252" s="2284"/>
      <c r="AR252" s="2284"/>
    </row>
    <row r="253" spans="1:44" ht="3" customHeight="1">
      <c r="A253" s="1330"/>
      <c r="B253" s="1337"/>
      <c r="C253" s="1331"/>
      <c r="D253" s="1331"/>
      <c r="E253" s="1331"/>
      <c r="F253" s="1331"/>
      <c r="G253" s="1331"/>
      <c r="H253" s="1331"/>
      <c r="I253" s="1331"/>
      <c r="J253" s="1331"/>
      <c r="K253" s="1331"/>
      <c r="L253" s="1331"/>
      <c r="M253" s="1331"/>
      <c r="Q253" s="1330"/>
      <c r="S253" s="2284"/>
      <c r="T253" s="2284"/>
      <c r="U253" s="2284"/>
      <c r="V253" s="2284"/>
      <c r="W253" s="2284"/>
      <c r="X253" s="2284"/>
      <c r="Y253" s="2284"/>
      <c r="Z253" s="2284"/>
      <c r="AA253" s="2284"/>
      <c r="AB253" s="2284"/>
      <c r="AC253" s="2284"/>
      <c r="AD253" s="2284"/>
      <c r="AE253" s="2285"/>
      <c r="AF253" s="2285"/>
      <c r="AG253" s="2284"/>
      <c r="AH253" s="2284"/>
      <c r="AI253" s="2284"/>
      <c r="AJ253" s="2284"/>
      <c r="AK253" s="2284"/>
      <c r="AL253" s="2284"/>
      <c r="AM253" s="2284"/>
      <c r="AN253" s="2284"/>
      <c r="AO253" s="2284"/>
      <c r="AP253" s="2284"/>
      <c r="AQ253" s="2284"/>
      <c r="AR253" s="2284"/>
    </row>
    <row r="254" spans="1:44" ht="14.1" customHeight="1">
      <c r="A254" s="1336" t="s">
        <v>2691</v>
      </c>
      <c r="B254" s="4" t="s">
        <v>4571</v>
      </c>
      <c r="C254" s="4"/>
      <c r="D254" s="87"/>
      <c r="E254" s="87"/>
      <c r="F254" s="87"/>
      <c r="G254" s="87"/>
      <c r="H254" s="1331"/>
      <c r="I254" s="1331"/>
      <c r="J254" s="1331"/>
      <c r="K254" s="1331"/>
      <c r="L254" s="1978"/>
      <c r="M254" s="1979"/>
      <c r="O254" s="134" t="s">
        <v>1821</v>
      </c>
      <c r="P254" s="3666"/>
      <c r="Q254" s="3667"/>
      <c r="S254" s="2284"/>
      <c r="T254" s="2284"/>
      <c r="U254" s="2284"/>
      <c r="V254" s="2284"/>
      <c r="W254" s="2284"/>
      <c r="X254" s="2284"/>
      <c r="Y254" s="2284"/>
      <c r="Z254" s="2284"/>
      <c r="AA254" s="2284"/>
      <c r="AB254" s="2284"/>
      <c r="AC254" s="2284"/>
      <c r="AD254" s="2284"/>
      <c r="AE254" s="2285"/>
      <c r="AF254" s="2285"/>
      <c r="AG254" s="2284"/>
      <c r="AH254" s="2284"/>
      <c r="AI254" s="2284"/>
      <c r="AJ254" s="2284"/>
      <c r="AK254" s="2284"/>
      <c r="AL254" s="2284"/>
      <c r="AM254" s="2284"/>
      <c r="AN254" s="2284"/>
      <c r="AO254" s="2284"/>
      <c r="AP254" s="2284"/>
      <c r="AQ254" s="2284"/>
      <c r="AR254" s="2284"/>
    </row>
    <row r="255" spans="1:44" ht="11.4" customHeight="1">
      <c r="A255" s="47" t="s">
        <v>1936</v>
      </c>
      <c r="B255" s="52" t="s">
        <v>1242</v>
      </c>
      <c r="D255" s="42"/>
      <c r="E255" s="52"/>
      <c r="F255" s="52"/>
      <c r="J255" s="518" t="s">
        <v>1936</v>
      </c>
      <c r="K255" s="3642" t="s">
        <v>1727</v>
      </c>
      <c r="L255" s="3643"/>
      <c r="M255" s="3643"/>
      <c r="N255" s="3643"/>
      <c r="O255" s="3644"/>
      <c r="P255" s="3697" t="s">
        <v>1727</v>
      </c>
      <c r="Q255" s="3698"/>
      <c r="S255" s="2284"/>
      <c r="T255" s="2284"/>
      <c r="U255" s="2284"/>
      <c r="V255" s="2284"/>
      <c r="W255" s="2284"/>
      <c r="X255" s="2284"/>
      <c r="Y255" s="2284"/>
      <c r="Z255" s="2284"/>
      <c r="AA255" s="2284"/>
      <c r="AB255" s="2284"/>
      <c r="AC255" s="2284"/>
      <c r="AD255" s="2284"/>
      <c r="AE255" s="2285"/>
      <c r="AF255" s="2285"/>
      <c r="AG255" s="2284"/>
      <c r="AH255" s="2284"/>
      <c r="AI255" s="2284"/>
      <c r="AJ255" s="2284"/>
      <c r="AK255" s="2284"/>
      <c r="AL255" s="2284"/>
      <c r="AM255" s="2284"/>
      <c r="AN255" s="2284"/>
      <c r="AO255" s="2284"/>
      <c r="AP255" s="2284"/>
      <c r="AQ255" s="2284"/>
      <c r="AR255" s="2284"/>
    </row>
    <row r="256" spans="1:44" ht="11.4" customHeight="1">
      <c r="A256" s="47" t="s">
        <v>1938</v>
      </c>
      <c r="B256" s="52" t="s">
        <v>2717</v>
      </c>
      <c r="D256" s="52"/>
      <c r="E256" s="52"/>
      <c r="F256" s="52"/>
      <c r="J256" s="518" t="s">
        <v>1938</v>
      </c>
      <c r="K256" s="3677"/>
      <c r="L256" s="3678"/>
      <c r="M256" s="3678"/>
      <c r="N256" s="3678"/>
      <c r="O256" s="3679"/>
      <c r="P256" s="3668"/>
      <c r="Q256" s="3669"/>
      <c r="S256" s="2284"/>
      <c r="T256" s="2284"/>
      <c r="U256" s="2284"/>
      <c r="V256" s="2284"/>
      <c r="W256" s="2284"/>
      <c r="X256" s="2284"/>
      <c r="Y256" s="2284"/>
      <c r="Z256" s="2284"/>
      <c r="AA256" s="2284"/>
      <c r="AB256" s="2284"/>
      <c r="AC256" s="2284"/>
      <c r="AD256" s="2284"/>
      <c r="AE256" s="2285"/>
      <c r="AF256" s="2285"/>
      <c r="AG256" s="2284"/>
      <c r="AH256" s="2284"/>
      <c r="AI256" s="2284"/>
      <c r="AJ256" s="2284"/>
      <c r="AK256" s="2284"/>
      <c r="AL256" s="2284"/>
      <c r="AM256" s="2284"/>
      <c r="AN256" s="2284"/>
      <c r="AO256" s="2284"/>
      <c r="AP256" s="2284"/>
      <c r="AQ256" s="2284"/>
      <c r="AR256" s="2284"/>
    </row>
    <row r="257" spans="1:44" s="150" customFormat="1" ht="11.4" customHeight="1">
      <c r="A257" s="47"/>
      <c r="B257" s="52" t="s">
        <v>1898</v>
      </c>
      <c r="D257" s="52"/>
      <c r="E257" s="52"/>
      <c r="F257" s="52"/>
      <c r="K257" s="3635"/>
      <c r="L257" s="3656"/>
      <c r="M257" s="3656"/>
      <c r="N257" s="3656"/>
      <c r="O257" s="3636"/>
      <c r="P257" s="3670"/>
      <c r="Q257" s="3671"/>
      <c r="S257" s="2293"/>
      <c r="T257" s="2293"/>
      <c r="U257" s="2293"/>
      <c r="V257" s="2293"/>
      <c r="W257" s="2293"/>
      <c r="X257" s="2293"/>
      <c r="Y257" s="2293"/>
      <c r="Z257" s="2293"/>
      <c r="AA257" s="2293"/>
      <c r="AB257" s="2293"/>
      <c r="AC257" s="2293"/>
      <c r="AD257" s="2293"/>
      <c r="AE257" s="2294"/>
      <c r="AF257" s="2294"/>
      <c r="AG257" s="2293"/>
      <c r="AH257" s="2293"/>
      <c r="AI257" s="2293"/>
      <c r="AJ257" s="2293"/>
      <c r="AK257" s="2293"/>
      <c r="AL257" s="2293"/>
      <c r="AM257" s="2293"/>
      <c r="AN257" s="2293"/>
      <c r="AO257" s="2293"/>
      <c r="AP257" s="2293"/>
      <c r="AQ257" s="2293"/>
      <c r="AR257" s="2293"/>
    </row>
    <row r="258" spans="1:44" s="150" customFormat="1" ht="11.4" customHeight="1">
      <c r="A258" s="47"/>
      <c r="B258" s="52" t="s">
        <v>2477</v>
      </c>
      <c r="D258" s="52"/>
      <c r="E258" s="52"/>
      <c r="F258" s="52"/>
      <c r="G258" s="52"/>
      <c r="H258" s="52"/>
      <c r="I258" s="95"/>
      <c r="J258" s="95"/>
      <c r="M258" s="36"/>
      <c r="N258" s="1145"/>
      <c r="O258" s="518"/>
      <c r="P258" s="419"/>
      <c r="Q258" s="604"/>
      <c r="S258" s="2293"/>
      <c r="T258" s="2293"/>
      <c r="U258" s="2293"/>
      <c r="V258" s="2293"/>
      <c r="W258" s="2293"/>
      <c r="X258" s="2293"/>
      <c r="Y258" s="2293"/>
      <c r="Z258" s="2293"/>
      <c r="AA258" s="2293"/>
      <c r="AB258" s="2293"/>
      <c r="AC258" s="2293"/>
      <c r="AD258" s="2293"/>
      <c r="AE258" s="2294"/>
      <c r="AF258" s="2294"/>
      <c r="AG258" s="2293"/>
      <c r="AH258" s="2293"/>
      <c r="AI258" s="2293"/>
      <c r="AJ258" s="2293"/>
      <c r="AK258" s="2293"/>
      <c r="AL258" s="2293"/>
      <c r="AM258" s="2293"/>
      <c r="AN258" s="2293"/>
      <c r="AO258" s="2293"/>
      <c r="AP258" s="2293"/>
      <c r="AQ258" s="2293"/>
      <c r="AR258" s="2293"/>
    </row>
    <row r="259" spans="1:44" s="150" customFormat="1" ht="11.4" customHeight="1">
      <c r="A259" s="47" t="s">
        <v>731</v>
      </c>
      <c r="B259" s="52" t="s">
        <v>4361</v>
      </c>
      <c r="D259" s="52"/>
      <c r="E259" s="52"/>
      <c r="F259" s="52"/>
      <c r="J259" s="518" t="s">
        <v>731</v>
      </c>
      <c r="K259" s="3672"/>
      <c r="L259" s="3673"/>
      <c r="M259" s="3673"/>
      <c r="N259" s="3673"/>
      <c r="O259" s="3674"/>
      <c r="P259" s="3675"/>
      <c r="Q259" s="3676"/>
      <c r="S259" s="2293"/>
      <c r="T259" s="2293"/>
      <c r="U259" s="2293"/>
      <c r="V259" s="2293"/>
      <c r="W259" s="2293"/>
      <c r="X259" s="2293"/>
      <c r="Y259" s="2293"/>
      <c r="Z259" s="2293"/>
      <c r="AA259" s="2293"/>
      <c r="AB259" s="2293"/>
      <c r="AC259" s="2293"/>
      <c r="AD259" s="2293"/>
      <c r="AE259" s="2294"/>
      <c r="AF259" s="2294"/>
      <c r="AG259" s="2293"/>
      <c r="AH259" s="2293"/>
      <c r="AI259" s="2293"/>
      <c r="AJ259" s="2293"/>
      <c r="AK259" s="2293"/>
      <c r="AL259" s="2293"/>
      <c r="AM259" s="2293"/>
      <c r="AN259" s="2293"/>
      <c r="AO259" s="2293"/>
      <c r="AP259" s="2293"/>
      <c r="AQ259" s="2293"/>
      <c r="AR259" s="2293"/>
    </row>
    <row r="260" spans="1:44" s="150" customFormat="1" ht="11.4" customHeight="1">
      <c r="A260" s="47"/>
      <c r="B260" s="52" t="s">
        <v>4272</v>
      </c>
      <c r="D260" s="52"/>
      <c r="E260" s="52"/>
      <c r="F260" s="52"/>
      <c r="S260" s="2293"/>
      <c r="T260" s="2293"/>
      <c r="U260" s="2293"/>
      <c r="V260" s="2293"/>
      <c r="W260" s="2293"/>
      <c r="X260" s="2293"/>
      <c r="Y260" s="2293"/>
      <c r="Z260" s="2293"/>
      <c r="AA260" s="2293"/>
      <c r="AB260" s="2293"/>
      <c r="AC260" s="2293"/>
      <c r="AD260" s="2293"/>
      <c r="AE260" s="2294"/>
      <c r="AF260" s="2294"/>
      <c r="AG260" s="2293"/>
      <c r="AH260" s="2293"/>
      <c r="AI260" s="2293"/>
      <c r="AJ260" s="2293"/>
      <c r="AK260" s="2293"/>
      <c r="AL260" s="2293"/>
      <c r="AM260" s="2293"/>
      <c r="AN260" s="2293"/>
      <c r="AO260" s="2293"/>
      <c r="AP260" s="2293"/>
      <c r="AQ260" s="2293"/>
      <c r="AR260" s="2293"/>
    </row>
    <row r="261" spans="1:44" s="150" customFormat="1" ht="11.4" customHeight="1">
      <c r="A261" s="47"/>
      <c r="C261" s="52" t="s">
        <v>4270</v>
      </c>
      <c r="D261" s="52"/>
      <c r="E261" s="52"/>
      <c r="F261" s="52"/>
      <c r="K261" s="518" t="s">
        <v>4269</v>
      </c>
      <c r="L261" s="1772"/>
      <c r="M261" s="36"/>
      <c r="N261" s="1145"/>
      <c r="O261" s="1145"/>
      <c r="P261" s="236"/>
      <c r="Q261" s="603"/>
      <c r="S261" s="2293"/>
      <c r="T261" s="2293"/>
      <c r="U261" s="2293"/>
      <c r="V261" s="2293"/>
      <c r="W261" s="2293"/>
      <c r="X261" s="2293"/>
      <c r="Y261" s="2293"/>
      <c r="Z261" s="2293"/>
      <c r="AA261" s="2293"/>
      <c r="AB261" s="2293"/>
      <c r="AC261" s="2293"/>
      <c r="AD261" s="2293"/>
      <c r="AE261" s="2294"/>
      <c r="AF261" s="2294"/>
      <c r="AG261" s="2293"/>
      <c r="AH261" s="2293"/>
      <c r="AI261" s="2293"/>
      <c r="AJ261" s="2293"/>
      <c r="AK261" s="2293"/>
      <c r="AL261" s="2293"/>
      <c r="AM261" s="2293"/>
      <c r="AN261" s="2293"/>
      <c r="AO261" s="2293"/>
      <c r="AP261" s="2293"/>
      <c r="AQ261" s="2293"/>
      <c r="AR261" s="2293"/>
    </row>
    <row r="262" spans="1:44" s="150" customFormat="1" ht="11.4" customHeight="1">
      <c r="A262" s="47"/>
      <c r="B262" s="52"/>
      <c r="C262" s="55" t="s">
        <v>4494</v>
      </c>
      <c r="D262" s="52"/>
      <c r="E262" s="52"/>
      <c r="F262" s="52"/>
      <c r="K262" s="518" t="s">
        <v>4271</v>
      </c>
      <c r="L262" s="1773"/>
      <c r="M262" s="36"/>
      <c r="N262" s="1145"/>
      <c r="O262" s="1145"/>
      <c r="P262" s="237"/>
      <c r="Q262" s="605"/>
      <c r="S262" s="2293"/>
      <c r="T262" s="2293"/>
      <c r="U262" s="2293"/>
      <c r="V262" s="2293"/>
      <c r="W262" s="2293"/>
      <c r="X262" s="2293"/>
      <c r="Y262" s="2293"/>
      <c r="Z262" s="2293"/>
      <c r="AA262" s="2293"/>
      <c r="AB262" s="2293"/>
      <c r="AC262" s="2293"/>
      <c r="AD262" s="2293"/>
      <c r="AE262" s="2294"/>
      <c r="AF262" s="2294"/>
      <c r="AG262" s="2293"/>
      <c r="AH262" s="2293"/>
      <c r="AI262" s="2293"/>
      <c r="AJ262" s="2293"/>
      <c r="AK262" s="2293"/>
      <c r="AL262" s="2293"/>
      <c r="AM262" s="2293"/>
      <c r="AN262" s="2293"/>
      <c r="AO262" s="2293"/>
      <c r="AP262" s="2293"/>
      <c r="AQ262" s="2293"/>
      <c r="AR262" s="2293"/>
    </row>
    <row r="263" spans="1:44" s="150" customFormat="1" ht="11.4" customHeight="1">
      <c r="A263" s="47"/>
      <c r="B263" s="52" t="s">
        <v>4268</v>
      </c>
      <c r="D263" s="52"/>
      <c r="E263" s="52"/>
      <c r="F263" s="52"/>
      <c r="K263" s="3642"/>
      <c r="L263" s="3643"/>
      <c r="M263" s="3643"/>
      <c r="N263" s="3643"/>
      <c r="O263" s="3644"/>
      <c r="P263" s="3684"/>
      <c r="Q263" s="3685"/>
      <c r="S263" s="2293"/>
      <c r="T263" s="2293"/>
      <c r="U263" s="2293"/>
      <c r="V263" s="2293"/>
      <c r="W263" s="2293"/>
      <c r="X263" s="2293"/>
      <c r="Y263" s="2293"/>
      <c r="Z263" s="2293"/>
      <c r="AA263" s="2293"/>
      <c r="AB263" s="2293"/>
      <c r="AC263" s="2293"/>
      <c r="AD263" s="2293"/>
      <c r="AE263" s="2294"/>
      <c r="AF263" s="2294"/>
      <c r="AG263" s="2293"/>
      <c r="AH263" s="2293"/>
      <c r="AI263" s="2293"/>
      <c r="AJ263" s="2293"/>
      <c r="AK263" s="2293"/>
      <c r="AL263" s="2293"/>
      <c r="AM263" s="2293"/>
      <c r="AN263" s="2293"/>
      <c r="AO263" s="2293"/>
      <c r="AP263" s="2293"/>
      <c r="AQ263" s="2293"/>
      <c r="AR263" s="2293"/>
    </row>
    <row r="264" spans="1:44" s="150" customFormat="1" ht="11.4" customHeight="1">
      <c r="A264" s="47" t="s">
        <v>2065</v>
      </c>
      <c r="B264" s="52" t="s">
        <v>3681</v>
      </c>
      <c r="D264" s="52"/>
      <c r="E264" s="52"/>
      <c r="F264" s="52"/>
      <c r="G264" s="52"/>
      <c r="H264" s="52"/>
      <c r="I264" s="95"/>
      <c r="J264" s="95"/>
      <c r="K264" s="95"/>
      <c r="M264" s="36"/>
      <c r="N264" s="1145"/>
      <c r="O264" s="518" t="s">
        <v>2065</v>
      </c>
      <c r="P264" s="236"/>
      <c r="Q264" s="603"/>
      <c r="S264" s="2293"/>
      <c r="T264" s="2293"/>
      <c r="U264" s="2293"/>
      <c r="V264" s="2293"/>
      <c r="W264" s="2293"/>
      <c r="X264" s="2293"/>
      <c r="Y264" s="2293"/>
      <c r="Z264" s="2293"/>
      <c r="AA264" s="2293"/>
      <c r="AB264" s="2293"/>
      <c r="AC264" s="2293"/>
      <c r="AD264" s="2293"/>
      <c r="AE264" s="2294"/>
      <c r="AF264" s="2294"/>
      <c r="AG264" s="2293"/>
      <c r="AH264" s="2293"/>
      <c r="AI264" s="2293"/>
      <c r="AJ264" s="2293"/>
      <c r="AK264" s="2293"/>
      <c r="AL264" s="2293"/>
      <c r="AM264" s="2293"/>
      <c r="AN264" s="2293"/>
      <c r="AO264" s="2293"/>
      <c r="AP264" s="2293"/>
      <c r="AQ264" s="2293"/>
      <c r="AR264" s="2293"/>
    </row>
    <row r="265" spans="1:44" s="150" customFormat="1" ht="11.4" customHeight="1">
      <c r="A265" s="47"/>
      <c r="B265" s="3615" t="s">
        <v>3577</v>
      </c>
      <c r="C265" s="3615"/>
      <c r="D265" s="3615"/>
      <c r="E265" s="3615"/>
      <c r="F265" s="3615"/>
      <c r="G265" s="3615"/>
      <c r="H265" s="490" t="s">
        <v>3803</v>
      </c>
      <c r="K265" s="95"/>
      <c r="M265" s="36"/>
      <c r="N265" s="1145"/>
      <c r="O265" s="65" t="s">
        <v>1694</v>
      </c>
      <c r="P265" s="419"/>
      <c r="Q265" s="604"/>
      <c r="S265" s="2293"/>
      <c r="T265" s="2293"/>
      <c r="U265" s="2293"/>
      <c r="V265" s="2293"/>
      <c r="W265" s="2293"/>
      <c r="X265" s="2293"/>
      <c r="Y265" s="2293"/>
      <c r="Z265" s="2293"/>
      <c r="AA265" s="2293"/>
      <c r="AB265" s="2293"/>
      <c r="AC265" s="2293"/>
      <c r="AD265" s="2293"/>
      <c r="AE265" s="2294"/>
      <c r="AF265" s="2294"/>
      <c r="AG265" s="2293"/>
      <c r="AH265" s="2293"/>
      <c r="AI265" s="2293"/>
      <c r="AJ265" s="2293"/>
      <c r="AK265" s="2293"/>
      <c r="AL265" s="2293"/>
      <c r="AM265" s="2293"/>
      <c r="AN265" s="2293"/>
      <c r="AO265" s="2293"/>
      <c r="AP265" s="2293"/>
      <c r="AQ265" s="2293"/>
      <c r="AR265" s="2293"/>
    </row>
    <row r="266" spans="1:44" s="150" customFormat="1" ht="11.4" customHeight="1">
      <c r="A266" s="47"/>
      <c r="B266" s="3615"/>
      <c r="C266" s="3615"/>
      <c r="D266" s="3615"/>
      <c r="E266" s="3615"/>
      <c r="F266" s="3615"/>
      <c r="G266" s="3615"/>
      <c r="H266" s="55" t="s">
        <v>3804</v>
      </c>
      <c r="K266" s="95"/>
      <c r="M266" s="36"/>
      <c r="N266" s="1145"/>
      <c r="O266" s="65" t="s">
        <v>1695</v>
      </c>
      <c r="P266" s="419"/>
      <c r="Q266" s="604"/>
      <c r="S266" s="2293"/>
      <c r="T266" s="2293"/>
      <c r="U266" s="2293"/>
      <c r="V266" s="2293"/>
      <c r="W266" s="2293"/>
      <c r="X266" s="2293"/>
      <c r="Y266" s="2293"/>
      <c r="Z266" s="2293"/>
      <c r="AA266" s="2293"/>
      <c r="AB266" s="2293"/>
      <c r="AC266" s="2293"/>
      <c r="AD266" s="2293"/>
      <c r="AE266" s="2294"/>
      <c r="AF266" s="2294"/>
      <c r="AG266" s="2293"/>
      <c r="AH266" s="2293"/>
      <c r="AI266" s="2293"/>
      <c r="AJ266" s="2293"/>
      <c r="AK266" s="2293"/>
      <c r="AL266" s="2293"/>
      <c r="AM266" s="2293"/>
      <c r="AN266" s="2293"/>
      <c r="AO266" s="2293"/>
      <c r="AP266" s="2293"/>
      <c r="AQ266" s="2293"/>
      <c r="AR266" s="2293"/>
    </row>
    <row r="267" spans="1:44" s="150" customFormat="1" ht="11.4" customHeight="1">
      <c r="A267" s="47"/>
      <c r="B267" s="52"/>
      <c r="D267" s="52"/>
      <c r="E267" s="52"/>
      <c r="F267" s="52"/>
      <c r="G267" s="52"/>
      <c r="H267" s="55" t="s">
        <v>3805</v>
      </c>
      <c r="K267" s="95"/>
      <c r="M267" s="36"/>
      <c r="N267" s="1145"/>
      <c r="O267" s="65" t="s">
        <v>1696</v>
      </c>
      <c r="P267" s="419"/>
      <c r="Q267" s="604"/>
      <c r="S267" s="2293"/>
      <c r="T267" s="2293"/>
      <c r="U267" s="2293"/>
      <c r="V267" s="2293"/>
      <c r="W267" s="2293"/>
      <c r="X267" s="2293"/>
      <c r="Y267" s="2293"/>
      <c r="Z267" s="2293"/>
      <c r="AA267" s="2293"/>
      <c r="AB267" s="2293"/>
      <c r="AC267" s="2293"/>
      <c r="AD267" s="2293"/>
      <c r="AE267" s="2294"/>
      <c r="AF267" s="2294"/>
      <c r="AG267" s="2293"/>
      <c r="AH267" s="2293"/>
      <c r="AI267" s="2293"/>
      <c r="AJ267" s="2293"/>
      <c r="AK267" s="2293"/>
      <c r="AL267" s="2293"/>
      <c r="AM267" s="2293"/>
      <c r="AN267" s="2293"/>
      <c r="AO267" s="2293"/>
      <c r="AP267" s="2293"/>
      <c r="AQ267" s="2293"/>
      <c r="AR267" s="2293"/>
    </row>
    <row r="268" spans="1:44" s="150" customFormat="1" ht="11.4" customHeight="1">
      <c r="A268" s="47"/>
      <c r="B268" s="52"/>
      <c r="D268" s="52"/>
      <c r="E268" s="52"/>
      <c r="F268" s="52"/>
      <c r="G268" s="52"/>
      <c r="H268" s="55" t="s">
        <v>3806</v>
      </c>
      <c r="K268" s="95"/>
      <c r="M268" s="36"/>
      <c r="N268" s="1145"/>
      <c r="O268" s="518" t="s">
        <v>2305</v>
      </c>
      <c r="P268" s="419"/>
      <c r="Q268" s="604"/>
      <c r="S268" s="2293"/>
      <c r="T268" s="2293"/>
      <c r="U268" s="2293"/>
      <c r="V268" s="2293"/>
      <c r="W268" s="2293"/>
      <c r="X268" s="2293"/>
      <c r="Y268" s="2293"/>
      <c r="Z268" s="2293"/>
      <c r="AA268" s="2293"/>
      <c r="AB268" s="2293"/>
      <c r="AC268" s="2293"/>
      <c r="AD268" s="2293"/>
      <c r="AE268" s="2294"/>
      <c r="AF268" s="2294"/>
      <c r="AG268" s="2293"/>
      <c r="AH268" s="2293"/>
      <c r="AI268" s="2293"/>
      <c r="AJ268" s="2293"/>
      <c r="AK268" s="2293"/>
      <c r="AL268" s="2293"/>
      <c r="AM268" s="2293"/>
      <c r="AN268" s="2293"/>
      <c r="AO268" s="2293"/>
      <c r="AP268" s="2293"/>
      <c r="AQ268" s="2293"/>
      <c r="AR268" s="2293"/>
    </row>
    <row r="269" spans="1:44" s="150" customFormat="1" ht="21.75" customHeight="1">
      <c r="B269" s="3615" t="s">
        <v>4717</v>
      </c>
      <c r="C269" s="3615"/>
      <c r="D269" s="3615"/>
      <c r="E269" s="3615"/>
      <c r="F269" s="3615"/>
      <c r="G269" s="3615"/>
      <c r="H269" s="3615"/>
      <c r="I269" s="3615"/>
      <c r="J269" s="3615"/>
      <c r="K269" s="3615"/>
      <c r="L269" s="3615"/>
      <c r="M269" s="3615"/>
      <c r="N269" s="3615"/>
      <c r="O269" s="165" t="s">
        <v>1516</v>
      </c>
      <c r="P269" s="2137"/>
      <c r="Q269" s="2136"/>
      <c r="S269" s="2293"/>
      <c r="T269" s="2294"/>
      <c r="U269" s="2293"/>
      <c r="V269" s="2293"/>
      <c r="W269" s="2293"/>
      <c r="X269" s="2293"/>
      <c r="Y269" s="2293"/>
      <c r="Z269" s="2293"/>
      <c r="AA269" s="2293"/>
      <c r="AB269" s="2293"/>
      <c r="AC269" s="2293"/>
      <c r="AD269" s="2293"/>
      <c r="AE269" s="2294"/>
      <c r="AF269" s="2294"/>
      <c r="AG269" s="2293"/>
      <c r="AH269" s="2293"/>
      <c r="AI269" s="2293"/>
      <c r="AJ269" s="2293"/>
      <c r="AK269" s="2293"/>
      <c r="AL269" s="2293"/>
      <c r="AM269" s="2293"/>
      <c r="AN269" s="2293"/>
      <c r="AO269" s="2293"/>
      <c r="AP269" s="2293"/>
      <c r="AQ269" s="2293"/>
      <c r="AR269" s="2293"/>
    </row>
    <row r="270" spans="1:44" ht="11.25" customHeight="1">
      <c r="B270" s="143" t="s">
        <v>3571</v>
      </c>
      <c r="D270" s="143"/>
      <c r="E270" s="143"/>
      <c r="F270" s="143"/>
      <c r="G270" s="143"/>
      <c r="H270" s="40"/>
      <c r="I270" s="1337"/>
      <c r="J270" s="1337"/>
      <c r="K270" s="1337"/>
      <c r="L270" s="1330"/>
      <c r="M270" s="1330"/>
      <c r="N270" s="1330"/>
      <c r="O270" s="1330"/>
      <c r="P270" s="1330"/>
      <c r="Q270" s="994"/>
      <c r="S270" s="2284"/>
      <c r="T270" s="2284"/>
      <c r="U270" s="2284"/>
      <c r="V270" s="2284"/>
      <c r="W270" s="2284"/>
      <c r="X270" s="2284"/>
      <c r="Y270" s="2284"/>
      <c r="Z270" s="2284"/>
      <c r="AA270" s="2284"/>
      <c r="AB270" s="2284"/>
      <c r="AC270" s="2284"/>
      <c r="AD270" s="2284"/>
      <c r="AE270" s="2285"/>
      <c r="AF270" s="2285"/>
      <c r="AG270" s="2284"/>
      <c r="AH270" s="2284"/>
      <c r="AI270" s="2284"/>
      <c r="AJ270" s="2284"/>
      <c r="AK270" s="2284"/>
      <c r="AL270" s="2284"/>
      <c r="AM270" s="2284"/>
      <c r="AN270" s="2284"/>
      <c r="AO270" s="2284"/>
      <c r="AP270" s="2284"/>
      <c r="AQ270" s="2284"/>
      <c r="AR270" s="2284"/>
    </row>
    <row r="271" spans="1:44" ht="13.35" customHeight="1">
      <c r="A271" s="3660" t="s">
        <v>7151</v>
      </c>
      <c r="B271" s="3661"/>
      <c r="C271" s="3661"/>
      <c r="D271" s="3661"/>
      <c r="E271" s="3661"/>
      <c r="F271" s="3661"/>
      <c r="G271" s="3661"/>
      <c r="H271" s="3661"/>
      <c r="I271" s="3661"/>
      <c r="J271" s="3661"/>
      <c r="K271" s="3661"/>
      <c r="L271" s="3661"/>
      <c r="M271" s="3661"/>
      <c r="N271" s="3661"/>
      <c r="O271" s="3661"/>
      <c r="P271" s="3661"/>
      <c r="Q271" s="3662"/>
      <c r="R271" s="503" t="s">
        <v>1228</v>
      </c>
      <c r="S271" s="2290"/>
      <c r="T271" s="2284"/>
      <c r="U271" s="2291"/>
      <c r="V271" s="2291"/>
      <c r="W271" s="2291"/>
      <c r="X271" s="2291"/>
      <c r="Y271" s="2291"/>
      <c r="Z271" s="2291"/>
      <c r="AA271" s="2291"/>
      <c r="AB271" s="2291"/>
      <c r="AC271" s="2291"/>
      <c r="AD271" s="2291"/>
      <c r="AE271" s="2292"/>
      <c r="AF271" s="2285"/>
      <c r="AG271" s="2284"/>
      <c r="AH271" s="2284"/>
      <c r="AI271" s="2284"/>
      <c r="AJ271" s="2284"/>
      <c r="AK271" s="2284"/>
      <c r="AL271" s="2284"/>
      <c r="AM271" s="2284"/>
      <c r="AN271" s="2284"/>
      <c r="AO271" s="2284"/>
      <c r="AP271" s="2284"/>
      <c r="AQ271" s="2284"/>
      <c r="AR271" s="2284"/>
    </row>
    <row r="272" spans="1:44" ht="11.1" customHeight="1">
      <c r="B272" s="139" t="s">
        <v>1820</v>
      </c>
      <c r="C272" s="140"/>
      <c r="D272" s="1331"/>
      <c r="E272" s="1331"/>
      <c r="F272" s="1331"/>
      <c r="G272" s="1331"/>
      <c r="H272" s="1331"/>
      <c r="I272" s="1331"/>
      <c r="J272" s="1331"/>
      <c r="K272" s="1331"/>
      <c r="L272" s="1331"/>
      <c r="M272" s="1331"/>
      <c r="N272" s="1331"/>
      <c r="O272" s="1331"/>
      <c r="P272" s="1331"/>
      <c r="Q272" s="1331"/>
      <c r="S272" s="2284"/>
      <c r="T272" s="2284"/>
      <c r="U272" s="2284"/>
      <c r="V272" s="2284"/>
      <c r="W272" s="2284"/>
      <c r="X272" s="2284"/>
      <c r="Y272" s="2284"/>
      <c r="Z272" s="2284"/>
      <c r="AA272" s="2284"/>
      <c r="AB272" s="2284"/>
      <c r="AC272" s="2284"/>
      <c r="AD272" s="2284"/>
      <c r="AE272" s="2285"/>
      <c r="AF272" s="2285"/>
      <c r="AG272" s="2284"/>
      <c r="AH272" s="2284"/>
      <c r="AI272" s="2284"/>
      <c r="AJ272" s="2284"/>
      <c r="AK272" s="2284"/>
      <c r="AL272" s="2284"/>
      <c r="AM272" s="2284"/>
      <c r="AN272" s="2284"/>
      <c r="AO272" s="2284"/>
      <c r="AP272" s="2284"/>
      <c r="AQ272" s="2284"/>
      <c r="AR272" s="2284"/>
    </row>
    <row r="273" spans="1:44" ht="13.35" customHeight="1">
      <c r="A273" s="3620"/>
      <c r="B273" s="3621"/>
      <c r="C273" s="3621"/>
      <c r="D273" s="3621"/>
      <c r="E273" s="3621"/>
      <c r="F273" s="3621"/>
      <c r="G273" s="3621"/>
      <c r="H273" s="3621"/>
      <c r="I273" s="3621"/>
      <c r="J273" s="3621"/>
      <c r="K273" s="3621"/>
      <c r="L273" s="3621"/>
      <c r="M273" s="3621"/>
      <c r="N273" s="3621"/>
      <c r="O273" s="3621"/>
      <c r="P273" s="3621"/>
      <c r="Q273" s="3622"/>
      <c r="S273" s="2284"/>
      <c r="T273" s="2284"/>
      <c r="U273" s="2284"/>
      <c r="V273" s="2284"/>
      <c r="W273" s="2284"/>
      <c r="X273" s="2284"/>
      <c r="Y273" s="2284"/>
      <c r="Z273" s="2284"/>
      <c r="AA273" s="2284"/>
      <c r="AB273" s="2284"/>
      <c r="AC273" s="2284"/>
      <c r="AD273" s="2284"/>
      <c r="AE273" s="2285"/>
      <c r="AF273" s="2285"/>
      <c r="AG273" s="2284"/>
      <c r="AH273" s="2284"/>
      <c r="AI273" s="2284"/>
      <c r="AJ273" s="2284"/>
      <c r="AK273" s="2284"/>
      <c r="AL273" s="2284"/>
      <c r="AM273" s="2284"/>
      <c r="AN273" s="2284"/>
      <c r="AO273" s="2284"/>
      <c r="AP273" s="2284"/>
      <c r="AQ273" s="2284"/>
      <c r="AR273" s="2284"/>
    </row>
    <row r="274" spans="1:44" ht="3" customHeight="1">
      <c r="A274" s="1330"/>
      <c r="B274" s="1337"/>
      <c r="C274" s="1331"/>
      <c r="D274" s="1331"/>
      <c r="E274" s="1331"/>
      <c r="F274" s="1331"/>
      <c r="G274" s="1331"/>
      <c r="H274" s="1331"/>
      <c r="I274" s="1331"/>
      <c r="J274" s="1331"/>
      <c r="K274" s="1331"/>
      <c r="L274" s="1331"/>
      <c r="M274" s="1331"/>
      <c r="Q274" s="1330"/>
      <c r="S274" s="2284"/>
      <c r="T274" s="2284"/>
      <c r="U274" s="2284"/>
      <c r="V274" s="2284"/>
      <c r="W274" s="2284"/>
      <c r="X274" s="2284"/>
      <c r="Y274" s="2284"/>
      <c r="Z274" s="2284"/>
      <c r="AA274" s="2284"/>
      <c r="AB274" s="2284"/>
      <c r="AC274" s="2284"/>
      <c r="AD274" s="2284"/>
      <c r="AE274" s="2285"/>
      <c r="AF274" s="2285"/>
      <c r="AG274" s="2284"/>
      <c r="AH274" s="2284"/>
      <c r="AI274" s="2284"/>
      <c r="AJ274" s="2284"/>
      <c r="AK274" s="2284"/>
      <c r="AL274" s="2284"/>
      <c r="AM274" s="2284"/>
      <c r="AN274" s="2284"/>
      <c r="AO274" s="2284"/>
      <c r="AP274" s="2284"/>
      <c r="AQ274" s="2284"/>
      <c r="AR274" s="2284"/>
    </row>
    <row r="275" spans="1:44" ht="14.1" customHeight="1">
      <c r="A275" s="1336" t="s">
        <v>2194</v>
      </c>
      <c r="B275" s="4" t="s">
        <v>2589</v>
      </c>
      <c r="C275" s="4"/>
      <c r="D275" s="87"/>
      <c r="E275" s="87"/>
      <c r="F275" s="87"/>
      <c r="G275" s="87"/>
      <c r="H275" s="1331"/>
      <c r="I275" s="1331"/>
      <c r="J275" s="1331"/>
      <c r="K275" s="1331"/>
      <c r="L275" s="1331"/>
      <c r="M275" s="1331"/>
      <c r="O275" s="134" t="s">
        <v>1821</v>
      </c>
      <c r="P275" s="3666"/>
      <c r="Q275" s="3667"/>
      <c r="S275" s="2284"/>
      <c r="T275" s="2284"/>
      <c r="U275" s="2284"/>
      <c r="V275" s="2284"/>
      <c r="W275" s="2284"/>
      <c r="X275" s="2284"/>
      <c r="Y275" s="2284"/>
      <c r="Z275" s="2284"/>
      <c r="AA275" s="2284"/>
      <c r="AB275" s="2284"/>
      <c r="AC275" s="2284"/>
      <c r="AD275" s="2284"/>
      <c r="AE275" s="2285"/>
      <c r="AF275" s="2285"/>
      <c r="AG275" s="2284"/>
      <c r="AH275" s="2284"/>
      <c r="AI275" s="2284"/>
      <c r="AJ275" s="2284"/>
      <c r="AK275" s="2284"/>
      <c r="AL275" s="2284"/>
      <c r="AM275" s="2284"/>
      <c r="AN275" s="2284"/>
      <c r="AO275" s="2284"/>
      <c r="AP275" s="2284"/>
      <c r="AQ275" s="2284"/>
      <c r="AR275" s="2284"/>
    </row>
    <row r="276" spans="1:44" s="470" customFormat="1" ht="21.75" customHeight="1">
      <c r="A276" s="144" t="s">
        <v>1936</v>
      </c>
      <c r="B276" s="2227" t="s">
        <v>1694</v>
      </c>
      <c r="C276" s="3615" t="s">
        <v>4718</v>
      </c>
      <c r="D276" s="3615"/>
      <c r="E276" s="3615"/>
      <c r="F276" s="3615"/>
      <c r="G276" s="3615"/>
      <c r="H276" s="3615"/>
      <c r="I276" s="3615"/>
      <c r="J276" s="3615"/>
      <c r="K276" s="3615"/>
      <c r="L276" s="3615"/>
      <c r="M276" s="3615"/>
      <c r="N276" s="3615"/>
      <c r="O276" s="2243" t="s">
        <v>1455</v>
      </c>
      <c r="P276" s="1341" t="s">
        <v>2886</v>
      </c>
      <c r="Q276" s="1340"/>
      <c r="S276" s="2295"/>
      <c r="T276" s="2295"/>
      <c r="U276" s="2295"/>
      <c r="V276" s="2295"/>
      <c r="W276" s="2295"/>
      <c r="X276" s="2295"/>
      <c r="Y276" s="2295"/>
      <c r="Z276" s="2295"/>
      <c r="AA276" s="2295"/>
      <c r="AB276" s="2295"/>
      <c r="AC276" s="2295"/>
      <c r="AD276" s="2295"/>
      <c r="AE276" s="2296"/>
      <c r="AF276" s="2296"/>
      <c r="AG276" s="2295"/>
      <c r="AH276" s="2295"/>
      <c r="AI276" s="2295"/>
      <c r="AJ276" s="2295"/>
      <c r="AK276" s="2295"/>
      <c r="AL276" s="2295"/>
      <c r="AM276" s="2295"/>
      <c r="AN276" s="2295"/>
      <c r="AO276" s="2295"/>
      <c r="AP276" s="2295"/>
      <c r="AQ276" s="2295"/>
      <c r="AR276" s="2295"/>
    </row>
    <row r="277" spans="1:44" s="150" customFormat="1" ht="11.4" customHeight="1">
      <c r="A277" s="47"/>
      <c r="B277" s="2227" t="s">
        <v>1695</v>
      </c>
      <c r="C277" s="52" t="s">
        <v>3574</v>
      </c>
      <c r="D277" s="52"/>
      <c r="E277" s="52"/>
      <c r="F277" s="52"/>
      <c r="G277" s="52"/>
      <c r="H277" s="52"/>
      <c r="I277" s="52"/>
      <c r="J277" s="52"/>
      <c r="K277" s="52"/>
      <c r="L277" s="52"/>
      <c r="M277" s="52"/>
      <c r="O277" s="2243" t="s">
        <v>1695</v>
      </c>
      <c r="P277" s="237" t="s">
        <v>2886</v>
      </c>
      <c r="Q277" s="605"/>
      <c r="S277" s="2293"/>
      <c r="T277" s="2293"/>
      <c r="U277" s="2293"/>
      <c r="V277" s="2293"/>
      <c r="W277" s="2293"/>
      <c r="X277" s="2293"/>
      <c r="Y277" s="2293"/>
      <c r="Z277" s="2293"/>
      <c r="AA277" s="2293"/>
      <c r="AB277" s="2293"/>
      <c r="AC277" s="2293"/>
      <c r="AD277" s="2293"/>
      <c r="AE277" s="2294"/>
      <c r="AF277" s="2294"/>
      <c r="AG277" s="2293"/>
      <c r="AH277" s="2293"/>
      <c r="AI277" s="2293"/>
      <c r="AJ277" s="2293"/>
      <c r="AK277" s="2293"/>
      <c r="AL277" s="2293"/>
      <c r="AM277" s="2293"/>
      <c r="AN277" s="2293"/>
      <c r="AO277" s="2293"/>
      <c r="AP277" s="2293"/>
      <c r="AQ277" s="2293"/>
      <c r="AR277" s="2293"/>
    </row>
    <row r="278" spans="1:44" s="150" customFormat="1" ht="11.4" customHeight="1">
      <c r="A278" s="47" t="s">
        <v>1938</v>
      </c>
      <c r="B278" s="52" t="s">
        <v>3575</v>
      </c>
      <c r="D278" s="52"/>
      <c r="E278" s="52"/>
      <c r="F278" s="52"/>
      <c r="G278" s="52"/>
      <c r="H278" s="52"/>
      <c r="I278" s="52"/>
      <c r="J278" s="52"/>
      <c r="K278" s="52"/>
      <c r="L278" s="52"/>
      <c r="M278" s="52"/>
      <c r="O278" s="518" t="s">
        <v>1938</v>
      </c>
      <c r="P278" s="237" t="s">
        <v>2886</v>
      </c>
      <c r="Q278" s="605"/>
      <c r="S278" s="2293"/>
      <c r="T278" s="2293"/>
      <c r="U278" s="2293"/>
      <c r="V278" s="2293"/>
      <c r="W278" s="2293"/>
      <c r="X278" s="2293"/>
      <c r="Y278" s="2293"/>
      <c r="Z278" s="2293"/>
      <c r="AA278" s="2293"/>
      <c r="AB278" s="2293"/>
      <c r="AC278" s="2293"/>
      <c r="AD278" s="2293"/>
      <c r="AE278" s="2294"/>
      <c r="AF278" s="2294"/>
      <c r="AG278" s="2293"/>
      <c r="AH278" s="2293"/>
      <c r="AI278" s="2293"/>
      <c r="AJ278" s="2293"/>
      <c r="AK278" s="2293"/>
      <c r="AL278" s="2293"/>
      <c r="AM278" s="2293"/>
      <c r="AN278" s="2293"/>
      <c r="AO278" s="2293"/>
      <c r="AP278" s="2293"/>
      <c r="AQ278" s="2293"/>
      <c r="AR278" s="2293"/>
    </row>
    <row r="279" spans="1:44" s="470" customFormat="1" ht="19.95" customHeight="1">
      <c r="A279" s="144" t="s">
        <v>731</v>
      </c>
      <c r="B279" s="2227" t="s">
        <v>1694</v>
      </c>
      <c r="C279" s="3615" t="s">
        <v>4754</v>
      </c>
      <c r="D279" s="3615"/>
      <c r="E279" s="3615"/>
      <c r="F279" s="3615"/>
      <c r="G279" s="3615"/>
      <c r="H279" s="3615"/>
      <c r="I279" s="3615"/>
      <c r="J279" s="3615"/>
      <c r="K279" s="3615"/>
      <c r="L279" s="3615"/>
      <c r="M279" s="3615"/>
      <c r="N279" s="3615"/>
      <c r="O279" s="2243" t="s">
        <v>4755</v>
      </c>
      <c r="P279" s="1369" t="s">
        <v>2886</v>
      </c>
      <c r="Q279" s="1368"/>
      <c r="S279" s="2295"/>
      <c r="T279" s="2295"/>
      <c r="U279" s="2295"/>
      <c r="V279" s="2295"/>
      <c r="W279" s="2295"/>
      <c r="X279" s="2295"/>
      <c r="Y279" s="2295"/>
      <c r="Z279" s="2295"/>
      <c r="AA279" s="2295"/>
      <c r="AB279" s="2295"/>
      <c r="AC279" s="2295"/>
      <c r="AD279" s="2295"/>
      <c r="AE279" s="2296"/>
      <c r="AF279" s="2296"/>
      <c r="AG279" s="2295"/>
      <c r="AH279" s="2295"/>
      <c r="AI279" s="2295"/>
      <c r="AJ279" s="2295"/>
      <c r="AK279" s="2295"/>
      <c r="AL279" s="2295"/>
      <c r="AM279" s="2295"/>
      <c r="AN279" s="2295"/>
      <c r="AO279" s="2295"/>
      <c r="AP279" s="2295"/>
      <c r="AQ279" s="2295"/>
      <c r="AR279" s="2295"/>
    </row>
    <row r="280" spans="1:44" s="150" customFormat="1" ht="11.4" customHeight="1">
      <c r="A280" s="47"/>
      <c r="B280" s="2227" t="s">
        <v>1695</v>
      </c>
      <c r="C280" s="52" t="s">
        <v>3576</v>
      </c>
      <c r="D280" s="52"/>
      <c r="E280" s="52"/>
      <c r="F280" s="52"/>
      <c r="G280" s="52"/>
      <c r="H280" s="52"/>
      <c r="I280" s="52"/>
      <c r="J280" s="52"/>
      <c r="K280" s="52"/>
      <c r="L280" s="52"/>
      <c r="M280" s="52"/>
      <c r="O280" s="2243" t="s">
        <v>1695</v>
      </c>
      <c r="P280" s="237" t="s">
        <v>2886</v>
      </c>
      <c r="Q280" s="605"/>
      <c r="S280" s="2293"/>
      <c r="T280" s="2293"/>
      <c r="U280" s="2293"/>
      <c r="V280" s="2293"/>
      <c r="W280" s="2293"/>
      <c r="X280" s="2293"/>
      <c r="Y280" s="2293"/>
      <c r="Z280" s="2293"/>
      <c r="AA280" s="2293"/>
      <c r="AB280" s="2293"/>
      <c r="AC280" s="2293"/>
      <c r="AD280" s="2293"/>
      <c r="AE280" s="2294"/>
      <c r="AF280" s="2294"/>
      <c r="AG280" s="2293"/>
      <c r="AH280" s="2293"/>
      <c r="AI280" s="2293"/>
      <c r="AJ280" s="2293"/>
      <c r="AK280" s="2293"/>
      <c r="AL280" s="2293"/>
      <c r="AM280" s="2293"/>
      <c r="AN280" s="2293"/>
      <c r="AO280" s="2293"/>
      <c r="AP280" s="2293"/>
      <c r="AQ280" s="2293"/>
      <c r="AR280" s="2293"/>
    </row>
    <row r="281" spans="1:44" s="150" customFormat="1" ht="22.5" customHeight="1">
      <c r="A281" s="144" t="s">
        <v>2065</v>
      </c>
      <c r="B281" s="3615" t="s">
        <v>4756</v>
      </c>
      <c r="C281" s="3615"/>
      <c r="D281" s="3615"/>
      <c r="E281" s="3615"/>
      <c r="F281" s="3615"/>
      <c r="G281" s="3615"/>
      <c r="H281" s="3615"/>
      <c r="I281" s="3615"/>
      <c r="J281" s="3615"/>
      <c r="K281" s="3615"/>
      <c r="L281" s="3615"/>
      <c r="M281" s="3615"/>
      <c r="N281" s="3615"/>
      <c r="O281" s="518" t="s">
        <v>2065</v>
      </c>
      <c r="P281" s="1393" t="s">
        <v>2886</v>
      </c>
      <c r="Q281" s="1394"/>
      <c r="S281" s="2293"/>
      <c r="T281" s="2293"/>
      <c r="U281" s="2293"/>
      <c r="V281" s="2293"/>
      <c r="W281" s="2293"/>
      <c r="X281" s="2293"/>
      <c r="Y281" s="2293"/>
      <c r="Z281" s="2293"/>
      <c r="AA281" s="2293"/>
      <c r="AB281" s="2293"/>
      <c r="AC281" s="2293"/>
      <c r="AD281" s="2293"/>
      <c r="AE281" s="2294"/>
      <c r="AF281" s="2294"/>
      <c r="AG281" s="2293"/>
      <c r="AH281" s="2293"/>
      <c r="AI281" s="2293"/>
      <c r="AJ281" s="2293"/>
      <c r="AK281" s="2293"/>
      <c r="AL281" s="2293"/>
      <c r="AM281" s="2293"/>
      <c r="AN281" s="2293"/>
      <c r="AO281" s="2293"/>
      <c r="AP281" s="2293"/>
      <c r="AQ281" s="2293"/>
      <c r="AR281" s="2293"/>
    </row>
    <row r="282" spans="1:44" ht="11.25" customHeight="1">
      <c r="B282" s="143" t="s">
        <v>3571</v>
      </c>
      <c r="D282" s="143"/>
      <c r="E282" s="143"/>
      <c r="F282" s="143"/>
      <c r="G282" s="143"/>
      <c r="H282" s="40"/>
      <c r="I282" s="1337"/>
      <c r="J282" s="1337"/>
      <c r="K282" s="1337"/>
      <c r="L282" s="1330"/>
      <c r="M282" s="1330"/>
      <c r="N282" s="1330"/>
      <c r="O282" s="1330"/>
      <c r="P282" s="1330"/>
      <c r="Q282" s="994"/>
      <c r="S282" s="2284"/>
      <c r="T282" s="2284"/>
      <c r="U282" s="2284"/>
      <c r="V282" s="2284"/>
      <c r="W282" s="2284"/>
      <c r="X282" s="2284"/>
      <c r="Y282" s="2284"/>
      <c r="Z282" s="2284"/>
      <c r="AA282" s="2284"/>
      <c r="AB282" s="2284"/>
      <c r="AC282" s="2284"/>
      <c r="AD282" s="2284"/>
      <c r="AE282" s="2285"/>
      <c r="AF282" s="2285"/>
      <c r="AG282" s="2284"/>
      <c r="AH282" s="2284"/>
      <c r="AI282" s="2284"/>
      <c r="AJ282" s="2284"/>
      <c r="AK282" s="2284"/>
      <c r="AL282" s="2284"/>
      <c r="AM282" s="2284"/>
      <c r="AN282" s="2284"/>
      <c r="AO282" s="2284"/>
      <c r="AP282" s="2284"/>
      <c r="AQ282" s="2284"/>
      <c r="AR282" s="2284"/>
    </row>
    <row r="283" spans="1:44" ht="13.35" customHeight="1">
      <c r="A283" s="3660" t="s">
        <v>7152</v>
      </c>
      <c r="B283" s="3661"/>
      <c r="C283" s="3661"/>
      <c r="D283" s="3661"/>
      <c r="E283" s="3661"/>
      <c r="F283" s="3661"/>
      <c r="G283" s="3661"/>
      <c r="H283" s="3661"/>
      <c r="I283" s="3661"/>
      <c r="J283" s="3661"/>
      <c r="K283" s="3661"/>
      <c r="L283" s="3661"/>
      <c r="M283" s="3661"/>
      <c r="N283" s="3661"/>
      <c r="O283" s="3661"/>
      <c r="P283" s="3661"/>
      <c r="Q283" s="3662"/>
      <c r="R283" s="503" t="s">
        <v>1228</v>
      </c>
      <c r="S283" s="2290"/>
      <c r="T283" s="2284"/>
      <c r="U283" s="2291"/>
      <c r="V283" s="2291"/>
      <c r="W283" s="2291"/>
      <c r="X283" s="2291"/>
      <c r="Y283" s="2291"/>
      <c r="Z283" s="2291"/>
      <c r="AA283" s="2291"/>
      <c r="AB283" s="2291"/>
      <c r="AC283" s="2291"/>
      <c r="AD283" s="2291"/>
      <c r="AE283" s="2292"/>
      <c r="AF283" s="2285"/>
      <c r="AG283" s="2284"/>
      <c r="AH283" s="2284"/>
      <c r="AI283" s="2284"/>
      <c r="AJ283" s="2284"/>
      <c r="AK283" s="2284"/>
      <c r="AL283" s="2284"/>
      <c r="AM283" s="2284"/>
      <c r="AN283" s="2284"/>
      <c r="AO283" s="2284"/>
      <c r="AP283" s="2284"/>
      <c r="AQ283" s="2284"/>
      <c r="AR283" s="2284"/>
    </row>
    <row r="284" spans="1:44" ht="11.25" customHeight="1">
      <c r="B284" s="139" t="s">
        <v>1820</v>
      </c>
      <c r="C284" s="140"/>
      <c r="D284" s="1331"/>
      <c r="E284" s="1331"/>
      <c r="F284" s="1331"/>
      <c r="G284" s="1331"/>
      <c r="H284" s="1331"/>
      <c r="I284" s="1331"/>
      <c r="J284" s="1331"/>
      <c r="K284" s="1331"/>
      <c r="L284" s="1331"/>
      <c r="M284" s="1331"/>
      <c r="N284" s="1331"/>
      <c r="O284" s="1331"/>
      <c r="P284" s="1331"/>
      <c r="Q284" s="1331"/>
      <c r="S284" s="2284"/>
      <c r="T284" s="2284"/>
      <c r="U284" s="2284"/>
      <c r="V284" s="2284"/>
      <c r="W284" s="2284"/>
      <c r="X284" s="2284"/>
      <c r="Y284" s="2284"/>
      <c r="Z284" s="2284"/>
      <c r="AA284" s="2284"/>
      <c r="AB284" s="2284"/>
      <c r="AC284" s="2284"/>
      <c r="AD284" s="2284"/>
      <c r="AE284" s="2285"/>
      <c r="AF284" s="2285"/>
      <c r="AG284" s="2284"/>
      <c r="AH284" s="2284"/>
      <c r="AI284" s="2284"/>
      <c r="AJ284" s="2284"/>
      <c r="AK284" s="2284"/>
      <c r="AL284" s="2284"/>
      <c r="AM284" s="2284"/>
      <c r="AN284" s="2284"/>
      <c r="AO284" s="2284"/>
      <c r="AP284" s="2284"/>
      <c r="AQ284" s="2284"/>
      <c r="AR284" s="2284"/>
    </row>
    <row r="285" spans="1:44" ht="13.35" customHeight="1">
      <c r="A285" s="3620"/>
      <c r="B285" s="3621"/>
      <c r="C285" s="3621"/>
      <c r="D285" s="3621"/>
      <c r="E285" s="3621"/>
      <c r="F285" s="3621"/>
      <c r="G285" s="3621"/>
      <c r="H285" s="3621"/>
      <c r="I285" s="3621"/>
      <c r="J285" s="3621"/>
      <c r="K285" s="3621"/>
      <c r="L285" s="3621"/>
      <c r="M285" s="3621"/>
      <c r="N285" s="3621"/>
      <c r="O285" s="3621"/>
      <c r="P285" s="3621"/>
      <c r="Q285" s="3622"/>
      <c r="S285" s="2284"/>
      <c r="T285" s="2284"/>
      <c r="U285" s="2284"/>
      <c r="V285" s="2284"/>
      <c r="W285" s="2284"/>
      <c r="X285" s="2284"/>
      <c r="Y285" s="2284"/>
      <c r="Z285" s="2284"/>
      <c r="AA285" s="2284"/>
      <c r="AB285" s="2284"/>
      <c r="AC285" s="2284"/>
      <c r="AD285" s="2284"/>
      <c r="AE285" s="2285"/>
      <c r="AF285" s="2285"/>
      <c r="AG285" s="2284"/>
      <c r="AH285" s="2284"/>
      <c r="AI285" s="2284"/>
      <c r="AJ285" s="2284"/>
      <c r="AK285" s="2284"/>
      <c r="AL285" s="2284"/>
      <c r="AM285" s="2284"/>
      <c r="AN285" s="2284"/>
      <c r="AO285" s="2284"/>
      <c r="AP285" s="2284"/>
      <c r="AQ285" s="2284"/>
      <c r="AR285" s="2284"/>
    </row>
    <row r="286" spans="1:44" ht="3" customHeight="1">
      <c r="S286" s="2284"/>
      <c r="T286" s="2284"/>
      <c r="U286" s="2284"/>
      <c r="V286" s="2284"/>
      <c r="W286" s="2284"/>
      <c r="X286" s="2284"/>
      <c r="Y286" s="2284"/>
      <c r="Z286" s="2284"/>
      <c r="AA286" s="2284"/>
      <c r="AB286" s="2284"/>
      <c r="AC286" s="2284"/>
      <c r="AD286" s="2284"/>
      <c r="AE286" s="2285"/>
      <c r="AF286" s="2285"/>
      <c r="AG286" s="2284"/>
      <c r="AH286" s="2284"/>
      <c r="AI286" s="2284"/>
      <c r="AJ286" s="2284"/>
      <c r="AK286" s="2284"/>
      <c r="AL286" s="2284"/>
      <c r="AM286" s="2284"/>
      <c r="AN286" s="2284"/>
      <c r="AO286" s="2284"/>
      <c r="AP286" s="2284"/>
      <c r="AQ286" s="2284"/>
      <c r="AR286" s="2284"/>
    </row>
    <row r="287" spans="1:44" ht="14.1" customHeight="1">
      <c r="A287" s="1336" t="s">
        <v>3791</v>
      </c>
      <c r="B287" s="1336" t="s">
        <v>2590</v>
      </c>
      <c r="C287" s="1336"/>
      <c r="D287" s="1331"/>
      <c r="E287" s="1331"/>
      <c r="F287" s="1331"/>
      <c r="G287" s="1331"/>
      <c r="H287" s="1331"/>
      <c r="I287" s="1331"/>
      <c r="J287" s="1331"/>
      <c r="K287" s="1331"/>
      <c r="L287" s="1331"/>
      <c r="M287" s="1331"/>
      <c r="O287" s="134" t="s">
        <v>1821</v>
      </c>
      <c r="P287" s="3666"/>
      <c r="Q287" s="3667"/>
      <c r="S287" s="2284"/>
      <c r="T287" s="2284"/>
      <c r="U287" s="2284"/>
      <c r="V287" s="2284"/>
      <c r="W287" s="2284"/>
      <c r="X287" s="2284"/>
      <c r="Y287" s="2284"/>
      <c r="Z287" s="2284"/>
      <c r="AA287" s="2284"/>
      <c r="AB287" s="2284"/>
      <c r="AC287" s="2284"/>
      <c r="AD287" s="2284"/>
      <c r="AE287" s="2285"/>
      <c r="AF287" s="2285"/>
      <c r="AG287" s="2284"/>
      <c r="AH287" s="2284"/>
      <c r="AI287" s="2284"/>
      <c r="AJ287" s="2284"/>
      <c r="AK287" s="2284"/>
      <c r="AL287" s="2284"/>
      <c r="AM287" s="2284"/>
      <c r="AN287" s="2284"/>
      <c r="AO287" s="2284"/>
      <c r="AP287" s="2284"/>
      <c r="AQ287" s="2284"/>
      <c r="AR287" s="2284"/>
    </row>
    <row r="288" spans="1:44" s="470" customFormat="1" ht="30" customHeight="1">
      <c r="A288" s="144" t="s">
        <v>1936</v>
      </c>
      <c r="B288" s="996" t="s">
        <v>1694</v>
      </c>
      <c r="C288" s="3615" t="s">
        <v>4400</v>
      </c>
      <c r="D288" s="3615"/>
      <c r="E288" s="3615"/>
      <c r="F288" s="3615"/>
      <c r="G288" s="3615"/>
      <c r="H288" s="3615"/>
      <c r="I288" s="3615"/>
      <c r="J288" s="3615"/>
      <c r="K288" s="3615"/>
      <c r="L288" s="3615"/>
      <c r="M288" s="3615"/>
      <c r="N288" s="3615"/>
      <c r="O288" s="165" t="s">
        <v>1936</v>
      </c>
      <c r="P288" s="1369" t="s">
        <v>7115</v>
      </c>
      <c r="Q288" s="1368"/>
      <c r="S288" s="2295"/>
      <c r="T288" s="2295"/>
      <c r="U288" s="2295"/>
      <c r="V288" s="2295"/>
      <c r="W288" s="2295"/>
      <c r="X288" s="2295"/>
      <c r="Y288" s="2295"/>
      <c r="Z288" s="2295"/>
      <c r="AA288" s="2295"/>
      <c r="AB288" s="2295"/>
      <c r="AC288" s="2295"/>
      <c r="AD288" s="2295"/>
      <c r="AE288" s="2296"/>
      <c r="AF288" s="2296"/>
      <c r="AG288" s="2295"/>
      <c r="AH288" s="2295"/>
      <c r="AI288" s="2295"/>
      <c r="AJ288" s="2295"/>
      <c r="AK288" s="2295"/>
      <c r="AL288" s="2295"/>
      <c r="AM288" s="2295"/>
      <c r="AN288" s="2295"/>
      <c r="AO288" s="2295"/>
      <c r="AP288" s="2295"/>
      <c r="AQ288" s="2295"/>
      <c r="AR288" s="2295"/>
    </row>
    <row r="289" spans="1:44" s="470" customFormat="1" ht="21.75" customHeight="1">
      <c r="A289" s="144"/>
      <c r="B289" s="996" t="s">
        <v>1695</v>
      </c>
      <c r="C289" s="3615" t="s">
        <v>2718</v>
      </c>
      <c r="D289" s="3615"/>
      <c r="E289" s="3615"/>
      <c r="F289" s="3615"/>
      <c r="G289" s="3615"/>
      <c r="H289" s="3615"/>
      <c r="I289" s="3615"/>
      <c r="J289" s="3615"/>
      <c r="K289" s="3615"/>
      <c r="L289" s="3615"/>
      <c r="M289" s="3615"/>
      <c r="N289" s="3615"/>
      <c r="O289" s="165"/>
      <c r="P289" s="1373" t="s">
        <v>7115</v>
      </c>
      <c r="Q289" s="1370"/>
      <c r="S289" s="2295"/>
      <c r="T289" s="2295"/>
      <c r="U289" s="2295"/>
      <c r="V289" s="2295"/>
      <c r="W289" s="2295"/>
      <c r="X289" s="2295"/>
      <c r="Y289" s="2295"/>
      <c r="Z289" s="2295"/>
      <c r="AA289" s="2295"/>
      <c r="AB289" s="2295"/>
      <c r="AC289" s="2295"/>
      <c r="AD289" s="2295"/>
      <c r="AE289" s="2296"/>
      <c r="AF289" s="2296"/>
      <c r="AG289" s="2295"/>
      <c r="AH289" s="2295"/>
      <c r="AI289" s="2295"/>
      <c r="AJ289" s="2295"/>
      <c r="AK289" s="2295"/>
      <c r="AL289" s="2295"/>
      <c r="AM289" s="2295"/>
      <c r="AN289" s="2295"/>
      <c r="AO289" s="2295"/>
      <c r="AP289" s="2295"/>
      <c r="AQ289" s="2295"/>
      <c r="AR289" s="2295"/>
    </row>
    <row r="290" spans="1:44" s="27" customFormat="1" ht="11.4" customHeight="1">
      <c r="A290" s="141" t="s">
        <v>1938</v>
      </c>
      <c r="B290" s="196" t="s">
        <v>305</v>
      </c>
      <c r="C290" s="162"/>
      <c r="D290" s="644"/>
      <c r="E290" s="644"/>
      <c r="F290" s="162"/>
      <c r="H290" s="162"/>
      <c r="I290" s="162"/>
      <c r="R290" s="1144"/>
      <c r="S290" s="2286"/>
      <c r="T290" s="2286"/>
      <c r="U290" s="2286"/>
      <c r="V290" s="2286"/>
      <c r="W290" s="2286"/>
      <c r="X290" s="2286"/>
      <c r="Y290" s="2286"/>
      <c r="Z290" s="2286"/>
      <c r="AA290" s="2286"/>
      <c r="AB290" s="2286"/>
      <c r="AC290" s="2286"/>
      <c r="AD290" s="2286"/>
      <c r="AE290" s="2286"/>
      <c r="AF290" s="2286"/>
      <c r="AG290" s="2286"/>
      <c r="AH290" s="2286"/>
      <c r="AI290" s="2286"/>
      <c r="AJ290" s="2286"/>
      <c r="AK290" s="2286"/>
      <c r="AL290" s="2286"/>
      <c r="AM290" s="2286"/>
      <c r="AN290" s="2286"/>
      <c r="AO290" s="2286"/>
      <c r="AP290" s="2286"/>
      <c r="AQ290" s="2286"/>
      <c r="AR290" s="2286"/>
    </row>
    <row r="291" spans="1:44" s="27" customFormat="1" ht="11.4" customHeight="1">
      <c r="A291" s="141"/>
      <c r="B291" s="137" t="s">
        <v>4559</v>
      </c>
      <c r="C291" s="162"/>
      <c r="D291" s="644"/>
      <c r="E291" s="644"/>
      <c r="F291" s="162"/>
      <c r="H291" s="162"/>
      <c r="I291" s="162"/>
      <c r="O291" s="518" t="s">
        <v>1938</v>
      </c>
      <c r="P291" s="1371" t="s">
        <v>7115</v>
      </c>
      <c r="Q291" s="1372"/>
      <c r="R291" s="518"/>
      <c r="S291" s="2286"/>
      <c r="T291" s="2286"/>
      <c r="U291" s="2286"/>
      <c r="V291" s="2286"/>
      <c r="W291" s="2286"/>
      <c r="X291" s="2286"/>
      <c r="Y291" s="2286"/>
      <c r="Z291" s="2286"/>
      <c r="AA291" s="2286"/>
      <c r="AB291" s="2286"/>
      <c r="AC291" s="2286"/>
      <c r="AD291" s="2286"/>
      <c r="AE291" s="2286"/>
      <c r="AF291" s="2286"/>
      <c r="AG291" s="2286"/>
      <c r="AH291" s="2286"/>
      <c r="AI291" s="2286"/>
      <c r="AJ291" s="2286"/>
      <c r="AK291" s="2286"/>
      <c r="AL291" s="2286"/>
      <c r="AM291" s="2286"/>
      <c r="AN291" s="2286"/>
      <c r="AO291" s="2286"/>
      <c r="AP291" s="2286"/>
      <c r="AQ291" s="2286"/>
      <c r="AR291" s="2286"/>
    </row>
    <row r="292" spans="1:44" s="104" customFormat="1" ht="11.4" customHeight="1">
      <c r="A292" s="42"/>
      <c r="B292" s="143" t="s">
        <v>3571</v>
      </c>
      <c r="C292" s="42"/>
      <c r="D292" s="48"/>
      <c r="E292" s="48"/>
      <c r="F292" s="48"/>
      <c r="G292" s="48"/>
      <c r="K292" s="36"/>
      <c r="M292" s="46"/>
      <c r="N292" s="6"/>
      <c r="O292" s="3"/>
      <c r="P292" s="1768"/>
      <c r="S292" s="2297"/>
      <c r="T292" s="2297"/>
      <c r="U292" s="2297"/>
      <c r="V292" s="2297"/>
      <c r="W292" s="2297"/>
      <c r="X292" s="2297"/>
      <c r="Y292" s="2297"/>
      <c r="Z292" s="2297"/>
      <c r="AA292" s="2297"/>
      <c r="AB292" s="2297"/>
      <c r="AC292" s="2297"/>
      <c r="AD292" s="2297"/>
      <c r="AE292" s="2297"/>
      <c r="AF292" s="2297"/>
      <c r="AG292" s="2297"/>
      <c r="AH292" s="2297"/>
      <c r="AI292" s="2297"/>
      <c r="AJ292" s="2297"/>
      <c r="AK292" s="2297"/>
      <c r="AL292" s="2297"/>
      <c r="AM292" s="2297"/>
      <c r="AN292" s="2297"/>
      <c r="AO292" s="2297"/>
      <c r="AP292" s="2297"/>
      <c r="AQ292" s="2297"/>
      <c r="AR292" s="2297"/>
    </row>
    <row r="293" spans="1:44" s="43" customFormat="1" ht="21.75" customHeight="1">
      <c r="A293" s="3660" t="s">
        <v>7153</v>
      </c>
      <c r="B293" s="3661"/>
      <c r="C293" s="3661"/>
      <c r="D293" s="3661"/>
      <c r="E293" s="3661"/>
      <c r="F293" s="3661"/>
      <c r="G293" s="3661"/>
      <c r="H293" s="3661"/>
      <c r="I293" s="3661"/>
      <c r="J293" s="3661"/>
      <c r="K293" s="3661"/>
      <c r="L293" s="3661"/>
      <c r="M293" s="3661"/>
      <c r="N293" s="3661"/>
      <c r="O293" s="3661"/>
      <c r="P293" s="3661"/>
      <c r="Q293" s="3662"/>
      <c r="R293" s="503" t="s">
        <v>1228</v>
      </c>
      <c r="S293" s="2288"/>
      <c r="T293" s="2288"/>
      <c r="U293" s="2288"/>
      <c r="V293" s="2288"/>
      <c r="W293" s="2288"/>
      <c r="X293" s="2288"/>
      <c r="Y293" s="2288"/>
      <c r="Z293" s="2288"/>
      <c r="AA293" s="2288"/>
      <c r="AB293" s="2288"/>
      <c r="AC293" s="2288"/>
      <c r="AD293" s="2288"/>
      <c r="AE293" s="2288"/>
      <c r="AF293" s="2288"/>
      <c r="AG293" s="2288"/>
      <c r="AH293" s="2288"/>
      <c r="AI293" s="2288"/>
      <c r="AJ293" s="2288"/>
      <c r="AK293" s="2288"/>
      <c r="AL293" s="2288"/>
      <c r="AM293" s="2288"/>
      <c r="AN293" s="2288"/>
      <c r="AO293" s="2288"/>
      <c r="AP293" s="2288"/>
      <c r="AQ293" s="2288"/>
      <c r="AR293" s="2288"/>
    </row>
    <row r="294" spans="1:44" s="43" customFormat="1" ht="11.25" customHeight="1">
      <c r="A294" s="35"/>
      <c r="B294" s="139" t="s">
        <v>1820</v>
      </c>
      <c r="C294" s="140"/>
      <c r="D294" s="1977"/>
      <c r="E294" s="1977"/>
      <c r="F294" s="1977"/>
      <c r="G294" s="1977"/>
      <c r="H294" s="1977"/>
      <c r="I294" s="1977"/>
      <c r="J294" s="1977"/>
      <c r="K294" s="1977"/>
      <c r="L294" s="1977"/>
      <c r="M294" s="1977"/>
      <c r="N294" s="1977"/>
      <c r="O294" s="1977"/>
      <c r="P294" s="1977"/>
      <c r="Q294" s="1977"/>
      <c r="R294" s="35"/>
      <c r="S294" s="2288"/>
      <c r="T294" s="2288"/>
      <c r="U294" s="2288"/>
      <c r="V294" s="2288"/>
      <c r="W294" s="2288"/>
      <c r="X294" s="2288"/>
      <c r="Y294" s="2288"/>
      <c r="Z294" s="2288"/>
      <c r="AA294" s="2288"/>
      <c r="AB294" s="2288"/>
      <c r="AC294" s="2288"/>
      <c r="AD294" s="2288"/>
      <c r="AE294" s="2288"/>
      <c r="AF294" s="2288"/>
      <c r="AG294" s="2288"/>
      <c r="AH294" s="2288"/>
      <c r="AI294" s="2288"/>
      <c r="AJ294" s="2288"/>
      <c r="AK294" s="2288"/>
      <c r="AL294" s="2288"/>
      <c r="AM294" s="2288"/>
      <c r="AN294" s="2288"/>
      <c r="AO294" s="2288"/>
      <c r="AP294" s="2288"/>
      <c r="AQ294" s="2288"/>
      <c r="AR294" s="2288"/>
    </row>
    <row r="295" spans="1:44" s="43" customFormat="1" ht="11.25" customHeight="1">
      <c r="A295" s="3620"/>
      <c r="B295" s="3621"/>
      <c r="C295" s="3621"/>
      <c r="D295" s="3621"/>
      <c r="E295" s="3621"/>
      <c r="F295" s="3621"/>
      <c r="G295" s="3621"/>
      <c r="H295" s="3621"/>
      <c r="I295" s="3621"/>
      <c r="J295" s="3621"/>
      <c r="K295" s="3621"/>
      <c r="L295" s="3621"/>
      <c r="M295" s="3621"/>
      <c r="N295" s="3621"/>
      <c r="O295" s="3621"/>
      <c r="P295" s="3621"/>
      <c r="Q295" s="3622"/>
      <c r="R295" s="35"/>
      <c r="S295" s="2288"/>
      <c r="T295" s="2288"/>
      <c r="U295" s="2288"/>
      <c r="V295" s="2288"/>
      <c r="W295" s="2288"/>
      <c r="X295" s="2288"/>
      <c r="Y295" s="2288"/>
      <c r="Z295" s="2288"/>
      <c r="AA295" s="2288"/>
      <c r="AB295" s="2288"/>
      <c r="AC295" s="2288"/>
      <c r="AD295" s="2288"/>
      <c r="AE295" s="2288"/>
      <c r="AF295" s="2288"/>
      <c r="AG295" s="2288"/>
      <c r="AH295" s="2288"/>
      <c r="AI295" s="2288"/>
      <c r="AJ295" s="2288"/>
      <c r="AK295" s="2288"/>
      <c r="AL295" s="2288"/>
      <c r="AM295" s="2288"/>
      <c r="AN295" s="2288"/>
      <c r="AO295" s="2288"/>
      <c r="AP295" s="2288"/>
      <c r="AQ295" s="2288"/>
      <c r="AR295" s="2288"/>
    </row>
    <row r="296" spans="1:44" s="43" customFormat="1" ht="3" customHeight="1">
      <c r="A296" s="42"/>
      <c r="D296" s="39"/>
      <c r="E296" s="36"/>
      <c r="F296" s="985"/>
      <c r="G296" s="985"/>
      <c r="H296" s="985"/>
      <c r="I296" s="985"/>
      <c r="J296" s="995"/>
      <c r="K296" s="995"/>
      <c r="L296" s="995"/>
      <c r="M296" s="60"/>
      <c r="N296" s="985"/>
      <c r="O296" s="1769"/>
      <c r="P296" s="3"/>
      <c r="S296" s="2288"/>
      <c r="T296" s="2288"/>
      <c r="U296" s="2288"/>
      <c r="V296" s="2288"/>
      <c r="W296" s="2288"/>
      <c r="X296" s="2288"/>
      <c r="Y296" s="2288"/>
      <c r="Z296" s="2288"/>
      <c r="AA296" s="2288"/>
      <c r="AB296" s="2288"/>
      <c r="AC296" s="2288"/>
      <c r="AD296" s="2288"/>
      <c r="AE296" s="2288"/>
      <c r="AF296" s="2288"/>
      <c r="AG296" s="2288"/>
      <c r="AH296" s="2288"/>
      <c r="AI296" s="2288"/>
      <c r="AJ296" s="2288"/>
      <c r="AK296" s="2288"/>
      <c r="AL296" s="2288"/>
      <c r="AM296" s="2288"/>
      <c r="AN296" s="2288"/>
      <c r="AO296" s="2288"/>
      <c r="AP296" s="2288"/>
      <c r="AQ296" s="2288"/>
      <c r="AR296" s="2288"/>
    </row>
    <row r="297" spans="1:44" ht="14.1" customHeight="1">
      <c r="A297" s="1336" t="s">
        <v>3792</v>
      </c>
      <c r="B297" s="1336" t="s">
        <v>2591</v>
      </c>
      <c r="C297" s="151"/>
      <c r="D297" s="1334"/>
      <c r="E297" s="1331"/>
      <c r="F297" s="1331"/>
      <c r="G297" s="1331"/>
      <c r="H297" s="1331"/>
      <c r="I297" s="1331"/>
      <c r="J297" s="1331"/>
      <c r="K297" s="1331"/>
      <c r="L297" s="1331"/>
      <c r="M297" s="1331"/>
      <c r="O297" s="134" t="s">
        <v>1821</v>
      </c>
      <c r="P297" s="3666"/>
      <c r="Q297" s="3667"/>
      <c r="S297" s="2284"/>
      <c r="T297" s="2284"/>
      <c r="U297" s="2284"/>
      <c r="V297" s="2284"/>
      <c r="W297" s="2284"/>
      <c r="X297" s="2284"/>
      <c r="Y297" s="2284"/>
      <c r="Z297" s="2284"/>
      <c r="AA297" s="2284"/>
      <c r="AB297" s="2284"/>
      <c r="AC297" s="2284"/>
      <c r="AD297" s="2284"/>
      <c r="AE297" s="2285"/>
      <c r="AF297" s="2285"/>
      <c r="AG297" s="2284"/>
      <c r="AH297" s="2284"/>
      <c r="AI297" s="2284"/>
      <c r="AJ297" s="2284"/>
      <c r="AK297" s="2284"/>
      <c r="AL297" s="2284"/>
      <c r="AM297" s="2284"/>
      <c r="AN297" s="2284"/>
      <c r="AO297" s="2284"/>
      <c r="AP297" s="2284"/>
      <c r="AQ297" s="2284"/>
      <c r="AR297" s="2284"/>
    </row>
    <row r="298" spans="1:44" ht="12.75" customHeight="1">
      <c r="A298" s="141" t="s">
        <v>1936</v>
      </c>
      <c r="B298" s="198" t="s">
        <v>3807</v>
      </c>
      <c r="S298" s="2284"/>
      <c r="T298" s="2284"/>
      <c r="U298" s="2284"/>
      <c r="V298" s="2284"/>
      <c r="W298" s="2284"/>
      <c r="X298" s="2284"/>
      <c r="Y298" s="2284"/>
      <c r="Z298" s="2284"/>
      <c r="AA298" s="2284"/>
      <c r="AB298" s="2284"/>
      <c r="AC298" s="2284"/>
      <c r="AD298" s="2284"/>
      <c r="AE298" s="2285"/>
      <c r="AF298" s="2285"/>
      <c r="AG298" s="2284"/>
      <c r="AH298" s="2284"/>
      <c r="AI298" s="2284"/>
      <c r="AJ298" s="2284"/>
      <c r="AK298" s="2284"/>
      <c r="AL298" s="2284"/>
      <c r="AM298" s="2284"/>
      <c r="AN298" s="2284"/>
      <c r="AO298" s="2284"/>
      <c r="AP298" s="2284"/>
      <c r="AQ298" s="2284"/>
      <c r="AR298" s="2284"/>
    </row>
    <row r="299" spans="1:44" s="150" customFormat="1" ht="44.25" customHeight="1">
      <c r="A299" s="144"/>
      <c r="B299" s="1906" t="s">
        <v>1694</v>
      </c>
      <c r="C299" s="3615" t="s">
        <v>3683</v>
      </c>
      <c r="D299" s="3615"/>
      <c r="E299" s="3615"/>
      <c r="F299" s="3615"/>
      <c r="G299" s="3615"/>
      <c r="H299" s="3615"/>
      <c r="I299" s="3615"/>
      <c r="J299" s="3615"/>
      <c r="K299" s="3615"/>
      <c r="L299" s="3615"/>
      <c r="M299" s="3615"/>
      <c r="N299" s="3615"/>
      <c r="O299" s="165" t="s">
        <v>2643</v>
      </c>
      <c r="P299" s="1369" t="s">
        <v>2886</v>
      </c>
      <c r="Q299" s="1368"/>
      <c r="S299" s="2293"/>
      <c r="T299" s="2293"/>
      <c r="U299" s="2293"/>
      <c r="V299" s="2293"/>
      <c r="W299" s="2293"/>
      <c r="X299" s="2293"/>
      <c r="Y299" s="2293"/>
      <c r="Z299" s="2293"/>
      <c r="AA299" s="2293"/>
      <c r="AB299" s="2293"/>
      <c r="AC299" s="2293"/>
      <c r="AD299" s="2293"/>
      <c r="AE299" s="2294"/>
      <c r="AF299" s="2294"/>
      <c r="AG299" s="2293"/>
      <c r="AH299" s="2293"/>
      <c r="AI299" s="2293"/>
      <c r="AJ299" s="2293"/>
      <c r="AK299" s="2293"/>
      <c r="AL299" s="2293"/>
      <c r="AM299" s="2293"/>
      <c r="AN299" s="2293"/>
      <c r="AO299" s="2293"/>
      <c r="AP299" s="2293"/>
      <c r="AQ299" s="2293"/>
      <c r="AR299" s="2293"/>
    </row>
    <row r="300" spans="1:44" s="470" customFormat="1" ht="12" customHeight="1">
      <c r="A300" s="144"/>
      <c r="B300" s="1906" t="s">
        <v>1695</v>
      </c>
      <c r="C300" s="3615" t="s">
        <v>4753</v>
      </c>
      <c r="D300" s="3615"/>
      <c r="E300" s="3615"/>
      <c r="F300" s="3615"/>
      <c r="G300" s="3615"/>
      <c r="H300" s="3615"/>
      <c r="I300" s="3615"/>
      <c r="J300" s="3615"/>
      <c r="K300" s="3615"/>
      <c r="L300" s="3615"/>
      <c r="M300" s="3615"/>
      <c r="N300" s="3615"/>
      <c r="O300" s="152" t="s">
        <v>1695</v>
      </c>
      <c r="P300" s="618" t="s">
        <v>2886</v>
      </c>
      <c r="Q300" s="606"/>
      <c r="S300" s="2295"/>
      <c r="T300" s="2295"/>
      <c r="U300" s="2295"/>
      <c r="V300" s="2295"/>
      <c r="W300" s="2295"/>
      <c r="X300" s="2295"/>
      <c r="Y300" s="2295"/>
      <c r="Z300" s="2295"/>
      <c r="AA300" s="2295"/>
      <c r="AB300" s="2295"/>
      <c r="AC300" s="2295"/>
      <c r="AD300" s="2295"/>
      <c r="AE300" s="2296"/>
      <c r="AF300" s="2296"/>
      <c r="AG300" s="2295"/>
      <c r="AH300" s="2295"/>
      <c r="AI300" s="2295"/>
      <c r="AJ300" s="2295"/>
      <c r="AK300" s="2295"/>
      <c r="AL300" s="2295"/>
      <c r="AM300" s="2295"/>
      <c r="AN300" s="2295"/>
      <c r="AO300" s="2295"/>
      <c r="AP300" s="2295"/>
      <c r="AQ300" s="2295"/>
      <c r="AR300" s="2295"/>
    </row>
    <row r="301" spans="1:44" s="470" customFormat="1" ht="21.75" customHeight="1">
      <c r="A301" s="144"/>
      <c r="B301" s="531" t="s">
        <v>1696</v>
      </c>
      <c r="C301" s="3615" t="s">
        <v>3682</v>
      </c>
      <c r="D301" s="3615"/>
      <c r="E301" s="3615"/>
      <c r="F301" s="3615"/>
      <c r="G301" s="3615"/>
      <c r="H301" s="3615"/>
      <c r="I301" s="3615"/>
      <c r="J301" s="3615"/>
      <c r="K301" s="3615"/>
      <c r="L301" s="3615"/>
      <c r="M301" s="3615"/>
      <c r="N301" s="3615"/>
      <c r="O301" s="165" t="s">
        <v>1696</v>
      </c>
      <c r="P301" s="1393"/>
      <c r="Q301" s="1394"/>
      <c r="S301" s="2295"/>
      <c r="T301" s="2295"/>
      <c r="U301" s="2295"/>
      <c r="V301" s="2295"/>
      <c r="W301" s="2295"/>
      <c r="X301" s="2295"/>
      <c r="Y301" s="2295"/>
      <c r="Z301" s="2295"/>
      <c r="AA301" s="2295"/>
      <c r="AB301" s="2295"/>
      <c r="AC301" s="2295"/>
      <c r="AD301" s="2295"/>
      <c r="AE301" s="2296"/>
      <c r="AF301" s="2296"/>
      <c r="AG301" s="2295"/>
      <c r="AH301" s="2295"/>
      <c r="AI301" s="2295"/>
      <c r="AJ301" s="2295"/>
      <c r="AK301" s="2295"/>
      <c r="AL301" s="2295"/>
      <c r="AM301" s="2295"/>
      <c r="AN301" s="2295"/>
      <c r="AO301" s="2295"/>
      <c r="AP301" s="2295"/>
      <c r="AQ301" s="2295"/>
      <c r="AR301" s="2295"/>
    </row>
    <row r="302" spans="1:44" s="95" customFormat="1" ht="12.75" customHeight="1">
      <c r="A302" s="141" t="s">
        <v>1938</v>
      </c>
      <c r="B302" s="198" t="s">
        <v>3658</v>
      </c>
      <c r="D302" s="1339"/>
      <c r="E302" s="1339"/>
      <c r="F302" s="1339"/>
      <c r="G302" s="1339"/>
      <c r="H302" s="1339"/>
      <c r="I302" s="1339"/>
      <c r="J302" s="1339"/>
      <c r="K302" s="1339"/>
      <c r="L302" s="1339"/>
      <c r="M302" s="1339"/>
      <c r="N302" s="1339"/>
      <c r="O302" s="518"/>
      <c r="P302" s="518"/>
      <c r="Q302" s="518"/>
      <c r="S302" s="2298"/>
      <c r="T302" s="2298"/>
      <c r="U302" s="2298"/>
      <c r="V302" s="2298"/>
      <c r="W302" s="2298"/>
      <c r="X302" s="2298"/>
      <c r="Y302" s="2298"/>
      <c r="Z302" s="2298"/>
      <c r="AA302" s="2298"/>
      <c r="AB302" s="2298"/>
      <c r="AC302" s="2298"/>
      <c r="AD302" s="2298"/>
      <c r="AE302" s="2299"/>
      <c r="AF302" s="2298"/>
      <c r="AG302" s="2298"/>
      <c r="AH302" s="2298"/>
      <c r="AI302" s="2298"/>
      <c r="AJ302" s="2298"/>
      <c r="AK302" s="2298"/>
      <c r="AL302" s="2298"/>
      <c r="AM302" s="2298"/>
      <c r="AN302" s="2298"/>
      <c r="AO302" s="2298"/>
      <c r="AP302" s="2298"/>
      <c r="AQ302" s="2298"/>
      <c r="AR302" s="2298"/>
    </row>
    <row r="303" spans="1:44" s="95" customFormat="1" ht="11.25" customHeight="1">
      <c r="A303" s="194"/>
      <c r="B303" s="1906" t="s">
        <v>1694</v>
      </c>
      <c r="C303" s="3615" t="s">
        <v>3568</v>
      </c>
      <c r="D303" s="3615"/>
      <c r="E303" s="3615"/>
      <c r="F303" s="3615"/>
      <c r="G303" s="3615"/>
      <c r="H303" s="3615"/>
      <c r="I303" s="142"/>
      <c r="J303" s="3680" t="s">
        <v>3607</v>
      </c>
      <c r="K303" s="3681"/>
      <c r="L303" s="3681"/>
      <c r="M303" s="3686" t="s">
        <v>3579</v>
      </c>
      <c r="N303" s="3686"/>
      <c r="S303" s="2298"/>
      <c r="T303" s="2298"/>
      <c r="U303" s="2298"/>
      <c r="V303" s="2298"/>
      <c r="W303" s="2298"/>
      <c r="X303" s="2298"/>
      <c r="Y303" s="2298"/>
      <c r="Z303" s="2298"/>
      <c r="AA303" s="2298"/>
      <c r="AB303" s="2298"/>
      <c r="AC303" s="2298"/>
      <c r="AD303" s="2298"/>
      <c r="AE303" s="2299"/>
      <c r="AF303" s="2299"/>
      <c r="AG303" s="2298"/>
      <c r="AH303" s="2298"/>
      <c r="AI303" s="2298"/>
      <c r="AJ303" s="2298"/>
      <c r="AK303" s="2298"/>
      <c r="AL303" s="2298"/>
      <c r="AM303" s="2298"/>
      <c r="AN303" s="2298"/>
      <c r="AO303" s="2298"/>
      <c r="AP303" s="2298"/>
      <c r="AQ303" s="2298"/>
      <c r="AR303" s="2298"/>
    </row>
    <row r="304" spans="1:44" s="323" customFormat="1" ht="10.5" customHeight="1">
      <c r="A304" s="336"/>
      <c r="B304" s="1888"/>
      <c r="C304" s="3615"/>
      <c r="D304" s="3615"/>
      <c r="E304" s="3615"/>
      <c r="F304" s="3615"/>
      <c r="G304" s="3615"/>
      <c r="H304" s="3615"/>
      <c r="I304" s="1328"/>
      <c r="J304" s="3681"/>
      <c r="K304" s="3681"/>
      <c r="L304" s="3681"/>
      <c r="M304" s="36" t="s">
        <v>3580</v>
      </c>
      <c r="N304" s="1337" t="s">
        <v>3606</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88"/>
      <c r="C305" s="3615"/>
      <c r="D305" s="3615"/>
      <c r="E305" s="3615"/>
      <c r="F305" s="3615"/>
      <c r="G305" s="3615"/>
      <c r="H305" s="3615"/>
      <c r="I305" s="52" t="s">
        <v>3808</v>
      </c>
      <c r="K305" s="1138">
        <v>10</v>
      </c>
      <c r="L305" s="1140" t="str">
        <f>IF(K305&lt;M305,"Check!!!","")</f>
        <v/>
      </c>
      <c r="M305" s="1141">
        <f>ROUNDUP('Part VI-Revenues &amp; Expenses'!$P$67*'Part VIII-Threshold Criteria'!N305,0)</f>
        <v>10</v>
      </c>
      <c r="N305" s="1860">
        <f>'DCA Underwriting Assumptions'!$Q$154</f>
        <v>0.05</v>
      </c>
      <c r="O305" s="518" t="s">
        <v>3474</v>
      </c>
      <c r="P305" s="236" t="s">
        <v>2886</v>
      </c>
      <c r="Q305" s="603"/>
      <c r="S305" s="371"/>
      <c r="T305" s="371"/>
      <c r="U305" s="371"/>
      <c r="V305" s="2300"/>
      <c r="W305" s="371"/>
      <c r="X305" s="2300"/>
      <c r="Y305" s="371"/>
      <c r="Z305" s="2301" t="str">
        <f>IF(AA305="","",IF(AA305&lt;AC305,"Check!!!",""))</f>
        <v/>
      </c>
      <c r="AA305" s="2301" t="str">
        <f t="shared" ref="AA305:AG305" si="0">IF(AB305="","",IF(AB305&lt;AD305,"Check!!!",""))</f>
        <v/>
      </c>
      <c r="AB305" s="2301" t="str">
        <f t="shared" si="0"/>
        <v/>
      </c>
      <c r="AC305" s="2301" t="str">
        <f t="shared" si="0"/>
        <v/>
      </c>
      <c r="AD305" s="2301" t="str">
        <f t="shared" si="0"/>
        <v/>
      </c>
      <c r="AE305" s="2301" t="str">
        <f t="shared" si="0"/>
        <v/>
      </c>
      <c r="AF305" s="2301" t="str">
        <f t="shared" si="0"/>
        <v/>
      </c>
      <c r="AG305" s="2301" t="str">
        <f t="shared" si="0"/>
        <v/>
      </c>
      <c r="AH305" s="371"/>
      <c r="AI305" s="371"/>
      <c r="AJ305" s="371"/>
      <c r="AK305" s="371"/>
      <c r="AL305" s="371"/>
      <c r="AM305" s="371"/>
      <c r="AN305" s="371"/>
      <c r="AO305" s="371"/>
      <c r="AP305" s="371"/>
      <c r="AQ305" s="371"/>
      <c r="AR305" s="371"/>
    </row>
    <row r="306" spans="1:44" s="95" customFormat="1" ht="12.75" customHeight="1">
      <c r="A306" s="144"/>
      <c r="B306" s="1906"/>
      <c r="C306" s="3615" t="s">
        <v>3569</v>
      </c>
      <c r="D306" s="3615"/>
      <c r="E306" s="3615"/>
      <c r="F306" s="3615"/>
      <c r="G306" s="3615"/>
      <c r="H306" s="3615"/>
      <c r="I306" s="982" t="s">
        <v>3809</v>
      </c>
      <c r="J306" s="323"/>
      <c r="K306" s="1138">
        <v>4</v>
      </c>
      <c r="L306" s="1140" t="str">
        <f>IF(K306&lt;M306,"Check!!!","")</f>
        <v/>
      </c>
      <c r="M306" s="1141">
        <f>ROUNDUP(K305*'Part VIII-Threshold Criteria'!N306,0)</f>
        <v>4</v>
      </c>
      <c r="N306" s="1860">
        <f>'DCA Underwriting Assumptions'!$Q$155</f>
        <v>0.4</v>
      </c>
      <c r="O306" s="518" t="s">
        <v>2067</v>
      </c>
      <c r="P306" s="3683" t="s">
        <v>2886</v>
      </c>
      <c r="Q306" s="3682"/>
      <c r="S306" s="2298"/>
      <c r="T306" s="2302"/>
      <c r="U306" s="2302"/>
      <c r="V306" s="2302"/>
      <c r="W306" s="2302"/>
      <c r="X306" s="2302"/>
      <c r="Y306" s="2302"/>
      <c r="Z306" s="2302"/>
      <c r="AA306" s="2302"/>
      <c r="AB306" s="2302"/>
      <c r="AC306" s="2302"/>
      <c r="AD306" s="2302"/>
      <c r="AE306" s="2302"/>
      <c r="AF306" s="2302"/>
      <c r="AG306" s="2302"/>
      <c r="AH306" s="2298"/>
      <c r="AI306" s="2298"/>
      <c r="AJ306" s="2298"/>
      <c r="AK306" s="2298"/>
      <c r="AL306" s="2298"/>
      <c r="AM306" s="2298"/>
      <c r="AN306" s="2298"/>
      <c r="AO306" s="2298"/>
      <c r="AP306" s="2298"/>
      <c r="AQ306" s="2298"/>
      <c r="AR306" s="2298"/>
    </row>
    <row r="307" spans="1:44" s="323" customFormat="1" ht="10.5" customHeight="1">
      <c r="A307" s="336"/>
      <c r="B307" s="1888"/>
      <c r="C307" s="3615"/>
      <c r="D307" s="3615"/>
      <c r="E307" s="3615"/>
      <c r="F307" s="3615"/>
      <c r="G307" s="3615"/>
      <c r="H307" s="3615"/>
      <c r="O307" s="40"/>
      <c r="P307" s="3683"/>
      <c r="Q307" s="3682"/>
      <c r="S307" s="371"/>
      <c r="T307" s="371"/>
      <c r="U307" s="371"/>
      <c r="V307" s="2300"/>
      <c r="W307" s="2303"/>
      <c r="X307" s="2300"/>
      <c r="Y307" s="371"/>
      <c r="Z307" s="2301" t="str">
        <f>IF(AA307="","",IF(AA307&lt;AC307,"Check!!!",""))</f>
        <v/>
      </c>
      <c r="AA307" s="2301" t="str">
        <f t="shared" ref="AA307:AG307" si="1">IF(AB307="","",IF(AB307&lt;AD307,"Check!!!",""))</f>
        <v/>
      </c>
      <c r="AB307" s="2301" t="str">
        <f t="shared" si="1"/>
        <v/>
      </c>
      <c r="AC307" s="2301" t="str">
        <f t="shared" si="1"/>
        <v/>
      </c>
      <c r="AD307" s="2301" t="str">
        <f t="shared" si="1"/>
        <v/>
      </c>
      <c r="AE307" s="2301" t="str">
        <f t="shared" si="1"/>
        <v/>
      </c>
      <c r="AF307" s="2301" t="str">
        <f t="shared" si="1"/>
        <v/>
      </c>
      <c r="AG307" s="2301" t="str">
        <f t="shared" si="1"/>
        <v/>
      </c>
      <c r="AH307" s="371"/>
      <c r="AI307" s="371"/>
      <c r="AJ307" s="371"/>
      <c r="AK307" s="371"/>
      <c r="AL307" s="371"/>
      <c r="AM307" s="371"/>
      <c r="AN307" s="371"/>
      <c r="AO307" s="371"/>
      <c r="AP307" s="371"/>
      <c r="AQ307" s="371"/>
      <c r="AR307" s="371"/>
    </row>
    <row r="308" spans="1:44" s="95" customFormat="1" ht="12.75" customHeight="1">
      <c r="A308" s="144"/>
      <c r="B308" s="1906" t="s">
        <v>1695</v>
      </c>
      <c r="C308" s="3615" t="s">
        <v>3570</v>
      </c>
      <c r="D308" s="3615"/>
      <c r="E308" s="3615"/>
      <c r="F308" s="3615"/>
      <c r="G308" s="3615"/>
      <c r="H308" s="3615"/>
      <c r="I308" s="52" t="s">
        <v>3810</v>
      </c>
      <c r="J308" s="323"/>
      <c r="K308" s="1138">
        <v>4</v>
      </c>
      <c r="L308" s="1140" t="str">
        <f>IF(K308&lt;M308,"Check!!!","")</f>
        <v/>
      </c>
      <c r="M308" s="1141">
        <f>ROUNDUP('Part VI-Revenues &amp; Expenses'!$P$67*'Part VIII-Threshold Criteria'!N308,0)</f>
        <v>4</v>
      </c>
      <c r="N308" s="1860">
        <f>'DCA Underwriting Assumptions'!$Q$156</f>
        <v>0.02</v>
      </c>
      <c r="O308" s="518" t="s">
        <v>1695</v>
      </c>
      <c r="P308" s="237" t="s">
        <v>2886</v>
      </c>
      <c r="Q308" s="605"/>
      <c r="S308" s="2298"/>
      <c r="T308" s="2302"/>
      <c r="U308" s="2302"/>
      <c r="V308" s="2302"/>
      <c r="W308" s="2302"/>
      <c r="X308" s="2302"/>
      <c r="Y308" s="2302"/>
      <c r="Z308" s="2302"/>
      <c r="AA308" s="2302"/>
      <c r="AB308" s="2302"/>
      <c r="AC308" s="2302"/>
      <c r="AD308" s="2302"/>
      <c r="AE308" s="2302"/>
      <c r="AF308" s="2302"/>
      <c r="AG308" s="2302"/>
      <c r="AH308" s="2298"/>
      <c r="AI308" s="2298"/>
      <c r="AJ308" s="2298"/>
      <c r="AK308" s="2298"/>
      <c r="AL308" s="2298"/>
      <c r="AM308" s="2298"/>
      <c r="AN308" s="2298"/>
      <c r="AO308" s="2298"/>
      <c r="AP308" s="2298"/>
      <c r="AQ308" s="2298"/>
      <c r="AR308" s="2298"/>
    </row>
    <row r="309" spans="1:44" s="323" customFormat="1" ht="3" customHeight="1">
      <c r="A309" s="336"/>
      <c r="C309" s="3615"/>
      <c r="D309" s="3615"/>
      <c r="E309" s="3615"/>
      <c r="F309" s="3615"/>
      <c r="G309" s="3615"/>
      <c r="H309" s="3615"/>
      <c r="J309" s="36"/>
      <c r="K309" s="36"/>
      <c r="L309" s="995"/>
      <c r="M309" s="1338"/>
      <c r="O309" s="36"/>
      <c r="P309" s="1337"/>
      <c r="Q309" s="36"/>
      <c r="S309" s="371"/>
      <c r="T309" s="2300"/>
      <c r="U309" s="2303"/>
      <c r="V309" s="2300"/>
      <c r="W309" s="2303"/>
      <c r="X309" s="2300"/>
      <c r="Y309" s="2300"/>
      <c r="Z309" s="2300"/>
      <c r="AA309" s="2300"/>
      <c r="AB309" s="2300"/>
      <c r="AC309" s="2300"/>
      <c r="AD309" s="2300"/>
      <c r="AE309" s="2300"/>
      <c r="AF309" s="2300"/>
      <c r="AG309" s="2300"/>
      <c r="AH309" s="371"/>
      <c r="AI309" s="371"/>
      <c r="AJ309" s="371"/>
      <c r="AK309" s="371"/>
      <c r="AL309" s="371"/>
      <c r="AM309" s="371"/>
      <c r="AN309" s="371"/>
      <c r="AO309" s="371"/>
      <c r="AP309" s="371"/>
      <c r="AQ309" s="371"/>
      <c r="AR309" s="371"/>
    </row>
    <row r="310" spans="1:44" s="323" customFormat="1" ht="10.5" customHeight="1">
      <c r="A310" s="336"/>
      <c r="C310" s="3615"/>
      <c r="D310" s="3615"/>
      <c r="E310" s="3615"/>
      <c r="F310" s="3615"/>
      <c r="G310" s="3615"/>
      <c r="H310" s="3615"/>
      <c r="O310" s="40"/>
      <c r="P310" s="518"/>
      <c r="S310" s="371"/>
      <c r="T310" s="371"/>
      <c r="U310" s="371"/>
      <c r="V310" s="2300"/>
      <c r="W310" s="2303"/>
      <c r="X310" s="2300"/>
      <c r="Y310" s="371"/>
      <c r="Z310" s="2301" t="str">
        <f>IF(AA310="","",IF(AA310&lt;AC310,"Check!!!",""))</f>
        <v/>
      </c>
      <c r="AA310" s="2301" t="str">
        <f t="shared" ref="AA310:AG310" si="2">IF(AB310="","",IF(AB310&lt;AD310,"Check!!!",""))</f>
        <v/>
      </c>
      <c r="AB310" s="2301" t="str">
        <f t="shared" si="2"/>
        <v/>
      </c>
      <c r="AC310" s="2301" t="str">
        <f t="shared" si="2"/>
        <v/>
      </c>
      <c r="AD310" s="2301" t="str">
        <f t="shared" si="2"/>
        <v/>
      </c>
      <c r="AE310" s="2301" t="str">
        <f t="shared" si="2"/>
        <v/>
      </c>
      <c r="AF310" s="2301" t="str">
        <f t="shared" si="2"/>
        <v/>
      </c>
      <c r="AG310" s="2301"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3659</v>
      </c>
      <c r="D311" s="1331"/>
      <c r="E311" s="1331"/>
      <c r="F311" s="1331"/>
      <c r="G311" s="1331"/>
      <c r="H311" s="1331"/>
      <c r="O311" s="40"/>
      <c r="P311" s="518"/>
      <c r="S311" s="371"/>
      <c r="T311" s="371"/>
      <c r="U311" s="371"/>
      <c r="V311" s="2300"/>
      <c r="W311" s="2303"/>
      <c r="X311" s="2300"/>
      <c r="Y311" s="371"/>
      <c r="Z311" s="2301"/>
      <c r="AA311" s="2301"/>
      <c r="AB311" s="2301"/>
      <c r="AC311" s="2301"/>
      <c r="AD311" s="2301"/>
      <c r="AE311" s="2301"/>
      <c r="AF311" s="2301"/>
      <c r="AG311" s="2301"/>
      <c r="AH311" s="371"/>
      <c r="AI311" s="371"/>
      <c r="AJ311" s="371"/>
      <c r="AK311" s="371"/>
      <c r="AL311" s="371"/>
      <c r="AM311" s="371"/>
      <c r="AN311" s="371"/>
      <c r="AO311" s="371"/>
      <c r="AP311" s="371"/>
      <c r="AQ311" s="371"/>
      <c r="AR311" s="371"/>
    </row>
    <row r="312" spans="1:44" s="95" customFormat="1" ht="21.75" customHeight="1">
      <c r="B312" s="3711" t="s">
        <v>3476</v>
      </c>
      <c r="C312" s="3711"/>
      <c r="D312" s="3711"/>
      <c r="E312" s="3711"/>
      <c r="F312" s="3711"/>
      <c r="G312" s="3711"/>
      <c r="H312" s="3711"/>
      <c r="I312" s="3711"/>
      <c r="J312" s="3711"/>
      <c r="K312" s="3711"/>
      <c r="L312" s="3711"/>
      <c r="M312" s="3711"/>
      <c r="N312" s="3711"/>
      <c r="O312" s="165" t="s">
        <v>731</v>
      </c>
      <c r="P312" s="1371" t="s">
        <v>2886</v>
      </c>
      <c r="Q312" s="1372"/>
      <c r="S312" s="2298"/>
      <c r="T312" s="2298"/>
      <c r="U312" s="2298"/>
      <c r="V312" s="2298"/>
      <c r="W312" s="2298"/>
      <c r="X312" s="2298"/>
      <c r="Y312" s="2298"/>
      <c r="Z312" s="2298"/>
      <c r="AA312" s="2298"/>
      <c r="AB312" s="2298"/>
      <c r="AC312" s="2298"/>
      <c r="AD312" s="2298"/>
      <c r="AE312" s="2299"/>
      <c r="AF312" s="2299"/>
      <c r="AG312" s="2298"/>
      <c r="AH312" s="2298"/>
      <c r="AI312" s="2298"/>
      <c r="AJ312" s="2298"/>
      <c r="AK312" s="2298"/>
      <c r="AL312" s="2298"/>
      <c r="AM312" s="2298"/>
      <c r="AN312" s="2298"/>
      <c r="AO312" s="2298"/>
      <c r="AP312" s="2298"/>
      <c r="AQ312" s="2298"/>
      <c r="AR312" s="2298"/>
    </row>
    <row r="313" spans="1:44" s="95" customFormat="1" ht="11.25" customHeight="1">
      <c r="B313" s="447" t="s">
        <v>3477</v>
      </c>
      <c r="D313" s="447"/>
      <c r="E313" s="447"/>
      <c r="F313" s="447"/>
      <c r="G313" s="447"/>
      <c r="H313" s="447"/>
      <c r="I313" s="447" t="s">
        <v>3578</v>
      </c>
      <c r="J313" s="447"/>
      <c r="K313" s="447"/>
      <c r="L313" s="3692" t="s">
        <v>7154</v>
      </c>
      <c r="M313" s="3693"/>
      <c r="N313" s="3693"/>
      <c r="O313" s="3694"/>
      <c r="P313" s="447"/>
      <c r="Q313" s="447"/>
      <c r="R313" s="447"/>
      <c r="S313" s="2298"/>
      <c r="T313" s="2298"/>
      <c r="U313" s="2298"/>
      <c r="V313" s="2298"/>
      <c r="W313" s="2298"/>
      <c r="X313" s="2298"/>
      <c r="Y313" s="2298"/>
      <c r="Z313" s="2298"/>
      <c r="AA313" s="2298"/>
      <c r="AB313" s="2298"/>
      <c r="AC313" s="2298"/>
      <c r="AD313" s="2298"/>
      <c r="AE313" s="2299"/>
      <c r="AF313" s="2299"/>
      <c r="AG313" s="2298"/>
      <c r="AH313" s="2298"/>
      <c r="AI313" s="2298"/>
      <c r="AJ313" s="2298"/>
      <c r="AK313" s="2298"/>
      <c r="AL313" s="2298"/>
      <c r="AM313" s="2298"/>
      <c r="AN313" s="2298"/>
      <c r="AO313" s="2298"/>
      <c r="AP313" s="2298"/>
      <c r="AQ313" s="2298"/>
      <c r="AR313" s="2298"/>
    </row>
    <row r="314" spans="1:44" s="470" customFormat="1" ht="44.25" customHeight="1">
      <c r="B314" s="1906" t="s">
        <v>1694</v>
      </c>
      <c r="C314" s="3615" t="s">
        <v>3475</v>
      </c>
      <c r="D314" s="3615"/>
      <c r="E314" s="3615"/>
      <c r="F314" s="3615"/>
      <c r="G314" s="3615"/>
      <c r="H314" s="3615"/>
      <c r="I314" s="3615"/>
      <c r="J314" s="3615"/>
      <c r="K314" s="3615"/>
      <c r="L314" s="3615"/>
      <c r="M314" s="3615"/>
      <c r="N314" s="3615"/>
      <c r="O314" s="165" t="s">
        <v>3480</v>
      </c>
      <c r="P314" s="1341" t="s">
        <v>2886</v>
      </c>
      <c r="Q314" s="1340"/>
      <c r="S314" s="2295"/>
      <c r="T314" s="2295"/>
      <c r="U314" s="2295"/>
      <c r="V314" s="2295"/>
      <c r="W314" s="2295"/>
      <c r="X314" s="2295"/>
      <c r="Y314" s="2295"/>
      <c r="Z314" s="2295"/>
      <c r="AA314" s="2295"/>
      <c r="AB314" s="2295"/>
      <c r="AC314" s="2295"/>
      <c r="AD314" s="2295"/>
      <c r="AE314" s="2296"/>
      <c r="AF314" s="2296"/>
      <c r="AG314" s="2295"/>
      <c r="AH314" s="2295"/>
      <c r="AI314" s="2295"/>
      <c r="AJ314" s="2295"/>
      <c r="AK314" s="2295"/>
      <c r="AL314" s="2295"/>
      <c r="AM314" s="2295"/>
      <c r="AN314" s="2295"/>
      <c r="AO314" s="2295"/>
      <c r="AP314" s="2295"/>
      <c r="AQ314" s="2295"/>
      <c r="AR314" s="2295"/>
    </row>
    <row r="315" spans="1:44" s="470" customFormat="1" ht="34.5" customHeight="1">
      <c r="B315" s="1906" t="s">
        <v>1695</v>
      </c>
      <c r="C315" s="3615" t="s">
        <v>4362</v>
      </c>
      <c r="D315" s="3615"/>
      <c r="E315" s="3615"/>
      <c r="F315" s="3615"/>
      <c r="G315" s="3615"/>
      <c r="H315" s="3615"/>
      <c r="I315" s="3615"/>
      <c r="J315" s="3615"/>
      <c r="K315" s="3615"/>
      <c r="L315" s="3615"/>
      <c r="M315" s="3615"/>
      <c r="N315" s="3615"/>
      <c r="O315" s="165" t="s">
        <v>3481</v>
      </c>
      <c r="P315" s="618" t="s">
        <v>2886</v>
      </c>
      <c r="Q315" s="606"/>
      <c r="S315" s="2295"/>
      <c r="T315" s="2295"/>
      <c r="U315" s="2295"/>
      <c r="V315" s="2295"/>
      <c r="W315" s="2295"/>
      <c r="X315" s="2295"/>
      <c r="Y315" s="2295"/>
      <c r="Z315" s="2295"/>
      <c r="AA315" s="2295"/>
      <c r="AB315" s="2295"/>
      <c r="AC315" s="2295"/>
      <c r="AD315" s="2295"/>
      <c r="AE315" s="2296"/>
      <c r="AF315" s="2296"/>
      <c r="AG315" s="2295"/>
      <c r="AH315" s="2295"/>
      <c r="AI315" s="2295"/>
      <c r="AJ315" s="2295"/>
      <c r="AK315" s="2295"/>
      <c r="AL315" s="2295"/>
      <c r="AM315" s="2295"/>
      <c r="AN315" s="2295"/>
      <c r="AO315" s="2295"/>
      <c r="AP315" s="2295"/>
      <c r="AQ315" s="2295"/>
      <c r="AR315" s="2295"/>
    </row>
    <row r="316" spans="1:44" s="470" customFormat="1" ht="22.5" customHeight="1">
      <c r="B316" s="531" t="s">
        <v>1696</v>
      </c>
      <c r="C316" s="3615" t="s">
        <v>3478</v>
      </c>
      <c r="D316" s="3615"/>
      <c r="E316" s="3615"/>
      <c r="F316" s="3615"/>
      <c r="G316" s="3615"/>
      <c r="H316" s="3615"/>
      <c r="I316" s="3615"/>
      <c r="J316" s="3615"/>
      <c r="K316" s="3615"/>
      <c r="L316" s="3615"/>
      <c r="M316" s="3615"/>
      <c r="N316" s="3615"/>
      <c r="O316" s="165" t="s">
        <v>3482</v>
      </c>
      <c r="P316" s="618" t="s">
        <v>2886</v>
      </c>
      <c r="Q316" s="606"/>
      <c r="S316" s="2295"/>
      <c r="T316" s="2295"/>
      <c r="U316" s="2295"/>
      <c r="V316" s="2295"/>
      <c r="W316" s="2295"/>
      <c r="X316" s="2295"/>
      <c r="Y316" s="2295"/>
      <c r="Z316" s="2295"/>
      <c r="AA316" s="2295"/>
      <c r="AB316" s="2295"/>
      <c r="AC316" s="2295"/>
      <c r="AD316" s="2295"/>
      <c r="AE316" s="2296"/>
      <c r="AF316" s="2296"/>
      <c r="AG316" s="2295"/>
      <c r="AH316" s="2295"/>
      <c r="AI316" s="2295"/>
      <c r="AJ316" s="2295"/>
      <c r="AK316" s="2295"/>
      <c r="AL316" s="2295"/>
      <c r="AM316" s="2295"/>
      <c r="AN316" s="2295"/>
      <c r="AO316" s="2295"/>
      <c r="AP316" s="2295"/>
      <c r="AQ316" s="2295"/>
      <c r="AR316" s="2295"/>
    </row>
    <row r="317" spans="1:44" s="470" customFormat="1" ht="32.25" customHeight="1">
      <c r="B317" s="531" t="s">
        <v>2305</v>
      </c>
      <c r="C317" s="3615" t="s">
        <v>3479</v>
      </c>
      <c r="D317" s="3615"/>
      <c r="E317" s="3615"/>
      <c r="F317" s="3615"/>
      <c r="G317" s="3615"/>
      <c r="H317" s="3615"/>
      <c r="I317" s="3615"/>
      <c r="J317" s="3615"/>
      <c r="K317" s="3615"/>
      <c r="L317" s="3615"/>
      <c r="M317" s="3615"/>
      <c r="N317" s="3615"/>
      <c r="O317" s="165" t="s">
        <v>3483</v>
      </c>
      <c r="P317" s="1343" t="s">
        <v>2886</v>
      </c>
      <c r="Q317" s="1342"/>
      <c r="S317" s="2295"/>
      <c r="T317" s="2295"/>
      <c r="U317" s="2295"/>
      <c r="V317" s="2295"/>
      <c r="W317" s="2295"/>
      <c r="X317" s="2295"/>
      <c r="Y317" s="2295"/>
      <c r="Z317" s="2295"/>
      <c r="AA317" s="2295"/>
      <c r="AB317" s="2295"/>
      <c r="AC317" s="2295"/>
      <c r="AD317" s="2295"/>
      <c r="AE317" s="2296"/>
      <c r="AF317" s="2296"/>
      <c r="AG317" s="2295"/>
      <c r="AH317" s="2295"/>
      <c r="AI317" s="2295"/>
      <c r="AJ317" s="2295"/>
      <c r="AK317" s="2295"/>
      <c r="AL317" s="2295"/>
      <c r="AM317" s="2295"/>
      <c r="AN317" s="2295"/>
      <c r="AO317" s="2295"/>
      <c r="AP317" s="2295"/>
      <c r="AQ317" s="2295"/>
      <c r="AR317" s="2295"/>
    </row>
    <row r="318" spans="1:44" ht="11.25" customHeight="1">
      <c r="B318" s="143" t="s">
        <v>3571</v>
      </c>
      <c r="D318" s="143"/>
      <c r="E318" s="143"/>
      <c r="F318" s="143"/>
      <c r="G318" s="143"/>
      <c r="H318" s="40"/>
      <c r="I318" s="1337"/>
      <c r="J318" s="1337"/>
      <c r="K318" s="1337"/>
      <c r="L318" s="1330"/>
      <c r="M318" s="1330"/>
      <c r="N318" s="1330"/>
      <c r="O318" s="1330"/>
      <c r="P318" s="1330"/>
      <c r="Q318" s="994"/>
      <c r="S318" s="2284"/>
      <c r="T318" s="2284"/>
      <c r="U318" s="2284"/>
      <c r="V318" s="2284"/>
      <c r="W318" s="2284"/>
      <c r="X318" s="2284"/>
      <c r="Y318" s="2284"/>
      <c r="Z318" s="2284"/>
      <c r="AA318" s="2284"/>
      <c r="AB318" s="2284"/>
      <c r="AC318" s="2284"/>
      <c r="AD318" s="2284"/>
      <c r="AE318" s="2285"/>
      <c r="AF318" s="2285"/>
      <c r="AG318" s="2284"/>
      <c r="AH318" s="2284"/>
      <c r="AI318" s="2284"/>
      <c r="AJ318" s="2284"/>
      <c r="AK318" s="2284"/>
      <c r="AL318" s="2284"/>
      <c r="AM318" s="2284"/>
      <c r="AN318" s="2284"/>
      <c r="AO318" s="2284"/>
      <c r="AP318" s="2284"/>
      <c r="AQ318" s="2284"/>
      <c r="AR318" s="2284"/>
    </row>
    <row r="319" spans="1:44" ht="32.25" customHeight="1">
      <c r="A319" s="3660" t="s">
        <v>7155</v>
      </c>
      <c r="B319" s="3661"/>
      <c r="C319" s="3661"/>
      <c r="D319" s="3661"/>
      <c r="E319" s="3661"/>
      <c r="F319" s="3661"/>
      <c r="G319" s="3661"/>
      <c r="H319" s="3661"/>
      <c r="I319" s="3661"/>
      <c r="J319" s="3661"/>
      <c r="K319" s="3661"/>
      <c r="L319" s="3661"/>
      <c r="M319" s="3661"/>
      <c r="N319" s="3661"/>
      <c r="O319" s="3661"/>
      <c r="P319" s="3661"/>
      <c r="Q319" s="3662"/>
      <c r="R319" s="503" t="s">
        <v>1228</v>
      </c>
      <c r="S319" s="2290"/>
      <c r="T319" s="2284"/>
      <c r="U319" s="2291"/>
      <c r="V319" s="2291"/>
      <c r="W319" s="2291"/>
      <c r="X319" s="2291"/>
      <c r="Y319" s="2291"/>
      <c r="Z319" s="2291"/>
      <c r="AA319" s="2291"/>
      <c r="AB319" s="2291"/>
      <c r="AC319" s="2291"/>
      <c r="AD319" s="2291"/>
      <c r="AE319" s="2292"/>
      <c r="AF319" s="2285"/>
      <c r="AG319" s="2284"/>
      <c r="AH319" s="2284"/>
      <c r="AI319" s="2284"/>
      <c r="AJ319" s="2284"/>
      <c r="AK319" s="2284"/>
      <c r="AL319" s="2284"/>
      <c r="AM319" s="2284"/>
      <c r="AN319" s="2284"/>
      <c r="AO319" s="2284"/>
      <c r="AP319" s="2284"/>
      <c r="AQ319" s="2284"/>
      <c r="AR319" s="2284"/>
    </row>
    <row r="320" spans="1:44" ht="11.25" customHeight="1">
      <c r="B320" s="139" t="s">
        <v>1820</v>
      </c>
      <c r="C320" s="140"/>
      <c r="D320" s="1331"/>
      <c r="E320" s="1331"/>
      <c r="F320" s="1331"/>
      <c r="G320" s="1331"/>
      <c r="H320" s="1331"/>
      <c r="I320" s="1331"/>
      <c r="J320" s="1331"/>
      <c r="K320" s="1331"/>
      <c r="L320" s="1331"/>
      <c r="M320" s="1331"/>
      <c r="N320" s="1331"/>
      <c r="O320" s="1331"/>
      <c r="P320" s="1331"/>
      <c r="Q320" s="1331"/>
      <c r="S320" s="2284"/>
      <c r="T320" s="2284"/>
      <c r="U320" s="2284"/>
      <c r="V320" s="2284"/>
      <c r="W320" s="2284"/>
      <c r="X320" s="2284"/>
      <c r="Y320" s="2284"/>
      <c r="Z320" s="2284"/>
      <c r="AA320" s="2284"/>
      <c r="AB320" s="2284"/>
      <c r="AC320" s="2284"/>
      <c r="AD320" s="2284"/>
      <c r="AE320" s="2285"/>
      <c r="AF320" s="2285"/>
      <c r="AG320" s="2284"/>
      <c r="AH320" s="2284"/>
      <c r="AI320" s="2284"/>
      <c r="AJ320" s="2284"/>
      <c r="AK320" s="2284"/>
      <c r="AL320" s="2284"/>
      <c r="AM320" s="2284"/>
      <c r="AN320" s="2284"/>
      <c r="AO320" s="2284"/>
      <c r="AP320" s="2284"/>
      <c r="AQ320" s="2284"/>
      <c r="AR320" s="2284"/>
    </row>
    <row r="321" spans="1:256 1523:1523" ht="45.75" customHeight="1">
      <c r="A321" s="3699"/>
      <c r="B321" s="3700"/>
      <c r="C321" s="3700"/>
      <c r="D321" s="3700"/>
      <c r="E321" s="3700"/>
      <c r="F321" s="3700"/>
      <c r="G321" s="3700"/>
      <c r="H321" s="3700"/>
      <c r="I321" s="3700"/>
      <c r="J321" s="3700"/>
      <c r="K321" s="3700"/>
      <c r="L321" s="3700"/>
      <c r="M321" s="3700"/>
      <c r="N321" s="3700"/>
      <c r="O321" s="3700"/>
      <c r="P321" s="3700"/>
      <c r="Q321" s="3701"/>
      <c r="S321" s="2284"/>
      <c r="T321" s="2284"/>
      <c r="U321" s="2284"/>
      <c r="V321" s="2284"/>
      <c r="W321" s="2284"/>
      <c r="X321" s="2284"/>
      <c r="Y321" s="2284"/>
      <c r="Z321" s="2284"/>
      <c r="AA321" s="2284"/>
      <c r="AB321" s="2284"/>
      <c r="AC321" s="2284"/>
      <c r="AD321" s="2284"/>
      <c r="AE321" s="2285"/>
      <c r="AF321" s="2285"/>
      <c r="AG321" s="2284"/>
      <c r="AH321" s="2284"/>
      <c r="AI321" s="2284"/>
      <c r="AJ321" s="2284"/>
      <c r="AK321" s="2284"/>
      <c r="AL321" s="2284"/>
      <c r="AM321" s="2284"/>
      <c r="AN321" s="2284"/>
      <c r="AO321" s="2284"/>
      <c r="AP321" s="2284"/>
      <c r="AQ321" s="2284"/>
      <c r="AR321" s="2284"/>
    </row>
    <row r="322" spans="1:256 1523:1523" ht="14.1" customHeight="1">
      <c r="A322" s="1336" t="s">
        <v>3790</v>
      </c>
      <c r="B322" s="10" t="s">
        <v>2592</v>
      </c>
      <c r="C322" s="10"/>
      <c r="D322" s="10"/>
      <c r="E322" s="10"/>
      <c r="F322" s="10"/>
      <c r="G322" s="10"/>
      <c r="H322" s="1331"/>
      <c r="I322" s="1331"/>
      <c r="J322" s="1331"/>
      <c r="K322" s="1331"/>
      <c r="L322" s="1331"/>
      <c r="M322" s="1331"/>
      <c r="O322" s="134" t="s">
        <v>1821</v>
      </c>
      <c r="P322" s="3702"/>
      <c r="Q322" s="3703"/>
      <c r="S322" s="2284"/>
      <c r="T322" s="2284"/>
      <c r="U322" s="2284"/>
      <c r="V322" s="2284"/>
      <c r="W322" s="2284"/>
      <c r="X322" s="2284"/>
      <c r="Y322" s="2284"/>
      <c r="Z322" s="2284"/>
      <c r="AA322" s="2284"/>
      <c r="AB322" s="2284"/>
      <c r="AC322" s="2284"/>
      <c r="AD322" s="2284"/>
      <c r="AE322" s="2285"/>
      <c r="AF322" s="2285"/>
      <c r="AG322" s="2284"/>
      <c r="AH322" s="2284"/>
      <c r="AI322" s="2284"/>
      <c r="AJ322" s="2284"/>
      <c r="AK322" s="2284"/>
      <c r="AL322" s="2284"/>
      <c r="AM322" s="2284"/>
      <c r="AN322" s="2284"/>
      <c r="AO322" s="2284"/>
      <c r="AP322" s="2284"/>
      <c r="AQ322" s="2284"/>
      <c r="AR322" s="2284"/>
    </row>
    <row r="323" spans="1:256 1523:1523" ht="11.4" customHeight="1">
      <c r="B323" s="147" t="s">
        <v>2195</v>
      </c>
      <c r="P323" s="236" t="s">
        <v>2889</v>
      </c>
      <c r="Q323" s="603"/>
      <c r="S323" s="2284"/>
      <c r="T323" s="2284"/>
      <c r="U323" s="2284"/>
      <c r="V323" s="2284"/>
      <c r="W323" s="2284"/>
      <c r="X323" s="2284"/>
      <c r="Y323" s="2284"/>
      <c r="Z323" s="2284"/>
      <c r="AA323" s="2284"/>
      <c r="AB323" s="2284"/>
      <c r="AC323" s="2284"/>
      <c r="AD323" s="2284"/>
      <c r="AE323" s="2285"/>
      <c r="AF323" s="2285"/>
      <c r="AG323" s="2284"/>
      <c r="AH323" s="2284"/>
      <c r="AI323" s="2284"/>
      <c r="AJ323" s="2284"/>
      <c r="AK323" s="2284"/>
      <c r="AL323" s="2284"/>
      <c r="AM323" s="2284"/>
      <c r="AN323" s="2284"/>
      <c r="AO323" s="2284"/>
      <c r="AP323" s="2284"/>
      <c r="AQ323" s="2284"/>
      <c r="AR323" s="2284"/>
    </row>
    <row r="324" spans="1:256 1523:1523" ht="12" customHeight="1">
      <c r="B324" s="976" t="s">
        <v>2155</v>
      </c>
      <c r="C324" s="976"/>
      <c r="D324" s="976"/>
      <c r="E324" s="976"/>
      <c r="F324" s="976"/>
      <c r="G324" s="976"/>
      <c r="H324" s="976"/>
      <c r="I324" s="976"/>
      <c r="J324" s="976"/>
      <c r="K324" s="976"/>
      <c r="L324" s="976"/>
      <c r="P324" s="237" t="s">
        <v>2886</v>
      </c>
      <c r="Q324" s="605"/>
      <c r="S324" s="2284"/>
      <c r="T324" s="2284"/>
      <c r="U324" s="2284"/>
      <c r="V324" s="2284"/>
      <c r="W324" s="2284"/>
      <c r="X324" s="2284"/>
      <c r="Y324" s="2284"/>
      <c r="Z324" s="2284"/>
      <c r="AA324" s="2284"/>
      <c r="AB324" s="2284"/>
      <c r="AC324" s="2284"/>
      <c r="AD324" s="2284"/>
      <c r="AE324" s="2285"/>
      <c r="AF324" s="2285"/>
      <c r="AG324" s="2284"/>
      <c r="AH324" s="2284"/>
      <c r="AI324" s="2284"/>
      <c r="AJ324" s="2284"/>
      <c r="AK324" s="2284"/>
      <c r="AL324" s="2284"/>
      <c r="AM324" s="2284"/>
      <c r="AN324" s="2284"/>
      <c r="AO324" s="2284"/>
      <c r="AP324" s="2284"/>
      <c r="AQ324" s="2284"/>
      <c r="AR324" s="2284"/>
    </row>
    <row r="325" spans="1:256 1523:1523" ht="11.4" customHeight="1">
      <c r="A325" s="144" t="s">
        <v>1936</v>
      </c>
      <c r="B325" s="200" t="s">
        <v>450</v>
      </c>
      <c r="D325" s="995"/>
      <c r="E325" s="995"/>
      <c r="F325" s="995"/>
      <c r="G325" s="995"/>
      <c r="H325" s="995"/>
      <c r="I325" s="995"/>
      <c r="J325" s="995"/>
      <c r="K325" s="995"/>
      <c r="L325" s="995"/>
      <c r="M325" s="995"/>
      <c r="N325" s="165"/>
      <c r="S325" s="2284"/>
      <c r="T325" s="2284"/>
      <c r="U325" s="2284"/>
      <c r="V325" s="2284"/>
      <c r="W325" s="2284"/>
      <c r="X325" s="2284"/>
      <c r="Y325" s="2284"/>
      <c r="Z325" s="2284"/>
      <c r="AA325" s="2284"/>
      <c r="AB325" s="2284"/>
      <c r="AC325" s="2284"/>
      <c r="AD325" s="2284"/>
      <c r="AE325" s="2285"/>
      <c r="AF325" s="2285"/>
      <c r="AG325" s="2284"/>
      <c r="AH325" s="2284"/>
      <c r="AI325" s="2284"/>
      <c r="AJ325" s="2284"/>
      <c r="AK325" s="2284"/>
      <c r="AL325" s="2284"/>
      <c r="AM325" s="2284"/>
      <c r="AN325" s="2284"/>
      <c r="AO325" s="2284"/>
      <c r="AP325" s="2284"/>
      <c r="AQ325" s="2284"/>
      <c r="AR325" s="2284"/>
    </row>
    <row r="326" spans="1:256 1523:1523" ht="22.5" customHeight="1">
      <c r="B326" s="3615" t="s">
        <v>2781</v>
      </c>
      <c r="C326" s="3615"/>
      <c r="D326" s="3615"/>
      <c r="E326" s="3615"/>
      <c r="F326" s="3615"/>
      <c r="G326" s="3615"/>
      <c r="H326" s="3615"/>
      <c r="I326" s="3615"/>
      <c r="J326" s="3615"/>
      <c r="K326" s="3615"/>
      <c r="L326" s="3615"/>
      <c r="M326" s="3615"/>
      <c r="N326" s="3615"/>
      <c r="O326" s="165" t="s">
        <v>1936</v>
      </c>
      <c r="P326" s="164"/>
      <c r="Q326" s="608"/>
      <c r="S326" s="2284"/>
      <c r="T326" s="2284"/>
      <c r="U326" s="2284"/>
      <c r="V326" s="2284"/>
      <c r="W326" s="2284"/>
      <c r="X326" s="2284"/>
      <c r="Y326" s="2284"/>
      <c r="Z326" s="2284"/>
      <c r="AA326" s="2284"/>
      <c r="AB326" s="2284"/>
      <c r="AC326" s="2284"/>
      <c r="AD326" s="2284"/>
      <c r="AE326" s="2285"/>
      <c r="AF326" s="2285"/>
      <c r="AG326" s="2284"/>
      <c r="AH326" s="2284"/>
      <c r="AI326" s="2284"/>
      <c r="AJ326" s="2284"/>
      <c r="AK326" s="2284"/>
      <c r="AL326" s="2284"/>
      <c r="AM326" s="2284"/>
      <c r="AN326" s="2284"/>
      <c r="AO326" s="2284"/>
      <c r="AP326" s="2284"/>
      <c r="AQ326" s="2284"/>
      <c r="AR326" s="2284"/>
    </row>
    <row r="327" spans="1:256 1523:1523" ht="12.6" customHeight="1">
      <c r="A327" s="144" t="s">
        <v>1938</v>
      </c>
      <c r="B327" s="233" t="s">
        <v>451</v>
      </c>
      <c r="D327" s="233"/>
      <c r="E327" s="233"/>
      <c r="F327" s="233"/>
      <c r="G327" s="233"/>
      <c r="H327" s="233"/>
      <c r="I327" s="233"/>
      <c r="J327" s="233"/>
      <c r="K327" s="233"/>
      <c r="L327" s="233"/>
      <c r="M327" s="233"/>
      <c r="O327" s="165" t="s">
        <v>1938</v>
      </c>
      <c r="P327" s="1330"/>
      <c r="Q327" s="994"/>
      <c r="S327" s="2284"/>
      <c r="T327" s="2284"/>
      <c r="U327" s="2284"/>
      <c r="V327" s="2284"/>
      <c r="W327" s="2284"/>
      <c r="X327" s="2284"/>
      <c r="Y327" s="2284"/>
      <c r="Z327" s="2284"/>
      <c r="AA327" s="2284"/>
      <c r="AB327" s="2284"/>
      <c r="AC327" s="2284"/>
      <c r="AD327" s="2284"/>
      <c r="AE327" s="2285"/>
      <c r="AF327" s="2285"/>
      <c r="AG327" s="2284"/>
      <c r="AH327" s="2284"/>
      <c r="AI327" s="2284"/>
      <c r="AJ327" s="2284"/>
      <c r="AK327" s="2284"/>
      <c r="AL327" s="2284"/>
      <c r="AM327" s="2284"/>
      <c r="AN327" s="2284"/>
      <c r="AO327" s="2284"/>
      <c r="AP327" s="2284"/>
      <c r="AQ327" s="2284"/>
      <c r="AR327" s="2284"/>
    </row>
    <row r="328" spans="1:256 1523:1523" ht="36" customHeight="1">
      <c r="B328" s="976" t="s">
        <v>1694</v>
      </c>
      <c r="C328" s="142" t="s">
        <v>1109</v>
      </c>
      <c r="E328" s="135"/>
      <c r="F328" s="135"/>
      <c r="G328" s="3663" t="s">
        <v>4370</v>
      </c>
      <c r="H328" s="3664"/>
      <c r="I328" s="3664"/>
      <c r="J328" s="3664"/>
      <c r="K328" s="3664"/>
      <c r="L328" s="3664"/>
      <c r="M328" s="3664"/>
      <c r="N328" s="3665"/>
      <c r="O328" s="235" t="s">
        <v>1694</v>
      </c>
      <c r="P328" s="1341" t="s">
        <v>2886</v>
      </c>
      <c r="Q328" s="1340"/>
      <c r="S328" s="2284"/>
      <c r="T328" s="2284"/>
      <c r="U328" s="2284"/>
      <c r="V328" s="2284"/>
      <c r="W328" s="2284"/>
      <c r="X328" s="2284"/>
      <c r="Y328" s="2284"/>
      <c r="Z328" s="2284"/>
      <c r="AA328" s="2284"/>
      <c r="AB328" s="2284"/>
      <c r="AC328" s="2284"/>
      <c r="AD328" s="2284"/>
      <c r="AE328" s="2285"/>
      <c r="AF328" s="2285"/>
      <c r="AG328" s="2284"/>
      <c r="AH328" s="2284"/>
      <c r="AI328" s="2284"/>
      <c r="AJ328" s="2284"/>
      <c r="AK328" s="2284"/>
      <c r="AL328" s="2284"/>
      <c r="AM328" s="2284"/>
      <c r="AN328" s="2284"/>
      <c r="AO328" s="2284"/>
      <c r="AP328" s="2284"/>
      <c r="AQ328" s="2284"/>
      <c r="AR328" s="2284"/>
      <c r="BFO328" s="150" t="s">
        <v>2644</v>
      </c>
    </row>
    <row r="329" spans="1:256 1523:1523" ht="23.25" customHeight="1">
      <c r="B329" s="976" t="s">
        <v>1695</v>
      </c>
      <c r="C329" s="3615" t="s">
        <v>1110</v>
      </c>
      <c r="D329" s="3615"/>
      <c r="E329" s="3615"/>
      <c r="F329" s="3704"/>
      <c r="G329" s="3078" t="s">
        <v>2578</v>
      </c>
      <c r="H329" s="3695"/>
      <c r="I329" s="3695"/>
      <c r="J329" s="3695"/>
      <c r="K329" s="3695"/>
      <c r="L329" s="3695"/>
      <c r="M329" s="3695"/>
      <c r="N329" s="3696"/>
      <c r="O329" s="235" t="s">
        <v>1695</v>
      </c>
      <c r="P329" s="1343" t="s">
        <v>2886</v>
      </c>
      <c r="Q329" s="1342"/>
      <c r="S329" s="2284"/>
      <c r="T329" s="2284"/>
      <c r="U329" s="2284"/>
      <c r="V329" s="2284"/>
      <c r="W329" s="2284"/>
      <c r="X329" s="2284"/>
      <c r="Y329" s="2284"/>
      <c r="Z329" s="2284"/>
      <c r="AA329" s="2284"/>
      <c r="AB329" s="2284"/>
      <c r="AC329" s="2284"/>
      <c r="AD329" s="2284"/>
      <c r="AE329" s="2285"/>
      <c r="AF329" s="2285"/>
      <c r="AG329" s="2284"/>
      <c r="AH329" s="2284"/>
      <c r="AI329" s="2284"/>
      <c r="AJ329" s="2284"/>
      <c r="AK329" s="2284"/>
      <c r="AL329" s="2284"/>
      <c r="AM329" s="2284"/>
      <c r="AN329" s="2284"/>
      <c r="AO329" s="2284"/>
      <c r="AP329" s="2284"/>
      <c r="AQ329" s="2284"/>
      <c r="AR329" s="2284"/>
    </row>
    <row r="330" spans="1:256 1523:1523" ht="3" customHeight="1">
      <c r="A330" s="1330"/>
      <c r="B330" s="1396"/>
      <c r="C330" s="1330"/>
      <c r="D330" s="1330"/>
      <c r="E330" s="1330"/>
      <c r="F330" s="1330"/>
      <c r="G330" s="1330"/>
      <c r="H330" s="1330"/>
      <c r="I330" s="1330"/>
      <c r="J330" s="1330"/>
      <c r="K330" s="1330"/>
      <c r="L330" s="1330"/>
      <c r="M330" s="1330"/>
      <c r="N330" s="1330"/>
      <c r="O330" s="1330"/>
      <c r="P330" s="1330"/>
      <c r="Q330" s="1330"/>
      <c r="R330" s="1330"/>
      <c r="S330" s="2304"/>
      <c r="T330" s="2304"/>
      <c r="U330" s="2304"/>
      <c r="V330" s="2304"/>
      <c r="W330" s="2304"/>
      <c r="X330" s="2304"/>
      <c r="Y330" s="2304"/>
      <c r="Z330" s="2304"/>
      <c r="AA330" s="2304"/>
      <c r="AB330" s="2304"/>
      <c r="AC330" s="2304"/>
      <c r="AD330" s="2304"/>
      <c r="AE330" s="2305"/>
      <c r="AF330" s="2305"/>
      <c r="AG330" s="2304"/>
      <c r="AH330" s="2304"/>
      <c r="AI330" s="2304"/>
      <c r="AJ330" s="2304"/>
      <c r="AK330" s="2304"/>
      <c r="AL330" s="2304"/>
      <c r="AM330" s="2304"/>
      <c r="AN330" s="2304"/>
      <c r="AO330" s="2304"/>
      <c r="AP330" s="2304"/>
      <c r="AQ330" s="2304"/>
      <c r="AR330" s="2304"/>
      <c r="AS330" s="1330"/>
      <c r="AT330" s="1330"/>
      <c r="AU330" s="1330"/>
      <c r="AV330" s="1330"/>
      <c r="AW330" s="1330"/>
      <c r="AX330" s="1330"/>
      <c r="AY330" s="1330"/>
      <c r="AZ330" s="1330"/>
      <c r="BA330" s="1330"/>
      <c r="BB330" s="1330"/>
      <c r="BC330" s="1330"/>
      <c r="BD330" s="1330"/>
      <c r="BE330" s="1330"/>
      <c r="BF330" s="1330"/>
      <c r="BG330" s="1330"/>
      <c r="BH330" s="1330"/>
      <c r="BI330" s="1330"/>
      <c r="BJ330" s="1330"/>
      <c r="BK330" s="1330"/>
      <c r="BL330" s="1330"/>
      <c r="BM330" s="1330"/>
      <c r="BN330" s="1330"/>
      <c r="BO330" s="1330"/>
      <c r="BP330" s="1330"/>
      <c r="BQ330" s="1330"/>
      <c r="BR330" s="1330"/>
      <c r="BS330" s="1330"/>
      <c r="BT330" s="1330"/>
      <c r="BU330" s="1330"/>
      <c r="BV330" s="1330"/>
      <c r="BW330" s="1330"/>
      <c r="BX330" s="1330"/>
      <c r="BY330" s="1330"/>
      <c r="BZ330" s="1330"/>
      <c r="CA330" s="1330"/>
      <c r="CB330" s="1330"/>
      <c r="CC330" s="1330"/>
      <c r="CD330" s="1330"/>
      <c r="CE330" s="1330"/>
      <c r="CF330" s="1330"/>
      <c r="CG330" s="1330"/>
      <c r="CH330" s="1330"/>
      <c r="CI330" s="1330"/>
      <c r="CJ330" s="1330"/>
      <c r="CK330" s="1330"/>
      <c r="CL330" s="1330"/>
      <c r="CM330" s="1330"/>
      <c r="CN330" s="1330"/>
      <c r="CO330" s="1330"/>
      <c r="CP330" s="1330"/>
      <c r="CQ330" s="1330"/>
      <c r="CR330" s="1330"/>
      <c r="CS330" s="1330"/>
      <c r="CT330" s="1330"/>
      <c r="CU330" s="1330"/>
      <c r="CV330" s="1330"/>
      <c r="CW330" s="1330"/>
      <c r="CX330" s="1330"/>
      <c r="CY330" s="1330"/>
      <c r="CZ330" s="1330"/>
      <c r="DA330" s="1330"/>
      <c r="DB330" s="1330"/>
      <c r="DC330" s="1330"/>
      <c r="DD330" s="1330"/>
      <c r="DE330" s="1330"/>
      <c r="DF330" s="1330"/>
      <c r="DG330" s="1330"/>
      <c r="DH330" s="1330"/>
      <c r="DI330" s="1330"/>
      <c r="DJ330" s="1330"/>
      <c r="DK330" s="1330"/>
      <c r="DL330" s="1330"/>
      <c r="DM330" s="1330"/>
      <c r="DN330" s="1330"/>
      <c r="DO330" s="1330"/>
      <c r="DP330" s="1330"/>
      <c r="DQ330" s="1330"/>
      <c r="DR330" s="1330"/>
      <c r="DS330" s="1330"/>
      <c r="DT330" s="1330"/>
      <c r="DU330" s="1330"/>
      <c r="DV330" s="1330"/>
      <c r="DW330" s="1330"/>
      <c r="DX330" s="1330"/>
      <c r="DY330" s="1330"/>
      <c r="DZ330" s="1330"/>
      <c r="EA330" s="1330"/>
      <c r="EB330" s="1330"/>
      <c r="EC330" s="1330"/>
      <c r="ED330" s="1330"/>
      <c r="EE330" s="1330"/>
      <c r="EF330" s="1330"/>
      <c r="EG330" s="1330"/>
      <c r="EH330" s="1330"/>
      <c r="EI330" s="1330"/>
      <c r="EJ330" s="1330"/>
      <c r="EK330" s="1330"/>
      <c r="EL330" s="1330"/>
      <c r="EM330" s="1330"/>
      <c r="EN330" s="1330"/>
      <c r="EO330" s="1330"/>
      <c r="EP330" s="1330"/>
      <c r="EQ330" s="1330"/>
      <c r="ER330" s="1330"/>
      <c r="ES330" s="1330"/>
      <c r="ET330" s="1330"/>
      <c r="EU330" s="1330"/>
      <c r="EV330" s="1330"/>
      <c r="EW330" s="1330"/>
      <c r="EX330" s="1330"/>
      <c r="EY330" s="1330"/>
      <c r="EZ330" s="1330"/>
      <c r="FA330" s="1330"/>
      <c r="FB330" s="1330"/>
      <c r="FC330" s="1330"/>
      <c r="FD330" s="1330"/>
      <c r="FE330" s="1330"/>
      <c r="FF330" s="1330"/>
      <c r="FG330" s="1330"/>
      <c r="FH330" s="1330"/>
      <c r="FI330" s="1330"/>
      <c r="FJ330" s="1330"/>
      <c r="FK330" s="1330"/>
      <c r="FL330" s="1330"/>
      <c r="FM330" s="1330"/>
      <c r="FN330" s="1330"/>
      <c r="FO330" s="1330"/>
      <c r="FP330" s="1330"/>
      <c r="FQ330" s="1330"/>
      <c r="FR330" s="1330"/>
      <c r="FS330" s="1330"/>
      <c r="FT330" s="1330"/>
      <c r="FU330" s="1330"/>
      <c r="FV330" s="1330"/>
      <c r="FW330" s="1330"/>
      <c r="FX330" s="1330"/>
      <c r="FY330" s="1330"/>
      <c r="FZ330" s="1330"/>
      <c r="GA330" s="1330"/>
      <c r="GB330" s="1330"/>
      <c r="GC330" s="1330"/>
      <c r="GD330" s="1330"/>
      <c r="GE330" s="1330"/>
      <c r="GF330" s="1330"/>
      <c r="GG330" s="1330"/>
      <c r="GH330" s="1330"/>
      <c r="GI330" s="1330"/>
      <c r="GJ330" s="1330"/>
      <c r="GK330" s="1330"/>
      <c r="GL330" s="1330"/>
      <c r="GM330" s="1330"/>
      <c r="GN330" s="1330"/>
      <c r="GO330" s="1330"/>
      <c r="GP330" s="1330"/>
      <c r="GQ330" s="1330"/>
      <c r="GR330" s="1330"/>
      <c r="GS330" s="1330"/>
      <c r="GT330" s="1330"/>
      <c r="GU330" s="1330"/>
      <c r="GV330" s="1330"/>
      <c r="GW330" s="1330"/>
      <c r="GX330" s="1330"/>
      <c r="GY330" s="1330"/>
      <c r="GZ330" s="1330"/>
      <c r="HA330" s="1330"/>
      <c r="HB330" s="1330"/>
      <c r="HC330" s="1330"/>
      <c r="HD330" s="1330"/>
      <c r="HE330" s="1330"/>
      <c r="HF330" s="1330"/>
      <c r="HG330" s="1330"/>
      <c r="HH330" s="1330"/>
      <c r="HI330" s="1330"/>
      <c r="HJ330" s="1330"/>
      <c r="HK330" s="1330"/>
      <c r="HL330" s="1330"/>
      <c r="HM330" s="1330"/>
      <c r="HN330" s="1330"/>
      <c r="HO330" s="1330"/>
      <c r="HP330" s="1330"/>
      <c r="HQ330" s="1330"/>
      <c r="HR330" s="1330"/>
      <c r="HS330" s="1330"/>
      <c r="HT330" s="1330"/>
      <c r="HU330" s="1330"/>
      <c r="HV330" s="1330"/>
      <c r="HW330" s="1330"/>
      <c r="HX330" s="1330"/>
      <c r="HY330" s="1330"/>
      <c r="HZ330" s="1330"/>
      <c r="IA330" s="1330"/>
      <c r="IB330" s="1330"/>
      <c r="IC330" s="1330"/>
      <c r="ID330" s="1330"/>
      <c r="IE330" s="1330"/>
      <c r="IF330" s="1330"/>
      <c r="IG330" s="1330"/>
      <c r="IH330" s="1330"/>
      <c r="II330" s="1330"/>
      <c r="IJ330" s="1330"/>
      <c r="IK330" s="1330"/>
      <c r="IL330" s="1330"/>
      <c r="IM330" s="1330"/>
      <c r="IN330" s="1330"/>
      <c r="IO330" s="1330"/>
      <c r="IP330" s="1330"/>
      <c r="IQ330" s="1330"/>
      <c r="IR330" s="1330"/>
      <c r="IS330" s="1330"/>
      <c r="IT330" s="1330"/>
      <c r="IU330" s="1330"/>
      <c r="IV330" s="1330"/>
    </row>
    <row r="331" spans="1:256 1523:1523" s="135" customFormat="1" ht="22.5" customHeight="1">
      <c r="A331" s="144" t="s">
        <v>731</v>
      </c>
      <c r="B331" s="3688" t="s">
        <v>2596</v>
      </c>
      <c r="C331" s="3688"/>
      <c r="D331" s="3688"/>
      <c r="E331" s="3688"/>
      <c r="F331" s="3688"/>
      <c r="G331" s="3688"/>
      <c r="H331" s="3688"/>
      <c r="I331" s="3688"/>
      <c r="J331" s="3688"/>
      <c r="K331" s="3688"/>
      <c r="L331" s="3688"/>
      <c r="M331" s="3688"/>
      <c r="N331" s="3688"/>
      <c r="O331" s="501" t="s">
        <v>731</v>
      </c>
      <c r="P331" s="1330"/>
      <c r="Q331" s="994"/>
      <c r="S331" s="2306"/>
      <c r="T331" s="2306"/>
      <c r="U331" s="2306"/>
      <c r="V331" s="2306"/>
      <c r="W331" s="2306"/>
      <c r="X331" s="2306"/>
      <c r="Y331" s="2306"/>
      <c r="Z331" s="2306"/>
      <c r="AA331" s="2306"/>
      <c r="AB331" s="2306"/>
      <c r="AC331" s="2306"/>
      <c r="AD331" s="2306"/>
      <c r="AE331" s="2307"/>
      <c r="AF331" s="2307"/>
      <c r="AG331" s="2306"/>
      <c r="AH331" s="2306"/>
      <c r="AI331" s="2306"/>
      <c r="AJ331" s="2306"/>
      <c r="AK331" s="2306"/>
      <c r="AL331" s="2306"/>
      <c r="AM331" s="2306"/>
      <c r="AN331" s="2306"/>
      <c r="AO331" s="2306"/>
      <c r="AP331" s="2306"/>
      <c r="AQ331" s="2306"/>
      <c r="AR331" s="2306"/>
    </row>
    <row r="332" spans="1:256 1523:1523" s="135" customFormat="1" ht="11.25" customHeight="1">
      <c r="A332" s="146"/>
      <c r="B332" s="976" t="s">
        <v>1694</v>
      </c>
      <c r="C332" s="3705" t="s">
        <v>948</v>
      </c>
      <c r="D332" s="3706"/>
      <c r="E332" s="3706"/>
      <c r="F332" s="3706"/>
      <c r="G332" s="3706"/>
      <c r="H332" s="3706"/>
      <c r="I332" s="3706"/>
      <c r="J332" s="3706"/>
      <c r="K332" s="3706"/>
      <c r="L332" s="3706"/>
      <c r="M332" s="3706"/>
      <c r="N332" s="3707"/>
      <c r="O332" s="235" t="s">
        <v>1694</v>
      </c>
      <c r="P332" s="1341"/>
      <c r="Q332" s="1340"/>
      <c r="S332" s="2306"/>
      <c r="T332" s="2306"/>
      <c r="U332" s="2306"/>
      <c r="V332" s="2306"/>
      <c r="W332" s="2306"/>
      <c r="X332" s="2306"/>
      <c r="Y332" s="2306"/>
      <c r="Z332" s="2306"/>
      <c r="AA332" s="2306"/>
      <c r="AB332" s="2306"/>
      <c r="AC332" s="2306"/>
      <c r="AD332" s="2306"/>
      <c r="AE332" s="2307"/>
      <c r="AF332" s="2307"/>
      <c r="AG332" s="2306"/>
      <c r="AH332" s="2306"/>
      <c r="AI332" s="2306"/>
      <c r="AJ332" s="2306"/>
      <c r="AK332" s="2306"/>
      <c r="AL332" s="2306"/>
      <c r="AM332" s="2306"/>
      <c r="AN332" s="2306"/>
      <c r="AO332" s="2306"/>
      <c r="AP332" s="2306"/>
      <c r="AQ332" s="2306"/>
      <c r="AR332" s="2306"/>
    </row>
    <row r="333" spans="1:256 1523:1523" s="135" customFormat="1" ht="11.25" customHeight="1">
      <c r="A333" s="146"/>
      <c r="B333" s="976" t="s">
        <v>1695</v>
      </c>
      <c r="C333" s="3689" t="s">
        <v>948</v>
      </c>
      <c r="D333" s="3690"/>
      <c r="E333" s="3690"/>
      <c r="F333" s="3690"/>
      <c r="G333" s="3690"/>
      <c r="H333" s="3690"/>
      <c r="I333" s="3690"/>
      <c r="J333" s="3690"/>
      <c r="K333" s="3690"/>
      <c r="L333" s="3690"/>
      <c r="M333" s="3690"/>
      <c r="N333" s="3691"/>
      <c r="O333" s="235" t="s">
        <v>1695</v>
      </c>
      <c r="P333" s="1343"/>
      <c r="Q333" s="1342"/>
      <c r="S333" s="2306"/>
      <c r="T333" s="2306"/>
      <c r="U333" s="2306"/>
      <c r="V333" s="2306"/>
      <c r="W333" s="2306"/>
      <c r="X333" s="2306"/>
      <c r="Y333" s="2306"/>
      <c r="Z333" s="2306"/>
      <c r="AA333" s="2306"/>
      <c r="AB333" s="2306"/>
      <c r="AC333" s="2306"/>
      <c r="AD333" s="2306"/>
      <c r="AE333" s="2307"/>
      <c r="AF333" s="2307"/>
      <c r="AG333" s="2306"/>
      <c r="AH333" s="2306"/>
      <c r="AI333" s="2306"/>
      <c r="AJ333" s="2306"/>
      <c r="AK333" s="2306"/>
      <c r="AL333" s="2306"/>
      <c r="AM333" s="2306"/>
      <c r="AN333" s="2306"/>
      <c r="AO333" s="2306"/>
      <c r="AP333" s="2306"/>
      <c r="AQ333" s="2306"/>
      <c r="AR333" s="2306"/>
    </row>
    <row r="334" spans="1:256 1523:1523" ht="3" customHeight="1">
      <c r="A334" s="1330"/>
      <c r="B334" s="1330"/>
      <c r="C334" s="1330"/>
      <c r="D334" s="1330"/>
      <c r="E334" s="1330"/>
      <c r="F334" s="1330"/>
      <c r="G334" s="1330"/>
      <c r="H334" s="1330"/>
      <c r="I334" s="1330"/>
      <c r="J334" s="1330"/>
      <c r="K334" s="1330"/>
      <c r="L334" s="1330"/>
      <c r="M334" s="1330"/>
      <c r="N334" s="1330"/>
      <c r="O334" s="1330"/>
      <c r="P334" s="1330"/>
      <c r="Q334" s="1330"/>
      <c r="R334" s="1330"/>
      <c r="S334" s="2304"/>
      <c r="T334" s="2304"/>
      <c r="U334" s="2304"/>
      <c r="V334" s="2304"/>
      <c r="W334" s="2304"/>
      <c r="X334" s="2304"/>
      <c r="Y334" s="2304"/>
      <c r="Z334" s="2304"/>
      <c r="AA334" s="2304"/>
      <c r="AB334" s="2304"/>
      <c r="AC334" s="2304"/>
      <c r="AD334" s="2304"/>
      <c r="AE334" s="2305"/>
      <c r="AF334" s="2305"/>
      <c r="AG334" s="2304"/>
      <c r="AH334" s="2304"/>
      <c r="AI334" s="2304"/>
      <c r="AJ334" s="2304"/>
      <c r="AK334" s="2304"/>
      <c r="AL334" s="2304"/>
      <c r="AM334" s="2304"/>
      <c r="AN334" s="2304"/>
      <c r="AO334" s="2304"/>
      <c r="AP334" s="2304"/>
      <c r="AQ334" s="2304"/>
      <c r="AR334" s="2304"/>
      <c r="AS334" s="1330"/>
      <c r="AT334" s="1330"/>
      <c r="AU334" s="1330"/>
      <c r="AV334" s="1330"/>
      <c r="AW334" s="1330"/>
      <c r="AX334" s="1330"/>
      <c r="AY334" s="1330"/>
      <c r="AZ334" s="1330"/>
      <c r="BA334" s="1330"/>
      <c r="BB334" s="1330"/>
      <c r="BC334" s="1330"/>
      <c r="BD334" s="1330"/>
      <c r="BE334" s="1330"/>
      <c r="BF334" s="1330"/>
      <c r="BG334" s="1330"/>
      <c r="BH334" s="1330"/>
      <c r="BI334" s="1330"/>
      <c r="BJ334" s="1330"/>
      <c r="BK334" s="1330"/>
      <c r="BL334" s="1330"/>
      <c r="BM334" s="1330"/>
      <c r="BN334" s="1330"/>
      <c r="BO334" s="1330"/>
      <c r="BP334" s="1330"/>
      <c r="BQ334" s="1330"/>
      <c r="BR334" s="1330"/>
      <c r="BS334" s="1330"/>
      <c r="BT334" s="1330"/>
      <c r="BU334" s="1330"/>
      <c r="BV334" s="1330"/>
      <c r="BW334" s="1330"/>
      <c r="BX334" s="1330"/>
      <c r="BY334" s="1330"/>
      <c r="BZ334" s="1330"/>
      <c r="CA334" s="1330"/>
      <c r="CB334" s="1330"/>
      <c r="CC334" s="1330"/>
      <c r="CD334" s="1330"/>
      <c r="CE334" s="1330"/>
      <c r="CF334" s="1330"/>
      <c r="CG334" s="1330"/>
      <c r="CH334" s="1330"/>
      <c r="CI334" s="1330"/>
      <c r="CJ334" s="1330"/>
      <c r="CK334" s="1330"/>
      <c r="CL334" s="1330"/>
      <c r="CM334" s="1330"/>
      <c r="CN334" s="1330"/>
      <c r="CO334" s="1330"/>
      <c r="CP334" s="1330"/>
      <c r="CQ334" s="1330"/>
      <c r="CR334" s="1330"/>
      <c r="CS334" s="1330"/>
      <c r="CT334" s="1330"/>
      <c r="CU334" s="1330"/>
      <c r="CV334" s="1330"/>
      <c r="CW334" s="1330"/>
      <c r="CX334" s="1330"/>
      <c r="CY334" s="1330"/>
      <c r="CZ334" s="1330"/>
      <c r="DA334" s="1330"/>
      <c r="DB334" s="1330"/>
      <c r="DC334" s="1330"/>
      <c r="DD334" s="1330"/>
      <c r="DE334" s="1330"/>
      <c r="DF334" s="1330"/>
      <c r="DG334" s="1330"/>
      <c r="DH334" s="1330"/>
      <c r="DI334" s="1330"/>
      <c r="DJ334" s="1330"/>
      <c r="DK334" s="1330"/>
      <c r="DL334" s="1330"/>
      <c r="DM334" s="1330"/>
      <c r="DN334" s="1330"/>
      <c r="DO334" s="1330"/>
      <c r="DP334" s="1330"/>
      <c r="DQ334" s="1330"/>
      <c r="DR334" s="1330"/>
      <c r="DS334" s="1330"/>
      <c r="DT334" s="1330"/>
      <c r="DU334" s="1330"/>
      <c r="DV334" s="1330"/>
      <c r="DW334" s="1330"/>
      <c r="DX334" s="1330"/>
      <c r="DY334" s="1330"/>
      <c r="DZ334" s="1330"/>
      <c r="EA334" s="1330"/>
      <c r="EB334" s="1330"/>
      <c r="EC334" s="1330"/>
      <c r="ED334" s="1330"/>
      <c r="EE334" s="1330"/>
      <c r="EF334" s="1330"/>
      <c r="EG334" s="1330"/>
      <c r="EH334" s="1330"/>
      <c r="EI334" s="1330"/>
      <c r="EJ334" s="1330"/>
      <c r="EK334" s="1330"/>
      <c r="EL334" s="1330"/>
      <c r="EM334" s="1330"/>
      <c r="EN334" s="1330"/>
      <c r="EO334" s="1330"/>
      <c r="EP334" s="1330"/>
      <c r="EQ334" s="1330"/>
      <c r="ER334" s="1330"/>
      <c r="ES334" s="1330"/>
      <c r="ET334" s="1330"/>
      <c r="EU334" s="1330"/>
      <c r="EV334" s="1330"/>
      <c r="EW334" s="1330"/>
      <c r="EX334" s="1330"/>
      <c r="EY334" s="1330"/>
      <c r="EZ334" s="1330"/>
      <c r="FA334" s="1330"/>
      <c r="FB334" s="1330"/>
      <c r="FC334" s="1330"/>
      <c r="FD334" s="1330"/>
      <c r="FE334" s="1330"/>
      <c r="FF334" s="1330"/>
      <c r="FG334" s="1330"/>
      <c r="FH334" s="1330"/>
      <c r="FI334" s="1330"/>
      <c r="FJ334" s="1330"/>
      <c r="FK334" s="1330"/>
      <c r="FL334" s="1330"/>
      <c r="FM334" s="1330"/>
      <c r="FN334" s="1330"/>
      <c r="FO334" s="1330"/>
      <c r="FP334" s="1330"/>
      <c r="FQ334" s="1330"/>
      <c r="FR334" s="1330"/>
      <c r="FS334" s="1330"/>
      <c r="FT334" s="1330"/>
      <c r="FU334" s="1330"/>
      <c r="FV334" s="1330"/>
      <c r="FW334" s="1330"/>
      <c r="FX334" s="1330"/>
      <c r="FY334" s="1330"/>
      <c r="FZ334" s="1330"/>
      <c r="GA334" s="1330"/>
      <c r="GB334" s="1330"/>
      <c r="GC334" s="1330"/>
      <c r="GD334" s="1330"/>
      <c r="GE334" s="1330"/>
      <c r="GF334" s="1330"/>
      <c r="GG334" s="1330"/>
      <c r="GH334" s="1330"/>
      <c r="GI334" s="1330"/>
      <c r="GJ334" s="1330"/>
      <c r="GK334" s="1330"/>
      <c r="GL334" s="1330"/>
      <c r="GM334" s="1330"/>
      <c r="GN334" s="1330"/>
      <c r="GO334" s="1330"/>
      <c r="GP334" s="1330"/>
      <c r="GQ334" s="1330"/>
      <c r="GR334" s="1330"/>
      <c r="GS334" s="1330"/>
      <c r="GT334" s="1330"/>
      <c r="GU334" s="1330"/>
      <c r="GV334" s="1330"/>
      <c r="GW334" s="1330"/>
      <c r="GX334" s="1330"/>
      <c r="GY334" s="1330"/>
      <c r="GZ334" s="1330"/>
      <c r="HA334" s="1330"/>
      <c r="HB334" s="1330"/>
      <c r="HC334" s="1330"/>
      <c r="HD334" s="1330"/>
      <c r="HE334" s="1330"/>
      <c r="HF334" s="1330"/>
      <c r="HG334" s="1330"/>
      <c r="HH334" s="1330"/>
      <c r="HI334" s="1330"/>
      <c r="HJ334" s="1330"/>
      <c r="HK334" s="1330"/>
      <c r="HL334" s="1330"/>
      <c r="HM334" s="1330"/>
      <c r="HN334" s="1330"/>
      <c r="HO334" s="1330"/>
      <c r="HP334" s="1330"/>
      <c r="HQ334" s="1330"/>
      <c r="HR334" s="1330"/>
      <c r="HS334" s="1330"/>
      <c r="HT334" s="1330"/>
      <c r="HU334" s="1330"/>
      <c r="HV334" s="1330"/>
      <c r="HW334" s="1330"/>
      <c r="HX334" s="1330"/>
      <c r="HY334" s="1330"/>
      <c r="HZ334" s="1330"/>
      <c r="IA334" s="1330"/>
      <c r="IB334" s="1330"/>
      <c r="IC334" s="1330"/>
      <c r="ID334" s="1330"/>
      <c r="IE334" s="1330"/>
      <c r="IF334" s="1330"/>
      <c r="IG334" s="1330"/>
      <c r="IH334" s="1330"/>
      <c r="II334" s="1330"/>
      <c r="IJ334" s="1330"/>
      <c r="IK334" s="1330"/>
      <c r="IL334" s="1330"/>
      <c r="IM334" s="1330"/>
      <c r="IN334" s="1330"/>
      <c r="IO334" s="1330"/>
      <c r="IP334" s="1330"/>
      <c r="IQ334" s="1330"/>
      <c r="IR334" s="1330"/>
      <c r="IS334" s="1330"/>
      <c r="IT334" s="1330"/>
      <c r="IU334" s="1330"/>
      <c r="IV334" s="1330"/>
    </row>
    <row r="335" spans="1:256 1523:1523" ht="11.25" customHeight="1">
      <c r="B335" s="143" t="s">
        <v>3571</v>
      </c>
      <c r="D335" s="143"/>
      <c r="E335" s="143"/>
      <c r="F335" s="143"/>
      <c r="G335" s="143"/>
      <c r="H335" s="40"/>
      <c r="I335" s="1337"/>
      <c r="J335" s="1337"/>
      <c r="K335" s="1337"/>
      <c r="L335" s="1330"/>
      <c r="M335" s="1330"/>
      <c r="N335" s="1330"/>
      <c r="O335" s="1330"/>
      <c r="P335" s="1330"/>
      <c r="Q335" s="994"/>
      <c r="S335" s="2284"/>
      <c r="T335" s="2284"/>
      <c r="U335" s="2284"/>
      <c r="V335" s="2284"/>
      <c r="W335" s="2284"/>
      <c r="X335" s="2284"/>
      <c r="Y335" s="2284"/>
      <c r="Z335" s="2284"/>
      <c r="AA335" s="2284"/>
      <c r="AB335" s="2284"/>
      <c r="AC335" s="2284"/>
      <c r="AD335" s="2284"/>
      <c r="AE335" s="2285"/>
      <c r="AF335" s="2285"/>
      <c r="AG335" s="2284"/>
      <c r="AH335" s="2284"/>
      <c r="AI335" s="2284"/>
      <c r="AJ335" s="2284"/>
      <c r="AK335" s="2284"/>
      <c r="AL335" s="2284"/>
      <c r="AM335" s="2284"/>
      <c r="AN335" s="2284"/>
      <c r="AO335" s="2284"/>
      <c r="AP335" s="2284"/>
      <c r="AQ335" s="2284"/>
      <c r="AR335" s="2284"/>
    </row>
    <row r="336" spans="1:256 1523:1523" ht="11.4" customHeight="1">
      <c r="A336" s="3660" t="s">
        <v>7156</v>
      </c>
      <c r="B336" s="3661"/>
      <c r="C336" s="3661"/>
      <c r="D336" s="3661"/>
      <c r="E336" s="3661"/>
      <c r="F336" s="3661"/>
      <c r="G336" s="3661"/>
      <c r="H336" s="3661"/>
      <c r="I336" s="3661"/>
      <c r="J336" s="3661"/>
      <c r="K336" s="3661"/>
      <c r="L336" s="3661"/>
      <c r="M336" s="3661"/>
      <c r="N336" s="3661"/>
      <c r="O336" s="3661"/>
      <c r="P336" s="3661"/>
      <c r="Q336" s="3662"/>
      <c r="R336" s="519" t="s">
        <v>1228</v>
      </c>
      <c r="S336" s="2308"/>
      <c r="T336" s="2284"/>
      <c r="U336" s="2291"/>
      <c r="V336" s="2291"/>
      <c r="W336" s="2291"/>
      <c r="X336" s="2291"/>
      <c r="Y336" s="2291"/>
      <c r="Z336" s="2291"/>
      <c r="AA336" s="2291"/>
      <c r="AB336" s="2291"/>
      <c r="AC336" s="2291"/>
      <c r="AD336" s="2291"/>
      <c r="AE336" s="2292"/>
      <c r="AF336" s="2285"/>
      <c r="AG336" s="2284"/>
      <c r="AH336" s="2284"/>
      <c r="AI336" s="2284"/>
      <c r="AJ336" s="2284"/>
      <c r="AK336" s="2284"/>
      <c r="AL336" s="2284"/>
      <c r="AM336" s="2284"/>
      <c r="AN336" s="2284"/>
      <c r="AO336" s="2284"/>
      <c r="AP336" s="2284"/>
      <c r="AQ336" s="2284"/>
      <c r="AR336" s="2284"/>
    </row>
    <row r="337" spans="1:44" ht="11.25" customHeight="1">
      <c r="B337" s="139" t="s">
        <v>1820</v>
      </c>
      <c r="C337" s="140"/>
      <c r="D337" s="1331"/>
      <c r="E337" s="1331"/>
      <c r="F337" s="1331"/>
      <c r="G337" s="1331"/>
      <c r="H337" s="1331"/>
      <c r="I337" s="1331"/>
      <c r="J337" s="1331"/>
      <c r="K337" s="1331"/>
      <c r="L337" s="1331"/>
      <c r="M337" s="1331"/>
      <c r="N337" s="1331"/>
      <c r="O337" s="1331"/>
      <c r="P337" s="1331"/>
      <c r="Q337" s="1331"/>
      <c r="S337" s="2284"/>
      <c r="T337" s="2284"/>
      <c r="U337" s="2284"/>
      <c r="V337" s="2284"/>
      <c r="W337" s="2284"/>
      <c r="X337" s="2284"/>
      <c r="Y337" s="2284"/>
      <c r="Z337" s="2284"/>
      <c r="AA337" s="2284"/>
      <c r="AB337" s="2284"/>
      <c r="AC337" s="2284"/>
      <c r="AD337" s="2284"/>
      <c r="AE337" s="2285"/>
      <c r="AF337" s="2285"/>
      <c r="AG337" s="2284"/>
      <c r="AH337" s="2284"/>
      <c r="AI337" s="2284"/>
      <c r="AJ337" s="2284"/>
      <c r="AK337" s="2284"/>
      <c r="AL337" s="2284"/>
      <c r="AM337" s="2284"/>
      <c r="AN337" s="2284"/>
      <c r="AO337" s="2284"/>
      <c r="AP337" s="2284"/>
      <c r="AQ337" s="2284"/>
      <c r="AR337" s="2284"/>
    </row>
    <row r="338" spans="1:44" ht="11.4" customHeight="1">
      <c r="A338" s="3620"/>
      <c r="B338" s="3621"/>
      <c r="C338" s="3621"/>
      <c r="D338" s="3621"/>
      <c r="E338" s="3621"/>
      <c r="F338" s="3621"/>
      <c r="G338" s="3621"/>
      <c r="H338" s="3621"/>
      <c r="I338" s="3621"/>
      <c r="J338" s="3621"/>
      <c r="K338" s="3621"/>
      <c r="L338" s="3621"/>
      <c r="M338" s="3621"/>
      <c r="N338" s="3621"/>
      <c r="O338" s="3621"/>
      <c r="P338" s="3621"/>
      <c r="Q338" s="3622"/>
      <c r="S338" s="2284"/>
      <c r="T338" s="2284"/>
      <c r="U338" s="2284"/>
      <c r="V338" s="2284"/>
      <c r="W338" s="2284"/>
      <c r="X338" s="2284"/>
      <c r="Y338" s="2284"/>
      <c r="Z338" s="2284"/>
      <c r="AA338" s="2284"/>
      <c r="AB338" s="2284"/>
      <c r="AC338" s="2284"/>
      <c r="AD338" s="2284"/>
      <c r="AE338" s="2285"/>
      <c r="AF338" s="2285"/>
      <c r="AG338" s="2284"/>
      <c r="AH338" s="2284"/>
      <c r="AI338" s="2284"/>
      <c r="AJ338" s="2284"/>
      <c r="AK338" s="2284"/>
      <c r="AL338" s="2284"/>
      <c r="AM338" s="2284"/>
      <c r="AN338" s="2284"/>
      <c r="AO338" s="2284"/>
      <c r="AP338" s="2284"/>
      <c r="AQ338" s="2284"/>
      <c r="AR338" s="2284"/>
    </row>
    <row r="339" spans="1:44" ht="14.1" customHeight="1">
      <c r="A339" s="1336" t="s">
        <v>3793</v>
      </c>
      <c r="B339" s="1336" t="s">
        <v>3814</v>
      </c>
      <c r="C339" s="1336"/>
      <c r="D339" s="1331"/>
      <c r="E339" s="1331"/>
      <c r="F339" s="1331"/>
      <c r="G339" s="1331"/>
      <c r="H339" s="1331"/>
      <c r="O339" s="134" t="s">
        <v>1821</v>
      </c>
      <c r="P339" s="3666"/>
      <c r="Q339" s="3667"/>
    </row>
    <row r="340" spans="1:44" ht="11.4" customHeight="1">
      <c r="A340" s="47" t="s">
        <v>1936</v>
      </c>
      <c r="B340" s="55" t="s">
        <v>4719</v>
      </c>
      <c r="O340" s="165" t="s">
        <v>1936</v>
      </c>
      <c r="P340" s="236" t="s">
        <v>2886</v>
      </c>
      <c r="Q340" s="603"/>
    </row>
    <row r="341" spans="1:44" ht="11.4" customHeight="1">
      <c r="A341" s="144" t="s">
        <v>1938</v>
      </c>
      <c r="B341" s="55" t="s">
        <v>3781</v>
      </c>
      <c r="O341" s="165" t="s">
        <v>1938</v>
      </c>
      <c r="P341" s="419" t="s">
        <v>2886</v>
      </c>
      <c r="Q341" s="604"/>
    </row>
    <row r="342" spans="1:44" ht="11.4" customHeight="1">
      <c r="A342" s="144" t="s">
        <v>731</v>
      </c>
      <c r="B342" s="147" t="s">
        <v>2291</v>
      </c>
      <c r="O342" s="165" t="s">
        <v>731</v>
      </c>
      <c r="P342" s="419" t="s">
        <v>2889</v>
      </c>
      <c r="Q342" s="604"/>
    </row>
    <row r="343" spans="1:44" ht="11.4" customHeight="1">
      <c r="A343" s="47" t="s">
        <v>2065</v>
      </c>
      <c r="B343" s="55" t="s">
        <v>3633</v>
      </c>
      <c r="O343" s="518" t="s">
        <v>2065</v>
      </c>
      <c r="P343" s="237" t="s">
        <v>2889</v>
      </c>
      <c r="Q343" s="605"/>
    </row>
    <row r="344" spans="1:44" ht="11.4" customHeight="1">
      <c r="A344" s="144" t="s">
        <v>1692</v>
      </c>
      <c r="B344" s="55" t="s">
        <v>2782</v>
      </c>
      <c r="N344" s="165" t="s">
        <v>1692</v>
      </c>
      <c r="O344" s="3708" t="s">
        <v>4742</v>
      </c>
      <c r="P344" s="3709"/>
      <c r="Q344" s="3710"/>
    </row>
    <row r="345" spans="1:44" ht="11.4" customHeight="1">
      <c r="A345" s="144" t="s">
        <v>1693</v>
      </c>
      <c r="B345" s="466" t="s">
        <v>2292</v>
      </c>
      <c r="N345" s="165" t="s">
        <v>1693</v>
      </c>
      <c r="O345" s="3657" t="s">
        <v>2783</v>
      </c>
      <c r="P345" s="3658"/>
      <c r="Q345" s="3659"/>
    </row>
    <row r="346" spans="1:44" ht="11.25" customHeight="1">
      <c r="B346" s="143" t="s">
        <v>3571</v>
      </c>
      <c r="D346" s="143"/>
      <c r="E346" s="143"/>
      <c r="F346" s="143"/>
      <c r="G346" s="143"/>
      <c r="H346" s="40"/>
      <c r="I346" s="1337"/>
      <c r="J346" s="1337"/>
      <c r="K346" s="1337"/>
      <c r="L346" s="1330"/>
      <c r="M346" s="1330"/>
      <c r="N346" s="1330"/>
      <c r="O346" s="1330"/>
      <c r="P346" s="1330"/>
      <c r="Q346" s="994"/>
    </row>
    <row r="347" spans="1:44" ht="13.35" customHeight="1">
      <c r="A347" s="3660" t="s">
        <v>7157</v>
      </c>
      <c r="B347" s="3661"/>
      <c r="C347" s="3661"/>
      <c r="D347" s="3661"/>
      <c r="E347" s="3661"/>
      <c r="F347" s="3661"/>
      <c r="G347" s="3661"/>
      <c r="H347" s="3661"/>
      <c r="I347" s="3661"/>
      <c r="J347" s="3661"/>
      <c r="K347" s="3661"/>
      <c r="L347" s="3661"/>
      <c r="M347" s="3661"/>
      <c r="N347" s="3661"/>
      <c r="O347" s="3661"/>
      <c r="P347" s="3661"/>
      <c r="Q347" s="3662"/>
      <c r="R347" s="503" t="s">
        <v>1228</v>
      </c>
      <c r="S347" s="504"/>
      <c r="U347" s="138"/>
      <c r="V347" s="138"/>
      <c r="W347" s="138"/>
      <c r="X347" s="138"/>
      <c r="Y347" s="138"/>
      <c r="Z347" s="138"/>
      <c r="AA347" s="138"/>
      <c r="AB347" s="138"/>
      <c r="AC347" s="138"/>
      <c r="AD347" s="138"/>
      <c r="AE347" s="520"/>
    </row>
    <row r="348" spans="1:44" ht="11.25" customHeight="1">
      <c r="B348" s="139" t="s">
        <v>1820</v>
      </c>
      <c r="C348" s="140"/>
      <c r="D348" s="1331"/>
      <c r="E348" s="1331"/>
      <c r="F348" s="1331"/>
      <c r="G348" s="1331"/>
      <c r="H348" s="1331"/>
      <c r="I348" s="1331"/>
      <c r="J348" s="1331"/>
      <c r="K348" s="1331"/>
      <c r="L348" s="1331"/>
      <c r="M348" s="1331"/>
      <c r="N348" s="1331"/>
      <c r="O348" s="1331"/>
      <c r="P348" s="1331"/>
      <c r="Q348" s="1331"/>
    </row>
    <row r="349" spans="1:44" ht="13.35" customHeight="1">
      <c r="A349" s="3620"/>
      <c r="B349" s="3621"/>
      <c r="C349" s="3621"/>
      <c r="D349" s="3621"/>
      <c r="E349" s="3621"/>
      <c r="F349" s="3621"/>
      <c r="G349" s="3621"/>
      <c r="H349" s="3621"/>
      <c r="I349" s="3621"/>
      <c r="J349" s="3621"/>
      <c r="K349" s="3621"/>
      <c r="L349" s="3621"/>
      <c r="M349" s="3621"/>
      <c r="N349" s="3621"/>
      <c r="O349" s="3621"/>
      <c r="P349" s="3621"/>
      <c r="Q349" s="3622"/>
    </row>
    <row r="350" spans="1:44" ht="2.25" customHeight="1">
      <c r="A350" s="1330"/>
      <c r="B350" s="1337"/>
      <c r="C350" s="1331"/>
      <c r="D350" s="1331"/>
      <c r="E350" s="1331"/>
      <c r="F350" s="1331"/>
      <c r="G350" s="1331"/>
      <c r="H350" s="1331"/>
      <c r="I350" s="1331"/>
      <c r="J350" s="1331"/>
      <c r="K350" s="1331"/>
      <c r="L350" s="1331"/>
      <c r="M350" s="1331"/>
      <c r="N350" s="1331"/>
      <c r="O350" s="1331"/>
      <c r="P350" s="1331"/>
      <c r="Q350" s="994"/>
      <c r="R350" s="8"/>
      <c r="S350" s="8"/>
    </row>
    <row r="351" spans="1:44" ht="14.1" customHeight="1">
      <c r="A351" s="1336" t="s">
        <v>3794</v>
      </c>
      <c r="B351" s="4" t="s">
        <v>3772</v>
      </c>
      <c r="C351" s="4"/>
      <c r="D351" s="4"/>
      <c r="E351" s="4"/>
      <c r="F351" s="4"/>
      <c r="G351" s="4"/>
      <c r="H351" s="1331"/>
      <c r="I351" s="1331"/>
      <c r="J351" s="1331"/>
      <c r="K351" s="1331"/>
      <c r="L351" s="1331"/>
      <c r="M351" s="1331"/>
      <c r="O351" s="134" t="s">
        <v>1821</v>
      </c>
      <c r="P351" s="3860"/>
      <c r="Q351" s="3667"/>
    </row>
    <row r="352" spans="1:44" ht="10.5" customHeight="1">
      <c r="A352" s="47" t="s">
        <v>1936</v>
      </c>
      <c r="B352" s="137" t="s">
        <v>3773</v>
      </c>
      <c r="D352" s="153"/>
      <c r="E352" s="153"/>
      <c r="F352" s="153"/>
      <c r="G352" s="153"/>
      <c r="H352" s="518" t="s">
        <v>1936</v>
      </c>
      <c r="I352" s="3642"/>
      <c r="J352" s="3643"/>
      <c r="K352" s="3643"/>
      <c r="L352" s="3643"/>
      <c r="M352" s="3643"/>
      <c r="N352" s="3643"/>
      <c r="O352" s="3643"/>
      <c r="P352" s="3644"/>
      <c r="Q352" s="601"/>
    </row>
    <row r="353" spans="1:32" ht="10.5" customHeight="1">
      <c r="A353" s="144" t="s">
        <v>1938</v>
      </c>
      <c r="B353" s="137" t="s">
        <v>3774</v>
      </c>
      <c r="D353" s="153"/>
      <c r="E353" s="153"/>
      <c r="F353" s="153"/>
      <c r="G353" s="153"/>
      <c r="H353" s="165" t="s">
        <v>1938</v>
      </c>
      <c r="I353" s="3642"/>
      <c r="J353" s="3643"/>
      <c r="K353" s="3643"/>
      <c r="L353" s="3643"/>
      <c r="M353" s="3643"/>
      <c r="N353" s="3643"/>
      <c r="O353" s="3643"/>
      <c r="P353" s="3644"/>
      <c r="Q353" s="601"/>
    </row>
    <row r="354" spans="1:32" ht="21.75" customHeight="1">
      <c r="A354" s="144" t="s">
        <v>731</v>
      </c>
      <c r="B354" s="3687" t="s">
        <v>3765</v>
      </c>
      <c r="C354" s="3687"/>
      <c r="D354" s="3687"/>
      <c r="E354" s="3687"/>
      <c r="F354" s="3687"/>
      <c r="G354" s="3687"/>
      <c r="H354" s="3687"/>
      <c r="I354" s="3687"/>
      <c r="J354" s="3687"/>
      <c r="K354" s="3687"/>
      <c r="L354" s="3687"/>
      <c r="M354" s="3687"/>
      <c r="N354" s="3687"/>
      <c r="O354" s="165" t="s">
        <v>731</v>
      </c>
      <c r="P354" s="1224"/>
      <c r="Q354" s="1368"/>
    </row>
    <row r="355" spans="1:32" ht="21.75" customHeight="1">
      <c r="A355" s="144" t="s">
        <v>2065</v>
      </c>
      <c r="B355" s="3615" t="s">
        <v>3766</v>
      </c>
      <c r="C355" s="3615"/>
      <c r="D355" s="3615"/>
      <c r="E355" s="3615"/>
      <c r="F355" s="3615"/>
      <c r="G355" s="3615"/>
      <c r="H355" s="3615"/>
      <c r="I355" s="3615"/>
      <c r="J355" s="3615"/>
      <c r="K355" s="3615"/>
      <c r="L355" s="3615"/>
      <c r="M355" s="3615"/>
      <c r="N355" s="3615"/>
      <c r="O355" s="518" t="s">
        <v>2065</v>
      </c>
      <c r="P355" s="618"/>
      <c r="Q355" s="606"/>
    </row>
    <row r="356" spans="1:32" ht="10.5" customHeight="1">
      <c r="A356" s="144" t="s">
        <v>1692</v>
      </c>
      <c r="B356" s="52" t="s">
        <v>3767</v>
      </c>
      <c r="D356" s="52"/>
      <c r="E356" s="52"/>
      <c r="F356" s="52"/>
      <c r="G356" s="52"/>
      <c r="H356" s="52"/>
      <c r="I356" s="52"/>
      <c r="J356" s="52"/>
      <c r="K356" s="52"/>
      <c r="L356" s="52"/>
      <c r="M356" s="52"/>
      <c r="O356" s="165" t="s">
        <v>1692</v>
      </c>
      <c r="P356" s="419"/>
      <c r="Q356" s="604"/>
    </row>
    <row r="357" spans="1:32" s="135" customFormat="1" ht="21.75" customHeight="1">
      <c r="A357" s="144" t="s">
        <v>1693</v>
      </c>
      <c r="B357" s="3615" t="s">
        <v>3768</v>
      </c>
      <c r="C357" s="3615"/>
      <c r="D357" s="3615"/>
      <c r="E357" s="3615"/>
      <c r="F357" s="3615"/>
      <c r="G357" s="3615"/>
      <c r="H357" s="3615"/>
      <c r="I357" s="3615"/>
      <c r="J357" s="3615"/>
      <c r="K357" s="3615"/>
      <c r="L357" s="3615"/>
      <c r="M357" s="3615"/>
      <c r="N357" s="3615"/>
      <c r="O357" s="165" t="s">
        <v>1693</v>
      </c>
      <c r="P357" s="977"/>
      <c r="Q357" s="978"/>
      <c r="AE357" s="521"/>
      <c r="AF357" s="521"/>
    </row>
    <row r="358" spans="1:32" s="135" customFormat="1" ht="10.5" customHeight="1">
      <c r="A358" s="144" t="s">
        <v>1900</v>
      </c>
      <c r="B358" s="142" t="s">
        <v>3769</v>
      </c>
      <c r="D358" s="996"/>
      <c r="E358" s="996"/>
      <c r="F358" s="996"/>
      <c r="G358" s="996"/>
      <c r="H358" s="996"/>
      <c r="I358" s="996"/>
      <c r="J358" s="996"/>
      <c r="K358" s="996"/>
      <c r="L358" s="996"/>
      <c r="M358" s="996"/>
      <c r="N358" s="996"/>
      <c r="O358" s="165" t="s">
        <v>1900</v>
      </c>
      <c r="P358" s="1369"/>
      <c r="Q358" s="1340"/>
      <c r="AE358" s="521"/>
      <c r="AF358" s="521"/>
    </row>
    <row r="359" spans="1:32" s="135" customFormat="1" ht="10.5" customHeight="1">
      <c r="C359" s="976" t="s">
        <v>4427</v>
      </c>
      <c r="E359" s="1331"/>
      <c r="F359" s="1331"/>
      <c r="G359" s="1331"/>
      <c r="H359" s="1331"/>
      <c r="I359" s="1331"/>
      <c r="J359" s="1331"/>
      <c r="K359" s="1331"/>
      <c r="L359" s="1331"/>
      <c r="M359" s="1331"/>
      <c r="N359" s="1331"/>
      <c r="P359" s="1393"/>
      <c r="Q359" s="1342"/>
      <c r="AE359" s="521"/>
      <c r="AF359" s="521"/>
    </row>
    <row r="360" spans="1:32" ht="21.75" customHeight="1">
      <c r="A360" s="144" t="s">
        <v>3264</v>
      </c>
      <c r="B360" s="3615" t="s">
        <v>3770</v>
      </c>
      <c r="C360" s="3615"/>
      <c r="D360" s="3615"/>
      <c r="E360" s="3615"/>
      <c r="F360" s="3615"/>
      <c r="G360" s="3615"/>
      <c r="H360" s="3615"/>
      <c r="I360" s="3615"/>
      <c r="J360" s="3615"/>
      <c r="K360" s="3615"/>
      <c r="L360" s="3615"/>
      <c r="M360" s="3615"/>
      <c r="N360" s="3615"/>
      <c r="O360" s="165" t="s">
        <v>3264</v>
      </c>
      <c r="P360" s="1369"/>
      <c r="Q360" s="1340"/>
    </row>
    <row r="361" spans="1:32" ht="33" customHeight="1">
      <c r="A361" s="144" t="s">
        <v>598</v>
      </c>
      <c r="B361" s="3615" t="s">
        <v>3771</v>
      </c>
      <c r="C361" s="3615"/>
      <c r="D361" s="3615"/>
      <c r="E361" s="3615"/>
      <c r="F361" s="3615"/>
      <c r="G361" s="3615"/>
      <c r="H361" s="3615"/>
      <c r="I361" s="3615"/>
      <c r="J361" s="3615"/>
      <c r="K361" s="3615"/>
      <c r="L361" s="3615"/>
      <c r="M361" s="3615"/>
      <c r="N361" s="3615"/>
      <c r="O361" s="165" t="s">
        <v>598</v>
      </c>
      <c r="P361" s="1393"/>
      <c r="Q361" s="1342"/>
    </row>
    <row r="362" spans="1:32" ht="10.5" customHeight="1">
      <c r="B362" s="143" t="s">
        <v>3571</v>
      </c>
      <c r="D362" s="143"/>
      <c r="E362" s="143"/>
      <c r="F362" s="143"/>
      <c r="G362" s="143"/>
      <c r="H362" s="40"/>
      <c r="I362" s="1337"/>
      <c r="J362" s="1337"/>
      <c r="K362" s="1337"/>
      <c r="L362" s="1330"/>
      <c r="M362" s="1330"/>
      <c r="N362" s="1330"/>
      <c r="O362" s="1330"/>
      <c r="P362" s="1330"/>
      <c r="Q362" s="994"/>
    </row>
    <row r="363" spans="1:32" ht="31.5" customHeight="1">
      <c r="A363" s="3660" t="s">
        <v>7158</v>
      </c>
      <c r="B363" s="3661"/>
      <c r="C363" s="3661"/>
      <c r="D363" s="3661"/>
      <c r="E363" s="3661"/>
      <c r="F363" s="3661"/>
      <c r="G363" s="3661"/>
      <c r="H363" s="3661"/>
      <c r="I363" s="3661"/>
      <c r="J363" s="3661"/>
      <c r="K363" s="3661"/>
      <c r="L363" s="3661"/>
      <c r="M363" s="3661"/>
      <c r="N363" s="3661"/>
      <c r="O363" s="3661"/>
      <c r="P363" s="3661"/>
      <c r="Q363" s="3662"/>
      <c r="U363" s="138"/>
      <c r="V363" s="138"/>
      <c r="W363" s="138"/>
      <c r="X363" s="138"/>
      <c r="Y363" s="138"/>
      <c r="Z363" s="138"/>
      <c r="AA363" s="138"/>
      <c r="AB363" s="138"/>
      <c r="AC363" s="138"/>
      <c r="AD363" s="138"/>
      <c r="AE363" s="520"/>
    </row>
    <row r="364" spans="1:32" ht="10.5" customHeight="1">
      <c r="B364" s="139" t="s">
        <v>1820</v>
      </c>
      <c r="C364" s="140"/>
      <c r="D364" s="1331"/>
      <c r="E364" s="1331"/>
      <c r="F364" s="1331"/>
      <c r="G364" s="1331"/>
      <c r="H364" s="1331"/>
      <c r="I364" s="1331"/>
      <c r="J364" s="1331"/>
      <c r="K364" s="1331"/>
      <c r="L364" s="1331"/>
      <c r="M364" s="1331"/>
      <c r="N364" s="1331"/>
      <c r="O364" s="1331"/>
      <c r="P364" s="1331"/>
      <c r="Q364" s="1331"/>
    </row>
    <row r="365" spans="1:32" ht="23.25" customHeight="1">
      <c r="A365" s="3620"/>
      <c r="B365" s="3621"/>
      <c r="C365" s="3621"/>
      <c r="D365" s="3621"/>
      <c r="E365" s="3621"/>
      <c r="F365" s="3621"/>
      <c r="G365" s="3621"/>
      <c r="H365" s="3621"/>
      <c r="I365" s="3621"/>
      <c r="J365" s="3621"/>
      <c r="K365" s="3621"/>
      <c r="L365" s="3621"/>
      <c r="M365" s="3621"/>
      <c r="N365" s="3621"/>
      <c r="O365" s="3621"/>
      <c r="P365" s="3621"/>
      <c r="Q365" s="3622"/>
    </row>
    <row r="366" spans="1:32" ht="3" customHeight="1">
      <c r="A366" s="1330"/>
      <c r="B366" s="1337"/>
      <c r="C366" s="1331"/>
      <c r="D366" s="1331"/>
      <c r="E366" s="1331"/>
      <c r="F366" s="1331"/>
      <c r="G366" s="1331"/>
      <c r="H366" s="1331"/>
      <c r="I366" s="1331"/>
      <c r="J366" s="1331"/>
      <c r="K366" s="1331"/>
      <c r="L366" s="1331"/>
      <c r="M366" s="1331"/>
      <c r="Q366" s="994"/>
    </row>
    <row r="367" spans="1:32" ht="14.1" customHeight="1">
      <c r="A367" s="1336" t="s">
        <v>3797</v>
      </c>
      <c r="B367" s="4" t="s">
        <v>4703</v>
      </c>
      <c r="C367" s="4"/>
      <c r="D367" s="4"/>
      <c r="E367" s="4"/>
      <c r="F367" s="4"/>
      <c r="G367" s="4"/>
      <c r="H367" s="1331"/>
      <c r="I367" s="1331"/>
      <c r="J367" s="1331"/>
      <c r="O367" s="134" t="s">
        <v>1821</v>
      </c>
      <c r="P367" s="3666"/>
      <c r="Q367" s="3667"/>
    </row>
    <row r="368" spans="1:32" s="42" customFormat="1" ht="10.5" customHeight="1">
      <c r="A368" s="47" t="s">
        <v>1936</v>
      </c>
      <c r="B368" s="701" t="s">
        <v>3686</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838" t="s">
        <v>4369</v>
      </c>
      <c r="D369" s="3838"/>
      <c r="E369" s="3838"/>
      <c r="F369" s="3838"/>
      <c r="G369" s="50"/>
      <c r="H369" s="36" t="s">
        <v>599</v>
      </c>
      <c r="J369" s="3639"/>
      <c r="K369" s="3640"/>
      <c r="L369" s="3640"/>
      <c r="M369" s="3641"/>
      <c r="N369" s="3623" t="s">
        <v>3685</v>
      </c>
      <c r="O369" s="3624"/>
      <c r="P369" s="3625"/>
      <c r="Q369" s="3626"/>
      <c r="AE369" s="50"/>
      <c r="AF369" s="50"/>
    </row>
    <row r="370" spans="1:32" s="42" customFormat="1" ht="11.25" customHeight="1">
      <c r="B370" s="40"/>
      <c r="C370" s="1838"/>
      <c r="D370" s="1838"/>
      <c r="E370" s="1838"/>
      <c r="F370" s="1838"/>
      <c r="G370" s="1838"/>
      <c r="H370" s="40" t="s">
        <v>4495</v>
      </c>
      <c r="I370" s="1838"/>
      <c r="J370" s="3642"/>
      <c r="K370" s="3643"/>
      <c r="L370" s="3643"/>
      <c r="M370" s="3643"/>
      <c r="N370" s="3643"/>
      <c r="O370" s="3643"/>
      <c r="P370" s="3643"/>
      <c r="Q370" s="3644"/>
      <c r="AE370" s="50"/>
      <c r="AF370" s="50"/>
    </row>
    <row r="371" spans="1:32" s="42" customFormat="1" ht="11.25" customHeight="1">
      <c r="B371" s="40" t="s">
        <v>1695</v>
      </c>
      <c r="C371" s="52" t="s">
        <v>3687</v>
      </c>
      <c r="J371" s="3629"/>
      <c r="K371" s="3630"/>
      <c r="O371" s="518"/>
      <c r="AE371" s="50"/>
      <c r="AF371" s="50"/>
    </row>
    <row r="372" spans="1:32" s="42" customFormat="1" ht="11.25" customHeight="1">
      <c r="A372" s="47"/>
      <c r="B372" s="40" t="s">
        <v>1696</v>
      </c>
      <c r="C372" s="52" t="s">
        <v>3688</v>
      </c>
      <c r="D372" s="46"/>
      <c r="E372" s="136"/>
      <c r="I372" s="136"/>
      <c r="J372" s="3645" t="str">
        <f>'Part I-Project Information'!K40</f>
        <v>Urban</v>
      </c>
      <c r="K372" s="3646"/>
      <c r="L372" s="1333" t="s">
        <v>3689</v>
      </c>
      <c r="M372" s="136"/>
      <c r="N372" s="136"/>
      <c r="O372" s="518" t="s">
        <v>1696</v>
      </c>
      <c r="P372" s="532"/>
      <c r="Q372" s="602"/>
      <c r="AE372" s="50"/>
      <c r="AF372" s="50"/>
    </row>
    <row r="373" spans="1:32" s="42" customFormat="1" ht="11.25" customHeight="1">
      <c r="A373" s="47"/>
      <c r="B373" s="40" t="s">
        <v>2305</v>
      </c>
      <c r="C373" s="52" t="s">
        <v>4363</v>
      </c>
      <c r="E373" s="136"/>
      <c r="F373" s="136"/>
      <c r="G373" s="136"/>
      <c r="H373" s="52" t="s">
        <v>4364</v>
      </c>
      <c r="I373" s="136"/>
      <c r="J373" s="3627"/>
      <c r="K373" s="3628"/>
      <c r="L373" s="3651"/>
      <c r="M373" s="3652"/>
      <c r="O373" s="518"/>
      <c r="AE373" s="50"/>
      <c r="AF373" s="50"/>
    </row>
    <row r="374" spans="1:32" s="42" customFormat="1" ht="11.25" customHeight="1">
      <c r="A374" s="47"/>
      <c r="B374" s="40"/>
      <c r="C374" s="52"/>
      <c r="E374" s="136"/>
      <c r="F374" s="136"/>
      <c r="G374" s="136"/>
      <c r="H374" s="52" t="s">
        <v>4365</v>
      </c>
      <c r="I374" s="136"/>
      <c r="J374" s="3635"/>
      <c r="K374" s="3636"/>
      <c r="L374" s="3637"/>
      <c r="M374" s="3638"/>
      <c r="N374" s="52"/>
      <c r="O374" s="518"/>
      <c r="AE374" s="50"/>
      <c r="AF374" s="50"/>
    </row>
    <row r="375" spans="1:32" s="42" customFormat="1" ht="11.25" customHeight="1">
      <c r="A375" s="47"/>
      <c r="B375" s="40" t="s">
        <v>1516</v>
      </c>
      <c r="C375" s="52" t="s">
        <v>3690</v>
      </c>
      <c r="E375" s="52"/>
      <c r="F375" s="3631">
        <f>'Part IV-A-Uses of Funds'!J182</f>
        <v>2001110</v>
      </c>
      <c r="G375" s="3632"/>
      <c r="H375" s="52" t="s">
        <v>3691</v>
      </c>
      <c r="I375" s="52"/>
      <c r="J375" s="1861" t="str">
        <f>IF(F375&gt;'DCA Underwriting Assumptions'!$Q$146, "Request exceeds DCA per project maximum for set aside!!!","")</f>
        <v>Request exceeds DCA per project maximum for set aside!!!</v>
      </c>
      <c r="K375" s="995"/>
      <c r="L375" s="52"/>
      <c r="O375" s="518" t="s">
        <v>1516</v>
      </c>
      <c r="P375" s="532"/>
      <c r="Q375" s="602"/>
      <c r="AE375" s="50"/>
      <c r="AF375" s="50"/>
    </row>
    <row r="376" spans="1:32" s="42" customFormat="1" ht="11.25" customHeight="1">
      <c r="A376" s="47"/>
      <c r="B376" s="40" t="s">
        <v>1517</v>
      </c>
      <c r="C376" s="52" t="s">
        <v>4572</v>
      </c>
      <c r="E376" s="52"/>
      <c r="F376" s="52"/>
      <c r="G376" s="52"/>
      <c r="H376" s="52" t="s">
        <v>4366</v>
      </c>
      <c r="I376" s="52"/>
      <c r="J376" s="3647"/>
      <c r="K376" s="3648"/>
      <c r="L376" s="3649"/>
      <c r="M376" s="3650"/>
      <c r="AE376" s="50"/>
      <c r="AF376" s="50"/>
    </row>
    <row r="377" spans="1:32" s="42" customFormat="1" ht="11.25" customHeight="1">
      <c r="B377" s="40" t="s">
        <v>96</v>
      </c>
      <c r="C377" s="52" t="s">
        <v>3692</v>
      </c>
      <c r="E377" s="136"/>
      <c r="F377" s="136"/>
      <c r="G377" s="136"/>
      <c r="H377" s="136"/>
      <c r="I377" s="136"/>
      <c r="J377" s="136"/>
      <c r="K377" s="136"/>
      <c r="L377" s="136"/>
      <c r="O377" s="518" t="s">
        <v>96</v>
      </c>
      <c r="P377" s="532"/>
      <c r="Q377" s="602"/>
      <c r="AE377" s="50"/>
      <c r="AF377" s="50"/>
    </row>
    <row r="378" spans="1:32" s="42" customFormat="1" ht="11.25" customHeight="1">
      <c r="A378" s="47" t="s">
        <v>1938</v>
      </c>
      <c r="B378" s="701" t="s">
        <v>3693</v>
      </c>
      <c r="D378" s="136"/>
      <c r="E378" s="136"/>
      <c r="F378" s="136"/>
      <c r="G378" s="136"/>
      <c r="H378" s="136"/>
      <c r="P378" s="136"/>
      <c r="Q378" s="136"/>
      <c r="R378" s="136"/>
      <c r="AE378" s="50"/>
      <c r="AF378" s="50"/>
    </row>
    <row r="379" spans="1:32" s="42" customFormat="1" ht="11.25" customHeight="1">
      <c r="B379" s="40" t="s">
        <v>1694</v>
      </c>
      <c r="C379" s="995" t="s">
        <v>4401</v>
      </c>
      <c r="E379" s="1333"/>
      <c r="F379" s="1333"/>
      <c r="G379" s="1333"/>
      <c r="H379" s="1333"/>
      <c r="P379" s="532"/>
      <c r="Q379" s="602"/>
      <c r="AE379" s="50"/>
      <c r="AF379" s="50"/>
    </row>
    <row r="380" spans="1:32" s="42" customFormat="1" ht="11.25" customHeight="1">
      <c r="B380" s="40"/>
      <c r="C380" s="995"/>
      <c r="E380" s="1876"/>
      <c r="F380" s="1876"/>
      <c r="G380" s="1876"/>
      <c r="H380" s="1876"/>
      <c r="J380" s="3837" t="s">
        <v>3697</v>
      </c>
      <c r="K380" s="3837"/>
      <c r="L380" s="3837"/>
      <c r="M380" s="3837"/>
      <c r="N380" s="3741" t="s">
        <v>3695</v>
      </c>
      <c r="O380" s="3741"/>
      <c r="AE380" s="50"/>
      <c r="AF380" s="50"/>
    </row>
    <row r="381" spans="1:32" s="42" customFormat="1" ht="11.25" customHeight="1">
      <c r="A381" s="1880"/>
      <c r="B381" s="40" t="s">
        <v>1695</v>
      </c>
      <c r="C381" s="995" t="s">
        <v>3694</v>
      </c>
      <c r="E381" s="136"/>
      <c r="F381" s="136"/>
      <c r="G381" s="136"/>
      <c r="H381" s="136"/>
      <c r="I381" s="518" t="s">
        <v>1695</v>
      </c>
      <c r="J381" s="3633"/>
      <c r="K381" s="3634"/>
      <c r="L381" s="3858"/>
      <c r="M381" s="3859"/>
      <c r="N381" s="1303" t="str">
        <f>IF(J381="","",(J381-J373)/J381)</f>
        <v/>
      </c>
      <c r="O381" s="1304" t="str">
        <f>IF(L381="","",(L381-L373)/L381)</f>
        <v/>
      </c>
      <c r="P381" s="2004"/>
      <c r="Q381" s="2005"/>
      <c r="AE381" s="50"/>
      <c r="AF381" s="50"/>
    </row>
    <row r="382" spans="1:32" s="42" customFormat="1" ht="11.25" customHeight="1">
      <c r="A382" s="1880"/>
      <c r="B382" s="40" t="s">
        <v>1696</v>
      </c>
      <c r="C382" s="52" t="s">
        <v>3696</v>
      </c>
      <c r="E382" s="136"/>
      <c r="F382" s="136"/>
      <c r="G382" s="136"/>
      <c r="H382" s="136"/>
      <c r="N382" s="136"/>
      <c r="O382" s="518" t="s">
        <v>1696</v>
      </c>
      <c r="P382" s="1547"/>
      <c r="Q382" s="1548"/>
      <c r="AE382" s="50"/>
      <c r="AF382" s="50"/>
    </row>
    <row r="383" spans="1:32" s="42" customFormat="1" ht="11.25" customHeight="1">
      <c r="B383" s="40" t="s">
        <v>2305</v>
      </c>
      <c r="C383" s="52" t="s">
        <v>3698</v>
      </c>
      <c r="E383" s="136"/>
      <c r="F383" s="136"/>
      <c r="G383" s="136"/>
      <c r="H383" s="136"/>
      <c r="M383" s="136"/>
      <c r="N383" s="136"/>
      <c r="O383" s="518" t="s">
        <v>2305</v>
      </c>
      <c r="P383" s="237"/>
      <c r="Q383" s="605"/>
      <c r="AE383" s="50"/>
      <c r="AF383" s="50"/>
    </row>
    <row r="384" spans="1:32" ht="10.5" customHeight="1">
      <c r="B384" s="143" t="s">
        <v>3571</v>
      </c>
      <c r="D384" s="143"/>
      <c r="E384" s="143"/>
      <c r="F384" s="143"/>
      <c r="G384" s="143"/>
      <c r="H384" s="40"/>
      <c r="I384" s="1337"/>
      <c r="J384" s="1337"/>
      <c r="K384" s="1337"/>
      <c r="L384" s="1330"/>
      <c r="M384" s="1330"/>
      <c r="N384" s="1330"/>
      <c r="O384" s="1330"/>
      <c r="P384" s="1330"/>
      <c r="Q384" s="994"/>
    </row>
    <row r="385" spans="1:31" ht="31.5" customHeight="1">
      <c r="A385" s="3660" t="s">
        <v>7159</v>
      </c>
      <c r="B385" s="3661"/>
      <c r="C385" s="3661"/>
      <c r="D385" s="3661"/>
      <c r="E385" s="3661"/>
      <c r="F385" s="3661"/>
      <c r="G385" s="3661"/>
      <c r="H385" s="3661"/>
      <c r="I385" s="3661"/>
      <c r="J385" s="3661"/>
      <c r="K385" s="3661"/>
      <c r="L385" s="3661"/>
      <c r="M385" s="3661"/>
      <c r="N385" s="3661"/>
      <c r="O385" s="3661"/>
      <c r="P385" s="3661"/>
      <c r="Q385" s="3662"/>
      <c r="U385" s="138"/>
      <c r="V385" s="138"/>
      <c r="W385" s="138"/>
      <c r="X385" s="138"/>
      <c r="Y385" s="138"/>
      <c r="Z385" s="138"/>
      <c r="AA385" s="138"/>
      <c r="AB385" s="138"/>
      <c r="AC385" s="138"/>
      <c r="AD385" s="138"/>
      <c r="AE385" s="520"/>
    </row>
    <row r="386" spans="1:31" ht="11.25" customHeight="1">
      <c r="B386" s="139" t="s">
        <v>1820</v>
      </c>
      <c r="C386" s="140"/>
      <c r="D386" s="1331"/>
      <c r="E386" s="1331"/>
      <c r="F386" s="1331"/>
      <c r="G386" s="1331"/>
      <c r="H386" s="1331"/>
      <c r="I386" s="1331"/>
      <c r="J386" s="1331"/>
      <c r="K386" s="1331"/>
      <c r="L386" s="1331"/>
      <c r="M386" s="1331"/>
      <c r="N386" s="1331"/>
      <c r="O386" s="1331"/>
      <c r="P386" s="1331"/>
      <c r="Q386" s="1331"/>
    </row>
    <row r="387" spans="1:31" ht="23.25" customHeight="1">
      <c r="A387" s="3620"/>
      <c r="B387" s="3621"/>
      <c r="C387" s="3621"/>
      <c r="D387" s="3621"/>
      <c r="E387" s="3621"/>
      <c r="F387" s="3621"/>
      <c r="G387" s="3621"/>
      <c r="H387" s="3621"/>
      <c r="I387" s="3621"/>
      <c r="J387" s="3621"/>
      <c r="K387" s="3621"/>
      <c r="L387" s="3621"/>
      <c r="M387" s="3621"/>
      <c r="N387" s="3621"/>
      <c r="O387" s="3621"/>
      <c r="P387" s="3621"/>
      <c r="Q387" s="3622"/>
    </row>
    <row r="388" spans="1:31" ht="3.6" customHeight="1">
      <c r="A388" s="1330"/>
      <c r="B388" s="1337"/>
      <c r="C388" s="1331"/>
      <c r="D388" s="1331"/>
      <c r="E388" s="1331"/>
      <c r="F388" s="1331"/>
      <c r="G388" s="1331"/>
      <c r="H388" s="1331"/>
      <c r="I388" s="1331"/>
      <c r="J388" s="1331"/>
      <c r="K388" s="1331"/>
      <c r="L388" s="1331"/>
      <c r="M388" s="1331"/>
      <c r="Q388" s="994"/>
    </row>
    <row r="389" spans="1:31" ht="3" customHeight="1">
      <c r="A389" s="1330"/>
      <c r="B389" s="1337"/>
      <c r="C389" s="1331"/>
      <c r="D389" s="1331"/>
      <c r="E389" s="1331"/>
      <c r="F389" s="1331"/>
      <c r="G389" s="1331"/>
      <c r="H389" s="1331"/>
      <c r="I389" s="1331"/>
      <c r="J389" s="1331"/>
      <c r="K389" s="1331"/>
      <c r="L389" s="1331"/>
      <c r="M389" s="1331"/>
      <c r="Q389" s="994"/>
    </row>
    <row r="390" spans="1:31" ht="14.1" customHeight="1">
      <c r="A390" s="1336" t="s">
        <v>3798</v>
      </c>
      <c r="B390" s="4" t="s">
        <v>2608</v>
      </c>
      <c r="C390" s="4"/>
      <c r="D390" s="4"/>
      <c r="E390" s="4"/>
      <c r="F390" s="4"/>
      <c r="G390" s="4"/>
      <c r="H390" s="1331"/>
      <c r="I390" s="1331"/>
      <c r="J390" s="1331"/>
      <c r="O390" s="134" t="s">
        <v>1821</v>
      </c>
      <c r="P390" s="3666"/>
      <c r="Q390" s="3667"/>
    </row>
    <row r="391" spans="1:31" ht="11.4" customHeight="1">
      <c r="A391" s="47" t="s">
        <v>1936</v>
      </c>
      <c r="B391" s="120" t="s">
        <v>1012</v>
      </c>
      <c r="E391" s="3812"/>
      <c r="F391" s="3813"/>
      <c r="G391" s="3813"/>
      <c r="H391" s="3813"/>
      <c r="I391" s="3814"/>
      <c r="J391" s="3815" t="s">
        <v>2595</v>
      </c>
      <c r="K391" s="3816"/>
      <c r="L391" s="3624"/>
      <c r="M391" s="3812"/>
      <c r="N391" s="3813"/>
      <c r="O391" s="3813"/>
      <c r="P391" s="3813"/>
      <c r="Q391" s="3814"/>
    </row>
    <row r="392" spans="1:31" ht="11.4" customHeight="1">
      <c r="A392" s="47" t="s">
        <v>1938</v>
      </c>
      <c r="B392" s="52" t="s">
        <v>3347</v>
      </c>
      <c r="D392" s="52"/>
      <c r="E392" s="52"/>
      <c r="F392" s="52"/>
      <c r="G392" s="52"/>
      <c r="H392" s="52"/>
      <c r="I392" s="52"/>
      <c r="J392" s="52"/>
      <c r="K392" s="52"/>
      <c r="L392" s="995"/>
      <c r="M392" s="995"/>
      <c r="O392" s="518" t="s">
        <v>1938</v>
      </c>
      <c r="P392" s="236"/>
      <c r="Q392" s="603"/>
    </row>
    <row r="393" spans="1:31" ht="22.5" customHeight="1">
      <c r="A393" s="144" t="s">
        <v>731</v>
      </c>
      <c r="B393" s="3615" t="s">
        <v>3356</v>
      </c>
      <c r="C393" s="3615"/>
      <c r="D393" s="3615"/>
      <c r="E393" s="3615"/>
      <c r="F393" s="3615"/>
      <c r="G393" s="3615"/>
      <c r="H393" s="3615"/>
      <c r="I393" s="3615"/>
      <c r="J393" s="3615"/>
      <c r="K393" s="3615"/>
      <c r="L393" s="3615"/>
      <c r="M393" s="3615"/>
      <c r="N393" s="3615"/>
      <c r="O393" s="165" t="s">
        <v>731</v>
      </c>
      <c r="P393" s="618"/>
      <c r="Q393" s="606"/>
    </row>
    <row r="394" spans="1:31">
      <c r="A394" s="47" t="s">
        <v>2065</v>
      </c>
      <c r="B394" s="55" t="s">
        <v>3522</v>
      </c>
      <c r="G394" s="1333"/>
      <c r="H394" s="1333"/>
      <c r="I394" s="1333"/>
      <c r="J394" s="995" t="s">
        <v>3523</v>
      </c>
      <c r="L394" s="1333"/>
      <c r="M394" s="3818">
        <f>'Part III-Sources of Funds'!H5</f>
        <v>0</v>
      </c>
      <c r="N394" s="3819"/>
      <c r="O394" s="518" t="s">
        <v>2065</v>
      </c>
      <c r="P394" s="237"/>
      <c r="Q394" s="605"/>
    </row>
    <row r="395" spans="1:31" ht="11.25" customHeight="1">
      <c r="B395" s="143" t="s">
        <v>3571</v>
      </c>
      <c r="D395" s="143"/>
      <c r="E395" s="143"/>
      <c r="F395" s="143"/>
      <c r="G395" s="143"/>
      <c r="H395" s="40"/>
      <c r="I395" s="1337"/>
      <c r="J395" s="1337"/>
      <c r="K395" s="1337"/>
      <c r="L395" s="1330"/>
      <c r="M395" s="1330"/>
      <c r="N395" s="1330"/>
      <c r="O395" s="1330"/>
      <c r="P395" s="1330"/>
      <c r="Q395" s="994"/>
    </row>
    <row r="396" spans="1:31" ht="11.4" customHeight="1">
      <c r="A396" s="3660" t="s">
        <v>7160</v>
      </c>
      <c r="B396" s="3661"/>
      <c r="C396" s="3661"/>
      <c r="D396" s="3661"/>
      <c r="E396" s="3661"/>
      <c r="F396" s="3661"/>
      <c r="G396" s="3661"/>
      <c r="H396" s="3661"/>
      <c r="I396" s="3661"/>
      <c r="J396" s="3661"/>
      <c r="K396" s="3661"/>
      <c r="L396" s="3661"/>
      <c r="M396" s="3661"/>
      <c r="N396" s="3661"/>
      <c r="O396" s="3661"/>
      <c r="P396" s="3661"/>
      <c r="Q396" s="3662"/>
      <c r="U396" s="138"/>
      <c r="V396" s="138"/>
      <c r="W396" s="138"/>
      <c r="X396" s="138"/>
      <c r="Y396" s="138"/>
      <c r="Z396" s="138"/>
      <c r="AA396" s="138"/>
      <c r="AB396" s="138"/>
      <c r="AC396" s="138"/>
      <c r="AD396" s="138"/>
      <c r="AE396" s="520"/>
    </row>
    <row r="397" spans="1:31" ht="11.25" customHeight="1">
      <c r="B397" s="139" t="s">
        <v>1820</v>
      </c>
      <c r="C397" s="140"/>
      <c r="D397" s="1331"/>
      <c r="E397" s="1331"/>
      <c r="F397" s="1331"/>
      <c r="G397" s="1331"/>
      <c r="H397" s="1331"/>
      <c r="I397" s="1331"/>
      <c r="J397" s="1331"/>
      <c r="K397" s="1331"/>
      <c r="L397" s="1331"/>
      <c r="M397" s="1331"/>
      <c r="N397" s="1331"/>
      <c r="O397" s="1331"/>
      <c r="P397" s="1331"/>
      <c r="Q397" s="1331"/>
    </row>
    <row r="398" spans="1:31" ht="11.4" customHeight="1">
      <c r="A398" s="3620"/>
      <c r="B398" s="3621"/>
      <c r="C398" s="3621"/>
      <c r="D398" s="3621"/>
      <c r="E398" s="3621"/>
      <c r="F398" s="3621"/>
      <c r="G398" s="3621"/>
      <c r="H398" s="3621"/>
      <c r="I398" s="3621"/>
      <c r="J398" s="3621"/>
      <c r="K398" s="3621"/>
      <c r="L398" s="3621"/>
      <c r="M398" s="3621"/>
      <c r="N398" s="3621"/>
      <c r="O398" s="3621"/>
      <c r="P398" s="3621"/>
      <c r="Q398" s="3622"/>
    </row>
    <row r="399" spans="1:31" ht="3.6" customHeight="1">
      <c r="A399" s="1330"/>
      <c r="B399" s="1337"/>
      <c r="C399" s="1331"/>
      <c r="D399" s="1331"/>
      <c r="E399" s="1331"/>
      <c r="F399" s="1331"/>
      <c r="G399" s="1331"/>
      <c r="H399" s="1331"/>
      <c r="I399" s="1331"/>
      <c r="J399" s="1331"/>
      <c r="K399" s="1331"/>
      <c r="L399" s="1331"/>
      <c r="M399" s="1331"/>
      <c r="Q399" s="994"/>
    </row>
    <row r="400" spans="1:31" ht="14.1" customHeight="1">
      <c r="A400" s="1336" t="s">
        <v>3799</v>
      </c>
      <c r="B400" s="4" t="s">
        <v>2593</v>
      </c>
      <c r="C400" s="4"/>
      <c r="D400" s="4"/>
      <c r="E400" s="1331"/>
      <c r="G400" s="142" t="s">
        <v>683</v>
      </c>
      <c r="H400" s="1331"/>
      <c r="I400" s="1331"/>
      <c r="J400" s="1331"/>
      <c r="K400" s="1331"/>
      <c r="L400" s="1331"/>
      <c r="M400" s="1331"/>
      <c r="O400" s="134" t="s">
        <v>1821</v>
      </c>
      <c r="P400" s="3666"/>
      <c r="Q400" s="3839"/>
    </row>
    <row r="401" spans="1:31" ht="12" customHeight="1">
      <c r="A401" s="47" t="s">
        <v>1936</v>
      </c>
      <c r="B401" s="52" t="s">
        <v>2597</v>
      </c>
      <c r="D401" s="996"/>
      <c r="E401" s="996"/>
      <c r="O401" s="518" t="s">
        <v>1936</v>
      </c>
      <c r="P401" s="236"/>
      <c r="Q401" s="603"/>
    </row>
    <row r="402" spans="1:31" ht="12" customHeight="1">
      <c r="A402" s="47" t="s">
        <v>1938</v>
      </c>
      <c r="B402" s="52" t="s">
        <v>3444</v>
      </c>
      <c r="D402" s="996"/>
      <c r="E402" s="996"/>
      <c r="O402" s="518" t="s">
        <v>1938</v>
      </c>
      <c r="P402" s="419"/>
      <c r="Q402" s="604"/>
    </row>
    <row r="403" spans="1:31" ht="12" customHeight="1">
      <c r="A403" s="47" t="s">
        <v>731</v>
      </c>
      <c r="B403" s="52" t="s">
        <v>4720</v>
      </c>
      <c r="D403" s="996"/>
      <c r="E403" s="996"/>
      <c r="O403" s="518" t="s">
        <v>731</v>
      </c>
      <c r="P403" s="419"/>
      <c r="Q403" s="604"/>
    </row>
    <row r="404" spans="1:31" ht="12" customHeight="1">
      <c r="A404" s="47" t="s">
        <v>2065</v>
      </c>
      <c r="B404" s="52" t="s">
        <v>3445</v>
      </c>
      <c r="E404" s="142"/>
      <c r="O404" s="518" t="s">
        <v>2065</v>
      </c>
      <c r="P404" s="419"/>
      <c r="Q404" s="604"/>
    </row>
    <row r="405" spans="1:31" ht="12" customHeight="1">
      <c r="A405" s="47" t="s">
        <v>1692</v>
      </c>
      <c r="B405" s="52" t="s">
        <v>2031</v>
      </c>
      <c r="E405" s="142"/>
      <c r="G405" s="518" t="s">
        <v>1692</v>
      </c>
      <c r="H405" s="3840"/>
      <c r="I405" s="3841"/>
      <c r="J405" s="3841"/>
      <c r="K405" s="3841"/>
      <c r="L405" s="3841"/>
      <c r="M405" s="3841"/>
      <c r="N405" s="3841"/>
      <c r="O405" s="3842"/>
      <c r="P405" s="237"/>
      <c r="Q405" s="605"/>
    </row>
    <row r="406" spans="1:31" ht="11.25" customHeight="1">
      <c r="B406" s="143" t="s">
        <v>3571</v>
      </c>
      <c r="D406" s="143"/>
      <c r="E406" s="143"/>
      <c r="F406" s="143"/>
      <c r="G406" s="143"/>
      <c r="H406" s="40"/>
      <c r="I406" s="1337"/>
      <c r="J406" s="1337"/>
      <c r="K406" s="1337"/>
      <c r="L406" s="1330"/>
      <c r="M406" s="1330"/>
      <c r="N406" s="1330"/>
      <c r="O406" s="1330"/>
      <c r="P406" s="1330"/>
      <c r="Q406" s="994"/>
    </row>
    <row r="407" spans="1:31" ht="11.4" customHeight="1">
      <c r="A407" s="3660" t="s">
        <v>7161</v>
      </c>
      <c r="B407" s="3661"/>
      <c r="C407" s="3661"/>
      <c r="D407" s="3661"/>
      <c r="E407" s="3661"/>
      <c r="F407" s="3661"/>
      <c r="G407" s="3661"/>
      <c r="H407" s="3661"/>
      <c r="I407" s="3661"/>
      <c r="J407" s="3661"/>
      <c r="K407" s="3661"/>
      <c r="L407" s="3661"/>
      <c r="M407" s="3661"/>
      <c r="N407" s="3661"/>
      <c r="O407" s="3661"/>
      <c r="P407" s="3661"/>
      <c r="Q407" s="3662"/>
      <c r="U407" s="138"/>
      <c r="V407" s="138"/>
      <c r="W407" s="138"/>
      <c r="X407" s="138"/>
      <c r="Y407" s="138"/>
      <c r="Z407" s="138"/>
      <c r="AA407" s="138"/>
      <c r="AB407" s="138"/>
      <c r="AC407" s="138"/>
      <c r="AD407" s="138"/>
      <c r="AE407" s="520"/>
    </row>
    <row r="408" spans="1:31" ht="11.25" customHeight="1">
      <c r="B408" s="139" t="s">
        <v>1820</v>
      </c>
      <c r="C408" s="140"/>
      <c r="D408" s="1331"/>
      <c r="E408" s="1331"/>
      <c r="F408" s="1331"/>
      <c r="G408" s="1331"/>
      <c r="H408" s="1331"/>
      <c r="I408" s="1331"/>
      <c r="J408" s="1331"/>
      <c r="K408" s="1331"/>
      <c r="L408" s="1331"/>
      <c r="M408" s="1331"/>
      <c r="N408" s="1331"/>
      <c r="O408" s="1331"/>
      <c r="P408" s="1331"/>
      <c r="Q408" s="1331"/>
    </row>
    <row r="409" spans="1:31" ht="11.4" customHeight="1">
      <c r="A409" s="3620"/>
      <c r="B409" s="3621"/>
      <c r="C409" s="3621"/>
      <c r="D409" s="3621"/>
      <c r="E409" s="3621"/>
      <c r="F409" s="3621"/>
      <c r="G409" s="3621"/>
      <c r="H409" s="3621"/>
      <c r="I409" s="3621"/>
      <c r="J409" s="3621"/>
      <c r="K409" s="3621"/>
      <c r="L409" s="3621"/>
      <c r="M409" s="3621"/>
      <c r="N409" s="3621"/>
      <c r="O409" s="3621"/>
      <c r="P409" s="3621"/>
      <c r="Q409" s="3622"/>
    </row>
    <row r="410" spans="1:31" ht="3" customHeight="1">
      <c r="A410" s="1330"/>
      <c r="B410" s="1337"/>
      <c r="C410" s="1331"/>
      <c r="D410" s="1331"/>
      <c r="E410" s="1331"/>
      <c r="F410" s="1331"/>
      <c r="G410" s="1331"/>
      <c r="H410" s="1331"/>
      <c r="I410" s="1331"/>
      <c r="J410" s="1331"/>
      <c r="K410" s="1331"/>
      <c r="L410" s="1331"/>
      <c r="M410" s="1331"/>
      <c r="N410" s="1331"/>
      <c r="O410" s="1331"/>
      <c r="P410" s="1331"/>
      <c r="Q410" s="1330"/>
    </row>
    <row r="411" spans="1:31" ht="14.1" customHeight="1">
      <c r="A411" s="1336" t="s">
        <v>3800</v>
      </c>
      <c r="B411" s="4" t="s">
        <v>4542</v>
      </c>
      <c r="C411" s="4"/>
      <c r="D411" s="4"/>
      <c r="E411" s="4"/>
      <c r="F411" s="4"/>
      <c r="G411" s="4"/>
      <c r="H411" s="1331"/>
      <c r="I411" s="1331"/>
      <c r="J411" s="1331"/>
      <c r="K411" s="1331"/>
      <c r="L411" s="1331"/>
      <c r="M411" s="1331"/>
      <c r="O411" s="134" t="s">
        <v>1821</v>
      </c>
      <c r="P411" s="3829"/>
      <c r="Q411" s="3830"/>
    </row>
    <row r="412" spans="1:31" ht="12" customHeight="1">
      <c r="A412" s="47" t="s">
        <v>1936</v>
      </c>
      <c r="B412" s="87" t="s">
        <v>4541</v>
      </c>
      <c r="D412" s="42"/>
      <c r="E412" s="42"/>
      <c r="F412" s="42"/>
      <c r="G412" s="42"/>
      <c r="H412" s="42"/>
      <c r="I412" s="42"/>
      <c r="J412" s="42"/>
      <c r="K412" s="42"/>
      <c r="L412" s="42"/>
      <c r="M412" s="42"/>
      <c r="N412" s="42"/>
      <c r="O412" s="42"/>
      <c r="P412" s="42"/>
      <c r="Q412" s="42"/>
    </row>
    <row r="413" spans="1:31" ht="12" customHeight="1">
      <c r="A413" s="47"/>
      <c r="B413" s="2080" t="s">
        <v>1939</v>
      </c>
      <c r="C413" s="55" t="s">
        <v>734</v>
      </c>
      <c r="D413" s="42"/>
      <c r="E413" s="42"/>
      <c r="F413" s="42"/>
      <c r="G413" s="42"/>
      <c r="H413" s="42"/>
      <c r="I413" s="42"/>
      <c r="J413" s="42"/>
      <c r="K413" s="42"/>
      <c r="L413" s="42"/>
      <c r="M413" s="42"/>
      <c r="N413" s="42"/>
      <c r="O413" s="518">
        <v>1</v>
      </c>
      <c r="P413" s="236"/>
      <c r="Q413" s="603"/>
    </row>
    <row r="414" spans="1:31" ht="12" customHeight="1">
      <c r="C414" s="36" t="s">
        <v>4721</v>
      </c>
      <c r="D414" s="55" t="s">
        <v>4722</v>
      </c>
      <c r="E414" s="42"/>
      <c r="F414" s="42"/>
      <c r="G414" s="42"/>
      <c r="H414" s="42"/>
      <c r="I414" s="42"/>
      <c r="J414" s="42"/>
      <c r="K414" s="42"/>
      <c r="L414" s="42"/>
      <c r="M414" s="42"/>
      <c r="N414" s="42"/>
      <c r="O414" s="518" t="s">
        <v>2372</v>
      </c>
      <c r="P414" s="419"/>
      <c r="Q414" s="604"/>
    </row>
    <row r="415" spans="1:31" ht="12" customHeight="1">
      <c r="B415" s="52"/>
      <c r="C415" s="52" t="s">
        <v>2373</v>
      </c>
      <c r="D415" s="55" t="s">
        <v>4723</v>
      </c>
      <c r="E415" s="42"/>
      <c r="F415" s="42"/>
      <c r="G415" s="42"/>
      <c r="H415" s="42"/>
      <c r="I415" s="42"/>
      <c r="J415" s="42"/>
      <c r="K415" s="42"/>
      <c r="L415" s="42"/>
      <c r="M415" s="42"/>
      <c r="N415" s="42"/>
      <c r="O415" s="64" t="s">
        <v>2373</v>
      </c>
      <c r="P415" s="237"/>
      <c r="Q415" s="605"/>
    </row>
    <row r="416" spans="1:31" ht="12" customHeight="1">
      <c r="A416" s="47"/>
      <c r="D416" s="52" t="s">
        <v>1452</v>
      </c>
      <c r="E416" s="52"/>
      <c r="F416" s="52"/>
      <c r="G416" s="52"/>
      <c r="H416" s="52"/>
      <c r="I416" s="52"/>
      <c r="J416" s="52"/>
      <c r="K416" s="52"/>
      <c r="L416" s="52"/>
      <c r="M416" s="52"/>
      <c r="N416" s="42"/>
      <c r="O416" s="2225"/>
    </row>
    <row r="417" spans="1:32" ht="12" customHeight="1">
      <c r="C417" s="52" t="s">
        <v>4549</v>
      </c>
      <c r="D417" s="52" t="s">
        <v>3357</v>
      </c>
      <c r="E417" s="52"/>
      <c r="F417" s="52"/>
      <c r="G417" s="52"/>
      <c r="H417" s="52"/>
      <c r="I417" s="52"/>
      <c r="J417" s="52"/>
      <c r="K417" s="52"/>
      <c r="L417" s="52"/>
      <c r="M417" s="52"/>
      <c r="N417" s="42"/>
      <c r="O417" s="64" t="s">
        <v>2374</v>
      </c>
      <c r="P417" s="236"/>
      <c r="Q417" s="603"/>
    </row>
    <row r="418" spans="1:32" s="150" customFormat="1" ht="12" customHeight="1">
      <c r="A418" s="47"/>
      <c r="C418" s="64" t="s">
        <v>2375</v>
      </c>
      <c r="D418" s="52" t="s">
        <v>3439</v>
      </c>
      <c r="E418" s="52"/>
      <c r="F418" s="52"/>
      <c r="G418" s="52"/>
      <c r="H418" s="52"/>
      <c r="I418" s="52"/>
      <c r="J418" s="52"/>
      <c r="K418" s="52"/>
      <c r="L418" s="52"/>
      <c r="M418" s="52"/>
      <c r="N418" s="95"/>
      <c r="O418" s="64" t="s">
        <v>2375</v>
      </c>
      <c r="P418" s="419"/>
      <c r="Q418" s="604"/>
      <c r="AE418" s="522"/>
      <c r="AF418" s="522"/>
    </row>
    <row r="419" spans="1:32" ht="12" customHeight="1">
      <c r="A419" s="47"/>
      <c r="B419" s="2080" t="s">
        <v>1941</v>
      </c>
      <c r="C419" s="52" t="s">
        <v>2151</v>
      </c>
      <c r="E419" s="52"/>
      <c r="F419" s="52"/>
      <c r="G419" s="52"/>
      <c r="H419" s="52"/>
      <c r="I419" s="52"/>
      <c r="J419" s="52"/>
      <c r="K419" s="52"/>
      <c r="L419" s="52"/>
      <c r="M419" s="52"/>
      <c r="N419" s="52"/>
      <c r="O419" s="518">
        <v>2</v>
      </c>
      <c r="P419" s="419"/>
      <c r="Q419" s="604"/>
    </row>
    <row r="420" spans="1:32" ht="12" customHeight="1">
      <c r="A420" s="47"/>
      <c r="B420" s="2080" t="s">
        <v>2468</v>
      </c>
      <c r="C420" s="3615" t="s">
        <v>2719</v>
      </c>
      <c r="D420" s="3615"/>
      <c r="E420" s="3615"/>
      <c r="F420" s="3615"/>
      <c r="G420" s="137" t="s">
        <v>4550</v>
      </c>
      <c r="J420" s="1047"/>
      <c r="K420" s="611"/>
      <c r="M420" s="137" t="s">
        <v>4551</v>
      </c>
      <c r="P420" s="1049"/>
      <c r="Q420" s="612"/>
    </row>
    <row r="421" spans="1:32" ht="12" customHeight="1">
      <c r="A421" s="47"/>
      <c r="C421" s="3615"/>
      <c r="D421" s="3615"/>
      <c r="E421" s="3615"/>
      <c r="F421" s="3615"/>
      <c r="G421" s="137" t="s">
        <v>4552</v>
      </c>
      <c r="J421" s="1049"/>
      <c r="K421" s="612"/>
      <c r="M421" s="137" t="s">
        <v>4553</v>
      </c>
      <c r="P421" s="1048"/>
      <c r="Q421" s="613"/>
    </row>
    <row r="422" spans="1:32" ht="12" customHeight="1">
      <c r="A422" s="47"/>
      <c r="C422" s="3615"/>
      <c r="D422" s="3615"/>
      <c r="E422" s="3615"/>
      <c r="F422" s="3615"/>
      <c r="G422" s="137" t="s">
        <v>4554</v>
      </c>
      <c r="J422" s="1048"/>
      <c r="K422" s="613"/>
      <c r="L422" s="995"/>
      <c r="M422" s="42"/>
      <c r="N422" s="518"/>
    </row>
    <row r="423" spans="1:32" ht="12" customHeight="1">
      <c r="A423" s="47"/>
      <c r="B423" s="2080" t="s">
        <v>1198</v>
      </c>
      <c r="C423" s="995" t="s">
        <v>4375</v>
      </c>
      <c r="E423" s="995"/>
      <c r="F423" s="995"/>
      <c r="G423" s="995"/>
      <c r="J423" s="42"/>
      <c r="K423" s="995"/>
      <c r="L423" s="995"/>
      <c r="M423" s="42"/>
      <c r="N423" s="518"/>
      <c r="P423" s="518"/>
      <c r="Q423" s="518"/>
    </row>
    <row r="424" spans="1:32" ht="12" customHeight="1">
      <c r="A424" s="47"/>
      <c r="B424" s="490"/>
      <c r="C424" s="995" t="s">
        <v>4555</v>
      </c>
      <c r="E424" s="995"/>
      <c r="G424" s="490" t="s">
        <v>4543</v>
      </c>
      <c r="H424" s="995"/>
      <c r="I424" s="995"/>
      <c r="J424" s="236"/>
      <c r="K424" s="603"/>
      <c r="L424" s="995"/>
      <c r="M424" s="490" t="s">
        <v>4548</v>
      </c>
    </row>
    <row r="425" spans="1:32" ht="12" customHeight="1">
      <c r="A425" s="42"/>
      <c r="G425" s="490" t="s">
        <v>4544</v>
      </c>
      <c r="H425" s="995"/>
      <c r="I425" s="995"/>
      <c r="J425" s="419"/>
      <c r="K425" s="604"/>
      <c r="M425" s="3823"/>
      <c r="N425" s="3824"/>
      <c r="O425" s="3824"/>
      <c r="P425" s="3824"/>
      <c r="Q425" s="3825"/>
    </row>
    <row r="426" spans="1:32" ht="12" customHeight="1">
      <c r="A426" s="42"/>
      <c r="G426" s="490" t="s">
        <v>4545</v>
      </c>
      <c r="H426" s="995"/>
      <c r="J426" s="237"/>
      <c r="K426" s="605"/>
      <c r="M426" s="3826"/>
      <c r="N426" s="3827"/>
      <c r="O426" s="3827"/>
      <c r="P426" s="3827"/>
      <c r="Q426" s="3828"/>
    </row>
    <row r="427" spans="1:32" ht="12" customHeight="1">
      <c r="A427" s="47"/>
      <c r="B427" s="490"/>
      <c r="C427" s="995" t="s">
        <v>4556</v>
      </c>
      <c r="D427" s="150"/>
      <c r="E427" s="995"/>
      <c r="F427" s="995"/>
      <c r="L427" s="995"/>
      <c r="M427" s="995"/>
      <c r="O427" s="518" t="s">
        <v>1695</v>
      </c>
      <c r="P427" s="532" t="s">
        <v>1727</v>
      </c>
      <c r="Q427" s="602" t="s">
        <v>1727</v>
      </c>
    </row>
    <row r="428" spans="1:32" ht="12" customHeight="1">
      <c r="A428" s="42"/>
      <c r="B428" s="150"/>
      <c r="D428" s="1816" t="s">
        <v>2395</v>
      </c>
      <c r="E428" s="490" t="s">
        <v>3650</v>
      </c>
      <c r="F428" s="995"/>
      <c r="G428" s="3617"/>
      <c r="H428" s="3618"/>
      <c r="I428" s="3618"/>
      <c r="J428" s="3618"/>
      <c r="K428" s="3619"/>
      <c r="L428" s="1816"/>
    </row>
    <row r="429" spans="1:32" ht="12" customHeight="1">
      <c r="B429" s="150"/>
      <c r="D429" s="1816" t="s">
        <v>4546</v>
      </c>
      <c r="E429" s="490" t="s">
        <v>4547</v>
      </c>
      <c r="F429" s="1816"/>
      <c r="G429" s="3809" t="s">
        <v>3525</v>
      </c>
      <c r="H429" s="3810"/>
      <c r="I429" s="3811"/>
      <c r="J429" s="490" t="s">
        <v>4281</v>
      </c>
      <c r="K429" s="150"/>
      <c r="M429" s="3617"/>
      <c r="N429" s="3618"/>
      <c r="O429" s="3618"/>
      <c r="P429" s="3618"/>
      <c r="Q429" s="3619"/>
    </row>
    <row r="430" spans="1:32" ht="12" customHeight="1">
      <c r="A430" s="42"/>
      <c r="B430" s="150"/>
      <c r="C430" s="490" t="s">
        <v>4422</v>
      </c>
      <c r="D430" s="150"/>
      <c r="E430" s="995"/>
      <c r="F430" s="995"/>
      <c r="G430" s="995"/>
      <c r="H430" s="995"/>
      <c r="I430" s="995"/>
      <c r="J430" s="995"/>
      <c r="K430" s="995"/>
      <c r="L430" s="995"/>
      <c r="M430" s="995"/>
      <c r="N430" s="995"/>
      <c r="O430" s="995"/>
      <c r="P430" s="995"/>
      <c r="Q430" s="995"/>
    </row>
    <row r="431" spans="1:32" ht="44.4" customHeight="1">
      <c r="B431" s="3843"/>
      <c r="C431" s="3844"/>
      <c r="D431" s="3844"/>
      <c r="E431" s="3844"/>
      <c r="F431" s="3844"/>
      <c r="G431" s="3844"/>
      <c r="H431" s="3844"/>
      <c r="I431" s="3844"/>
      <c r="J431" s="3844"/>
      <c r="K431" s="3844"/>
      <c r="L431" s="3844"/>
      <c r="M431" s="3844"/>
      <c r="N431" s="3844"/>
      <c r="O431" s="3844"/>
      <c r="P431" s="3844"/>
      <c r="Q431" s="3845"/>
      <c r="R431" s="503" t="s">
        <v>4276</v>
      </c>
      <c r="U431" s="138"/>
      <c r="V431" s="138"/>
      <c r="W431" s="138"/>
      <c r="X431" s="138"/>
      <c r="Y431" s="138"/>
      <c r="Z431" s="138"/>
      <c r="AA431" s="138"/>
      <c r="AB431" s="138"/>
      <c r="AC431" s="138"/>
      <c r="AD431" s="138"/>
      <c r="AE431" s="520"/>
    </row>
    <row r="432" spans="1:32" s="150" customFormat="1" ht="3" customHeight="1">
      <c r="A432" s="706"/>
      <c r="B432" s="706"/>
      <c r="C432" s="706"/>
      <c r="D432" s="706"/>
      <c r="E432" s="706"/>
      <c r="F432" s="706"/>
      <c r="G432" s="706"/>
      <c r="H432" s="706"/>
      <c r="I432" s="706"/>
      <c r="J432" s="706"/>
      <c r="K432" s="706"/>
      <c r="L432" s="706"/>
      <c r="M432" s="706"/>
      <c r="N432" s="706"/>
      <c r="O432" s="706"/>
      <c r="P432" s="706"/>
      <c r="Q432" s="706"/>
      <c r="AE432" s="522"/>
      <c r="AF432" s="522"/>
    </row>
    <row r="433" spans="1:32" s="150" customFormat="1">
      <c r="A433" s="144" t="s">
        <v>1938</v>
      </c>
      <c r="B433" s="3688" t="s">
        <v>4724</v>
      </c>
      <c r="C433" s="3615"/>
      <c r="D433" s="3615"/>
      <c r="E433" s="3615"/>
      <c r="F433" s="3615"/>
      <c r="G433" s="3615"/>
      <c r="H433" s="3615"/>
      <c r="I433" s="3615"/>
      <c r="J433" s="3615"/>
      <c r="K433" s="3615"/>
      <c r="L433" s="3615"/>
      <c r="M433" s="3615"/>
      <c r="N433" s="3615"/>
      <c r="T433" s="522"/>
      <c r="AE433" s="522"/>
      <c r="AF433" s="522"/>
    </row>
    <row r="434" spans="1:32" s="150" customFormat="1" ht="12" customHeight="1">
      <c r="A434" s="144"/>
      <c r="B434" s="976" t="s">
        <v>4557</v>
      </c>
      <c r="C434" s="2066"/>
      <c r="D434" s="2066"/>
      <c r="E434" s="2066"/>
      <c r="F434" s="2066"/>
      <c r="G434" s="2066"/>
      <c r="H434" s="2066"/>
      <c r="I434" s="2066"/>
      <c r="J434" s="2066"/>
      <c r="K434" s="2066"/>
      <c r="L434" s="2066"/>
      <c r="M434" s="2066"/>
      <c r="N434" s="2066"/>
      <c r="T434" s="522"/>
      <c r="AE434" s="522"/>
      <c r="AF434" s="522"/>
    </row>
    <row r="435" spans="1:32" s="150" customFormat="1" ht="48" customHeight="1">
      <c r="B435" s="3615" t="s">
        <v>4558</v>
      </c>
      <c r="C435" s="3615"/>
      <c r="D435" s="3615"/>
      <c r="E435" s="3615"/>
      <c r="F435" s="3615"/>
      <c r="G435" s="3615"/>
      <c r="H435" s="3615"/>
      <c r="I435" s="3615"/>
      <c r="J435" s="3615"/>
      <c r="K435" s="3615"/>
      <c r="L435" s="3615"/>
      <c r="M435" s="3615"/>
      <c r="N435" s="3615"/>
      <c r="O435" s="165" t="s">
        <v>1938</v>
      </c>
      <c r="P435" s="2081"/>
      <c r="Q435" s="2082"/>
      <c r="T435" s="522"/>
      <c r="AE435" s="522"/>
      <c r="AF435" s="522"/>
    </row>
    <row r="436" spans="1:32" ht="12" customHeight="1">
      <c r="B436" s="143" t="s">
        <v>3571</v>
      </c>
      <c r="D436" s="143"/>
      <c r="E436" s="143"/>
      <c r="F436" s="143"/>
      <c r="G436" s="143"/>
      <c r="H436" s="40"/>
      <c r="I436" s="1337"/>
      <c r="J436" s="1337"/>
      <c r="K436" s="1337"/>
    </row>
    <row r="437" spans="1:32" ht="33.6" customHeight="1">
      <c r="A437" s="3660" t="s">
        <v>7162</v>
      </c>
      <c r="B437" s="3661"/>
      <c r="C437" s="3661"/>
      <c r="D437" s="3661"/>
      <c r="E437" s="3661"/>
      <c r="F437" s="3661"/>
      <c r="G437" s="3661"/>
      <c r="H437" s="3661"/>
      <c r="I437" s="3661"/>
      <c r="J437" s="3661"/>
      <c r="K437" s="3661"/>
      <c r="L437" s="3661"/>
      <c r="M437" s="3661"/>
      <c r="N437" s="3661"/>
      <c r="O437" s="3661"/>
      <c r="P437" s="3661"/>
      <c r="Q437" s="3662"/>
      <c r="U437" s="138"/>
      <c r="V437" s="138"/>
      <c r="W437" s="138"/>
      <c r="X437" s="138"/>
      <c r="Y437" s="138"/>
      <c r="Z437" s="138"/>
      <c r="AA437" s="138"/>
      <c r="AB437" s="138"/>
      <c r="AC437" s="138"/>
      <c r="AD437" s="138"/>
      <c r="AE437" s="520"/>
    </row>
    <row r="438" spans="1:32" ht="12" customHeight="1">
      <c r="B438" s="139" t="s">
        <v>1820</v>
      </c>
      <c r="C438" s="140"/>
      <c r="D438" s="1331"/>
      <c r="E438" s="1331"/>
      <c r="F438" s="1331"/>
      <c r="G438" s="1331"/>
      <c r="H438" s="1331"/>
      <c r="I438" s="1331"/>
      <c r="J438" s="1331"/>
      <c r="K438" s="1331"/>
      <c r="L438" s="1331"/>
      <c r="M438" s="1331"/>
      <c r="N438" s="1331"/>
      <c r="O438" s="1331"/>
      <c r="P438" s="1331"/>
      <c r="Q438" s="1331"/>
    </row>
    <row r="439" spans="1:32" ht="33.6" customHeight="1">
      <c r="A439" s="3620"/>
      <c r="B439" s="3621"/>
      <c r="C439" s="3621"/>
      <c r="D439" s="3621"/>
      <c r="E439" s="3621"/>
      <c r="F439" s="3621"/>
      <c r="G439" s="3621"/>
      <c r="H439" s="3621"/>
      <c r="I439" s="3621"/>
      <c r="J439" s="3621"/>
      <c r="K439" s="3621"/>
      <c r="L439" s="3621"/>
      <c r="M439" s="3621"/>
      <c r="N439" s="3621"/>
      <c r="O439" s="3621"/>
      <c r="P439" s="3621"/>
      <c r="Q439" s="3622"/>
    </row>
    <row r="440" spans="1:32" ht="3" customHeight="1">
      <c r="A440" s="1330"/>
      <c r="B440" s="1337"/>
      <c r="C440" s="1331"/>
      <c r="D440" s="1331"/>
      <c r="E440" s="1331"/>
      <c r="F440" s="1331"/>
      <c r="G440" s="1331"/>
      <c r="H440" s="1331"/>
      <c r="I440" s="1331"/>
      <c r="J440" s="1331"/>
      <c r="K440" s="1331"/>
      <c r="L440" s="1331"/>
      <c r="M440" s="1331"/>
      <c r="Q440" s="994"/>
    </row>
    <row r="441" spans="1:32" ht="14.1" customHeight="1">
      <c r="A441" s="1336" t="s">
        <v>3801</v>
      </c>
      <c r="B441" s="4" t="s">
        <v>2720</v>
      </c>
      <c r="C441" s="4"/>
      <c r="D441" s="87"/>
      <c r="E441" s="1331"/>
      <c r="F441" s="1331"/>
      <c r="G441" s="1331"/>
      <c r="H441" s="1331"/>
      <c r="O441" s="134" t="s">
        <v>1821</v>
      </c>
      <c r="P441" s="3666"/>
      <c r="Q441" s="3667"/>
    </row>
    <row r="442" spans="1:32" ht="14.1" customHeight="1">
      <c r="B442" s="87" t="s">
        <v>4467</v>
      </c>
      <c r="C442" s="4"/>
      <c r="D442" s="87"/>
      <c r="E442" s="1331"/>
      <c r="F442" s="1331"/>
      <c r="G442" s="1331"/>
      <c r="H442" s="1331"/>
    </row>
    <row r="443" spans="1:32" s="135" customFormat="1" ht="21.75" customHeight="1">
      <c r="A443" s="144" t="s">
        <v>1936</v>
      </c>
      <c r="B443" s="3711" t="s">
        <v>3700</v>
      </c>
      <c r="C443" s="3711"/>
      <c r="D443" s="3711"/>
      <c r="E443" s="3711"/>
      <c r="F443" s="3711"/>
      <c r="G443" s="3711"/>
      <c r="H443" s="3711"/>
      <c r="I443" s="3711"/>
      <c r="J443" s="3711"/>
      <c r="K443" s="3711"/>
      <c r="L443" s="3711"/>
      <c r="M443" s="3711"/>
      <c r="N443" s="3711"/>
      <c r="O443" s="165" t="s">
        <v>1936</v>
      </c>
      <c r="P443" s="1341" t="s">
        <v>7115</v>
      </c>
      <c r="Q443" s="1340"/>
      <c r="AE443" s="521"/>
      <c r="AF443" s="521"/>
    </row>
    <row r="444" spans="1:32" s="135" customFormat="1" ht="22.5" customHeight="1">
      <c r="A444" s="144" t="s">
        <v>1938</v>
      </c>
      <c r="B444" s="3711" t="s">
        <v>3699</v>
      </c>
      <c r="C444" s="3711"/>
      <c r="D444" s="3711"/>
      <c r="E444" s="3711"/>
      <c r="F444" s="3711"/>
      <c r="G444" s="3711"/>
      <c r="H444" s="3711"/>
      <c r="I444" s="3711"/>
      <c r="J444" s="3711"/>
      <c r="K444" s="3711"/>
      <c r="L444" s="3711"/>
      <c r="M444" s="3711"/>
      <c r="N444" s="3711"/>
      <c r="O444" s="165" t="s">
        <v>1938</v>
      </c>
      <c r="P444" s="618" t="s">
        <v>7115</v>
      </c>
      <c r="Q444" s="606"/>
      <c r="AE444" s="521"/>
      <c r="AF444" s="521"/>
    </row>
    <row r="445" spans="1:32" s="135" customFormat="1" ht="22.5" customHeight="1">
      <c r="B445" s="1906" t="s">
        <v>1694</v>
      </c>
      <c r="C445" s="3711" t="s">
        <v>4423</v>
      </c>
      <c r="D445" s="3711"/>
      <c r="E445" s="3711"/>
      <c r="F445" s="3711"/>
      <c r="G445" s="3711"/>
      <c r="H445" s="3711"/>
      <c r="I445" s="3711"/>
      <c r="J445" s="3711"/>
      <c r="K445" s="3711"/>
      <c r="L445" s="3711"/>
      <c r="M445" s="3711"/>
      <c r="N445" s="3711"/>
      <c r="O445" s="165" t="s">
        <v>1694</v>
      </c>
      <c r="P445" s="618" t="s">
        <v>7115</v>
      </c>
      <c r="Q445" s="606"/>
      <c r="AE445" s="521"/>
      <c r="AF445" s="521"/>
    </row>
    <row r="446" spans="1:32" s="42" customFormat="1" ht="12" customHeight="1">
      <c r="B446" s="1906" t="s">
        <v>1695</v>
      </c>
      <c r="C446" s="36" t="s">
        <v>4424</v>
      </c>
      <c r="D446" s="1314"/>
      <c r="E446" s="1314"/>
      <c r="F446" s="1314"/>
      <c r="G446" s="1314"/>
      <c r="H446" s="1314"/>
      <c r="I446" s="1314"/>
      <c r="J446" s="1314"/>
      <c r="K446" s="1314"/>
      <c r="L446" s="1314"/>
      <c r="M446" s="1314"/>
      <c r="N446" s="1314"/>
      <c r="O446" s="518" t="s">
        <v>1695</v>
      </c>
      <c r="P446" s="419" t="s">
        <v>7115</v>
      </c>
      <c r="Q446" s="604"/>
      <c r="AE446" s="50"/>
      <c r="AF446" s="50"/>
    </row>
    <row r="447" spans="1:32" s="135" customFormat="1" ht="33" customHeight="1">
      <c r="B447" s="531" t="s">
        <v>1696</v>
      </c>
      <c r="C447" s="3711" t="s">
        <v>4425</v>
      </c>
      <c r="D447" s="3711"/>
      <c r="E447" s="3711"/>
      <c r="F447" s="3711"/>
      <c r="G447" s="3711"/>
      <c r="H447" s="3711"/>
      <c r="I447" s="3711"/>
      <c r="J447" s="3711"/>
      <c r="K447" s="3711"/>
      <c r="L447" s="3711"/>
      <c r="M447" s="3711"/>
      <c r="N447" s="3711"/>
      <c r="O447" s="165" t="s">
        <v>1696</v>
      </c>
      <c r="P447" s="618" t="s">
        <v>7115</v>
      </c>
      <c r="Q447" s="606"/>
      <c r="AE447" s="521"/>
      <c r="AF447" s="521"/>
    </row>
    <row r="448" spans="1:32" s="135" customFormat="1" ht="22.5" customHeight="1">
      <c r="B448" s="531" t="s">
        <v>2305</v>
      </c>
      <c r="C448" s="3711" t="s">
        <v>4426</v>
      </c>
      <c r="D448" s="3711"/>
      <c r="E448" s="3711"/>
      <c r="F448" s="3711"/>
      <c r="G448" s="3711"/>
      <c r="H448" s="3711"/>
      <c r="I448" s="3711"/>
      <c r="J448" s="3711"/>
      <c r="K448" s="3711"/>
      <c r="L448" s="3711"/>
      <c r="M448" s="3711"/>
      <c r="N448" s="3711"/>
      <c r="O448" s="165" t="s">
        <v>2305</v>
      </c>
      <c r="P448" s="618" t="s">
        <v>7115</v>
      </c>
      <c r="Q448" s="606"/>
      <c r="AE448" s="521"/>
      <c r="AF448" s="521"/>
    </row>
    <row r="449" spans="1:32" s="135" customFormat="1" ht="22.5" customHeight="1">
      <c r="A449" s="144" t="s">
        <v>731</v>
      </c>
      <c r="B449" s="3711" t="s">
        <v>3701</v>
      </c>
      <c r="C449" s="3711"/>
      <c r="D449" s="3711"/>
      <c r="E449" s="3711"/>
      <c r="F449" s="3711"/>
      <c r="G449" s="3711"/>
      <c r="H449" s="3711"/>
      <c r="I449" s="3711"/>
      <c r="J449" s="3711"/>
      <c r="K449" s="3711"/>
      <c r="L449" s="3711"/>
      <c r="M449" s="3711"/>
      <c r="N449" s="3711"/>
      <c r="O449" s="165" t="s">
        <v>731</v>
      </c>
      <c r="P449" s="618" t="s">
        <v>7115</v>
      </c>
      <c r="Q449" s="606"/>
      <c r="AE449" s="521"/>
      <c r="AF449" s="521"/>
    </row>
    <row r="450" spans="1:32" s="135" customFormat="1" ht="22.5" customHeight="1">
      <c r="A450" s="144" t="s">
        <v>2065</v>
      </c>
      <c r="B450" s="3711" t="s">
        <v>4509</v>
      </c>
      <c r="C450" s="3711"/>
      <c r="D450" s="3711"/>
      <c r="E450" s="3711"/>
      <c r="F450" s="3711"/>
      <c r="G450" s="3711"/>
      <c r="H450" s="3711"/>
      <c r="I450" s="3711"/>
      <c r="J450" s="3711"/>
      <c r="K450" s="3711"/>
      <c r="L450" s="3711"/>
      <c r="M450" s="3711"/>
      <c r="N450" s="3711"/>
      <c r="O450" s="165" t="s">
        <v>2065</v>
      </c>
      <c r="P450" s="618" t="s">
        <v>7115</v>
      </c>
      <c r="Q450" s="606"/>
      <c r="AE450" s="521"/>
      <c r="AF450" s="521"/>
    </row>
    <row r="451" spans="1:32" s="135" customFormat="1" ht="21.75" customHeight="1">
      <c r="A451" s="144" t="s">
        <v>1692</v>
      </c>
      <c r="B451" s="3711" t="s">
        <v>4510</v>
      </c>
      <c r="C451" s="3711"/>
      <c r="D451" s="3711"/>
      <c r="E451" s="3711"/>
      <c r="F451" s="3711"/>
      <c r="G451" s="3711"/>
      <c r="H451" s="3711"/>
      <c r="I451" s="3711"/>
      <c r="J451" s="3711"/>
      <c r="K451" s="3711"/>
      <c r="L451" s="3711"/>
      <c r="M451" s="3711"/>
      <c r="N451" s="3711"/>
      <c r="O451" s="165" t="s">
        <v>1692</v>
      </c>
      <c r="P451" s="618" t="s">
        <v>7115</v>
      </c>
      <c r="Q451" s="606"/>
      <c r="AE451" s="521"/>
      <c r="AF451" s="521"/>
    </row>
    <row r="452" spans="1:32" s="470" customFormat="1" ht="21.75" customHeight="1">
      <c r="A452" s="144" t="s">
        <v>1693</v>
      </c>
      <c r="B452" s="3711" t="s">
        <v>4573</v>
      </c>
      <c r="C452" s="3711"/>
      <c r="D452" s="3711"/>
      <c r="E452" s="3711"/>
      <c r="F452" s="3711"/>
      <c r="G452" s="3711"/>
      <c r="H452" s="3711"/>
      <c r="I452" s="3711"/>
      <c r="J452" s="3711"/>
      <c r="K452" s="3711"/>
      <c r="L452" s="3711"/>
      <c r="M452" s="3711"/>
      <c r="N452" s="3711"/>
      <c r="O452" s="165" t="s">
        <v>1693</v>
      </c>
      <c r="P452" s="1393" t="s">
        <v>7115</v>
      </c>
      <c r="Q452" s="1394"/>
      <c r="AE452" s="523"/>
      <c r="AF452" s="523"/>
    </row>
    <row r="453" spans="1:32" ht="11.25" customHeight="1">
      <c r="B453" s="143" t="s">
        <v>3571</v>
      </c>
      <c r="D453" s="143"/>
      <c r="E453" s="143"/>
      <c r="F453" s="143"/>
      <c r="G453" s="143"/>
      <c r="H453" s="40"/>
      <c r="I453" s="1337"/>
      <c r="J453" s="1337"/>
      <c r="K453" s="1337"/>
      <c r="L453" s="1330"/>
      <c r="M453" s="1330"/>
      <c r="N453" s="1330"/>
      <c r="O453" s="1330"/>
      <c r="P453" s="1330"/>
      <c r="Q453" s="994"/>
    </row>
    <row r="454" spans="1:32" ht="33.6" customHeight="1">
      <c r="A454" s="3660" t="s">
        <v>7163</v>
      </c>
      <c r="B454" s="3661"/>
      <c r="C454" s="3661"/>
      <c r="D454" s="3661"/>
      <c r="E454" s="3661"/>
      <c r="F454" s="3661"/>
      <c r="G454" s="3661"/>
      <c r="H454" s="3661"/>
      <c r="I454" s="3661"/>
      <c r="J454" s="3661"/>
      <c r="K454" s="3661"/>
      <c r="L454" s="3661"/>
      <c r="M454" s="3661"/>
      <c r="N454" s="3661"/>
      <c r="O454" s="3661"/>
      <c r="P454" s="3661"/>
      <c r="Q454" s="3662"/>
      <c r="R454" s="503" t="s">
        <v>1228</v>
      </c>
      <c r="S454" s="504"/>
      <c r="U454" s="138"/>
      <c r="V454" s="138"/>
      <c r="W454" s="138"/>
      <c r="X454" s="138"/>
      <c r="Y454" s="138"/>
      <c r="Z454" s="138"/>
      <c r="AA454" s="138"/>
      <c r="AB454" s="138"/>
      <c r="AC454" s="138"/>
      <c r="AD454" s="138"/>
      <c r="AE454" s="520"/>
    </row>
    <row r="455" spans="1:32" ht="11.25" customHeight="1">
      <c r="B455" s="139" t="s">
        <v>1820</v>
      </c>
      <c r="C455" s="140"/>
      <c r="D455" s="1331"/>
      <c r="E455" s="1331"/>
      <c r="F455" s="1331"/>
      <c r="G455" s="1331"/>
      <c r="H455" s="1331"/>
      <c r="I455" s="1331"/>
      <c r="J455" s="1331"/>
      <c r="K455" s="1331"/>
      <c r="L455" s="1331"/>
      <c r="M455" s="1331"/>
      <c r="N455" s="1331"/>
      <c r="O455" s="1331"/>
      <c r="P455" s="1331"/>
      <c r="Q455" s="1331"/>
    </row>
    <row r="456" spans="1:32" ht="33.6" customHeight="1">
      <c r="A456" s="3620"/>
      <c r="B456" s="3621"/>
      <c r="C456" s="3621"/>
      <c r="D456" s="3621"/>
      <c r="E456" s="3621"/>
      <c r="F456" s="3621"/>
      <c r="G456" s="3621"/>
      <c r="H456" s="3621"/>
      <c r="I456" s="3621"/>
      <c r="J456" s="3621"/>
      <c r="K456" s="3621"/>
      <c r="L456" s="3621"/>
      <c r="M456" s="3621"/>
      <c r="N456" s="3621"/>
      <c r="O456" s="3621"/>
      <c r="P456" s="3621"/>
      <c r="Q456" s="3622"/>
    </row>
    <row r="457" spans="1:32" ht="3" customHeight="1">
      <c r="A457" s="1330"/>
      <c r="B457" s="1337"/>
      <c r="C457" s="1331"/>
      <c r="D457" s="1331"/>
      <c r="E457" s="1331"/>
      <c r="F457" s="1331"/>
      <c r="G457" s="1331"/>
      <c r="H457" s="1331"/>
      <c r="I457" s="1331"/>
      <c r="J457" s="1331"/>
      <c r="K457" s="1331"/>
      <c r="L457" s="1331"/>
      <c r="M457" s="1331"/>
      <c r="Q457" s="994"/>
    </row>
    <row r="458" spans="1:32" s="43" customFormat="1" ht="12.75" customHeight="1" thickBot="1">
      <c r="A458" s="1336" t="s">
        <v>3802</v>
      </c>
      <c r="C458" s="10" t="s">
        <v>2639</v>
      </c>
      <c r="D458" s="58"/>
      <c r="E458" s="52"/>
      <c r="J458" s="61"/>
      <c r="M458" s="1776"/>
      <c r="N458" s="6"/>
      <c r="O458" s="134" t="s">
        <v>1821</v>
      </c>
      <c r="P458" s="3666"/>
      <c r="Q458" s="3667"/>
    </row>
    <row r="459" spans="1:32" s="468" customFormat="1" ht="15" customHeight="1" thickBot="1">
      <c r="A459" s="144" t="s">
        <v>1936</v>
      </c>
      <c r="B459" s="3711" t="s">
        <v>4593</v>
      </c>
      <c r="C459" s="3711"/>
      <c r="D459" s="3711"/>
      <c r="E459" s="3711"/>
      <c r="F459" s="3711"/>
      <c r="G459" s="3711"/>
      <c r="H459" s="3711"/>
      <c r="I459" s="3711"/>
      <c r="J459" s="3680" t="s">
        <v>4463</v>
      </c>
      <c r="K459" s="3835"/>
      <c r="L459" s="2090" t="s">
        <v>4595</v>
      </c>
      <c r="M459" s="1947"/>
      <c r="N459" s="1943">
        <f>ROUNDUP('Part VI-Revenues &amp; Expenses'!$P$63*0.1,0)</f>
        <v>20</v>
      </c>
      <c r="O459" s="446" t="s">
        <v>1936</v>
      </c>
      <c r="P459" s="3822" t="s">
        <v>7115</v>
      </c>
      <c r="Q459" s="3821"/>
      <c r="R459" s="1942"/>
      <c r="S459" s="1942"/>
    </row>
    <row r="460" spans="1:32" s="468" customFormat="1" ht="15" customHeight="1">
      <c r="B460" s="3711"/>
      <c r="C460" s="3711"/>
      <c r="D460" s="3711"/>
      <c r="E460" s="3711"/>
      <c r="F460" s="3711"/>
      <c r="G460" s="3711"/>
      <c r="H460" s="3711"/>
      <c r="I460" s="3711"/>
      <c r="J460" s="3836">
        <f>'Part VI-Revenues &amp; Expenses'!$P$100</f>
        <v>0</v>
      </c>
      <c r="K460" s="3836"/>
      <c r="L460" s="2088" t="s">
        <v>4464</v>
      </c>
      <c r="M460" s="93"/>
      <c r="N460" s="2091">
        <f>'Part VI-Revenues &amp; Expenses'!$P$63</f>
        <v>200</v>
      </c>
      <c r="P460" s="3683"/>
      <c r="Q460" s="3682"/>
      <c r="R460" s="1942"/>
      <c r="S460" s="1942"/>
    </row>
    <row r="461" spans="1:32" s="468" customFormat="1" ht="15" customHeight="1">
      <c r="A461" s="144"/>
      <c r="B461" s="3711"/>
      <c r="C461" s="3711"/>
      <c r="D461" s="3711"/>
      <c r="E461" s="3711"/>
      <c r="F461" s="3711"/>
      <c r="G461" s="3711"/>
      <c r="H461" s="3711"/>
      <c r="I461" s="3711"/>
      <c r="J461" s="659"/>
      <c r="L461" s="995" t="s">
        <v>1749</v>
      </c>
      <c r="M461" s="93"/>
      <c r="N461" s="2093">
        <f>'Part VI-Revenues &amp; Expenses'!$P$67</f>
        <v>200</v>
      </c>
      <c r="P461" s="3683"/>
      <c r="Q461" s="3682"/>
    </row>
    <row r="462" spans="1:32" s="494" customFormat="1" ht="22.5" customHeight="1">
      <c r="A462" s="144" t="s">
        <v>1938</v>
      </c>
      <c r="B462" s="3711" t="s">
        <v>4599</v>
      </c>
      <c r="C462" s="3711"/>
      <c r="D462" s="3711"/>
      <c r="E462" s="3711"/>
      <c r="F462" s="3711"/>
      <c r="G462" s="3711"/>
      <c r="H462" s="3711"/>
      <c r="I462" s="3711"/>
      <c r="J462" s="3834" t="s">
        <v>4594</v>
      </c>
      <c r="K462" s="3741"/>
      <c r="L462" s="3831"/>
      <c r="M462" s="3832"/>
      <c r="N462" s="3833"/>
      <c r="O462" s="446" t="s">
        <v>1938</v>
      </c>
      <c r="P462" s="1893" t="s">
        <v>2886</v>
      </c>
      <c r="Q462" s="1892"/>
    </row>
    <row r="463" spans="1:32" s="494" customFormat="1" ht="12" customHeight="1" thickBot="1">
      <c r="A463" s="144" t="s">
        <v>731</v>
      </c>
      <c r="B463" s="3711" t="s">
        <v>4367</v>
      </c>
      <c r="C463" s="3711"/>
      <c r="D463" s="3711"/>
      <c r="E463" s="3711"/>
      <c r="F463" s="3711"/>
      <c r="G463" s="3711"/>
      <c r="H463" s="3711"/>
      <c r="I463" s="3711"/>
      <c r="J463" s="1314" t="s">
        <v>4285</v>
      </c>
      <c r="K463" s="1862">
        <f>'Part VI-Revenues &amp; Expenses'!$P$115</f>
        <v>200</v>
      </c>
      <c r="L463" s="2089" t="s">
        <v>4284</v>
      </c>
      <c r="M463" s="93"/>
      <c r="N463" s="2092">
        <f>ROUNDUP(N461*0.1,0)</f>
        <v>20</v>
      </c>
      <c r="O463" s="446" t="s">
        <v>731</v>
      </c>
      <c r="P463" s="3683" t="s">
        <v>2886</v>
      </c>
      <c r="Q463" s="3682"/>
      <c r="R463" s="1942"/>
      <c r="S463" s="1942"/>
    </row>
    <row r="464" spans="1:32" s="494" customFormat="1" ht="12" customHeight="1" thickBot="1">
      <c r="B464" s="3711"/>
      <c r="C464" s="3711"/>
      <c r="D464" s="3711"/>
      <c r="E464" s="3711"/>
      <c r="F464" s="3711"/>
      <c r="G464" s="3711"/>
      <c r="H464" s="3711"/>
      <c r="I464" s="3711"/>
      <c r="J464" s="1314" t="s">
        <v>4286</v>
      </c>
      <c r="K464" s="1863">
        <f>IF(N461=0,"",K463/N461)</f>
        <v>1</v>
      </c>
      <c r="L464" s="1945" t="s">
        <v>4462</v>
      </c>
      <c r="M464" s="1946"/>
      <c r="N464" s="1944">
        <f>'Part VI-Revenues &amp; Expenses'!$L$67/'Part VI-Revenues &amp; Expenses'!$P$67</f>
        <v>0.09</v>
      </c>
      <c r="O464" s="446" t="str">
        <f>IF(AND(N464&lt;0.1,P463="Yes"), "Check!","")</f>
        <v>Check!</v>
      </c>
      <c r="P464" s="3820"/>
      <c r="Q464" s="3817"/>
      <c r="R464" s="1942"/>
      <c r="S464" s="1942"/>
    </row>
    <row r="465" spans="1:32" s="95" customFormat="1" ht="12" customHeight="1">
      <c r="A465" s="47" t="s">
        <v>2065</v>
      </c>
      <c r="B465" s="650" t="s">
        <v>1939</v>
      </c>
      <c r="C465" s="2087" t="s">
        <v>4287</v>
      </c>
      <c r="D465" s="2087"/>
      <c r="E465" s="2087"/>
      <c r="F465" s="2087"/>
      <c r="G465" s="2087"/>
      <c r="H465" s="2087"/>
      <c r="I465" s="2087"/>
      <c r="J465" s="2087"/>
      <c r="K465" s="2087"/>
      <c r="L465" s="2087"/>
      <c r="M465" s="2087"/>
      <c r="N465" s="2087"/>
      <c r="O465" s="2094" t="s">
        <v>4596</v>
      </c>
      <c r="P465" s="236" t="s">
        <v>2889</v>
      </c>
      <c r="Q465" s="603"/>
      <c r="AE465" s="524"/>
      <c r="AF465" s="524"/>
    </row>
    <row r="466" spans="1:32" s="95" customFormat="1">
      <c r="B466" s="650" t="s">
        <v>1941</v>
      </c>
      <c r="C466" s="2087" t="s">
        <v>4597</v>
      </c>
      <c r="D466" s="2087"/>
      <c r="E466" s="2087"/>
      <c r="F466" s="2087"/>
      <c r="G466" s="2087"/>
      <c r="H466" s="2087"/>
      <c r="I466" s="2087"/>
      <c r="J466" s="2087"/>
      <c r="K466" s="2087"/>
      <c r="L466" s="2087"/>
      <c r="M466" s="2087"/>
      <c r="N466" s="2087"/>
      <c r="O466" s="2094" t="s">
        <v>4598</v>
      </c>
      <c r="P466" s="237"/>
      <c r="Q466" s="605"/>
      <c r="AE466" s="524"/>
      <c r="AF466" s="524"/>
    </row>
    <row r="467" spans="1:32" s="43" customFormat="1" ht="11.25" customHeight="1">
      <c r="A467" s="42"/>
      <c r="B467" s="96" t="s">
        <v>3571</v>
      </c>
      <c r="C467" s="42"/>
      <c r="D467" s="48"/>
      <c r="E467" s="48"/>
      <c r="F467" s="48"/>
      <c r="G467" s="48"/>
      <c r="H467" s="36"/>
      <c r="I467" s="36"/>
      <c r="J467" s="36"/>
      <c r="K467" s="36"/>
      <c r="M467" s="46"/>
      <c r="N467" s="62"/>
      <c r="O467" s="3"/>
      <c r="P467" s="1778"/>
    </row>
    <row r="468" spans="1:32" s="43" customFormat="1" ht="21.75" customHeight="1">
      <c r="A468" s="3660" t="s">
        <v>7164</v>
      </c>
      <c r="B468" s="3661"/>
      <c r="C468" s="3661"/>
      <c r="D468" s="3661"/>
      <c r="E468" s="3661"/>
      <c r="F468" s="3661"/>
      <c r="G468" s="3661"/>
      <c r="H468" s="3661"/>
      <c r="I468" s="3661"/>
      <c r="J468" s="3661"/>
      <c r="K468" s="3661"/>
      <c r="L468" s="3661"/>
      <c r="M468" s="3661"/>
      <c r="N468" s="3661"/>
      <c r="O468" s="3661"/>
      <c r="P468" s="3661"/>
      <c r="Q468" s="3662"/>
      <c r="R468" s="1250" t="s">
        <v>1228</v>
      </c>
    </row>
    <row r="469" spans="1:32" s="43" customFormat="1" ht="10.5" customHeight="1">
      <c r="B469" s="86" t="s">
        <v>1820</v>
      </c>
      <c r="C469" s="100"/>
      <c r="D469" s="86"/>
      <c r="E469" s="101"/>
      <c r="F469" s="1780"/>
      <c r="G469" s="1780"/>
      <c r="H469" s="1780"/>
      <c r="I469" s="1780"/>
      <c r="J469" s="1780"/>
      <c r="K469" s="1780"/>
      <c r="L469" s="1780"/>
      <c r="M469" s="1780"/>
      <c r="N469" s="74"/>
      <c r="O469" s="70"/>
      <c r="P469" s="1776"/>
      <c r="Q469" s="485"/>
    </row>
    <row r="470" spans="1:32" s="43" customFormat="1" ht="11.25" customHeight="1">
      <c r="A470" s="3620"/>
      <c r="B470" s="3621"/>
      <c r="C470" s="3621"/>
      <c r="D470" s="3621"/>
      <c r="E470" s="3621"/>
      <c r="F470" s="3621"/>
      <c r="G470" s="3621"/>
      <c r="H470" s="3621"/>
      <c r="I470" s="3621"/>
      <c r="J470" s="3621"/>
      <c r="K470" s="3621"/>
      <c r="L470" s="3621"/>
      <c r="M470" s="3621"/>
      <c r="N470" s="3621"/>
      <c r="O470" s="3621"/>
      <c r="P470" s="3621"/>
      <c r="Q470" s="3622"/>
    </row>
    <row r="471" spans="1:32" ht="3" customHeight="1">
      <c r="A471" s="1777"/>
      <c r="B471" s="1779"/>
      <c r="C471" s="1780"/>
      <c r="D471" s="1780"/>
      <c r="E471" s="1780"/>
      <c r="F471" s="1780"/>
      <c r="G471" s="1780"/>
      <c r="H471" s="1780"/>
      <c r="I471" s="1780"/>
      <c r="J471" s="1780"/>
      <c r="K471" s="1780"/>
      <c r="L471" s="1780"/>
      <c r="M471" s="1780"/>
      <c r="N471" s="1780"/>
      <c r="O471" s="1780"/>
      <c r="P471" s="1780"/>
      <c r="Q471" s="1777"/>
    </row>
    <row r="472" spans="1:32" ht="14.1" customHeight="1">
      <c r="A472" s="1835" t="s">
        <v>4282</v>
      </c>
      <c r="B472" s="4"/>
      <c r="C472" s="4" t="s">
        <v>2594</v>
      </c>
      <c r="D472" s="87"/>
      <c r="E472" s="1331"/>
      <c r="F472" s="1331"/>
      <c r="G472" s="1331"/>
      <c r="H472" s="1331"/>
      <c r="J472" s="1331"/>
      <c r="K472" s="1331"/>
      <c r="L472" s="1331"/>
      <c r="M472" s="1331"/>
      <c r="O472" s="134" t="s">
        <v>1821</v>
      </c>
      <c r="P472" s="3666"/>
      <c r="Q472" s="3667"/>
    </row>
    <row r="473" spans="1:32" ht="11.25" customHeight="1">
      <c r="A473" s="1336"/>
      <c r="B473" s="143" t="s">
        <v>3571</v>
      </c>
      <c r="D473" s="143"/>
      <c r="E473" s="143"/>
      <c r="F473" s="143"/>
      <c r="G473" s="143"/>
      <c r="H473" s="40"/>
      <c r="I473" s="1337"/>
      <c r="J473" s="1337"/>
      <c r="K473" s="1337"/>
      <c r="L473" s="1330"/>
      <c r="M473" s="1330"/>
      <c r="N473" s="1330"/>
      <c r="O473" s="1330"/>
      <c r="P473" s="1330"/>
      <c r="Q473" s="994"/>
    </row>
    <row r="474" spans="1:32" ht="22.5" customHeight="1">
      <c r="A474" s="3660" t="s">
        <v>7165</v>
      </c>
      <c r="B474" s="3661"/>
      <c r="C474" s="3661"/>
      <c r="D474" s="3661"/>
      <c r="E474" s="3661"/>
      <c r="F474" s="3661"/>
      <c r="G474" s="3661"/>
      <c r="H474" s="3661"/>
      <c r="I474" s="3661"/>
      <c r="J474" s="3661"/>
      <c r="K474" s="3661"/>
      <c r="L474" s="3661"/>
      <c r="M474" s="3661"/>
      <c r="N474" s="3661"/>
      <c r="O474" s="3661"/>
      <c r="P474" s="3661"/>
      <c r="Q474" s="3662"/>
      <c r="R474" s="503" t="s">
        <v>1228</v>
      </c>
      <c r="S474" s="504"/>
      <c r="U474" s="138"/>
      <c r="V474" s="138"/>
      <c r="W474" s="138"/>
      <c r="X474" s="138"/>
      <c r="Y474" s="138"/>
      <c r="Z474" s="138"/>
      <c r="AA474" s="138"/>
      <c r="AB474" s="138"/>
      <c r="AC474" s="138"/>
      <c r="AD474" s="138"/>
      <c r="AE474" s="520"/>
    </row>
    <row r="475" spans="1:32" ht="11.25" customHeight="1">
      <c r="B475" s="139" t="s">
        <v>1820</v>
      </c>
      <c r="C475" s="140"/>
      <c r="D475" s="1331"/>
      <c r="E475" s="1331"/>
      <c r="F475" s="1331"/>
      <c r="G475" s="1331"/>
      <c r="H475" s="1331"/>
      <c r="I475" s="1331"/>
      <c r="J475" s="1331"/>
      <c r="K475" s="1331"/>
      <c r="L475" s="1331"/>
      <c r="M475" s="1331"/>
      <c r="N475" s="1331"/>
      <c r="O475" s="1331"/>
      <c r="P475" s="1331"/>
      <c r="Q475" s="1331"/>
    </row>
    <row r="476" spans="1:32" ht="22.5" customHeight="1">
      <c r="A476" s="3620"/>
      <c r="B476" s="3621"/>
      <c r="C476" s="3621"/>
      <c r="D476" s="3621"/>
      <c r="E476" s="3621"/>
      <c r="F476" s="3621"/>
      <c r="G476" s="3621"/>
      <c r="H476" s="3621"/>
      <c r="I476" s="3621"/>
      <c r="J476" s="3621"/>
      <c r="K476" s="3621"/>
      <c r="L476" s="3621"/>
      <c r="M476" s="3621"/>
      <c r="N476" s="3621"/>
      <c r="O476" s="3621"/>
      <c r="P476" s="3621"/>
      <c r="Q476" s="3622"/>
    </row>
    <row r="477" spans="1:32" ht="3" customHeight="1">
      <c r="A477" s="1330"/>
      <c r="B477" s="1337"/>
      <c r="C477" s="1331"/>
      <c r="D477" s="1331"/>
      <c r="E477" s="1331"/>
      <c r="F477" s="1331"/>
      <c r="G477" s="1331"/>
      <c r="H477" s="1331"/>
      <c r="I477" s="1331"/>
      <c r="J477" s="1331"/>
      <c r="K477" s="1331"/>
      <c r="L477" s="1331"/>
      <c r="M477" s="1331"/>
      <c r="N477" s="1331"/>
      <c r="O477" s="1331"/>
      <c r="P477" s="1331"/>
      <c r="Q477" s="1330"/>
    </row>
    <row r="478" spans="1:32" ht="3" customHeight="1">
      <c r="A478" s="1777"/>
      <c r="B478" s="1779"/>
      <c r="C478" s="1780"/>
      <c r="D478" s="1780"/>
      <c r="E478" s="1780"/>
      <c r="F478" s="1780"/>
      <c r="G478" s="1780"/>
      <c r="H478" s="1780"/>
      <c r="I478" s="1780"/>
      <c r="J478" s="1780"/>
      <c r="K478" s="1780"/>
      <c r="L478" s="1780"/>
      <c r="M478" s="1780"/>
      <c r="N478" s="1780"/>
      <c r="O478" s="1780"/>
      <c r="P478" s="1780"/>
      <c r="Q478" s="1777"/>
    </row>
    <row r="479" spans="1:32" ht="14.1" customHeight="1">
      <c r="A479" s="1336" t="s">
        <v>4283</v>
      </c>
      <c r="B479" s="4"/>
      <c r="C479" s="4" t="s">
        <v>4704</v>
      </c>
      <c r="D479" s="87"/>
      <c r="E479" s="1780"/>
      <c r="F479" s="1780"/>
      <c r="G479" s="1780"/>
      <c r="H479" s="1780"/>
      <c r="I479" s="1780"/>
      <c r="J479" s="1780"/>
      <c r="K479" s="1780"/>
      <c r="L479" s="1780"/>
      <c r="M479" s="1780"/>
      <c r="O479" s="134" t="s">
        <v>1821</v>
      </c>
      <c r="P479" s="3666"/>
      <c r="Q479" s="3667"/>
    </row>
    <row r="480" spans="1:32" s="104" customFormat="1" ht="11.25" customHeight="1">
      <c r="B480" s="198" t="s">
        <v>4288</v>
      </c>
      <c r="D480" s="61"/>
      <c r="E480" s="61"/>
      <c r="F480" s="44"/>
      <c r="G480" s="27"/>
      <c r="L480" s="431"/>
      <c r="M480" s="431"/>
      <c r="N480" s="431"/>
      <c r="O480" s="431"/>
      <c r="P480" s="431"/>
      <c r="Q480" s="431"/>
      <c r="R480" s="431"/>
      <c r="T480" s="1244"/>
      <c r="U480" s="1244"/>
    </row>
    <row r="481" spans="1:32" s="104" customFormat="1" ht="10.5" customHeight="1">
      <c r="A481" s="141"/>
      <c r="B481" s="40" t="s">
        <v>4368</v>
      </c>
      <c r="D481" s="61"/>
      <c r="E481" s="61"/>
      <c r="F481" s="44"/>
      <c r="G481" s="27"/>
      <c r="K481" s="518"/>
      <c r="M481" s="7"/>
      <c r="N481" s="518"/>
      <c r="P481" s="532" t="s">
        <v>2886</v>
      </c>
      <c r="Q481" s="602"/>
      <c r="R481" s="445"/>
      <c r="T481" s="1244"/>
      <c r="U481" s="1244"/>
    </row>
    <row r="482" spans="1:32" s="150" customFormat="1" ht="12" customHeight="1">
      <c r="A482" s="706"/>
      <c r="B482" s="706"/>
      <c r="C482" s="706"/>
      <c r="D482" s="706"/>
      <c r="E482" s="706"/>
      <c r="F482" s="706"/>
      <c r="G482" s="706"/>
      <c r="H482" s="706"/>
      <c r="I482" s="706"/>
      <c r="J482" s="706"/>
      <c r="K482" s="706"/>
      <c r="L482" s="706"/>
      <c r="M482" s="706"/>
      <c r="N482" s="706"/>
      <c r="O482" s="706"/>
      <c r="P482" s="706"/>
      <c r="Q482" s="706"/>
      <c r="AE482" s="522"/>
      <c r="AF482" s="522"/>
    </row>
    <row r="483" spans="1:32" s="1170" customFormat="1" ht="10.199999999999999">
      <c r="C483" s="1170" t="s">
        <v>1727</v>
      </c>
      <c r="D483" s="1169"/>
      <c r="E483" s="1169"/>
      <c r="F483" s="1169"/>
      <c r="G483" s="1169"/>
      <c r="H483" s="1169"/>
      <c r="I483" s="1169"/>
      <c r="J483" s="1864" t="s">
        <v>1619</v>
      </c>
      <c r="K483" s="1169"/>
      <c r="N483" s="1171"/>
      <c r="O483" s="1864" t="s">
        <v>4740</v>
      </c>
      <c r="P483" s="1172"/>
      <c r="AE483" s="2238"/>
      <c r="AF483" s="2238"/>
    </row>
    <row r="484" spans="1:32" s="1170" customFormat="1" ht="10.199999999999999">
      <c r="C484" s="1173" t="s">
        <v>1363</v>
      </c>
      <c r="D484" s="1169"/>
      <c r="E484" s="1169"/>
      <c r="F484" s="1169"/>
      <c r="G484" s="1169"/>
      <c r="H484" s="1169"/>
      <c r="I484" s="1169"/>
      <c r="J484" s="1864" t="s">
        <v>2056</v>
      </c>
      <c r="K484" s="1169"/>
      <c r="N484" s="1171"/>
      <c r="O484" s="1864" t="s">
        <v>4741</v>
      </c>
      <c r="P484" s="1172"/>
      <c r="AE484" s="2238"/>
      <c r="AF484" s="2238"/>
    </row>
    <row r="485" spans="1:32" s="1170" customFormat="1" ht="10.199999999999999">
      <c r="C485" s="1173" t="s">
        <v>1364</v>
      </c>
      <c r="D485" s="1169"/>
      <c r="E485" s="1169"/>
      <c r="F485" s="1169"/>
      <c r="G485" s="1169"/>
      <c r="H485" s="1169"/>
      <c r="I485" s="1169"/>
      <c r="J485" s="1864" t="s">
        <v>1612</v>
      </c>
      <c r="K485" s="1169"/>
      <c r="N485" s="1171"/>
      <c r="O485" s="1864" t="s">
        <v>4742</v>
      </c>
      <c r="P485" s="1172"/>
      <c r="AE485" s="2238"/>
      <c r="AF485" s="2238"/>
    </row>
    <row r="486" spans="1:32" s="1170" customFormat="1" ht="10.199999999999999">
      <c r="C486" s="1865" t="s">
        <v>2083</v>
      </c>
      <c r="D486" s="1169"/>
      <c r="E486" s="1169"/>
      <c r="F486" s="1169"/>
      <c r="G486" s="1169"/>
      <c r="H486" s="1169"/>
      <c r="I486" s="1169"/>
      <c r="J486" s="1864" t="s">
        <v>1168</v>
      </c>
      <c r="K486" s="1169"/>
      <c r="N486" s="1171"/>
      <c r="O486" s="1864" t="s">
        <v>4746</v>
      </c>
      <c r="P486" s="1172"/>
      <c r="AE486" s="2238"/>
      <c r="AF486" s="2238"/>
    </row>
    <row r="487" spans="1:32" s="1170" customFormat="1" ht="10.199999999999999">
      <c r="C487" s="1865" t="s">
        <v>1360</v>
      </c>
      <c r="D487" s="1169"/>
      <c r="E487" s="1169"/>
      <c r="F487" s="1169"/>
      <c r="G487" s="1169"/>
      <c r="H487" s="1169"/>
      <c r="I487" s="1169"/>
      <c r="J487" s="1864" t="s">
        <v>574</v>
      </c>
      <c r="K487" s="1169"/>
      <c r="N487" s="1171"/>
      <c r="O487" s="1864" t="s">
        <v>4743</v>
      </c>
      <c r="P487" s="1172"/>
      <c r="AE487" s="2238"/>
      <c r="AF487" s="2238"/>
    </row>
    <row r="488" spans="1:32" s="1170" customFormat="1" ht="10.199999999999999">
      <c r="C488" s="1865" t="s">
        <v>1361</v>
      </c>
      <c r="D488" s="1169"/>
      <c r="E488" s="1169"/>
      <c r="F488" s="1169"/>
      <c r="G488" s="1169"/>
      <c r="H488" s="1169"/>
      <c r="I488" s="1169"/>
      <c r="J488" s="1864" t="s">
        <v>1618</v>
      </c>
      <c r="K488" s="1169"/>
      <c r="N488" s="1171"/>
      <c r="O488" s="1864" t="s">
        <v>4744</v>
      </c>
      <c r="P488" s="1172"/>
      <c r="AE488" s="2238"/>
      <c r="AF488" s="2238"/>
    </row>
    <row r="489" spans="1:32" s="1170" customFormat="1" ht="10.199999999999999">
      <c r="C489" s="1173" t="s">
        <v>2078</v>
      </c>
      <c r="D489" s="1169"/>
      <c r="E489" s="1169"/>
      <c r="F489" s="1169"/>
      <c r="G489" s="1169"/>
      <c r="H489" s="1169"/>
      <c r="I489" s="1169"/>
      <c r="J489" s="1864" t="s">
        <v>1163</v>
      </c>
      <c r="K489" s="1169"/>
      <c r="N489" s="1171"/>
      <c r="O489" s="1864" t="s">
        <v>4745</v>
      </c>
      <c r="P489" s="1172"/>
      <c r="AE489" s="2238"/>
      <c r="AF489" s="2238"/>
    </row>
    <row r="490" spans="1:32" s="1170" customFormat="1" ht="10.199999999999999">
      <c r="C490" s="1173" t="s">
        <v>2079</v>
      </c>
      <c r="D490" s="1169"/>
      <c r="E490" s="1169"/>
      <c r="F490" s="1169"/>
      <c r="G490" s="1169"/>
      <c r="H490" s="1169"/>
      <c r="I490" s="1169"/>
      <c r="J490" s="1864" t="s">
        <v>1162</v>
      </c>
      <c r="N490" s="1171"/>
      <c r="O490" s="1170" t="s">
        <v>3631</v>
      </c>
      <c r="P490" s="1172"/>
      <c r="AE490" s="2238"/>
      <c r="AF490" s="2238"/>
    </row>
    <row r="491" spans="1:32" s="1170" customFormat="1" ht="10.199999999999999">
      <c r="C491" s="1173" t="s">
        <v>2080</v>
      </c>
      <c r="J491" s="1864" t="s">
        <v>1682</v>
      </c>
      <c r="N491" s="1171"/>
      <c r="O491" s="1170" t="s">
        <v>3632</v>
      </c>
      <c r="P491" s="1172"/>
      <c r="AE491" s="2238"/>
      <c r="AF491" s="2238"/>
    </row>
    <row r="492" spans="1:32" s="1170" customFormat="1" ht="10.199999999999999">
      <c r="C492" s="1173" t="s">
        <v>2081</v>
      </c>
      <c r="J492" s="1864" t="s">
        <v>1621</v>
      </c>
      <c r="N492" s="1171"/>
      <c r="O492" s="1864"/>
      <c r="P492" s="1172"/>
      <c r="AE492" s="2238"/>
      <c r="AF492" s="2238"/>
    </row>
    <row r="493" spans="1:32" s="1170" customFormat="1" ht="10.199999999999999">
      <c r="C493" s="1173" t="s">
        <v>2082</v>
      </c>
      <c r="J493" s="1864" t="s">
        <v>1613</v>
      </c>
      <c r="N493" s="1171"/>
      <c r="O493" s="1172"/>
      <c r="P493" s="1172"/>
      <c r="AE493" s="2238"/>
      <c r="AF493" s="2238"/>
    </row>
    <row r="494" spans="1:32" s="1170" customFormat="1" ht="10.199999999999999">
      <c r="C494" s="1173" t="s">
        <v>1362</v>
      </c>
      <c r="J494" s="1864" t="s">
        <v>2055</v>
      </c>
      <c r="N494" s="1171"/>
      <c r="O494" s="1864"/>
      <c r="P494" s="1172"/>
      <c r="AE494" s="2238"/>
      <c r="AF494" s="2238"/>
    </row>
    <row r="495" spans="1:32" s="1170" customFormat="1" ht="10.199999999999999">
      <c r="C495" s="1173" t="s">
        <v>2224</v>
      </c>
      <c r="N495" s="1171"/>
      <c r="O495" s="1172"/>
      <c r="P495" s="1172"/>
      <c r="AE495" s="2238"/>
      <c r="AF495" s="2238"/>
    </row>
    <row r="496" spans="1:32" s="1170" customFormat="1" ht="10.199999999999999">
      <c r="N496" s="1171"/>
      <c r="O496" s="1172"/>
      <c r="P496" s="1172"/>
      <c r="AE496" s="2238"/>
      <c r="AF496" s="2238"/>
    </row>
    <row r="497" spans="3:32" s="1169" customFormat="1" ht="10.199999999999999">
      <c r="C497" s="1175" t="s">
        <v>1556</v>
      </c>
      <c r="J497" s="1175" t="s">
        <v>3593</v>
      </c>
      <c r="O497" s="1172"/>
      <c r="AE497" s="1178"/>
      <c r="AF497" s="1178"/>
    </row>
    <row r="498" spans="3:32" s="1169" customFormat="1" ht="10.199999999999999">
      <c r="C498" s="1169" t="s">
        <v>1727</v>
      </c>
      <c r="J498" s="1169" t="s">
        <v>4275</v>
      </c>
      <c r="AE498" s="1178"/>
      <c r="AF498" s="1178"/>
    </row>
    <row r="499" spans="3:32" s="1169" customFormat="1" ht="10.199999999999999">
      <c r="C499" s="1169" t="s">
        <v>2041</v>
      </c>
      <c r="E499" s="1170"/>
      <c r="F499" s="1170"/>
      <c r="G499" s="1170"/>
      <c r="H499" s="1170"/>
      <c r="I499" s="1170"/>
      <c r="J499" s="1170" t="s">
        <v>3586</v>
      </c>
      <c r="K499" s="1170"/>
      <c r="L499" s="1170"/>
      <c r="M499" s="1170"/>
      <c r="AE499" s="1178"/>
      <c r="AF499" s="1178"/>
    </row>
    <row r="500" spans="3:32" s="1169" customFormat="1" ht="10.199999999999999">
      <c r="C500" s="1169" t="s">
        <v>2478</v>
      </c>
      <c r="D500" s="1170"/>
      <c r="E500" s="1170"/>
      <c r="F500" s="1170"/>
      <c r="G500" s="1170"/>
      <c r="I500" s="1170"/>
      <c r="J500" s="1170" t="s">
        <v>3587</v>
      </c>
      <c r="K500" s="1170"/>
      <c r="L500" s="1170"/>
      <c r="M500" s="1170"/>
      <c r="AE500" s="1178"/>
      <c r="AF500" s="1178"/>
    </row>
    <row r="501" spans="3:32" s="1169" customFormat="1" ht="10.199999999999999">
      <c r="C501" s="1169" t="s">
        <v>2042</v>
      </c>
      <c r="D501" s="1170"/>
      <c r="E501" s="1170"/>
      <c r="F501" s="1170"/>
      <c r="G501" s="1170"/>
      <c r="H501" s="1170"/>
      <c r="I501" s="1170"/>
      <c r="J501" s="1170" t="s">
        <v>4273</v>
      </c>
      <c r="K501" s="1170"/>
      <c r="L501" s="1170"/>
      <c r="M501" s="1170"/>
      <c r="AE501" s="1178"/>
      <c r="AF501" s="1178"/>
    </row>
    <row r="502" spans="3:32" s="1169" customFormat="1" ht="10.199999999999999">
      <c r="C502" s="1169" t="s">
        <v>1611</v>
      </c>
      <c r="D502" s="1170"/>
      <c r="E502" s="1170"/>
      <c r="F502" s="1170"/>
      <c r="G502" s="1170"/>
      <c r="I502" s="1170"/>
      <c r="J502" s="1169" t="s">
        <v>3728</v>
      </c>
      <c r="K502" s="1170"/>
      <c r="L502" s="1170"/>
      <c r="M502" s="1170"/>
      <c r="AE502" s="1178"/>
      <c r="AF502" s="1178"/>
    </row>
    <row r="503" spans="3:32" s="1169" customFormat="1" ht="10.199999999999999">
      <c r="C503" s="1177" t="s">
        <v>1964</v>
      </c>
      <c r="D503" s="1170"/>
      <c r="E503" s="1170"/>
      <c r="F503" s="1170"/>
      <c r="G503" s="1170"/>
      <c r="I503" s="1170"/>
      <c r="J503" s="1170" t="s">
        <v>4274</v>
      </c>
      <c r="K503" s="1170"/>
      <c r="L503" s="1170"/>
      <c r="M503" s="1170"/>
      <c r="AE503" s="1178"/>
      <c r="AF503" s="1178"/>
    </row>
    <row r="504" spans="3:32" s="1169" customFormat="1" ht="10.199999999999999">
      <c r="C504" s="1169" t="s">
        <v>225</v>
      </c>
      <c r="D504" s="1170"/>
      <c r="E504" s="1170"/>
      <c r="F504" s="1170"/>
      <c r="G504" s="1170"/>
      <c r="I504" s="1170"/>
      <c r="J504" s="1170" t="s">
        <v>3729</v>
      </c>
      <c r="K504" s="1170"/>
      <c r="L504" s="1170"/>
      <c r="M504" s="1170"/>
      <c r="AE504" s="1178"/>
      <c r="AF504" s="1178"/>
    </row>
    <row r="505" spans="3:32" s="1169" customFormat="1" ht="10.199999999999999">
      <c r="C505" s="1169" t="s">
        <v>1612</v>
      </c>
      <c r="D505" s="1170"/>
      <c r="E505" s="1170"/>
      <c r="F505" s="1170"/>
      <c r="G505" s="1170"/>
      <c r="I505" s="1170"/>
      <c r="J505" s="1170"/>
      <c r="K505" s="1170"/>
      <c r="L505" s="1170"/>
      <c r="M505" s="1170"/>
      <c r="AE505" s="1178"/>
      <c r="AF505" s="1178"/>
    </row>
    <row r="506" spans="3:32" s="1169" customFormat="1" ht="10.199999999999999">
      <c r="C506" s="1169" t="s">
        <v>1613</v>
      </c>
      <c r="D506" s="1170"/>
      <c r="E506" s="1170"/>
      <c r="F506" s="1170"/>
      <c r="G506" s="1170"/>
      <c r="I506" s="1170"/>
      <c r="J506" s="1170"/>
      <c r="K506" s="1170"/>
      <c r="L506" s="1170"/>
      <c r="M506" s="1170"/>
      <c r="AE506" s="1178"/>
      <c r="AF506" s="1178"/>
    </row>
    <row r="507" spans="3:32" s="1169" customFormat="1" ht="10.199999999999999">
      <c r="C507" s="1169" t="s">
        <v>2440</v>
      </c>
      <c r="D507" s="1170"/>
      <c r="E507" s="1170"/>
      <c r="F507" s="1170"/>
      <c r="G507" s="1170"/>
      <c r="H507" s="1170"/>
      <c r="I507" s="1170"/>
      <c r="J507" s="1170"/>
      <c r="K507" s="1170"/>
      <c r="L507" s="1170"/>
      <c r="M507" s="1170"/>
      <c r="AE507" s="1178"/>
      <c r="AF507" s="1178"/>
    </row>
    <row r="508" spans="3:32" s="1169" customFormat="1" ht="10.199999999999999">
      <c r="C508" s="1169" t="s">
        <v>1557</v>
      </c>
      <c r="D508" s="1170"/>
      <c r="E508" s="1170"/>
      <c r="F508" s="1170"/>
      <c r="G508" s="1170"/>
      <c r="H508" s="1170"/>
      <c r="I508" s="1170"/>
      <c r="K508" s="1170"/>
      <c r="L508" s="1170"/>
      <c r="M508" s="1170"/>
      <c r="AE508" s="1178"/>
      <c r="AF508" s="1178"/>
    </row>
    <row r="509" spans="3:32" s="1169" customFormat="1" ht="10.199999999999999">
      <c r="C509" s="1169" t="s">
        <v>1615</v>
      </c>
      <c r="D509" s="1170"/>
      <c r="E509" s="1170"/>
      <c r="F509" s="1170"/>
      <c r="G509" s="1170"/>
      <c r="H509" s="1170"/>
      <c r="I509" s="1170"/>
      <c r="K509" s="1170"/>
      <c r="L509" s="1170"/>
      <c r="M509" s="1170"/>
      <c r="AE509" s="1178"/>
      <c r="AF509" s="1178"/>
    </row>
    <row r="510" spans="3:32" s="1169" customFormat="1" ht="10.199999999999999">
      <c r="C510" s="1169" t="s">
        <v>2442</v>
      </c>
      <c r="D510" s="1170"/>
      <c r="E510" s="1170"/>
      <c r="F510" s="1170"/>
      <c r="G510" s="1170"/>
      <c r="H510" s="1170"/>
      <c r="I510" s="1170"/>
      <c r="K510" s="1170"/>
      <c r="L510" s="1170"/>
      <c r="M510" s="1170"/>
      <c r="AE510" s="1178"/>
      <c r="AF510" s="1178"/>
    </row>
    <row r="511" spans="3:32" s="1169" customFormat="1" ht="10.199999999999999">
      <c r="C511" s="1169" t="s">
        <v>1617</v>
      </c>
      <c r="D511" s="1170"/>
      <c r="E511" s="1170"/>
      <c r="F511" s="1170"/>
      <c r="G511" s="1170"/>
      <c r="H511" s="1170"/>
      <c r="I511" s="1170"/>
      <c r="K511" s="1170"/>
      <c r="L511" s="1170"/>
      <c r="M511" s="1170"/>
      <c r="N511" s="1169" t="s">
        <v>2441</v>
      </c>
      <c r="AE511" s="1178"/>
      <c r="AF511" s="1178"/>
    </row>
    <row r="512" spans="3:32" s="1169" customFormat="1" ht="10.199999999999999">
      <c r="C512" s="1169" t="s">
        <v>1618</v>
      </c>
      <c r="D512" s="1170"/>
      <c r="E512" s="1170"/>
      <c r="F512" s="1170"/>
      <c r="G512" s="1170"/>
      <c r="H512" s="1170"/>
      <c r="I512" s="1170"/>
      <c r="J512" s="1170"/>
      <c r="K512" s="1170"/>
      <c r="L512" s="1170"/>
      <c r="M512" s="1170"/>
      <c r="AE512" s="1178"/>
      <c r="AF512" s="1178"/>
    </row>
    <row r="513" spans="3:32" s="1169" customFormat="1" ht="10.199999999999999">
      <c r="C513" s="1169" t="s">
        <v>1619</v>
      </c>
      <c r="D513" s="1170"/>
      <c r="E513" s="1170"/>
      <c r="F513" s="1170"/>
      <c r="G513" s="1170"/>
      <c r="H513" s="1170"/>
      <c r="I513" s="1170"/>
      <c r="J513" s="1170"/>
      <c r="K513" s="1170"/>
      <c r="L513" s="1170"/>
      <c r="M513" s="1170"/>
      <c r="AE513" s="1178"/>
      <c r="AF513" s="1178"/>
    </row>
    <row r="514" spans="3:32" s="1169" customFormat="1" ht="10.199999999999999">
      <c r="C514" s="1169" t="s">
        <v>574</v>
      </c>
      <c r="D514" s="1170"/>
      <c r="E514" s="1170"/>
      <c r="F514" s="1170"/>
      <c r="G514" s="1170"/>
      <c r="H514" s="1170"/>
      <c r="I514" s="1170"/>
      <c r="J514" s="1170"/>
      <c r="K514" s="1170"/>
      <c r="L514" s="1170"/>
      <c r="M514" s="1170"/>
      <c r="AE514" s="1178"/>
      <c r="AF514" s="1178"/>
    </row>
    <row r="515" spans="3:32" s="1169" customFormat="1" ht="10.199999999999999">
      <c r="C515" s="1169" t="s">
        <v>1620</v>
      </c>
      <c r="D515" s="1170"/>
      <c r="E515" s="1170"/>
      <c r="F515" s="1170"/>
      <c r="G515" s="1170"/>
      <c r="H515" s="1170"/>
      <c r="I515" s="1170"/>
      <c r="J515" s="1170"/>
      <c r="K515" s="1170"/>
      <c r="L515" s="1170"/>
      <c r="M515" s="1170"/>
      <c r="AE515" s="1178"/>
      <c r="AF515" s="1178"/>
    </row>
    <row r="516" spans="3:32" s="1169" customFormat="1" ht="10.199999999999999">
      <c r="C516" s="1169" t="s">
        <v>1828</v>
      </c>
      <c r="D516" s="1170"/>
      <c r="E516" s="1170"/>
      <c r="F516" s="1170"/>
      <c r="G516" s="1170"/>
      <c r="H516" s="1170"/>
      <c r="I516" s="1170"/>
      <c r="J516" s="1170"/>
      <c r="K516" s="1170"/>
      <c r="L516" s="1170"/>
      <c r="M516" s="1170"/>
      <c r="AE516" s="1178"/>
      <c r="AF516" s="1178"/>
    </row>
    <row r="517" spans="3:32" s="1169" customFormat="1" ht="10.199999999999999">
      <c r="C517" s="1169" t="s">
        <v>224</v>
      </c>
      <c r="D517" s="1170"/>
      <c r="E517" s="1170"/>
      <c r="F517" s="1170"/>
      <c r="G517" s="1170"/>
      <c r="H517" s="1170"/>
      <c r="I517" s="1170"/>
      <c r="K517" s="1170"/>
      <c r="L517" s="1170"/>
      <c r="M517" s="1170"/>
      <c r="AE517" s="1178"/>
      <c r="AF517" s="1178"/>
    </row>
    <row r="518" spans="3:32" s="1169" customFormat="1" ht="10.199999999999999">
      <c r="AE518" s="1178"/>
      <c r="AF518" s="1178"/>
    </row>
    <row r="519" spans="3:32" s="1169" customFormat="1" ht="10.199999999999999">
      <c r="C519" s="1175" t="s">
        <v>1745</v>
      </c>
      <c r="AE519" s="1178"/>
      <c r="AF519" s="1178"/>
    </row>
    <row r="520" spans="3:32" s="1169" customFormat="1" ht="10.199999999999999">
      <c r="C520" s="1169" t="s">
        <v>906</v>
      </c>
      <c r="AE520" s="1178"/>
      <c r="AF520" s="1178"/>
    </row>
    <row r="521" spans="3:32" s="1169" customFormat="1" ht="10.199999999999999">
      <c r="C521" s="1173" t="s">
        <v>1596</v>
      </c>
      <c r="AE521" s="1178"/>
      <c r="AF521" s="1178"/>
    </row>
    <row r="522" spans="3:32" s="1169" customFormat="1" ht="10.199999999999999">
      <c r="C522" s="1173" t="s">
        <v>701</v>
      </c>
      <c r="L522" s="1173"/>
      <c r="AE522" s="1178"/>
      <c r="AF522" s="1178"/>
    </row>
    <row r="523" spans="3:32" s="1169" customFormat="1" ht="10.199999999999999">
      <c r="C523" s="1173" t="s">
        <v>702</v>
      </c>
      <c r="L523" s="1173"/>
      <c r="AE523" s="1178"/>
      <c r="AF523" s="1178"/>
    </row>
    <row r="524" spans="3:32" s="1169" customFormat="1" ht="10.199999999999999">
      <c r="C524" s="1173" t="s">
        <v>2106</v>
      </c>
      <c r="L524" s="1173"/>
      <c r="AE524" s="1178"/>
      <c r="AF524" s="1178"/>
    </row>
    <row r="525" spans="3:32" s="1169" customFormat="1" ht="10.199999999999999">
      <c r="C525" s="1173" t="s">
        <v>123</v>
      </c>
      <c r="L525" s="1173"/>
      <c r="AE525" s="1178"/>
      <c r="AF525" s="1178"/>
    </row>
    <row r="526" spans="3:32" s="1169" customFormat="1" ht="10.199999999999999">
      <c r="C526" s="1178" t="s">
        <v>121</v>
      </c>
      <c r="L526" s="1173"/>
      <c r="AE526" s="1178"/>
      <c r="AF526" s="1178"/>
    </row>
    <row r="527" spans="3:32" s="1169" customFormat="1" ht="10.199999999999999">
      <c r="C527" s="1178" t="s">
        <v>1833</v>
      </c>
      <c r="AE527" s="1178"/>
      <c r="AF527" s="1178"/>
    </row>
    <row r="528" spans="3:32" s="1169" customFormat="1" ht="10.199999999999999">
      <c r="C528" s="1173" t="s">
        <v>925</v>
      </c>
      <c r="L528" s="1173"/>
      <c r="AE528" s="1178"/>
      <c r="AF528" s="1178"/>
    </row>
    <row r="529" spans="3:32" s="1169" customFormat="1" ht="10.199999999999999">
      <c r="C529" s="1178" t="s">
        <v>122</v>
      </c>
      <c r="L529" s="1173"/>
      <c r="AE529" s="1178"/>
      <c r="AF529" s="1178"/>
    </row>
    <row r="530" spans="3:32" s="1169" customFormat="1" ht="10.199999999999999">
      <c r="C530" s="1178" t="s">
        <v>123</v>
      </c>
      <c r="L530" s="1173"/>
      <c r="AE530" s="1178"/>
      <c r="AF530" s="1178"/>
    </row>
    <row r="531" spans="3:32" s="1169" customFormat="1" ht="10.199999999999999">
      <c r="C531" s="1178" t="s">
        <v>124</v>
      </c>
      <c r="L531" s="1173"/>
      <c r="AE531" s="1178"/>
      <c r="AF531" s="1178"/>
    </row>
    <row r="532" spans="3:32" s="1169" customFormat="1" ht="10.199999999999999">
      <c r="C532" s="1178" t="s">
        <v>2598</v>
      </c>
      <c r="AE532" s="1178"/>
      <c r="AF532" s="1178"/>
    </row>
    <row r="533" spans="3:32" s="1169" customFormat="1" ht="10.199999999999999">
      <c r="C533" s="1173" t="s">
        <v>1963</v>
      </c>
      <c r="L533" s="1173"/>
      <c r="AE533" s="1178"/>
      <c r="AF533" s="1178"/>
    </row>
    <row r="534" spans="3:32" s="1169" customFormat="1" ht="10.199999999999999">
      <c r="C534" s="1178" t="s">
        <v>2599</v>
      </c>
      <c r="L534" s="1173"/>
      <c r="AE534" s="1178"/>
      <c r="AF534" s="1178"/>
    </row>
    <row r="535" spans="3:32" s="1169" customFormat="1" ht="10.199999999999999">
      <c r="C535" s="1178" t="s">
        <v>1355</v>
      </c>
      <c r="L535" s="1173"/>
      <c r="AE535" s="1178"/>
      <c r="AF535" s="1178"/>
    </row>
    <row r="536" spans="3:32" s="1169" customFormat="1" ht="10.199999999999999">
      <c r="C536" s="1178" t="s">
        <v>1555</v>
      </c>
      <c r="K536" s="1174" t="s">
        <v>452</v>
      </c>
      <c r="L536" s="1173"/>
      <c r="AE536" s="1178"/>
      <c r="AF536" s="1178"/>
    </row>
    <row r="537" spans="3:32" s="1169" customFormat="1" ht="10.199999999999999">
      <c r="C537" s="1178" t="s">
        <v>2600</v>
      </c>
      <c r="K537" s="1169" t="s">
        <v>1061</v>
      </c>
      <c r="L537" s="1173"/>
      <c r="AE537" s="1178"/>
      <c r="AF537" s="1178"/>
    </row>
    <row r="538" spans="3:32" s="1169" customFormat="1" ht="10.199999999999999">
      <c r="C538" s="1178" t="s">
        <v>2601</v>
      </c>
      <c r="K538" s="1169" t="s">
        <v>3581</v>
      </c>
      <c r="AE538" s="1178"/>
      <c r="AF538" s="1178"/>
    </row>
    <row r="539" spans="3:32" s="1169" customFormat="1" ht="10.199999999999999">
      <c r="C539" s="1173" t="s">
        <v>1178</v>
      </c>
      <c r="K539" s="1169" t="s">
        <v>2578</v>
      </c>
      <c r="AE539" s="1178"/>
      <c r="AF539" s="1178"/>
    </row>
    <row r="540" spans="3:32" s="1169" customFormat="1" ht="10.199999999999999">
      <c r="AE540" s="1178"/>
      <c r="AF540" s="1178"/>
    </row>
    <row r="541" spans="3:32" s="1169" customFormat="1" ht="10.199999999999999">
      <c r="C541" s="1175" t="s">
        <v>250</v>
      </c>
      <c r="K541" s="1174" t="s">
        <v>2184</v>
      </c>
      <c r="AE541" s="1178"/>
      <c r="AF541" s="1178"/>
    </row>
    <row r="542" spans="3:32" s="1169" customFormat="1" ht="10.199999999999999">
      <c r="C542" s="1169" t="s">
        <v>1062</v>
      </c>
      <c r="K542" s="1169" t="s">
        <v>2268</v>
      </c>
      <c r="AE542" s="1178"/>
      <c r="AF542" s="1178"/>
    </row>
    <row r="543" spans="3:32" s="1169" customFormat="1" ht="10.199999999999999">
      <c r="C543" s="1169" t="s">
        <v>166</v>
      </c>
      <c r="K543" s="1866" t="s">
        <v>4370</v>
      </c>
      <c r="AE543" s="1178"/>
      <c r="AF543" s="1178"/>
    </row>
    <row r="544" spans="3:32" s="1169" customFormat="1" ht="10.199999999999999">
      <c r="C544" s="1169" t="s">
        <v>1494</v>
      </c>
      <c r="K544" s="1169" t="s">
        <v>3684</v>
      </c>
      <c r="AE544" s="1178"/>
      <c r="AF544" s="1178"/>
    </row>
    <row r="545" spans="3:32" s="1169" customFormat="1" ht="10.199999999999999">
      <c r="C545" s="1169" t="s">
        <v>2068</v>
      </c>
      <c r="K545" s="1169" t="s">
        <v>4371</v>
      </c>
      <c r="AE545" s="1178"/>
      <c r="AF545" s="1178"/>
    </row>
    <row r="546" spans="3:32" s="1169" customFormat="1" ht="10.199999999999999">
      <c r="C546" s="1169" t="s">
        <v>165</v>
      </c>
      <c r="K546" s="1169" t="s">
        <v>2645</v>
      </c>
      <c r="AE546" s="1178"/>
      <c r="AF546" s="1178"/>
    </row>
    <row r="547" spans="3:32" s="1169" customFormat="1" ht="10.199999999999999">
      <c r="K547" s="1174" t="s">
        <v>1901</v>
      </c>
      <c r="AE547" s="1178"/>
      <c r="AF547" s="1178"/>
    </row>
    <row r="548" spans="3:32" s="1169" customFormat="1" ht="10.199999999999999">
      <c r="K548" s="1169" t="s">
        <v>1060</v>
      </c>
      <c r="AE548" s="1178"/>
      <c r="AF548" s="1178"/>
    </row>
    <row r="549" spans="3:32" s="1169" customFormat="1" ht="10.199999999999999">
      <c r="K549" s="1169" t="s">
        <v>1708</v>
      </c>
      <c r="AE549" s="1178"/>
      <c r="AF549" s="1178"/>
    </row>
    <row r="550" spans="3:32" s="1169" customFormat="1" ht="10.199999999999999">
      <c r="K550" s="1169" t="s">
        <v>1111</v>
      </c>
      <c r="AE550" s="1178"/>
      <c r="AF550" s="1178"/>
    </row>
    <row r="551" spans="3:32" s="1169" customFormat="1" ht="10.199999999999999">
      <c r="K551" s="1169" t="s">
        <v>1709</v>
      </c>
      <c r="AE551" s="1178"/>
      <c r="AF551" s="1178"/>
    </row>
    <row r="552" spans="3:32" s="1169" customFormat="1" ht="10.199999999999999">
      <c r="K552" s="1169" t="s">
        <v>2308</v>
      </c>
      <c r="AE552" s="1178"/>
      <c r="AF552" s="1178"/>
    </row>
    <row r="553" spans="3:32" s="1169" customFormat="1" ht="10.199999999999999">
      <c r="AE553" s="1178"/>
      <c r="AF553" s="1178"/>
    </row>
    <row r="554" spans="3:32" s="1169" customFormat="1" ht="10.199999999999999">
      <c r="C554" s="1175" t="s">
        <v>993</v>
      </c>
      <c r="M554" s="1175" t="s">
        <v>4407</v>
      </c>
      <c r="AE554" s="1178"/>
      <c r="AF554" s="1178"/>
    </row>
    <row r="555" spans="3:32" s="1169" customFormat="1" ht="10.199999999999999">
      <c r="C555" s="1169" t="s">
        <v>992</v>
      </c>
      <c r="M555" s="1169" t="s">
        <v>992</v>
      </c>
      <c r="AE555" s="1178"/>
      <c r="AF555" s="1178"/>
    </row>
    <row r="556" spans="3:32" s="1169" customFormat="1" ht="10.199999999999999">
      <c r="C556" s="1169" t="s">
        <v>2041</v>
      </c>
      <c r="M556" s="1169" t="s">
        <v>4404</v>
      </c>
      <c r="AE556" s="1178"/>
      <c r="AF556" s="1178"/>
    </row>
    <row r="557" spans="3:32" s="1169" customFormat="1" ht="10.199999999999999">
      <c r="C557" s="1169" t="s">
        <v>2478</v>
      </c>
      <c r="M557" s="1169" t="s">
        <v>4439</v>
      </c>
      <c r="AE557" s="1178"/>
      <c r="AF557" s="1178"/>
    </row>
    <row r="558" spans="3:32" s="1169" customFormat="1" ht="10.199999999999999">
      <c r="C558" s="1169" t="s">
        <v>2042</v>
      </c>
      <c r="M558" s="1169" t="s">
        <v>1615</v>
      </c>
      <c r="AE558" s="1178"/>
      <c r="AF558" s="1178"/>
    </row>
    <row r="559" spans="3:32" s="1169" customFormat="1" ht="10.199999999999999">
      <c r="C559" s="1169" t="s">
        <v>1902</v>
      </c>
      <c r="M559" s="1169" t="s">
        <v>4405</v>
      </c>
      <c r="AE559" s="1178"/>
      <c r="AF559" s="1178"/>
    </row>
    <row r="560" spans="3:32" s="1169" customFormat="1" ht="10.199999999999999">
      <c r="C560" s="1169" t="s">
        <v>573</v>
      </c>
      <c r="M560" s="1866" t="s">
        <v>4484</v>
      </c>
      <c r="AE560" s="1178"/>
      <c r="AF560" s="1178"/>
    </row>
    <row r="561" spans="3:32" s="1169" customFormat="1" ht="10.199999999999999">
      <c r="C561" s="1169" t="s">
        <v>2145</v>
      </c>
      <c r="M561" s="1866" t="s">
        <v>4485</v>
      </c>
      <c r="AE561" s="1178"/>
      <c r="AF561" s="1178"/>
    </row>
    <row r="562" spans="3:32" s="1169" customFormat="1" ht="10.199999999999999">
      <c r="C562" s="1177" t="s">
        <v>31</v>
      </c>
      <c r="M562" s="1169" t="s">
        <v>4406</v>
      </c>
      <c r="AE562" s="1178"/>
      <c r="AF562" s="1178"/>
    </row>
    <row r="563" spans="3:32" s="1169" customFormat="1" ht="10.199999999999999">
      <c r="M563" s="1907" t="s">
        <v>2055</v>
      </c>
      <c r="AE563" s="1178"/>
      <c r="AF563" s="1178"/>
    </row>
    <row r="564" spans="3:32" s="1169" customFormat="1" ht="10.199999999999999">
      <c r="AE564" s="1178"/>
      <c r="AF564" s="1178"/>
    </row>
    <row r="565" spans="3:32" s="1169" customFormat="1" ht="10.199999999999999">
      <c r="AE565" s="1178"/>
      <c r="AF565" s="1178"/>
    </row>
    <row r="566" spans="3:32" s="1169" customFormat="1" ht="10.199999999999999">
      <c r="AE566" s="1178"/>
      <c r="AF566" s="1178"/>
    </row>
    <row r="567" spans="3:32" s="1169" customFormat="1" ht="10.199999999999999">
      <c r="AE567" s="1178"/>
      <c r="AF567" s="1178"/>
    </row>
    <row r="568" spans="3:32" s="1169" customFormat="1" ht="10.199999999999999">
      <c r="AE568" s="1178"/>
      <c r="AF568" s="1178"/>
    </row>
    <row r="569" spans="3:32" s="1169" customFormat="1" ht="10.199999999999999">
      <c r="AE569" s="1178"/>
      <c r="AF569" s="1178"/>
    </row>
    <row r="570" spans="3:32" s="1169" customFormat="1" ht="10.199999999999999">
      <c r="AE570" s="1178"/>
      <c r="AF570" s="1178"/>
    </row>
    <row r="571" spans="3:32" s="1169" customFormat="1" ht="10.199999999999999">
      <c r="D571" s="1176" t="s">
        <v>1989</v>
      </c>
      <c r="AE571" s="1178"/>
      <c r="AF571" s="1178"/>
    </row>
    <row r="572" spans="3:32" s="1169" customFormat="1">
      <c r="J572" s="506"/>
      <c r="AE572" s="1178"/>
      <c r="AF572" s="1178"/>
    </row>
    <row r="573" spans="3:32" s="506" customFormat="1">
      <c r="O573" s="1169"/>
      <c r="AE573" s="720"/>
      <c r="AF573" s="720"/>
    </row>
    <row r="574" spans="3:32" s="506" customFormat="1">
      <c r="AE574" s="720"/>
      <c r="AF574" s="720"/>
    </row>
    <row r="575" spans="3:32" s="506" customFormat="1">
      <c r="AE575" s="720"/>
      <c r="AF575" s="720"/>
    </row>
    <row r="576" spans="3:32" s="506" customFormat="1">
      <c r="AE576" s="720"/>
      <c r="AF576" s="720"/>
    </row>
    <row r="577" spans="1:32" s="506" customFormat="1">
      <c r="AE577" s="720"/>
      <c r="AF577" s="720"/>
    </row>
    <row r="578" spans="1:32" s="506" customFormat="1">
      <c r="AE578" s="720"/>
      <c r="AF578" s="720"/>
    </row>
    <row r="579" spans="1:32" s="506" customFormat="1">
      <c r="AE579" s="720"/>
      <c r="AF579" s="720"/>
    </row>
    <row r="580" spans="1:32" s="506" customFormat="1">
      <c r="AE580" s="720"/>
      <c r="AF580" s="720"/>
    </row>
    <row r="581" spans="1:32" s="506" customFormat="1">
      <c r="AE581" s="720"/>
      <c r="AF581" s="720"/>
    </row>
    <row r="582" spans="1:32" s="506" customFormat="1">
      <c r="AE582" s="720"/>
      <c r="AF582" s="720"/>
    </row>
    <row r="583" spans="1:32" s="506" customFormat="1">
      <c r="AE583" s="720"/>
      <c r="AF583" s="720"/>
    </row>
    <row r="584" spans="1:32" s="506" customFormat="1">
      <c r="AE584" s="720"/>
      <c r="AF584" s="720"/>
    </row>
    <row r="585" spans="1:32" s="506" customFormat="1">
      <c r="AE585" s="720"/>
      <c r="AF585" s="720"/>
    </row>
    <row r="586" spans="1:32" s="506" customFormat="1">
      <c r="AE586" s="720"/>
      <c r="AF586" s="720"/>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1434" customWidth="1"/>
    <col min="17" max="17" width="6" style="27" customWidth="1"/>
    <col min="18" max="21" width="9.109375" style="27" customWidth="1"/>
    <col min="22" max="22" width="8.88671875" style="27" customWidth="1"/>
    <col min="23" max="16384" width="9.109375" style="27"/>
  </cols>
  <sheetData>
    <row r="1" spans="1:22" s="35" customFormat="1" ht="14.1" customHeight="1">
      <c r="A1" s="3289" t="str">
        <f>CONCATENATE("PART NINE - SCORING CRITERIA","  -  ",'Part I-Project Information'!$O$6," ",'Part I-Project Information'!$F$34,", ",'Part I-Project Information'!F38,", ",'Part I-Project Information'!J39," County")</f>
        <v>PART NINE - SCORING CRITERIA  -  2020-5 Lakeview Terrace, Augusta, Richmond County</v>
      </c>
      <c r="B1" s="3290"/>
      <c r="C1" s="3290"/>
      <c r="D1" s="3290"/>
      <c r="E1" s="3290"/>
      <c r="F1" s="3290"/>
      <c r="G1" s="3290"/>
      <c r="H1" s="3290"/>
      <c r="I1" s="3290"/>
      <c r="J1" s="3290"/>
      <c r="K1" s="3290"/>
      <c r="L1" s="3290"/>
      <c r="M1" s="3290"/>
      <c r="N1" s="3290"/>
      <c r="O1" s="3290"/>
      <c r="P1" s="3291"/>
      <c r="Q1" s="1902"/>
      <c r="R1" s="1902"/>
      <c r="S1" s="1902"/>
    </row>
    <row r="2" spans="1:22" s="35" customFormat="1" ht="4.3499999999999996" customHeight="1">
      <c r="A2" s="36"/>
      <c r="B2" s="36"/>
      <c r="C2" s="37"/>
      <c r="D2" s="36"/>
      <c r="E2" s="36"/>
      <c r="F2" s="36"/>
      <c r="G2" s="36"/>
      <c r="H2" s="36"/>
      <c r="I2" s="36"/>
      <c r="J2" s="36"/>
      <c r="K2" s="36"/>
      <c r="L2" s="36"/>
      <c r="M2" s="38"/>
      <c r="N2" s="72"/>
      <c r="O2" s="1435"/>
      <c r="P2" s="1435"/>
      <c r="Q2" s="1902"/>
      <c r="R2" s="1902"/>
      <c r="S2" s="1902"/>
    </row>
    <row r="3" spans="1:22" s="42" customFormat="1" ht="12" customHeight="1">
      <c r="A3" s="4032" t="s">
        <v>4387</v>
      </c>
      <c r="B3" s="4032"/>
      <c r="C3" s="4032"/>
      <c r="D3" s="4032"/>
      <c r="E3" s="4032"/>
      <c r="F3" s="4032"/>
      <c r="G3" s="4032"/>
      <c r="H3" s="4032"/>
      <c r="I3" s="4032"/>
      <c r="J3" s="4032"/>
      <c r="K3" s="4032"/>
      <c r="L3" s="4032"/>
      <c r="M3" s="1382" t="s">
        <v>2163</v>
      </c>
      <c r="N3" s="73"/>
      <c r="O3" s="84" t="s">
        <v>2162</v>
      </c>
      <c r="P3" s="1383" t="s">
        <v>251</v>
      </c>
      <c r="Q3" s="1902"/>
      <c r="R3" s="1902"/>
      <c r="S3" s="1902"/>
    </row>
    <row r="4" spans="1:22" s="44" customFormat="1" ht="12" customHeight="1">
      <c r="A4" s="4032"/>
      <c r="B4" s="4032"/>
      <c r="C4" s="4032"/>
      <c r="D4" s="4032"/>
      <c r="E4" s="4032"/>
      <c r="F4" s="4032"/>
      <c r="G4" s="4032"/>
      <c r="H4" s="4032"/>
      <c r="I4" s="4032"/>
      <c r="J4" s="4032"/>
      <c r="K4" s="4032"/>
      <c r="L4" s="4032"/>
      <c r="M4" s="1384" t="s">
        <v>91</v>
      </c>
      <c r="N4" s="85"/>
      <c r="O4" s="192" t="s">
        <v>2163</v>
      </c>
      <c r="P4" s="192" t="s">
        <v>2163</v>
      </c>
      <c r="Q4" s="1902"/>
      <c r="R4" s="1902"/>
      <c r="S4" s="1902"/>
      <c r="T4" s="42"/>
      <c r="U4" s="42"/>
      <c r="V4" s="42"/>
    </row>
    <row r="5" spans="1:22" s="44" customFormat="1" ht="3" customHeight="1" thickBot="1">
      <c r="A5" s="42"/>
      <c r="B5" s="42"/>
      <c r="C5" s="42"/>
      <c r="D5" s="42"/>
      <c r="E5" s="42"/>
      <c r="F5" s="42"/>
      <c r="G5" s="42"/>
      <c r="H5" s="42"/>
      <c r="I5" s="42"/>
      <c r="J5" s="42"/>
      <c r="K5" s="42"/>
      <c r="M5" s="92"/>
      <c r="N5" s="10"/>
      <c r="O5" s="985"/>
      <c r="P5" s="30"/>
      <c r="Q5" s="1902"/>
      <c r="R5" s="1902"/>
      <c r="S5" s="1902"/>
    </row>
    <row r="6" spans="1:22" s="44" customFormat="1" ht="12.75" customHeight="1" thickTop="1" thickBot="1">
      <c r="A6" s="42"/>
      <c r="B6" s="4061" t="str">
        <f>'Part I-Project Information'!$B$6</f>
        <v>July 15, 2020 Version (4%)</v>
      </c>
      <c r="C6" s="4061"/>
      <c r="D6" s="4061"/>
      <c r="E6" s="4061"/>
      <c r="F6" s="4061"/>
      <c r="G6" s="524"/>
      <c r="H6" s="42"/>
      <c r="I6" s="42"/>
      <c r="J6" s="42"/>
      <c r="L6" s="69" t="s">
        <v>1200</v>
      </c>
      <c r="M6" s="296">
        <f>M439</f>
        <v>95</v>
      </c>
      <c r="N6" s="9"/>
      <c r="O6" s="1354">
        <f>O439</f>
        <v>20</v>
      </c>
      <c r="P6" s="1354">
        <f>P439</f>
        <v>20</v>
      </c>
      <c r="Q6" s="1902"/>
      <c r="R6" s="1902"/>
      <c r="S6" s="1902"/>
    </row>
    <row r="7" spans="1:22" s="43" customFormat="1" ht="3.6" customHeight="1" thickTop="1" thickBot="1">
      <c r="A7" s="42"/>
      <c r="B7" s="63"/>
      <c r="C7" s="36"/>
      <c r="D7" s="48"/>
      <c r="E7" s="48"/>
      <c r="F7" s="53"/>
      <c r="G7" s="48"/>
      <c r="H7" s="48"/>
      <c r="I7" s="48"/>
      <c r="J7" s="48"/>
      <c r="K7" s="48"/>
      <c r="L7" s="42"/>
      <c r="M7" s="46"/>
      <c r="N7" s="62"/>
      <c r="O7" s="3"/>
      <c r="P7" s="985"/>
      <c r="R7" s="42"/>
      <c r="S7" s="42"/>
    </row>
    <row r="8" spans="1:22" s="42" customFormat="1" ht="12" customHeight="1" thickBot="1">
      <c r="A8" s="1811" t="s">
        <v>4297</v>
      </c>
      <c r="D8" s="52"/>
      <c r="E8" s="52"/>
      <c r="F8" s="52"/>
      <c r="G8" s="66"/>
      <c r="H8" s="191" t="s">
        <v>4358</v>
      </c>
      <c r="I8" s="66"/>
      <c r="J8" s="66"/>
      <c r="K8" s="66"/>
      <c r="L8" s="66"/>
      <c r="M8" s="1800" t="s">
        <v>4357</v>
      </c>
      <c r="N8" s="66"/>
      <c r="O8" s="1799"/>
      <c r="P8" s="1796">
        <f>IF(P10&lt;2,0,IF(AND(P10&gt;1,P10&lt;5),1,IF(P10&gt;4,P10-3)))</f>
        <v>0</v>
      </c>
      <c r="Q8" s="36" t="s">
        <v>4359</v>
      </c>
      <c r="R8" s="505"/>
      <c r="S8" s="161"/>
    </row>
    <row r="9" spans="1:22" s="43" customFormat="1" ht="3.6" customHeight="1">
      <c r="A9" s="42"/>
      <c r="B9" s="63"/>
      <c r="C9" s="36"/>
      <c r="D9" s="48"/>
      <c r="E9" s="48"/>
      <c r="F9" s="53"/>
      <c r="G9" s="48"/>
      <c r="H9" s="48"/>
      <c r="I9" s="48"/>
      <c r="J9" s="48"/>
      <c r="K9" s="48"/>
      <c r="L9" s="42"/>
      <c r="M9" s="46"/>
      <c r="N9" s="62"/>
      <c r="O9" s="3"/>
      <c r="P9" s="985"/>
      <c r="R9" s="42"/>
      <c r="S9" s="42"/>
    </row>
    <row r="10" spans="1:22" s="42" customFormat="1" ht="10.5" customHeight="1">
      <c r="A10" s="1855" t="s">
        <v>3817</v>
      </c>
      <c r="B10" s="1855" t="s">
        <v>3818</v>
      </c>
      <c r="C10" s="1420"/>
      <c r="D10" s="1420"/>
      <c r="E10" s="1084" t="s">
        <v>3833</v>
      </c>
      <c r="F10" s="4058" t="s">
        <v>3832</v>
      </c>
      <c r="G10" s="4058"/>
      <c r="H10" s="4058"/>
      <c r="I10" s="4058"/>
      <c r="J10" s="4058"/>
      <c r="K10" s="4058"/>
      <c r="L10" s="4058"/>
      <c r="M10" s="4058"/>
      <c r="N10" s="4058"/>
      <c r="O10" s="1856" t="s">
        <v>4295</v>
      </c>
      <c r="P10" s="1857">
        <f>SUM(P11:P23)</f>
        <v>0</v>
      </c>
      <c r="Q10" s="4111" t="s">
        <v>4448</v>
      </c>
      <c r="R10" s="4111"/>
      <c r="S10" s="4111"/>
      <c r="T10" s="4111"/>
      <c r="U10" s="4111"/>
      <c r="V10" s="4111"/>
    </row>
    <row r="11" spans="1:22" s="42" customFormat="1" ht="11.25" customHeight="1">
      <c r="A11" s="1403" t="s">
        <v>724</v>
      </c>
      <c r="B11" s="1404" t="s">
        <v>3819</v>
      </c>
      <c r="C11" s="1405"/>
      <c r="D11" s="1406"/>
      <c r="E11" s="1847">
        <f>$O$64</f>
        <v>0</v>
      </c>
      <c r="F11" s="4059">
        <f>$A$70</f>
        <v>0</v>
      </c>
      <c r="G11" s="4060"/>
      <c r="H11" s="4060"/>
      <c r="I11" s="4060"/>
      <c r="J11" s="4060"/>
      <c r="K11" s="4060"/>
      <c r="L11" s="4060"/>
      <c r="M11" s="4060"/>
      <c r="N11" s="4060"/>
      <c r="O11" s="4060"/>
      <c r="P11" s="1873"/>
      <c r="Q11" s="4111"/>
      <c r="R11" s="4111"/>
      <c r="S11" s="4111"/>
      <c r="T11" s="4111"/>
      <c r="U11" s="4111"/>
      <c r="V11" s="4111"/>
    </row>
    <row r="12" spans="1:22" s="42" customFormat="1" ht="11.25" customHeight="1">
      <c r="A12" s="1407" t="s">
        <v>1748</v>
      </c>
      <c r="B12" s="1085" t="s">
        <v>4728</v>
      </c>
      <c r="C12" s="1280"/>
      <c r="D12" s="1408"/>
      <c r="E12" s="1848">
        <f>$O$74</f>
        <v>0</v>
      </c>
      <c r="F12" s="4052">
        <f>$A$107</f>
        <v>0</v>
      </c>
      <c r="G12" s="4053"/>
      <c r="H12" s="4053"/>
      <c r="I12" s="4053"/>
      <c r="J12" s="4053"/>
      <c r="K12" s="4053"/>
      <c r="L12" s="4053"/>
      <c r="M12" s="4053"/>
      <c r="N12" s="4053"/>
      <c r="O12" s="4054"/>
      <c r="P12" s="1874"/>
      <c r="Q12" s="4118" t="str">
        <f>IF(OR($A$70="",$A$107="",$A$146="",$A$185="",$A$224="",$A$257="",$A$277="",$A$293="",$A$308="",$A$325="",$A$371="",$A$407="",$A$427=""),"Some Applicant Scoring Justification boxes are empty! Check to see if points claimed.","")</f>
        <v>Some Applicant Scoring Justification boxes are empty! Check to see if points claimed.</v>
      </c>
      <c r="R12" s="4119"/>
      <c r="S12" s="4119"/>
    </row>
    <row r="13" spans="1:22" s="42" customFormat="1" ht="11.25" customHeight="1">
      <c r="A13" s="1407" t="s">
        <v>1750</v>
      </c>
      <c r="B13" s="1085" t="s">
        <v>4729</v>
      </c>
      <c r="C13" s="1280"/>
      <c r="D13" s="1408"/>
      <c r="E13" s="1848">
        <f>$O$112</f>
        <v>0</v>
      </c>
      <c r="F13" s="4052">
        <f>$A$146</f>
        <v>0</v>
      </c>
      <c r="G13" s="4053"/>
      <c r="H13" s="4053"/>
      <c r="I13" s="4053"/>
      <c r="J13" s="4053"/>
      <c r="K13" s="4053"/>
      <c r="L13" s="4053"/>
      <c r="M13" s="4053"/>
      <c r="N13" s="4053"/>
      <c r="O13" s="4054"/>
      <c r="P13" s="1874"/>
      <c r="Q13" s="4118"/>
      <c r="R13" s="4119"/>
      <c r="S13" s="4119"/>
    </row>
    <row r="14" spans="1:22" s="42" customFormat="1" ht="11.25" customHeight="1">
      <c r="A14" s="1407" t="s">
        <v>516</v>
      </c>
      <c r="B14" s="1085" t="s">
        <v>3820</v>
      </c>
      <c r="C14" s="1280"/>
      <c r="D14" s="1408"/>
      <c r="E14" s="1848">
        <f>$O$150</f>
        <v>0</v>
      </c>
      <c r="F14" s="4052">
        <f>$A$185</f>
        <v>0</v>
      </c>
      <c r="G14" s="4053"/>
      <c r="H14" s="4053"/>
      <c r="I14" s="4053"/>
      <c r="J14" s="4053"/>
      <c r="K14" s="4053"/>
      <c r="L14" s="4053"/>
      <c r="M14" s="4053"/>
      <c r="N14" s="4053"/>
      <c r="O14" s="4054"/>
      <c r="P14" s="1874"/>
      <c r="Q14" s="4118"/>
      <c r="R14" s="4119"/>
      <c r="S14" s="4119"/>
    </row>
    <row r="15" spans="1:22" s="42" customFormat="1" ht="11.25" customHeight="1">
      <c r="A15" s="1407" t="s">
        <v>754</v>
      </c>
      <c r="B15" s="1085" t="s">
        <v>3821</v>
      </c>
      <c r="C15" s="1280"/>
      <c r="D15" s="1408"/>
      <c r="E15" s="1849">
        <f>$O$189</f>
        <v>0</v>
      </c>
      <c r="F15" s="4052">
        <f>$A$224</f>
        <v>0</v>
      </c>
      <c r="G15" s="4053"/>
      <c r="H15" s="4053"/>
      <c r="I15" s="4053"/>
      <c r="J15" s="4053"/>
      <c r="K15" s="4053"/>
      <c r="L15" s="4053"/>
      <c r="M15" s="4053"/>
      <c r="N15" s="4053"/>
      <c r="O15" s="4054"/>
      <c r="P15" s="1874"/>
      <c r="Q15" s="4118"/>
      <c r="R15" s="4119"/>
      <c r="S15" s="4119"/>
    </row>
    <row r="16" spans="1:22" s="42" customFormat="1" ht="11.25" customHeight="1">
      <c r="A16" s="1413" t="s">
        <v>287</v>
      </c>
      <c r="B16" s="1414" t="s">
        <v>3822</v>
      </c>
      <c r="C16" s="1415"/>
      <c r="D16" s="1416"/>
      <c r="E16" s="1850" t="s">
        <v>1690</v>
      </c>
      <c r="F16" s="4081">
        <f>$A$257</f>
        <v>0</v>
      </c>
      <c r="G16" s="4082"/>
      <c r="H16" s="4082"/>
      <c r="I16" s="4082"/>
      <c r="J16" s="4082"/>
      <c r="K16" s="4082"/>
      <c r="L16" s="4082"/>
      <c r="M16" s="4082"/>
      <c r="N16" s="4082"/>
      <c r="O16" s="4083"/>
      <c r="P16" s="1874"/>
      <c r="Q16" s="4118"/>
      <c r="R16" s="4119"/>
      <c r="S16" s="4119"/>
    </row>
    <row r="17" spans="1:19" s="42" customFormat="1" ht="11.25" customHeight="1">
      <c r="A17" s="1407" t="s">
        <v>418</v>
      </c>
      <c r="B17" s="1085" t="s">
        <v>4730</v>
      </c>
      <c r="C17" s="1280"/>
      <c r="D17" s="1408"/>
      <c r="E17" s="1848">
        <f>$O$261</f>
        <v>0</v>
      </c>
      <c r="F17" s="4052">
        <f>$A$277</f>
        <v>0</v>
      </c>
      <c r="G17" s="4053"/>
      <c r="H17" s="4053"/>
      <c r="I17" s="4053"/>
      <c r="J17" s="4053"/>
      <c r="K17" s="4053"/>
      <c r="L17" s="4053"/>
      <c r="M17" s="4053"/>
      <c r="N17" s="4053"/>
      <c r="O17" s="4054"/>
      <c r="P17" s="1874"/>
      <c r="Q17" s="4118"/>
      <c r="R17" s="4119"/>
      <c r="S17" s="4119"/>
    </row>
    <row r="18" spans="1:19" s="42" customFormat="1" ht="11.25" customHeight="1">
      <c r="A18" s="1407" t="s">
        <v>4353</v>
      </c>
      <c r="B18" s="1085" t="s">
        <v>3603</v>
      </c>
      <c r="C18" s="1280"/>
      <c r="D18" s="1408"/>
      <c r="E18" s="1848">
        <f>$O$289</f>
        <v>0</v>
      </c>
      <c r="F18" s="4052">
        <f>$A$293</f>
        <v>0</v>
      </c>
      <c r="G18" s="4053"/>
      <c r="H18" s="4053"/>
      <c r="I18" s="4053"/>
      <c r="J18" s="4053"/>
      <c r="K18" s="4053"/>
      <c r="L18" s="4053"/>
      <c r="M18" s="4053"/>
      <c r="N18" s="4053"/>
      <c r="O18" s="4054"/>
      <c r="P18" s="1874"/>
      <c r="Q18" s="4118"/>
      <c r="R18" s="4119"/>
      <c r="S18" s="4119"/>
    </row>
    <row r="19" spans="1:19" s="42" customFormat="1" ht="11.25" customHeight="1">
      <c r="A19" s="1407" t="s">
        <v>4732</v>
      </c>
      <c r="B19" s="1085" t="s">
        <v>4733</v>
      </c>
      <c r="C19" s="1280"/>
      <c r="D19" s="1408"/>
      <c r="E19" s="1850">
        <f>$O$297</f>
        <v>0</v>
      </c>
      <c r="F19" s="4052">
        <f>$A$308</f>
        <v>0</v>
      </c>
      <c r="G19" s="4053"/>
      <c r="H19" s="4053"/>
      <c r="I19" s="4053"/>
      <c r="J19" s="4053"/>
      <c r="K19" s="4053"/>
      <c r="L19" s="4053"/>
      <c r="M19" s="4053"/>
      <c r="N19" s="4053"/>
      <c r="O19" s="4054"/>
      <c r="P19" s="1874"/>
      <c r="Q19" s="4118"/>
      <c r="R19" s="4119"/>
      <c r="S19" s="4119"/>
    </row>
    <row r="20" spans="1:19" s="42" customFormat="1" ht="11.25" customHeight="1">
      <c r="A20" s="1407" t="s">
        <v>4747</v>
      </c>
      <c r="B20" s="1085" t="s">
        <v>4734</v>
      </c>
      <c r="C20" s="1280"/>
      <c r="D20" s="1408"/>
      <c r="E20" s="1848">
        <f>$O$312</f>
        <v>0</v>
      </c>
      <c r="F20" s="4120">
        <f>$A$325</f>
        <v>0</v>
      </c>
      <c r="G20" s="4121"/>
      <c r="H20" s="4121"/>
      <c r="I20" s="4121"/>
      <c r="J20" s="4121"/>
      <c r="K20" s="4121"/>
      <c r="L20" s="4121"/>
      <c r="M20" s="4121"/>
      <c r="N20" s="4121"/>
      <c r="O20" s="4122"/>
      <c r="P20" s="1874"/>
      <c r="Q20" s="4118"/>
      <c r="R20" s="4119"/>
      <c r="S20" s="4119"/>
    </row>
    <row r="21" spans="1:19" s="42" customFormat="1" ht="11.25" customHeight="1">
      <c r="A21" s="1413" t="s">
        <v>3791</v>
      </c>
      <c r="B21" s="1414" t="s">
        <v>3823</v>
      </c>
      <c r="C21" s="1415"/>
      <c r="D21" s="1416"/>
      <c r="E21" s="1851">
        <f>$O$360</f>
        <v>0</v>
      </c>
      <c r="F21" s="4052">
        <f>$A$371</f>
        <v>0</v>
      </c>
      <c r="G21" s="4053"/>
      <c r="H21" s="4053"/>
      <c r="I21" s="4053"/>
      <c r="J21" s="4053"/>
      <c r="K21" s="4053"/>
      <c r="L21" s="4053"/>
      <c r="M21" s="4053"/>
      <c r="N21" s="4053"/>
      <c r="O21" s="4054"/>
      <c r="P21" s="1874"/>
      <c r="Q21" s="4118"/>
      <c r="R21" s="4119"/>
      <c r="S21" s="4119"/>
    </row>
    <row r="22" spans="1:19" s="42" customFormat="1" ht="11.25" customHeight="1">
      <c r="A22" s="1407" t="s">
        <v>3792</v>
      </c>
      <c r="B22" s="1085" t="s">
        <v>3824</v>
      </c>
      <c r="C22" s="1280"/>
      <c r="D22" s="1408"/>
      <c r="E22" s="1848">
        <f>$O$375</f>
        <v>0</v>
      </c>
      <c r="F22" s="4052">
        <f>$A$407</f>
        <v>0</v>
      </c>
      <c r="G22" s="4053"/>
      <c r="H22" s="4053"/>
      <c r="I22" s="4053"/>
      <c r="J22" s="4053"/>
      <c r="K22" s="4053"/>
      <c r="L22" s="4053"/>
      <c r="M22" s="4053"/>
      <c r="N22" s="4053"/>
      <c r="O22" s="4054"/>
      <c r="P22" s="1874"/>
      <c r="Q22" s="4118"/>
      <c r="R22" s="4119"/>
      <c r="S22" s="4119"/>
    </row>
    <row r="23" spans="1:19" s="42" customFormat="1" ht="11.25" customHeight="1">
      <c r="A23" s="1409" t="s">
        <v>3790</v>
      </c>
      <c r="B23" s="1410" t="s">
        <v>3825</v>
      </c>
      <c r="C23" s="1411"/>
      <c r="D23" s="1412"/>
      <c r="E23" s="1852">
        <f>$O$411</f>
        <v>0</v>
      </c>
      <c r="F23" s="4055">
        <f>$A$427</f>
        <v>0</v>
      </c>
      <c r="G23" s="4056"/>
      <c r="H23" s="4056"/>
      <c r="I23" s="4056"/>
      <c r="J23" s="4056"/>
      <c r="K23" s="4056"/>
      <c r="L23" s="4056"/>
      <c r="M23" s="4056"/>
      <c r="N23" s="4056"/>
      <c r="O23" s="4057"/>
      <c r="P23" s="1875"/>
      <c r="Q23" s="4118"/>
      <c r="R23" s="4119"/>
      <c r="S23" s="4119"/>
    </row>
    <row r="24" spans="1:19" s="43" customFormat="1" ht="3.6" customHeight="1" thickBot="1">
      <c r="A24" s="42"/>
      <c r="B24" s="63"/>
      <c r="C24" s="36"/>
      <c r="D24" s="48"/>
      <c r="E24" s="48"/>
      <c r="F24" s="53"/>
      <c r="G24" s="48"/>
      <c r="H24" s="48"/>
      <c r="I24" s="48"/>
      <c r="J24" s="48"/>
      <c r="K24" s="48"/>
      <c r="L24" s="42"/>
      <c r="M24" s="46"/>
      <c r="N24" s="62"/>
      <c r="O24" s="3"/>
      <c r="P24" s="985"/>
      <c r="R24" s="42"/>
      <c r="S24" s="42"/>
    </row>
    <row r="25" spans="1:19" s="42" customFormat="1" ht="12.6" customHeight="1" thickBot="1">
      <c r="A25" s="156" t="s">
        <v>598</v>
      </c>
      <c r="B25" s="108" t="s">
        <v>2693</v>
      </c>
      <c r="C25" s="4"/>
      <c r="D25" s="4"/>
      <c r="E25" s="4"/>
      <c r="F25" s="1440"/>
      <c r="H25" s="191" t="s">
        <v>4356</v>
      </c>
      <c r="M25" s="1435">
        <v>10</v>
      </c>
      <c r="N25" s="109"/>
      <c r="O25" s="1285">
        <f>MIN($M25, $M25-O28-O29-O30-O33)</f>
        <v>10</v>
      </c>
      <c r="P25" s="1285">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5"/>
      <c r="R26" s="42"/>
      <c r="S26" s="42"/>
    </row>
    <row r="27" spans="1:19" s="42" customFormat="1" ht="11.25" customHeight="1">
      <c r="A27" s="197" t="s">
        <v>1936</v>
      </c>
      <c r="B27" s="183" t="s">
        <v>4290</v>
      </c>
      <c r="D27" s="48"/>
      <c r="E27" s="48"/>
      <c r="F27" s="1440"/>
      <c r="M27" s="6"/>
      <c r="N27" s="64" t="s">
        <v>1936</v>
      </c>
    </row>
    <row r="28" spans="1:19" s="43" customFormat="1" ht="11.25" customHeight="1">
      <c r="A28" s="197"/>
      <c r="B28" s="1803" t="s">
        <v>1939</v>
      </c>
      <c r="C28" s="113" t="s">
        <v>4293</v>
      </c>
      <c r="D28" s="48"/>
      <c r="E28" s="48"/>
      <c r="F28" s="1440"/>
      <c r="H28" s="191" t="s">
        <v>3484</v>
      </c>
      <c r="J28" s="49"/>
      <c r="M28" s="6"/>
      <c r="N28" s="446" t="s">
        <v>1939</v>
      </c>
      <c r="O28" s="955"/>
      <c r="P28" s="1355">
        <f>F36</f>
        <v>0</v>
      </c>
    </row>
    <row r="29" spans="1:19" s="43" customFormat="1" ht="11.25" customHeight="1">
      <c r="A29" s="197"/>
      <c r="B29" s="1803" t="s">
        <v>1941</v>
      </c>
      <c r="C29" s="113" t="s">
        <v>4492</v>
      </c>
      <c r="D29" s="48"/>
      <c r="E29" s="48"/>
      <c r="F29" s="1781"/>
      <c r="H29" s="191" t="s">
        <v>4291</v>
      </c>
      <c r="J29" s="49"/>
      <c r="M29" s="6"/>
      <c r="N29" s="446" t="s">
        <v>1941</v>
      </c>
      <c r="O29" s="1792"/>
      <c r="P29" s="1793">
        <f>J36</f>
        <v>0</v>
      </c>
    </row>
    <row r="30" spans="1:19" s="43" customFormat="1" ht="11.25" customHeight="1">
      <c r="A30" s="197"/>
      <c r="B30" s="1803" t="s">
        <v>2468</v>
      </c>
      <c r="C30" s="113" t="s">
        <v>4292</v>
      </c>
      <c r="D30" s="48"/>
      <c r="E30" s="48"/>
      <c r="F30" s="1781"/>
      <c r="H30" s="191" t="s">
        <v>4296</v>
      </c>
      <c r="J30" s="49"/>
      <c r="M30" s="6"/>
      <c r="N30" s="446" t="s">
        <v>2468</v>
      </c>
      <c r="O30" s="588"/>
      <c r="P30" s="1794"/>
    </row>
    <row r="31" spans="1:19" s="43" customFormat="1" ht="11.25" customHeight="1">
      <c r="C31" s="3883" t="s">
        <v>4465</v>
      </c>
      <c r="D31" s="3884"/>
      <c r="E31" s="3884"/>
      <c r="F31" s="3884"/>
      <c r="G31" s="3884"/>
      <c r="H31" s="3884"/>
      <c r="I31" s="3884"/>
      <c r="J31" s="3884"/>
      <c r="K31" s="3884"/>
      <c r="L31" s="3884"/>
      <c r="M31" s="3884"/>
      <c r="N31" s="3884"/>
      <c r="O31" s="3884"/>
      <c r="P31" s="3885"/>
      <c r="Q31" s="1250"/>
      <c r="R31" s="504"/>
    </row>
    <row r="32" spans="1:19" s="485" customFormat="1" ht="3" customHeight="1">
      <c r="A32" s="656"/>
      <c r="B32" s="650"/>
      <c r="C32" s="651"/>
      <c r="D32" s="142"/>
      <c r="K32" s="1004"/>
      <c r="L32" s="1004"/>
      <c r="M32" s="1161"/>
      <c r="N32" s="446"/>
      <c r="O32" s="1009"/>
      <c r="P32" s="1009"/>
    </row>
    <row r="33" spans="1:20" s="42" customFormat="1" ht="11.25" customHeight="1">
      <c r="A33" s="197" t="s">
        <v>1938</v>
      </c>
      <c r="B33" s="183" t="s">
        <v>708</v>
      </c>
      <c r="D33" s="48"/>
      <c r="E33" s="48"/>
      <c r="F33" s="1440"/>
      <c r="H33" s="191" t="s">
        <v>2646</v>
      </c>
      <c r="J33" s="49"/>
      <c r="M33" s="6"/>
      <c r="N33" s="64" t="s">
        <v>1938</v>
      </c>
      <c r="O33" s="1797"/>
      <c r="P33" s="1798">
        <f>O36</f>
        <v>0</v>
      </c>
    </row>
    <row r="34" spans="1:20" s="485" customFormat="1" ht="3" customHeight="1">
      <c r="A34" s="656"/>
      <c r="B34" s="650"/>
      <c r="C34" s="651"/>
      <c r="D34" s="142"/>
      <c r="K34" s="1004"/>
      <c r="L34" s="1004"/>
      <c r="M34" s="1161"/>
      <c r="N34" s="446"/>
      <c r="O34" s="1009"/>
      <c r="P34" s="1009"/>
    </row>
    <row r="35" spans="1:20" s="42" customFormat="1" ht="11.1" customHeight="1">
      <c r="A35" s="3797" t="s">
        <v>6956</v>
      </c>
      <c r="B35" s="3797"/>
      <c r="C35" s="3797"/>
      <c r="D35" s="3797"/>
      <c r="E35" s="3797"/>
      <c r="F35" s="1790" t="s">
        <v>3816</v>
      </c>
      <c r="G35" s="4045" t="s">
        <v>6958</v>
      </c>
      <c r="H35" s="4045"/>
      <c r="I35" s="4045"/>
      <c r="J35" s="1790" t="s">
        <v>3816</v>
      </c>
      <c r="K35" s="4048" t="s">
        <v>6957</v>
      </c>
      <c r="L35" s="4048"/>
      <c r="M35" s="4048"/>
      <c r="N35" s="4048"/>
      <c r="O35" s="4043" t="s">
        <v>3816</v>
      </c>
      <c r="P35" s="4044"/>
      <c r="R35" s="505"/>
      <c r="S35" s="161"/>
    </row>
    <row r="36" spans="1:20" s="42" customFormat="1" ht="11.25" customHeight="1">
      <c r="A36" s="4042"/>
      <c r="B36" s="4042"/>
      <c r="C36" s="4042"/>
      <c r="D36" s="4042"/>
      <c r="E36" s="4042"/>
      <c r="F36" s="76">
        <f>SUM(F37:F48)</f>
        <v>0</v>
      </c>
      <c r="G36" s="4046"/>
      <c r="H36" s="3967"/>
      <c r="I36" s="4047"/>
      <c r="J36" s="76">
        <f>SUM(J37:J48)</f>
        <v>0</v>
      </c>
      <c r="K36" s="4049"/>
      <c r="L36" s="4050"/>
      <c r="M36" s="4050"/>
      <c r="N36" s="4051"/>
      <c r="O36" s="4033">
        <f>SUM(O37:O48)</f>
        <v>0</v>
      </c>
      <c r="P36" s="4034"/>
      <c r="Q36" s="505"/>
      <c r="R36" s="161"/>
    </row>
    <row r="37" spans="1:20" s="42" customFormat="1" ht="24.75" customHeight="1">
      <c r="A37" s="4035">
        <v>1</v>
      </c>
      <c r="B37" s="4036"/>
      <c r="C37" s="4036"/>
      <c r="D37" s="4036"/>
      <c r="E37" s="4037"/>
      <c r="F37" s="979"/>
      <c r="G37" s="4035">
        <v>1</v>
      </c>
      <c r="H37" s="4036"/>
      <c r="I37" s="4037"/>
      <c r="J37" s="983" t="s">
        <v>1690</v>
      </c>
      <c r="K37" s="4038">
        <v>1</v>
      </c>
      <c r="L37" s="4039"/>
      <c r="M37" s="4039"/>
      <c r="N37" s="4039"/>
      <c r="O37" s="4040" t="s">
        <v>1690</v>
      </c>
      <c r="P37" s="4041"/>
      <c r="Q37" s="503" t="s">
        <v>1228</v>
      </c>
      <c r="R37" s="161"/>
    </row>
    <row r="38" spans="1:20" s="42" customFormat="1" ht="24.75" customHeight="1">
      <c r="A38" s="3955">
        <v>2</v>
      </c>
      <c r="B38" s="3956"/>
      <c r="C38" s="3956"/>
      <c r="D38" s="3956"/>
      <c r="E38" s="3957"/>
      <c r="F38" s="980"/>
      <c r="G38" s="3955">
        <v>2</v>
      </c>
      <c r="H38" s="3956"/>
      <c r="I38" s="3957"/>
      <c r="J38" s="980"/>
      <c r="K38" s="3953">
        <v>2</v>
      </c>
      <c r="L38" s="3954"/>
      <c r="M38" s="3954"/>
      <c r="N38" s="3954"/>
      <c r="O38" s="3958"/>
      <c r="P38" s="3959"/>
      <c r="Q38" s="504"/>
      <c r="R38" s="161"/>
    </row>
    <row r="39" spans="1:20" s="42" customFormat="1" ht="24.75" customHeight="1">
      <c r="A39" s="3955">
        <v>3</v>
      </c>
      <c r="B39" s="3956"/>
      <c r="C39" s="3956"/>
      <c r="D39" s="3956"/>
      <c r="E39" s="3957"/>
      <c r="F39" s="980"/>
      <c r="G39" s="3955">
        <v>3</v>
      </c>
      <c r="H39" s="3956"/>
      <c r="I39" s="3957"/>
      <c r="J39" s="1417" t="s">
        <v>2802</v>
      </c>
      <c r="K39" s="3953">
        <v>3</v>
      </c>
      <c r="L39" s="3954"/>
      <c r="M39" s="3954"/>
      <c r="N39" s="3954"/>
      <c r="O39" s="4062" t="s">
        <v>2802</v>
      </c>
      <c r="P39" s="4063"/>
      <c r="Q39" s="3948" t="s">
        <v>4294</v>
      </c>
      <c r="R39" s="3949"/>
      <c r="S39" s="1795"/>
      <c r="T39" s="1795"/>
    </row>
    <row r="40" spans="1:20" s="42" customFormat="1" ht="24.75" customHeight="1">
      <c r="A40" s="3955">
        <v>4</v>
      </c>
      <c r="B40" s="3956"/>
      <c r="C40" s="3956"/>
      <c r="D40" s="3956"/>
      <c r="E40" s="3957"/>
      <c r="F40" s="980"/>
      <c r="G40" s="3955">
        <v>4</v>
      </c>
      <c r="H40" s="3956"/>
      <c r="I40" s="3957"/>
      <c r="J40" s="980"/>
      <c r="K40" s="3953">
        <v>4</v>
      </c>
      <c r="L40" s="3954"/>
      <c r="M40" s="3954"/>
      <c r="N40" s="3954"/>
      <c r="O40" s="4062" t="s">
        <v>2802</v>
      </c>
      <c r="P40" s="4063"/>
      <c r="Q40" s="3948"/>
      <c r="R40" s="3949"/>
      <c r="S40" s="1795"/>
      <c r="T40" s="1795"/>
    </row>
    <row r="41" spans="1:20" s="42" customFormat="1" ht="24.75" customHeight="1">
      <c r="A41" s="3955">
        <v>5</v>
      </c>
      <c r="B41" s="3956"/>
      <c r="C41" s="3956"/>
      <c r="D41" s="3956"/>
      <c r="E41" s="3957"/>
      <c r="F41" s="980"/>
      <c r="G41" s="3955">
        <v>5</v>
      </c>
      <c r="H41" s="3956"/>
      <c r="I41" s="3957"/>
      <c r="J41" s="1417" t="s">
        <v>3446</v>
      </c>
      <c r="K41" s="3953">
        <v>5</v>
      </c>
      <c r="L41" s="3954"/>
      <c r="M41" s="3954"/>
      <c r="N41" s="3954"/>
      <c r="O41" s="3958"/>
      <c r="P41" s="3959"/>
      <c r="Q41" s="3948"/>
      <c r="R41" s="3949"/>
      <c r="S41" s="1795"/>
      <c r="T41" s="1795"/>
    </row>
    <row r="42" spans="1:20" s="42" customFormat="1" ht="24" customHeight="1">
      <c r="A42" s="3955">
        <v>6</v>
      </c>
      <c r="B42" s="3956"/>
      <c r="C42" s="3956"/>
      <c r="D42" s="3956"/>
      <c r="E42" s="3957"/>
      <c r="F42" s="980"/>
      <c r="G42" s="3955">
        <v>6</v>
      </c>
      <c r="H42" s="3956"/>
      <c r="I42" s="3957"/>
      <c r="J42" s="980"/>
      <c r="K42" s="3953">
        <v>6</v>
      </c>
      <c r="L42" s="3954"/>
      <c r="M42" s="3954"/>
      <c r="N42" s="3954"/>
      <c r="O42" s="3958"/>
      <c r="P42" s="3959"/>
      <c r="Q42" s="3948"/>
      <c r="R42" s="3949"/>
    </row>
    <row r="43" spans="1:20" s="42" customFormat="1" ht="10.5" customHeight="1">
      <c r="A43" s="3955">
        <v>7</v>
      </c>
      <c r="B43" s="3956"/>
      <c r="C43" s="3956"/>
      <c r="D43" s="3956"/>
      <c r="E43" s="3957"/>
      <c r="F43" s="980"/>
      <c r="G43" s="3955">
        <v>7</v>
      </c>
      <c r="H43" s="3956"/>
      <c r="I43" s="3957"/>
      <c r="J43" s="1417" t="s">
        <v>3447</v>
      </c>
      <c r="K43" s="3953">
        <v>7</v>
      </c>
      <c r="L43" s="3954"/>
      <c r="M43" s="3954"/>
      <c r="N43" s="3954"/>
      <c r="O43" s="3958"/>
      <c r="P43" s="3959"/>
      <c r="Q43" s="161"/>
      <c r="R43" s="161"/>
    </row>
    <row r="44" spans="1:20" s="42" customFormat="1" ht="10.5" customHeight="1">
      <c r="A44" s="3955">
        <v>8</v>
      </c>
      <c r="B44" s="3956"/>
      <c r="C44" s="3956"/>
      <c r="D44" s="3956"/>
      <c r="E44" s="3957"/>
      <c r="F44" s="980"/>
      <c r="G44" s="3955">
        <v>8</v>
      </c>
      <c r="H44" s="3956"/>
      <c r="I44" s="3957"/>
      <c r="J44" s="980"/>
      <c r="K44" s="3953">
        <v>8</v>
      </c>
      <c r="L44" s="3954"/>
      <c r="M44" s="3954"/>
      <c r="N44" s="3954"/>
      <c r="O44" s="3958"/>
      <c r="P44" s="3959"/>
      <c r="Q44" s="161"/>
      <c r="R44" s="161"/>
    </row>
    <row r="45" spans="1:20" s="42" customFormat="1" ht="11.25" customHeight="1">
      <c r="A45" s="3955">
        <v>9</v>
      </c>
      <c r="B45" s="3956"/>
      <c r="C45" s="3956"/>
      <c r="D45" s="3956"/>
      <c r="E45" s="3957"/>
      <c r="F45" s="980"/>
      <c r="G45" s="3955">
        <v>9</v>
      </c>
      <c r="H45" s="3956"/>
      <c r="I45" s="3957"/>
      <c r="J45" s="1417" t="s">
        <v>3448</v>
      </c>
      <c r="K45" s="3953">
        <v>9</v>
      </c>
      <c r="L45" s="3954"/>
      <c r="M45" s="3954"/>
      <c r="N45" s="3954"/>
      <c r="O45" s="3958"/>
      <c r="P45" s="3959"/>
      <c r="Q45" s="161"/>
      <c r="R45" s="161"/>
    </row>
    <row r="46" spans="1:20" s="42" customFormat="1" ht="11.25" customHeight="1">
      <c r="A46" s="3955">
        <v>10</v>
      </c>
      <c r="B46" s="3956"/>
      <c r="C46" s="3956"/>
      <c r="D46" s="3956"/>
      <c r="E46" s="3957"/>
      <c r="F46" s="980"/>
      <c r="G46" s="3955">
        <v>10</v>
      </c>
      <c r="H46" s="3956"/>
      <c r="I46" s="3957"/>
      <c r="J46" s="980"/>
      <c r="K46" s="3953">
        <v>10</v>
      </c>
      <c r="L46" s="3954"/>
      <c r="M46" s="3954"/>
      <c r="N46" s="3954"/>
      <c r="O46" s="3958"/>
      <c r="P46" s="3959"/>
      <c r="Q46" s="161"/>
    </row>
    <row r="47" spans="1:20" s="42" customFormat="1" ht="11.25" customHeight="1">
      <c r="A47" s="3955">
        <v>11</v>
      </c>
      <c r="B47" s="3956"/>
      <c r="C47" s="3956"/>
      <c r="D47" s="3956"/>
      <c r="E47" s="3957"/>
      <c r="F47" s="980"/>
      <c r="G47" s="3955">
        <v>11</v>
      </c>
      <c r="H47" s="3956"/>
      <c r="I47" s="3957"/>
      <c r="J47" s="1417" t="s">
        <v>3449</v>
      </c>
      <c r="K47" s="3955">
        <v>11</v>
      </c>
      <c r="L47" s="3956"/>
      <c r="M47" s="3956"/>
      <c r="N47" s="3957"/>
      <c r="O47" s="3958"/>
      <c r="P47" s="3959"/>
      <c r="Q47" s="161"/>
      <c r="R47" s="161"/>
    </row>
    <row r="48" spans="1:20" s="42" customFormat="1" ht="11.25" customHeight="1">
      <c r="A48" s="3960">
        <v>12</v>
      </c>
      <c r="B48" s="3961"/>
      <c r="C48" s="3961"/>
      <c r="D48" s="3961"/>
      <c r="E48" s="3962"/>
      <c r="F48" s="981"/>
      <c r="G48" s="3960">
        <v>12</v>
      </c>
      <c r="H48" s="3961"/>
      <c r="I48" s="3962"/>
      <c r="J48" s="981"/>
      <c r="K48" s="3960">
        <v>12</v>
      </c>
      <c r="L48" s="3961"/>
      <c r="M48" s="3961"/>
      <c r="N48" s="3962"/>
      <c r="O48" s="3963"/>
      <c r="P48" s="3964"/>
    </row>
    <row r="49" spans="1:18" s="43" customFormat="1" ht="3" customHeight="1" thickBot="1">
      <c r="D49" s="39"/>
      <c r="E49" s="36"/>
      <c r="F49" s="985"/>
      <c r="G49" s="985"/>
      <c r="H49" s="985"/>
      <c r="I49" s="985"/>
      <c r="J49" s="995"/>
      <c r="K49" s="995"/>
      <c r="L49" s="995"/>
      <c r="M49" s="60"/>
      <c r="N49" s="985"/>
      <c r="O49" s="1437"/>
      <c r="P49" s="3"/>
    </row>
    <row r="50" spans="1:18" s="104" customFormat="1" ht="12" customHeight="1" thickBot="1">
      <c r="A50" s="156" t="s">
        <v>722</v>
      </c>
      <c r="B50" s="108" t="s">
        <v>3450</v>
      </c>
      <c r="E50" s="57"/>
      <c r="G50" s="233"/>
      <c r="H50" s="52"/>
      <c r="I50" s="45" t="s">
        <v>3367</v>
      </c>
      <c r="M50" s="985">
        <v>3</v>
      </c>
      <c r="N50" s="7"/>
      <c r="O50" s="1285">
        <f>IF(AND(O54&gt;0,O58&gt;0),"AorB?",MIN($M$50,O54+O58))</f>
        <v>0</v>
      </c>
      <c r="P50" s="1285">
        <f>IF(AND(P54&gt;0,P58&gt;0),"AorB?",MIN($M$50,P54+P58))</f>
        <v>0</v>
      </c>
      <c r="Q50" s="111" t="s">
        <v>433</v>
      </c>
      <c r="R50" s="431" t="str">
        <f>IF(OR($O50=$M50,$O50=0,$O50=""),"","* * Check Score! * *")</f>
        <v/>
      </c>
    </row>
    <row r="51" spans="1:18" s="43" customFormat="1" ht="2.25" customHeight="1">
      <c r="A51" s="499"/>
      <c r="B51" s="115"/>
      <c r="E51" s="57"/>
      <c r="F51" s="43" t="s">
        <v>4304</v>
      </c>
      <c r="G51" s="88"/>
      <c r="H51" s="52"/>
      <c r="I51" s="45"/>
      <c r="K51" s="584"/>
      <c r="L51" s="984"/>
      <c r="M51" s="985"/>
      <c r="N51" s="7"/>
      <c r="O51" s="3"/>
      <c r="P51" s="3"/>
      <c r="Q51" s="111"/>
      <c r="R51" s="431"/>
    </row>
    <row r="52" spans="1:18" s="43" customFormat="1" ht="13.5" customHeight="1">
      <c r="A52" s="141" t="s">
        <v>1936</v>
      </c>
      <c r="B52" s="1005" t="s">
        <v>2557</v>
      </c>
      <c r="E52" s="57"/>
      <c r="G52" s="88"/>
      <c r="H52" s="55" t="s">
        <v>4446</v>
      </c>
      <c r="J52" s="1927"/>
      <c r="K52" s="1927" t="str">
        <f>'Part I-Project Information'!$K$94</f>
        <v>40% of Units at 60% of AMI</v>
      </c>
      <c r="M52" s="985"/>
      <c r="N52" s="7"/>
      <c r="Q52" s="7"/>
      <c r="R52" s="431"/>
    </row>
    <row r="53" spans="1:18" s="104" customFormat="1" ht="9" customHeight="1">
      <c r="A53" s="141"/>
      <c r="B53" s="3950" t="s">
        <v>4298</v>
      </c>
      <c r="C53" s="3950"/>
      <c r="D53" s="3950"/>
      <c r="E53" s="3950"/>
      <c r="F53" s="3950"/>
      <c r="G53" s="3950"/>
      <c r="H53" s="3950"/>
      <c r="I53" s="3950"/>
      <c r="J53" s="3950"/>
      <c r="K53" s="3950"/>
      <c r="L53" s="3950"/>
      <c r="M53" s="985"/>
      <c r="N53" s="7"/>
      <c r="Q53" s="7"/>
      <c r="R53" s="431"/>
    </row>
    <row r="54" spans="1:18" s="104" customFormat="1" ht="13.5" customHeight="1">
      <c r="B54" s="3950"/>
      <c r="C54" s="3950"/>
      <c r="D54" s="3950"/>
      <c r="E54" s="3950"/>
      <c r="F54" s="3950"/>
      <c r="G54" s="3950"/>
      <c r="H54" s="3950"/>
      <c r="I54" s="3950"/>
      <c r="J54" s="3950"/>
      <c r="K54" s="3950"/>
      <c r="L54" s="3950"/>
      <c r="M54" s="994">
        <v>2</v>
      </c>
      <c r="N54" s="446" t="s">
        <v>1936</v>
      </c>
      <c r="O54" s="1010">
        <f>MIN($M54, O55+O56)</f>
        <v>0</v>
      </c>
      <c r="P54" s="1010">
        <f>MIN($M54, P55+P56)</f>
        <v>0</v>
      </c>
    </row>
    <row r="55" spans="1:18" s="104" customFormat="1" ht="13.5" customHeight="1">
      <c r="A55" s="141"/>
      <c r="B55" s="1457" t="s">
        <v>1939</v>
      </c>
      <c r="C55" s="1804" t="s">
        <v>4299</v>
      </c>
      <c r="D55" s="52"/>
      <c r="H55" s="52" t="s">
        <v>4300</v>
      </c>
      <c r="I55" s="1801"/>
      <c r="K55" s="1929">
        <f>'Part VI-Revenues &amp; Expenses'!B49</f>
        <v>60</v>
      </c>
      <c r="L55" s="4102" t="str">
        <f>IF(AND(O55&gt;0,O56&gt;0), "CHOOSE EITHER A OR B, NOT BOTH!", "")</f>
        <v/>
      </c>
      <c r="M55" s="1161">
        <v>2</v>
      </c>
      <c r="N55" s="193" t="s">
        <v>1939</v>
      </c>
      <c r="O55" s="586"/>
      <c r="P55" s="598"/>
      <c r="Q55" s="1881" t="str">
        <f>IF(OR($O55=$M55,$O55=0,$O55=""),"","*CHECK!*")</f>
        <v/>
      </c>
      <c r="R55" s="1140" t="s">
        <v>4775</v>
      </c>
    </row>
    <row r="56" spans="1:18" s="104" customFormat="1" ht="13.5" customHeight="1">
      <c r="A56" s="1802" t="s">
        <v>3238</v>
      </c>
      <c r="B56" s="1457" t="s">
        <v>1941</v>
      </c>
      <c r="C56" s="1804" t="s">
        <v>4301</v>
      </c>
      <c r="D56" s="52"/>
      <c r="I56" s="1801"/>
      <c r="K56" s="52"/>
      <c r="L56" s="4102"/>
      <c r="M56" s="1161">
        <v>2</v>
      </c>
      <c r="N56" s="193" t="s">
        <v>1941</v>
      </c>
      <c r="O56" s="587"/>
      <c r="P56" s="599"/>
      <c r="Q56" s="1881" t="str">
        <f>IF(OR($O56=$M56,$O56=0,$O56=""),"","*CHECK!*")</f>
        <v/>
      </c>
      <c r="R56" s="1140" t="s">
        <v>4775</v>
      </c>
    </row>
    <row r="57" spans="1:18" s="485" customFormat="1" ht="6.75" customHeight="1">
      <c r="A57" s="656"/>
      <c r="B57" s="650"/>
      <c r="C57" s="651"/>
      <c r="D57" s="142"/>
      <c r="K57" s="1004"/>
      <c r="L57" s="1004"/>
      <c r="M57" s="1161"/>
      <c r="N57" s="446"/>
      <c r="O57" s="1009"/>
      <c r="P57" s="1009"/>
    </row>
    <row r="58" spans="1:18" s="485" customFormat="1" ht="13.5" customHeight="1">
      <c r="A58" s="141" t="s">
        <v>1938</v>
      </c>
      <c r="B58" s="1005" t="s">
        <v>3485</v>
      </c>
      <c r="E58" s="486"/>
      <c r="H58" s="4100" t="s">
        <v>4302</v>
      </c>
      <c r="I58" s="4101"/>
      <c r="J58" s="1807" t="s">
        <v>4303</v>
      </c>
      <c r="M58" s="994">
        <v>3</v>
      </c>
      <c r="N58" s="165" t="s">
        <v>1938</v>
      </c>
      <c r="O58" s="1010">
        <f>IF(AND(O59="Yes", O60="Yes"),$M$58,0)</f>
        <v>0</v>
      </c>
      <c r="P58" s="1010">
        <f>IF(AND(P59="Yes", P60="Yes"),$M$58,0)</f>
        <v>0</v>
      </c>
    </row>
    <row r="59" spans="1:18" s="485" customFormat="1" ht="13.5" customHeight="1">
      <c r="A59" s="484"/>
      <c r="B59" s="1457" t="s">
        <v>1939</v>
      </c>
      <c r="C59" s="1805">
        <v>0.3</v>
      </c>
      <c r="D59" s="1085" t="s">
        <v>3486</v>
      </c>
      <c r="E59" s="486"/>
      <c r="F59" s="982"/>
      <c r="H59" s="1432"/>
      <c r="I59" s="1433"/>
      <c r="J59" s="1806">
        <f>'Part VI-Revenues &amp; Expenses'!P65</f>
        <v>200</v>
      </c>
      <c r="K59" s="1034">
        <f>IF(OR('Part VI-Revenues &amp; Expenses'!$P$65="", 'Part VI-Revenues &amp; Expenses'!$P$65=0),0,H59/'Part VI-Revenues &amp; Expenses'!$P$65)</f>
        <v>0</v>
      </c>
      <c r="L59" s="1034">
        <f>IF(OR('Part VI-Revenues &amp; Expenses'!$P$65="", 'Part VI-Revenues &amp; Expenses'!$P$65=0),0,I59/'Part VI-Revenues &amp; Expenses'!$P$65)</f>
        <v>0</v>
      </c>
      <c r="M59" s="1161"/>
      <c r="N59" s="446" t="s">
        <v>1939</v>
      </c>
      <c r="O59" s="1006" t="str">
        <f>IF(AND(K59 &gt;= $C$59,O60="Yes"),"Yes","No")</f>
        <v>No</v>
      </c>
      <c r="P59" s="1006" t="str">
        <f>IF(AND(L59 &gt;= $C$59,P60="Yes"),"Yes","No")</f>
        <v>No</v>
      </c>
    </row>
    <row r="60" spans="1:18" s="485" customFormat="1" ht="13.5" customHeight="1">
      <c r="A60" s="656"/>
      <c r="B60" s="1457" t="s">
        <v>1941</v>
      </c>
      <c r="C60" s="1038" t="s">
        <v>3713</v>
      </c>
      <c r="E60" s="1051"/>
      <c r="F60" s="982"/>
      <c r="I60" s="1008"/>
      <c r="J60" s="1008"/>
      <c r="K60" s="1008"/>
      <c r="L60" s="1008"/>
      <c r="M60" s="1008"/>
      <c r="N60" s="446" t="s">
        <v>1941</v>
      </c>
      <c r="O60" s="237"/>
      <c r="P60" s="605"/>
    </row>
    <row r="61" spans="1:18" s="43" customFormat="1" ht="10.5" customHeight="1">
      <c r="A61" s="42"/>
      <c r="B61" s="99" t="s">
        <v>1820</v>
      </c>
      <c r="C61" s="485"/>
      <c r="D61" s="86"/>
      <c r="E61" s="1438"/>
      <c r="F61" s="1438"/>
      <c r="G61" s="1438"/>
      <c r="H61" s="1438"/>
      <c r="I61" s="1438"/>
      <c r="J61" s="1438"/>
      <c r="K61" s="1438"/>
      <c r="L61" s="1438"/>
      <c r="M61" s="1438"/>
      <c r="N61" s="74"/>
      <c r="O61" s="70"/>
      <c r="P61" s="1435"/>
      <c r="Q61" s="485"/>
    </row>
    <row r="62" spans="1:18" s="43" customFormat="1" ht="22.5" customHeight="1">
      <c r="A62" s="3620"/>
      <c r="B62" s="3621"/>
      <c r="C62" s="3621"/>
      <c r="D62" s="3621"/>
      <c r="E62" s="3621"/>
      <c r="F62" s="3621"/>
      <c r="G62" s="3621"/>
      <c r="H62" s="3621"/>
      <c r="I62" s="3621"/>
      <c r="J62" s="3621"/>
      <c r="K62" s="3621"/>
      <c r="L62" s="3621"/>
      <c r="M62" s="3621"/>
      <c r="N62" s="3621"/>
      <c r="O62" s="3621"/>
      <c r="P62" s="3622"/>
      <c r="Q62" s="503"/>
    </row>
    <row r="63" spans="1:18" ht="7.5" customHeight="1" thickBot="1"/>
    <row r="64" spans="1:18" s="43" customFormat="1" ht="12.6" customHeight="1" thickBot="1">
      <c r="A64" s="156" t="s">
        <v>724</v>
      </c>
      <c r="B64" s="107" t="s">
        <v>3787</v>
      </c>
      <c r="D64" s="41"/>
      <c r="I64" s="3436" t="s">
        <v>3585</v>
      </c>
      <c r="J64" s="3436"/>
      <c r="K64" s="3436"/>
      <c r="L64" s="1146"/>
      <c r="M64" s="1435">
        <v>10</v>
      </c>
      <c r="N64" s="518"/>
      <c r="O64" s="1285">
        <f>IF(OR($M67-O68&lt;0,O67-O68&lt;0),0,IF(O67&lt;=$M67,O67-O68,IF(O67&gt;$M67,$M67-O68,0)))</f>
        <v>0</v>
      </c>
      <c r="P64" s="1285">
        <f>IF(OR($M67-P68&lt;0,P67-P68&lt;0),0,IF(P67&lt;=$M67,P67-P68,IF(P67&gt;$M67,$M67-P68,0)))</f>
        <v>0</v>
      </c>
      <c r="Q64" s="111" t="s">
        <v>433</v>
      </c>
    </row>
    <row r="65" spans="1:21" s="43" customFormat="1" ht="3" customHeight="1">
      <c r="A65" s="42"/>
      <c r="D65" s="39"/>
      <c r="E65" s="36"/>
      <c r="F65" s="985"/>
      <c r="G65" s="985"/>
      <c r="H65" s="1146"/>
      <c r="I65" s="1146"/>
      <c r="J65" s="1146"/>
      <c r="K65" s="1146"/>
      <c r="L65" s="1146"/>
      <c r="M65" s="60"/>
      <c r="N65" s="985"/>
      <c r="O65" s="1437"/>
      <c r="P65" s="3"/>
    </row>
    <row r="66" spans="1:21" s="104" customFormat="1" ht="12" customHeight="1">
      <c r="A66" s="141"/>
      <c r="B66" s="36" t="s">
        <v>3642</v>
      </c>
      <c r="D66" s="33"/>
      <c r="N66" s="518"/>
      <c r="O66" s="236"/>
      <c r="P66" s="603"/>
    </row>
    <row r="67" spans="1:21" s="104" customFormat="1" ht="12" customHeight="1">
      <c r="A67" s="141" t="s">
        <v>1936</v>
      </c>
      <c r="B67" s="183" t="s">
        <v>1827</v>
      </c>
      <c r="C67" s="4"/>
      <c r="D67" s="4"/>
      <c r="F67" s="325"/>
      <c r="H67" s="947" t="s">
        <v>2638</v>
      </c>
      <c r="I67" s="4085" t="s">
        <v>4735</v>
      </c>
      <c r="J67" s="4086"/>
      <c r="K67" s="4086"/>
      <c r="L67" s="4087"/>
      <c r="M67" s="72">
        <v>10</v>
      </c>
      <c r="N67" s="193" t="s">
        <v>1936</v>
      </c>
      <c r="O67" s="586"/>
      <c r="P67" s="598"/>
      <c r="Q67" s="1881" t="str">
        <f>IF(OR($O67=$M67,$O67=0,$O67=""),"","*CHECK!*")</f>
        <v/>
      </c>
      <c r="R67" s="1140" t="s">
        <v>4775</v>
      </c>
    </row>
    <row r="68" spans="1:21" s="104" customFormat="1" ht="12.6" customHeight="1">
      <c r="A68" s="141" t="s">
        <v>1938</v>
      </c>
      <c r="B68" s="183" t="s">
        <v>3634</v>
      </c>
      <c r="D68" s="1312"/>
      <c r="F68" s="1928"/>
      <c r="H68" s="947" t="s">
        <v>3735</v>
      </c>
      <c r="I68" s="4088"/>
      <c r="J68" s="4089"/>
      <c r="K68" s="4089"/>
      <c r="L68" s="4090"/>
      <c r="M68" s="1918" t="s">
        <v>1212</v>
      </c>
      <c r="N68" s="518" t="s">
        <v>1938</v>
      </c>
      <c r="O68" s="587"/>
      <c r="P68" s="599"/>
      <c r="R68" s="1140" t="s">
        <v>4775</v>
      </c>
    </row>
    <row r="69" spans="1:21" s="43" customFormat="1" ht="11.25" customHeight="1" thickBot="1">
      <c r="A69" s="42"/>
      <c r="B69" s="1422" t="s">
        <v>3572</v>
      </c>
      <c r="C69" s="42"/>
      <c r="D69" s="48"/>
      <c r="E69" s="48"/>
      <c r="F69" s="48"/>
      <c r="G69" s="48"/>
      <c r="H69" s="36"/>
      <c r="I69" s="4091"/>
      <c r="J69" s="4092"/>
      <c r="K69" s="4092"/>
      <c r="L69" s="4093"/>
      <c r="M69" s="46"/>
      <c r="N69" s="62"/>
      <c r="O69" s="3"/>
      <c r="P69" s="1437"/>
    </row>
    <row r="70" spans="1:21" s="43" customFormat="1" ht="90" customHeight="1" thickTop="1" thickBot="1">
      <c r="A70" s="3872"/>
      <c r="B70" s="3873"/>
      <c r="C70" s="3873"/>
      <c r="D70" s="3873"/>
      <c r="E70" s="3873"/>
      <c r="F70" s="3873"/>
      <c r="G70" s="3873"/>
      <c r="H70" s="3873"/>
      <c r="I70" s="3873"/>
      <c r="J70" s="3873"/>
      <c r="K70" s="3873"/>
      <c r="L70" s="3873"/>
      <c r="M70" s="3873"/>
      <c r="N70" s="3873"/>
      <c r="O70" s="3873"/>
      <c r="P70" s="3874"/>
      <c r="Q70" s="1250" t="s">
        <v>1228</v>
      </c>
      <c r="R70" s="504"/>
    </row>
    <row r="71" spans="1:21" s="43" customFormat="1" ht="11.4" customHeight="1" thickTop="1">
      <c r="A71" s="42"/>
      <c r="B71" s="66" t="s">
        <v>1820</v>
      </c>
      <c r="C71" s="42"/>
      <c r="D71" s="139"/>
      <c r="E71" s="1438"/>
      <c r="F71" s="1438"/>
      <c r="G71" s="1438"/>
      <c r="H71" s="1438"/>
      <c r="I71" s="1438"/>
      <c r="J71" s="1438"/>
      <c r="K71" s="1438"/>
      <c r="L71" s="1438"/>
      <c r="M71" s="1438"/>
      <c r="N71" s="74"/>
      <c r="O71" s="70"/>
      <c r="P71" s="1435"/>
      <c r="Q71" s="485"/>
      <c r="R71" s="485"/>
    </row>
    <row r="72" spans="1:21" s="43" customFormat="1" ht="90" customHeight="1">
      <c r="A72" s="3620"/>
      <c r="B72" s="3621"/>
      <c r="C72" s="3621"/>
      <c r="D72" s="3621"/>
      <c r="E72" s="3621"/>
      <c r="F72" s="3621"/>
      <c r="G72" s="3621"/>
      <c r="H72" s="3621"/>
      <c r="I72" s="3621"/>
      <c r="J72" s="3621"/>
      <c r="K72" s="3621"/>
      <c r="L72" s="3621"/>
      <c r="M72" s="3621"/>
      <c r="N72" s="3621"/>
      <c r="O72" s="3621"/>
      <c r="P72" s="3622"/>
      <c r="Q72" s="503"/>
      <c r="R72" s="504"/>
    </row>
    <row r="73" spans="1:21" ht="7.5" customHeight="1" thickBot="1">
      <c r="M73" s="33"/>
      <c r="N73" s="117"/>
      <c r="O73" s="154"/>
      <c r="P73" s="154"/>
    </row>
    <row r="74" spans="1:21" s="43" customFormat="1" ht="12.6" customHeight="1" thickBot="1">
      <c r="A74" s="156" t="s">
        <v>1748</v>
      </c>
      <c r="B74" s="107" t="s">
        <v>2561</v>
      </c>
      <c r="D74" s="41"/>
      <c r="K74" s="1143" t="s">
        <v>1832</v>
      </c>
      <c r="M74" s="1435">
        <v>6</v>
      </c>
      <c r="N74" s="518"/>
      <c r="O74" s="1285">
        <f>IF($J$75="Flexible",MIN($M74,MAX(O89,O95)),IF(AND($J$75="Rural",O103&gt;0),MIN($M103,O103),0))</f>
        <v>0</v>
      </c>
      <c r="P74" s="1285">
        <f>IF($J$75="Flexible",MIN($M74,MAX(P89,P95)),IF(AND($J$75="Rural",P103&gt;0),MIN($M103,P103),0))</f>
        <v>0</v>
      </c>
      <c r="Q74" s="111" t="s">
        <v>433</v>
      </c>
      <c r="R74" s="4112" t="s">
        <v>4528</v>
      </c>
      <c r="S74" s="4112"/>
      <c r="T74" s="4112"/>
      <c r="U74" s="4112"/>
    </row>
    <row r="75" spans="1:21" s="43" customFormat="1" ht="17.25" customHeight="1">
      <c r="A75" s="156"/>
      <c r="B75" s="113" t="s">
        <v>3714</v>
      </c>
      <c r="D75" s="41"/>
      <c r="H75" s="183" t="s">
        <v>2703</v>
      </c>
      <c r="I75" s="576"/>
      <c r="J75" s="574" t="str">
        <f>'Part I-Project Information'!$H$105</f>
        <v>N/A - 4% Bond</v>
      </c>
      <c r="K75" s="48"/>
      <c r="M75" s="1435"/>
      <c r="N75" s="518"/>
      <c r="O75" s="1137" t="s">
        <v>3451</v>
      </c>
      <c r="P75" s="1137" t="s">
        <v>3452</v>
      </c>
      <c r="Q75" s="111"/>
      <c r="R75" s="4112"/>
      <c r="S75" s="4112"/>
      <c r="T75" s="4112"/>
      <c r="U75" s="4112"/>
    </row>
    <row r="76" spans="1:21" s="43" customFormat="1" ht="11.25" customHeight="1">
      <c r="A76" s="156"/>
      <c r="B76" s="429" t="s">
        <v>1939</v>
      </c>
      <c r="C76" s="36" t="s">
        <v>4310</v>
      </c>
      <c r="D76" s="1312"/>
      <c r="E76" s="104"/>
      <c r="F76" s="104"/>
      <c r="G76" s="104"/>
      <c r="H76" s="45"/>
      <c r="I76" s="49"/>
      <c r="J76" s="48"/>
      <c r="K76" s="48"/>
      <c r="L76" s="104"/>
      <c r="M76" s="1787"/>
      <c r="N76" s="518"/>
      <c r="O76" s="236"/>
      <c r="P76" s="603"/>
      <c r="Q76" s="111"/>
      <c r="R76" s="4112"/>
      <c r="S76" s="4112"/>
      <c r="T76" s="4112"/>
      <c r="U76" s="4112"/>
    </row>
    <row r="77" spans="1:21" s="43" customFormat="1" ht="11.25" customHeight="1">
      <c r="A77" s="156"/>
      <c r="B77" s="429" t="s">
        <v>1941</v>
      </c>
      <c r="C77" s="36" t="s">
        <v>4311</v>
      </c>
      <c r="D77" s="1312"/>
      <c r="E77" s="104"/>
      <c r="F77" s="104"/>
      <c r="G77" s="104"/>
      <c r="H77" s="45"/>
      <c r="I77" s="49"/>
      <c r="J77" s="48"/>
      <c r="K77" s="48"/>
      <c r="L77" s="104"/>
      <c r="M77" s="104"/>
      <c r="N77" s="518"/>
      <c r="O77" s="419"/>
      <c r="P77" s="604"/>
      <c r="Q77" s="111"/>
      <c r="R77" s="4112"/>
      <c r="S77" s="4112"/>
      <c r="T77" s="4112"/>
      <c r="U77" s="4112"/>
    </row>
    <row r="78" spans="1:21" s="43" customFormat="1" ht="11.25" customHeight="1">
      <c r="A78" s="156"/>
      <c r="B78" s="429" t="s">
        <v>2468</v>
      </c>
      <c r="C78" s="36" t="s">
        <v>4312</v>
      </c>
      <c r="D78" s="1312"/>
      <c r="E78" s="104"/>
      <c r="F78" s="104"/>
      <c r="G78" s="104"/>
      <c r="H78" s="45"/>
      <c r="I78" s="49"/>
      <c r="J78" s="48"/>
      <c r="K78" s="48"/>
      <c r="L78" s="104"/>
      <c r="M78" s="104"/>
      <c r="N78" s="518"/>
      <c r="O78" s="419"/>
      <c r="P78" s="604"/>
      <c r="Q78" s="111"/>
      <c r="R78" s="4112"/>
      <c r="S78" s="4112"/>
      <c r="T78" s="4112"/>
      <c r="U78" s="4112"/>
    </row>
    <row r="79" spans="1:21" s="43" customFormat="1" ht="11.25" customHeight="1">
      <c r="A79" s="156"/>
      <c r="B79" s="429" t="s">
        <v>1198</v>
      </c>
      <c r="C79" s="36" t="s">
        <v>4305</v>
      </c>
      <c r="D79" s="1312"/>
      <c r="E79" s="104"/>
      <c r="F79" s="104"/>
      <c r="G79" s="104"/>
      <c r="H79" s="45"/>
      <c r="I79" s="49"/>
      <c r="J79" s="48"/>
      <c r="K79" s="48"/>
      <c r="L79" s="104"/>
      <c r="M79" s="104"/>
      <c r="N79" s="518"/>
      <c r="O79" s="237"/>
      <c r="P79" s="605"/>
      <c r="Q79" s="111"/>
      <c r="R79" s="4112"/>
      <c r="S79" s="4112"/>
      <c r="T79" s="4112"/>
      <c r="U79" s="4112"/>
    </row>
    <row r="80" spans="1:21" s="43" customFormat="1" ht="3" customHeight="1">
      <c r="A80" s="156"/>
      <c r="B80" s="107"/>
      <c r="D80" s="41"/>
      <c r="H80" s="45"/>
      <c r="I80" s="49"/>
      <c r="J80" s="48"/>
      <c r="K80" s="48"/>
      <c r="M80" s="1435"/>
      <c r="N80" s="518"/>
      <c r="O80" s="3"/>
      <c r="P80" s="3"/>
      <c r="Q80" s="111"/>
      <c r="R80" s="4112"/>
      <c r="S80" s="4112"/>
      <c r="T80" s="4112"/>
      <c r="U80" s="4112"/>
    </row>
    <row r="81" spans="1:21" s="43" customFormat="1" ht="13.5" customHeight="1">
      <c r="A81" s="156"/>
      <c r="B81" s="113" t="s">
        <v>3720</v>
      </c>
      <c r="D81" s="41"/>
      <c r="F81" s="4104" t="s">
        <v>3539</v>
      </c>
      <c r="G81" s="4104"/>
      <c r="H81" s="4104"/>
      <c r="I81" s="4104"/>
      <c r="J81" s="4104" t="s">
        <v>3540</v>
      </c>
      <c r="K81" s="4104"/>
      <c r="L81" s="4104"/>
      <c r="M81" s="4104"/>
      <c r="N81" s="518"/>
      <c r="O81" s="4105" t="s">
        <v>4447</v>
      </c>
      <c r="P81" s="4106"/>
      <c r="Q81" s="111"/>
      <c r="R81" s="4112"/>
      <c r="S81" s="4112"/>
      <c r="T81" s="4112"/>
      <c r="U81" s="4112"/>
    </row>
    <row r="82" spans="1:21" s="43" customFormat="1" ht="12.75" customHeight="1">
      <c r="A82" s="156"/>
      <c r="C82" s="545" t="s">
        <v>3719</v>
      </c>
      <c r="D82" s="694"/>
      <c r="E82" s="298"/>
      <c r="F82" s="4109"/>
      <c r="G82" s="4110"/>
      <c r="H82" s="4107"/>
      <c r="I82" s="4108"/>
      <c r="J82" s="4109"/>
      <c r="K82" s="4110"/>
      <c r="L82" s="4107"/>
      <c r="M82" s="4108"/>
      <c r="N82" s="518"/>
      <c r="Q82" s="111"/>
      <c r="R82" s="4112"/>
      <c r="S82" s="4112"/>
      <c r="T82" s="4112"/>
      <c r="U82" s="4112"/>
    </row>
    <row r="83" spans="1:21" s="43" customFormat="1" ht="12.75" customHeight="1">
      <c r="A83" s="4103" t="s">
        <v>3815</v>
      </c>
      <c r="B83" s="4103"/>
      <c r="D83" s="1385" t="s">
        <v>3721</v>
      </c>
      <c r="E83" s="298"/>
      <c r="F83" s="3976"/>
      <c r="G83" s="3977"/>
      <c r="H83" s="4070"/>
      <c r="I83" s="4071"/>
      <c r="J83" s="3976"/>
      <c r="K83" s="3977"/>
      <c r="L83" s="4070"/>
      <c r="M83" s="4071"/>
      <c r="N83" s="518"/>
      <c r="O83" s="2009"/>
      <c r="P83" s="1392"/>
      <c r="Q83" s="111"/>
      <c r="R83" s="4112"/>
      <c r="S83" s="4112"/>
      <c r="T83" s="4112"/>
      <c r="U83" s="4112"/>
    </row>
    <row r="84" spans="1:21" s="43" customFormat="1" ht="12.75" customHeight="1">
      <c r="A84" s="4103"/>
      <c r="B84" s="4103"/>
      <c r="C84" s="545" t="s">
        <v>3785</v>
      </c>
      <c r="D84" s="694"/>
      <c r="E84" s="298"/>
      <c r="F84" s="4116"/>
      <c r="G84" s="4117"/>
      <c r="H84" s="4094"/>
      <c r="I84" s="4095"/>
      <c r="J84" s="4116"/>
      <c r="K84" s="4117"/>
      <c r="L84" s="4094"/>
      <c r="M84" s="4095"/>
      <c r="N84" s="518"/>
      <c r="O84" s="518"/>
      <c r="P84" s="518"/>
      <c r="Q84" s="111"/>
      <c r="R84" s="4112"/>
      <c r="S84" s="4112"/>
      <c r="T84" s="4112"/>
      <c r="U84" s="4112"/>
    </row>
    <row r="85" spans="1:21" s="43" customFormat="1" ht="12.75" customHeight="1">
      <c r="A85" s="4103"/>
      <c r="B85" s="4103"/>
      <c r="E85" s="1765" t="s">
        <v>3784</v>
      </c>
      <c r="F85" s="4068"/>
      <c r="G85" s="4069"/>
      <c r="H85" s="4064"/>
      <c r="I85" s="4065"/>
      <c r="J85" s="4068"/>
      <c r="K85" s="4069"/>
      <c r="L85" s="4064"/>
      <c r="M85" s="4065"/>
      <c r="N85" s="518"/>
      <c r="O85" s="2009"/>
      <c r="P85" s="1392"/>
      <c r="Q85" s="111"/>
      <c r="R85" s="4112"/>
      <c r="S85" s="4112"/>
      <c r="T85" s="4112"/>
      <c r="U85" s="4112"/>
    </row>
    <row r="86" spans="1:21" s="43" customFormat="1" ht="9" customHeight="1">
      <c r="A86" s="156"/>
      <c r="B86" s="107"/>
      <c r="D86" s="41"/>
      <c r="H86" s="45"/>
      <c r="I86" s="49"/>
      <c r="J86" s="48"/>
      <c r="K86" s="48"/>
      <c r="M86" s="1435"/>
      <c r="N86" s="518"/>
      <c r="O86" s="3"/>
      <c r="P86" s="3"/>
      <c r="Q86" s="111"/>
      <c r="R86" s="1311"/>
      <c r="S86" s="1311"/>
      <c r="T86" s="1311"/>
      <c r="U86" s="1311"/>
    </row>
    <row r="87" spans="1:21" s="43" customFormat="1" ht="12.6" customHeight="1">
      <c r="A87" s="575" t="s">
        <v>2694</v>
      </c>
      <c r="B87" s="107"/>
      <c r="D87" s="41"/>
      <c r="F87" s="61" t="s">
        <v>3573</v>
      </c>
      <c r="M87" s="1435"/>
      <c r="N87" s="1435"/>
      <c r="O87" s="1435"/>
      <c r="P87" s="1435"/>
      <c r="Q87" s="111"/>
      <c r="R87" s="1311"/>
      <c r="S87" s="1311"/>
      <c r="T87" s="1311"/>
      <c r="U87" s="1311"/>
    </row>
    <row r="88" spans="1:21" s="43" customFormat="1" ht="2.25" customHeight="1">
      <c r="A88" s="575"/>
      <c r="B88" s="107"/>
      <c r="D88" s="41"/>
      <c r="F88" s="61"/>
      <c r="M88" s="1836"/>
      <c r="N88" s="1836"/>
      <c r="O88" s="1836"/>
      <c r="P88" s="1836"/>
      <c r="Q88" s="111"/>
      <c r="R88" s="1311"/>
      <c r="S88" s="1311"/>
      <c r="T88" s="1311"/>
      <c r="U88" s="1311"/>
    </row>
    <row r="89" spans="1:21" s="43" customFormat="1" ht="12.6" customHeight="1">
      <c r="A89" s="146" t="s">
        <v>1936</v>
      </c>
      <c r="B89" s="183" t="s">
        <v>3565</v>
      </c>
      <c r="D89" s="41"/>
      <c r="F89" s="45" t="s">
        <v>3644</v>
      </c>
      <c r="M89" s="1435">
        <v>6</v>
      </c>
      <c r="N89" s="446" t="s">
        <v>1936</v>
      </c>
      <c r="O89" s="1142">
        <f>IF($J$75="Flexible",MIN($M89,O90+O91+O92),0)</f>
        <v>0</v>
      </c>
      <c r="P89" s="1142">
        <f>IF($J$75="Flexible",MIN($M89,P90+P91+P92),0)</f>
        <v>0</v>
      </c>
      <c r="Q89" s="111"/>
    </row>
    <row r="90" spans="1:21" s="468" customFormat="1" ht="23.25" customHeight="1">
      <c r="B90" s="498" t="s">
        <v>1939</v>
      </c>
      <c r="C90" s="3711" t="s">
        <v>4306</v>
      </c>
      <c r="D90" s="3711"/>
      <c r="E90" s="3711"/>
      <c r="F90" s="3711"/>
      <c r="G90" s="3711"/>
      <c r="H90" s="3711"/>
      <c r="I90" s="4072" t="s">
        <v>3782</v>
      </c>
      <c r="J90" s="4073"/>
      <c r="K90" s="4073"/>
      <c r="L90" s="4074"/>
      <c r="M90" s="571">
        <v>5</v>
      </c>
      <c r="N90" s="533" t="s">
        <v>1939</v>
      </c>
      <c r="O90" s="959"/>
      <c r="P90" s="958"/>
      <c r="Q90" s="1881" t="str">
        <f>IF(OR($O90=$M90,$O90=0,$O90=""),"","*CHECK!*")</f>
        <v/>
      </c>
      <c r="R90" s="1140" t="s">
        <v>4775</v>
      </c>
    </row>
    <row r="91" spans="1:21" s="468" customFormat="1" ht="12" customHeight="1">
      <c r="A91" s="656" t="s">
        <v>1326</v>
      </c>
      <c r="B91" s="498" t="s">
        <v>1941</v>
      </c>
      <c r="C91" s="447" t="s">
        <v>3715</v>
      </c>
      <c r="D91" s="447"/>
      <c r="E91" s="447"/>
      <c r="F91" s="447"/>
      <c r="G91" s="447"/>
      <c r="H91" s="1918" t="str">
        <f>IF(AND(O91&gt;0,O90&gt;0),"Pick A1 or A2!","")</f>
        <v/>
      </c>
      <c r="I91" s="4075"/>
      <c r="J91" s="4076"/>
      <c r="K91" s="4076"/>
      <c r="L91" s="4077"/>
      <c r="M91" s="72">
        <v>4</v>
      </c>
      <c r="N91" s="493" t="s">
        <v>1941</v>
      </c>
      <c r="O91" s="586"/>
      <c r="P91" s="598"/>
      <c r="Q91" s="1881" t="str">
        <f>IF(OR($O91=$M91,$O91=0,$O91=""),"","*CHECK!*")</f>
        <v/>
      </c>
      <c r="R91" s="1140" t="s">
        <v>4775</v>
      </c>
    </row>
    <row r="92" spans="1:21" s="468" customFormat="1" ht="12" customHeight="1">
      <c r="B92" s="498" t="s">
        <v>2468</v>
      </c>
      <c r="C92" s="447" t="s">
        <v>3566</v>
      </c>
      <c r="D92" s="447"/>
      <c r="E92" s="447"/>
      <c r="F92" s="447"/>
      <c r="I92" s="4075"/>
      <c r="J92" s="4076"/>
      <c r="K92" s="4076"/>
      <c r="L92" s="4077"/>
      <c r="M92" s="72">
        <v>1</v>
      </c>
      <c r="N92" s="493" t="s">
        <v>2468</v>
      </c>
      <c r="O92" s="587"/>
      <c r="P92" s="599"/>
      <c r="Q92" s="1881" t="str">
        <f>IF(OR($O92=$M92,$O92=0,$O92=""),"","*CHECK!*")</f>
        <v/>
      </c>
      <c r="R92" s="1140" t="s">
        <v>4775</v>
      </c>
    </row>
    <row r="93" spans="1:21" s="468" customFormat="1" ht="12" customHeight="1">
      <c r="B93" s="498"/>
      <c r="C93" s="947" t="s">
        <v>3783</v>
      </c>
      <c r="D93" s="447"/>
      <c r="E93" s="447"/>
      <c r="F93" s="1810" t="str">
        <f>'Part I-Project Information'!$H$82</f>
        <v>Family</v>
      </c>
      <c r="G93" s="947"/>
      <c r="H93" s="1810"/>
      <c r="I93" s="4075"/>
      <c r="J93" s="4076"/>
      <c r="K93" s="4076"/>
      <c r="L93" s="4077"/>
      <c r="M93" s="104"/>
      <c r="N93" s="104"/>
      <c r="O93" s="104"/>
      <c r="P93" s="104"/>
      <c r="Q93" s="1144"/>
      <c r="R93" s="1346"/>
    </row>
    <row r="94" spans="1:21" s="468" customFormat="1" ht="12" customHeight="1">
      <c r="B94" s="498"/>
      <c r="C94" s="947"/>
      <c r="D94" s="447"/>
      <c r="E94" s="447"/>
      <c r="F94" s="1810"/>
      <c r="G94" s="947"/>
      <c r="H94" s="1810"/>
      <c r="I94" s="4078"/>
      <c r="J94" s="4079"/>
      <c r="K94" s="4079"/>
      <c r="L94" s="4080"/>
      <c r="M94" s="104"/>
      <c r="N94" s="104"/>
      <c r="O94" s="104"/>
      <c r="P94" s="104"/>
      <c r="Q94" s="1144"/>
      <c r="R94" s="1346"/>
    </row>
    <row r="95" spans="1:21" s="468" customFormat="1" ht="12" customHeight="1">
      <c r="A95" s="146" t="s">
        <v>1938</v>
      </c>
      <c r="B95" s="1345" t="s">
        <v>3567</v>
      </c>
      <c r="C95" s="715"/>
      <c r="D95" s="715"/>
      <c r="E95" s="715"/>
      <c r="F95" s="1309" t="s">
        <v>3643</v>
      </c>
      <c r="I95" s="4096" t="s">
        <v>3563</v>
      </c>
      <c r="J95" s="4097"/>
      <c r="K95" s="4097"/>
      <c r="L95" s="4123" t="s">
        <v>3564</v>
      </c>
      <c r="M95" s="1917">
        <v>3</v>
      </c>
      <c r="N95" s="518" t="s">
        <v>1938</v>
      </c>
      <c r="O95" s="1142">
        <f>IF($J$75="Flexible",MIN($M95,O98+O99+O100),0)</f>
        <v>0</v>
      </c>
      <c r="P95" s="1142">
        <f>IF($J$75="Flexible",MIN($M95,P98+P99+P100),0)</f>
        <v>0</v>
      </c>
      <c r="Q95" s="572"/>
      <c r="R95" s="445"/>
    </row>
    <row r="96" spans="1:21" s="43" customFormat="1" ht="11.25" customHeight="1">
      <c r="A96" s="156"/>
      <c r="B96" s="443" t="s">
        <v>3595</v>
      </c>
      <c r="C96" s="191" t="s">
        <v>4308</v>
      </c>
      <c r="D96" s="1312"/>
      <c r="E96" s="104"/>
      <c r="F96" s="104"/>
      <c r="G96" s="104"/>
      <c r="H96" s="45"/>
      <c r="I96" s="4098"/>
      <c r="J96" s="4099"/>
      <c r="K96" s="4099"/>
      <c r="L96" s="4124"/>
      <c r="M96" s="104"/>
      <c r="N96" s="443" t="s">
        <v>3595</v>
      </c>
      <c r="O96" s="1139"/>
      <c r="P96" s="1050"/>
      <c r="Q96" s="111"/>
      <c r="R96" s="445"/>
      <c r="S96" s="468"/>
      <c r="T96" s="468"/>
      <c r="U96" s="468"/>
    </row>
    <row r="97" spans="1:21" s="43" customFormat="1" ht="11.25" customHeight="1">
      <c r="A97" s="156"/>
      <c r="B97" s="443" t="s">
        <v>3596</v>
      </c>
      <c r="C97" s="191" t="s">
        <v>4307</v>
      </c>
      <c r="D97" s="1312"/>
      <c r="E97" s="104"/>
      <c r="F97" s="104"/>
      <c r="G97" s="104"/>
      <c r="H97" s="45"/>
      <c r="I97" s="3981" t="s">
        <v>4309</v>
      </c>
      <c r="J97" s="3982"/>
      <c r="K97" s="3982"/>
      <c r="L97" s="3983"/>
      <c r="M97" s="104"/>
      <c r="N97" s="443" t="s">
        <v>3596</v>
      </c>
      <c r="O97" s="237"/>
      <c r="P97" s="605"/>
      <c r="Q97" s="111"/>
      <c r="R97" s="445"/>
      <c r="S97" s="468"/>
      <c r="T97" s="468"/>
      <c r="U97" s="468"/>
    </row>
    <row r="98" spans="1:21" s="468" customFormat="1" ht="12" customHeight="1">
      <c r="A98" s="141"/>
      <c r="B98" s="1930" t="s">
        <v>1939</v>
      </c>
      <c r="C98" s="3851" t="s">
        <v>3716</v>
      </c>
      <c r="D98" s="3851"/>
      <c r="E98" s="3851"/>
      <c r="F98" s="3851"/>
      <c r="G98" s="3851"/>
      <c r="H98" s="4084"/>
      <c r="I98" s="3927"/>
      <c r="J98" s="3928"/>
      <c r="K98" s="3928"/>
      <c r="L98" s="3929"/>
      <c r="M98" s="72">
        <v>3</v>
      </c>
      <c r="N98" s="493" t="s">
        <v>1939</v>
      </c>
      <c r="O98" s="586"/>
      <c r="P98" s="597"/>
      <c r="Q98" s="1144" t="str">
        <f>IF(OR($O98=$M98,$O98=0,$O98=""),"","*CHECK!*")</f>
        <v/>
      </c>
      <c r="R98" s="1140" t="s">
        <v>4775</v>
      </c>
    </row>
    <row r="99" spans="1:21" s="43" customFormat="1" ht="12" customHeight="1">
      <c r="A99" s="656" t="s">
        <v>1326</v>
      </c>
      <c r="B99" s="1930" t="s">
        <v>1941</v>
      </c>
      <c r="C99" s="3851" t="s">
        <v>3717</v>
      </c>
      <c r="D99" s="3851"/>
      <c r="E99" s="3851"/>
      <c r="F99" s="3851"/>
      <c r="G99" s="3851"/>
      <c r="H99" s="4084"/>
      <c r="I99" s="3981" t="s">
        <v>3453</v>
      </c>
      <c r="J99" s="3982"/>
      <c r="K99" s="3982"/>
      <c r="L99" s="3983"/>
      <c r="M99" s="72">
        <v>2</v>
      </c>
      <c r="N99" s="493" t="s">
        <v>1941</v>
      </c>
      <c r="O99" s="586"/>
      <c r="P99" s="598"/>
      <c r="Q99" s="1144" t="str">
        <f>IF(OR($O99=$M99,$O99=0,$O99=""),"","*CHECK!*")</f>
        <v/>
      </c>
      <c r="R99" s="1140" t="s">
        <v>4775</v>
      </c>
    </row>
    <row r="100" spans="1:21" s="43" customFormat="1" ht="14.25" customHeight="1">
      <c r="A100" s="656" t="s">
        <v>1326</v>
      </c>
      <c r="B100" s="1930" t="s">
        <v>2468</v>
      </c>
      <c r="C100" s="3851" t="s">
        <v>3718</v>
      </c>
      <c r="D100" s="3851"/>
      <c r="E100" s="3851"/>
      <c r="F100" s="3851"/>
      <c r="G100" s="3851"/>
      <c r="H100" s="4084"/>
      <c r="I100" s="3927"/>
      <c r="J100" s="3928"/>
      <c r="K100" s="3928"/>
      <c r="L100" s="3929"/>
      <c r="M100" s="72">
        <v>1</v>
      </c>
      <c r="N100" s="493" t="s">
        <v>2468</v>
      </c>
      <c r="O100" s="587"/>
      <c r="P100" s="599"/>
      <c r="Q100" s="1144" t="str">
        <f>IF(OR($O100=$M100,$O100=0,$O100=""),"","*CHECK!*")</f>
        <v/>
      </c>
      <c r="R100" s="1140" t="s">
        <v>4775</v>
      </c>
    </row>
    <row r="101" spans="1:21" s="43" customFormat="1" ht="14.25" customHeight="1">
      <c r="A101" s="1310"/>
      <c r="B101" s="1791"/>
      <c r="C101" s="1837"/>
      <c r="D101" s="1837"/>
      <c r="E101" s="1837"/>
      <c r="F101" s="4066" t="str">
        <f>IF(OR(AND(O98&gt;0,O99&gt;0,O100&gt;0),AND(O98&gt;0,O99&gt;0),AND(O98&gt;0,O100&gt;0),AND(O99&gt;0,O100&gt;0)),"Choose only one option: B1 or B2 or B3!","")</f>
        <v/>
      </c>
      <c r="G101" s="4066"/>
      <c r="H101" s="4067"/>
      <c r="I101" s="3981" t="s">
        <v>3454</v>
      </c>
      <c r="J101" s="3982"/>
      <c r="K101" s="3982"/>
      <c r="L101" s="3983"/>
      <c r="M101" s="104"/>
      <c r="N101" s="104"/>
      <c r="O101" s="104"/>
      <c r="P101" s="104"/>
      <c r="Q101" s="1144"/>
      <c r="R101" s="1346"/>
    </row>
    <row r="102" spans="1:21" s="43" customFormat="1" ht="12.6" customHeight="1">
      <c r="A102" s="575" t="s">
        <v>2696</v>
      </c>
      <c r="B102" s="183"/>
      <c r="E102" s="41"/>
      <c r="I102" s="3924"/>
      <c r="J102" s="3925"/>
      <c r="K102" s="3925"/>
      <c r="L102" s="3926"/>
      <c r="M102" s="72"/>
      <c r="N102" s="72"/>
      <c r="O102" s="72"/>
      <c r="P102" s="72"/>
      <c r="Q102" s="431"/>
      <c r="R102" s="431"/>
    </row>
    <row r="103" spans="1:21" s="104" customFormat="1" ht="12" customHeight="1">
      <c r="A103" s="141"/>
      <c r="B103" s="498" t="s">
        <v>1198</v>
      </c>
      <c r="C103" s="3994" t="s">
        <v>4374</v>
      </c>
      <c r="D103" s="3994"/>
      <c r="E103" s="3994"/>
      <c r="F103" s="3994"/>
      <c r="G103" s="3994"/>
      <c r="H103" s="3994"/>
      <c r="I103" s="183"/>
      <c r="J103" s="183"/>
      <c r="K103" s="183"/>
      <c r="L103" s="183"/>
      <c r="M103" s="72">
        <v>1</v>
      </c>
      <c r="N103" s="493" t="s">
        <v>1198</v>
      </c>
      <c r="O103" s="665"/>
      <c r="P103" s="956"/>
      <c r="Q103" s="1144" t="str">
        <f>IF(OR($O103=$M103,$O103=0,$O103=""),"","*CHECK!*")</f>
        <v/>
      </c>
      <c r="R103" s="1140" t="s">
        <v>4775</v>
      </c>
    </row>
    <row r="104" spans="1:21" s="104" customFormat="1" ht="12" customHeight="1">
      <c r="A104" s="141"/>
      <c r="B104" s="498"/>
      <c r="C104" s="3994"/>
      <c r="D104" s="3994"/>
      <c r="E104" s="3994"/>
      <c r="F104" s="3994"/>
      <c r="G104" s="3994"/>
      <c r="H104" s="3994"/>
      <c r="I104" s="183"/>
      <c r="J104" s="183"/>
      <c r="K104" s="183"/>
      <c r="L104" s="183"/>
      <c r="M104" s="183"/>
      <c r="N104" s="183"/>
      <c r="O104" s="183"/>
      <c r="P104" s="183"/>
      <c r="Q104" s="1144"/>
      <c r="R104" s="1346"/>
    </row>
    <row r="105" spans="1:21" s="43" customFormat="1" ht="12.6" customHeight="1">
      <c r="A105" s="36" t="s">
        <v>3786</v>
      </c>
      <c r="B105" s="183"/>
      <c r="E105" s="41"/>
      <c r="K105" s="48"/>
      <c r="M105" s="72"/>
      <c r="N105" s="72"/>
      <c r="O105" s="72"/>
      <c r="P105" s="72"/>
      <c r="Q105" s="431"/>
      <c r="R105" s="431"/>
    </row>
    <row r="106" spans="1:21" s="43" customFormat="1" ht="11.25" customHeight="1" thickBot="1">
      <c r="A106" s="42"/>
      <c r="B106" s="1422" t="s">
        <v>3572</v>
      </c>
      <c r="C106" s="42"/>
      <c r="D106" s="48"/>
      <c r="E106" s="48"/>
      <c r="F106" s="48"/>
      <c r="G106" s="48"/>
      <c r="H106" s="36"/>
      <c r="K106" s="48"/>
      <c r="M106" s="46"/>
      <c r="N106" s="62"/>
      <c r="O106" s="3"/>
      <c r="P106" s="2085"/>
    </row>
    <row r="107" spans="1:21" s="43" customFormat="1" ht="29.25" customHeight="1" thickTop="1" thickBot="1">
      <c r="A107" s="3872"/>
      <c r="B107" s="3873"/>
      <c r="C107" s="3873"/>
      <c r="D107" s="3873"/>
      <c r="E107" s="3873"/>
      <c r="F107" s="3873"/>
      <c r="G107" s="3873"/>
      <c r="H107" s="3873"/>
      <c r="I107" s="3873"/>
      <c r="J107" s="3873"/>
      <c r="K107" s="3873"/>
      <c r="L107" s="3873"/>
      <c r="M107" s="3873"/>
      <c r="N107" s="3873"/>
      <c r="O107" s="3873"/>
      <c r="P107" s="3874"/>
      <c r="Q107" s="1250" t="s">
        <v>1228</v>
      </c>
      <c r="R107" s="504"/>
    </row>
    <row r="108" spans="1:21" s="104" customFormat="1" ht="11.4" customHeight="1" thickTop="1">
      <c r="A108" s="42"/>
      <c r="B108" s="99" t="s">
        <v>1820</v>
      </c>
      <c r="C108" s="42"/>
      <c r="D108" s="99"/>
      <c r="E108" s="1441"/>
      <c r="F108" s="1441"/>
      <c r="G108" s="1441"/>
      <c r="H108" s="1441"/>
      <c r="I108" s="1441"/>
      <c r="J108" s="1441"/>
      <c r="K108" s="1441"/>
      <c r="L108" s="1441"/>
      <c r="M108" s="1441"/>
      <c r="N108" s="94"/>
      <c r="O108" s="967"/>
      <c r="P108" s="1435"/>
      <c r="Q108" s="485"/>
    </row>
    <row r="109" spans="1:21" s="43" customFormat="1" ht="11.25" customHeight="1">
      <c r="A109" s="3620"/>
      <c r="B109" s="3621"/>
      <c r="C109" s="3621"/>
      <c r="D109" s="3621"/>
      <c r="E109" s="3621"/>
      <c r="F109" s="3621"/>
      <c r="G109" s="3621"/>
      <c r="H109" s="3621"/>
      <c r="I109" s="3621"/>
      <c r="J109" s="3621"/>
      <c r="K109" s="3621"/>
      <c r="L109" s="3621"/>
      <c r="M109" s="3621"/>
      <c r="N109" s="3621"/>
      <c r="O109" s="3621"/>
      <c r="P109" s="3622"/>
      <c r="Q109" s="503"/>
    </row>
    <row r="110" spans="1:21" ht="3" customHeight="1">
      <c r="B110" s="119"/>
      <c r="C110" s="119"/>
      <c r="D110" s="119"/>
      <c r="E110" s="119"/>
      <c r="R110" s="43"/>
    </row>
    <row r="111" spans="1:21" s="43" customFormat="1" ht="3" customHeight="1" thickBot="1">
      <c r="A111" s="42"/>
      <c r="D111" s="39"/>
      <c r="E111" s="36"/>
      <c r="F111" s="985"/>
      <c r="G111" s="985"/>
      <c r="H111" s="985"/>
      <c r="I111" s="985"/>
      <c r="J111" s="995"/>
      <c r="K111" s="995"/>
      <c r="L111" s="995"/>
      <c r="M111" s="60"/>
      <c r="N111" s="985"/>
      <c r="O111" s="1437"/>
      <c r="P111" s="3"/>
    </row>
    <row r="112" spans="1:21" s="43" customFormat="1" ht="12.75" customHeight="1" thickBot="1">
      <c r="A112" s="156" t="s">
        <v>1750</v>
      </c>
      <c r="B112" s="108" t="s">
        <v>3733</v>
      </c>
      <c r="D112" s="39"/>
      <c r="E112" s="36"/>
      <c r="F112" s="985"/>
      <c r="G112" s="985"/>
      <c r="H112" s="985"/>
      <c r="I112" s="61" t="s">
        <v>3573</v>
      </c>
      <c r="J112" s="995"/>
      <c r="K112" s="995"/>
      <c r="L112" s="995"/>
      <c r="M112" s="1435">
        <v>4</v>
      </c>
      <c r="N112" s="985"/>
      <c r="O112" s="1285">
        <f>IF(AND(O114&gt;0,O119&gt;0),"AorB?",MIN($M$112,O114+O119+O131))</f>
        <v>0</v>
      </c>
      <c r="P112" s="1285">
        <f>IF(AND(P114&gt;0,P119&gt;0),"AorB?",MIN($M$112,P114+P119+P131))</f>
        <v>0</v>
      </c>
      <c r="Q112" s="111" t="s">
        <v>433</v>
      </c>
    </row>
    <row r="113" spans="1:20" s="43" customFormat="1" ht="1.5" customHeight="1" thickBot="1">
      <c r="A113" s="42"/>
      <c r="D113" s="39"/>
      <c r="E113" s="36"/>
      <c r="F113" s="985"/>
      <c r="G113" s="985"/>
      <c r="H113" s="985"/>
      <c r="I113" s="985"/>
      <c r="J113" s="995"/>
      <c r="K113" s="995"/>
      <c r="L113" s="995"/>
      <c r="M113" s="60"/>
      <c r="N113" s="985"/>
      <c r="O113" s="1437"/>
      <c r="P113" s="3"/>
    </row>
    <row r="114" spans="1:20" s="104" customFormat="1" ht="12.75" customHeight="1" thickBot="1">
      <c r="A114" s="197" t="s">
        <v>1936</v>
      </c>
      <c r="B114" s="964" t="s">
        <v>3734</v>
      </c>
      <c r="C114" s="93"/>
      <c r="D114" s="1282"/>
      <c r="E114" s="52" t="s">
        <v>3789</v>
      </c>
      <c r="G114" s="116"/>
      <c r="I114" s="518" t="s">
        <v>3783</v>
      </c>
      <c r="J114" s="1391" t="str">
        <f>'Part I-Project Information'!$H$82</f>
        <v>Family</v>
      </c>
      <c r="K114" s="1312"/>
      <c r="L114" s="431" t="str">
        <f>IF(OR($O114=$M114,$O114=0,$O114=""),"","* * Check Score! * *")</f>
        <v/>
      </c>
      <c r="M114" s="72">
        <v>3</v>
      </c>
      <c r="N114" s="518" t="s">
        <v>1936</v>
      </c>
      <c r="O114" s="1350"/>
      <c r="P114" s="1319"/>
      <c r="Q114" s="1881" t="str">
        <f>IF(OR($O114=$M114,$O114=0,$O114=""),"","*CHECK!*")</f>
        <v/>
      </c>
      <c r="R114" s="1140" t="s">
        <v>4775</v>
      </c>
    </row>
    <row r="115" spans="1:20" s="43" customFormat="1" ht="11.25" customHeight="1">
      <c r="A115" s="42"/>
      <c r="B115" s="55" t="s">
        <v>4600</v>
      </c>
      <c r="D115" s="39"/>
      <c r="E115" s="36"/>
      <c r="F115" s="985"/>
      <c r="G115" s="985"/>
      <c r="H115" s="985"/>
      <c r="I115" s="985"/>
      <c r="J115" s="995"/>
      <c r="K115" s="995"/>
      <c r="L115" s="995"/>
      <c r="M115" s="60"/>
      <c r="N115" s="985"/>
      <c r="O115" s="2368"/>
      <c r="P115" s="2369"/>
    </row>
    <row r="116" spans="1:20" s="36" customFormat="1" ht="21.6" customHeight="1">
      <c r="A116" s="63"/>
      <c r="B116" s="3711" t="s">
        <v>4736</v>
      </c>
      <c r="C116" s="3711"/>
      <c r="D116" s="3990"/>
      <c r="E116" s="3990"/>
      <c r="F116" s="3990"/>
      <c r="G116" s="3990"/>
      <c r="H116" s="3990"/>
      <c r="I116" s="3990"/>
      <c r="J116" s="3990"/>
      <c r="K116" s="3990"/>
      <c r="L116" s="3990"/>
      <c r="M116" s="3990"/>
      <c r="N116" s="3990"/>
      <c r="O116" s="3990"/>
      <c r="P116" s="3990"/>
      <c r="Q116" s="1244"/>
      <c r="R116" s="1244"/>
      <c r="S116" s="1244"/>
      <c r="T116" s="1244"/>
    </row>
    <row r="117" spans="1:20" s="104" customFormat="1" ht="21.6" customHeight="1">
      <c r="A117" s="197"/>
      <c r="B117" s="3615" t="s">
        <v>4313</v>
      </c>
      <c r="C117" s="3615"/>
      <c r="D117" s="3615"/>
      <c r="E117" s="3991"/>
      <c r="F117" s="3991"/>
      <c r="G117" s="3991"/>
      <c r="H117" s="3991"/>
      <c r="I117" s="3991"/>
      <c r="J117" s="3991"/>
      <c r="K117" s="3991"/>
      <c r="L117" s="3991"/>
      <c r="M117" s="3991"/>
      <c r="N117" s="3991"/>
      <c r="O117" s="3991"/>
      <c r="P117" s="3991"/>
      <c r="Q117" s="1244"/>
      <c r="R117" s="1244"/>
      <c r="S117" s="1244"/>
      <c r="T117" s="1244"/>
    </row>
    <row r="118" spans="1:20" s="43" customFormat="1" ht="2.25" customHeight="1" thickBot="1">
      <c r="A118" s="42"/>
      <c r="D118" s="39"/>
      <c r="E118" s="36"/>
      <c r="F118" s="985"/>
      <c r="G118" s="985"/>
      <c r="H118" s="985"/>
      <c r="I118" s="985"/>
      <c r="J118" s="995"/>
      <c r="K118" s="995"/>
      <c r="L118" s="995"/>
      <c r="M118" s="60"/>
      <c r="N118" s="985"/>
      <c r="O118" s="1647"/>
      <c r="P118" s="3"/>
    </row>
    <row r="119" spans="1:20" s="104" customFormat="1" ht="12.75" customHeight="1" thickBot="1">
      <c r="A119" s="197" t="s">
        <v>1938</v>
      </c>
      <c r="B119" s="183" t="s">
        <v>3736</v>
      </c>
      <c r="D119" s="93"/>
      <c r="I119" s="93"/>
      <c r="J119" s="93"/>
      <c r="L119" s="431" t="str">
        <f>IF(OR($O119=$M119,$O119=0,$O119=""),"","* * Check Score! * *")</f>
        <v/>
      </c>
      <c r="M119" s="1161">
        <v>3</v>
      </c>
      <c r="N119" s="518" t="s">
        <v>1938</v>
      </c>
      <c r="O119" s="1350"/>
      <c r="P119" s="1319"/>
      <c r="Q119" s="1881" t="str">
        <f>IF(OR($O119=$M119,$O119=0,$O119=""),"","*CHECK!*")</f>
        <v/>
      </c>
      <c r="R119" s="1140" t="s">
        <v>4775</v>
      </c>
      <c r="S119" s="1244"/>
      <c r="T119" s="1244"/>
    </row>
    <row r="120" spans="1:20" s="104" customFormat="1" ht="10.5" customHeight="1">
      <c r="A120" s="197"/>
      <c r="B120" s="52" t="s">
        <v>4511</v>
      </c>
      <c r="D120" s="93"/>
      <c r="E120" s="52"/>
      <c r="F120" s="52"/>
      <c r="G120" s="52"/>
      <c r="H120" s="93"/>
      <c r="I120" s="93"/>
      <c r="J120" s="93"/>
      <c r="K120" s="93"/>
      <c r="L120" s="93"/>
      <c r="M120" s="1161"/>
      <c r="N120" s="1161"/>
      <c r="O120" s="112"/>
      <c r="P120" s="607"/>
      <c r="Q120" s="1244"/>
      <c r="R120" s="1244"/>
      <c r="S120" s="1244"/>
      <c r="T120" s="1244"/>
    </row>
    <row r="121" spans="1:20" s="468" customFormat="1" ht="21" customHeight="1">
      <c r="A121" s="2367"/>
      <c r="B121" s="1791" t="s">
        <v>1939</v>
      </c>
      <c r="C121" s="139" t="s">
        <v>4620</v>
      </c>
      <c r="D121" s="3992" t="s">
        <v>4313</v>
      </c>
      <c r="E121" s="3992"/>
      <c r="F121" s="3992"/>
      <c r="G121" s="3990"/>
      <c r="H121" s="3990"/>
      <c r="I121" s="3990"/>
      <c r="J121" s="3990"/>
      <c r="K121" s="3990"/>
      <c r="L121" s="3990"/>
      <c r="M121" s="3990"/>
      <c r="N121" s="3990"/>
      <c r="O121" s="3990"/>
      <c r="P121" s="3990"/>
      <c r="Q121" s="2248"/>
      <c r="R121" s="2248"/>
      <c r="S121" s="2248"/>
      <c r="T121" s="2248"/>
    </row>
    <row r="122" spans="1:20" s="104" customFormat="1" ht="10.5" customHeight="1">
      <c r="A122" s="197"/>
      <c r="B122" s="52"/>
      <c r="C122" s="36" t="s">
        <v>4624</v>
      </c>
      <c r="D122" s="93"/>
      <c r="E122" s="52"/>
      <c r="F122" s="52"/>
      <c r="G122" s="52"/>
      <c r="H122" s="93"/>
      <c r="I122" s="93"/>
      <c r="J122" s="93"/>
      <c r="K122" s="93"/>
      <c r="L122" s="93"/>
      <c r="M122" s="489"/>
      <c r="N122" s="1152" t="s">
        <v>4816</v>
      </c>
      <c r="O122" s="1139"/>
      <c r="P122" s="1050"/>
      <c r="Q122" s="1244"/>
      <c r="R122" s="1244"/>
      <c r="S122" s="1244"/>
      <c r="T122" s="1244"/>
    </row>
    <row r="123" spans="1:20" s="36" customFormat="1" ht="10.5" customHeight="1">
      <c r="A123" s="63"/>
      <c r="B123" s="429"/>
      <c r="C123" s="36" t="s">
        <v>4625</v>
      </c>
      <c r="D123" s="52"/>
      <c r="E123" s="52"/>
      <c r="F123" s="52"/>
      <c r="G123" s="52"/>
      <c r="H123" s="52"/>
      <c r="I123" s="52"/>
      <c r="J123" s="52"/>
      <c r="K123" s="52"/>
      <c r="L123" s="52"/>
      <c r="M123" s="1440"/>
      <c r="N123" s="443" t="s">
        <v>2373</v>
      </c>
      <c r="O123" s="419"/>
      <c r="P123" s="604"/>
      <c r="Q123" s="1244"/>
      <c r="R123" s="1244"/>
      <c r="S123" s="1244"/>
      <c r="T123" s="1244"/>
    </row>
    <row r="124" spans="1:20" s="55" customFormat="1" ht="10.5" customHeight="1">
      <c r="A124" s="63"/>
      <c r="C124" s="55" t="s">
        <v>3811</v>
      </c>
      <c r="D124" s="474"/>
      <c r="E124" s="52"/>
      <c r="F124" s="52"/>
      <c r="G124" s="52"/>
      <c r="H124" s="474"/>
      <c r="J124" s="474"/>
      <c r="L124" s="3681" t="s">
        <v>3622</v>
      </c>
      <c r="M124" s="3681"/>
      <c r="N124" s="3681"/>
      <c r="O124" s="3984" t="s">
        <v>3621</v>
      </c>
      <c r="P124" s="3984"/>
      <c r="Q124" s="52"/>
    </row>
    <row r="125" spans="1:20" s="55" customFormat="1" ht="10.8" customHeight="1">
      <c r="A125" s="63"/>
      <c r="B125" s="430"/>
      <c r="C125" s="3985"/>
      <c r="D125" s="3986"/>
      <c r="E125" s="3986"/>
      <c r="F125" s="3986"/>
      <c r="G125" s="3986"/>
      <c r="H125" s="3986"/>
      <c r="I125" s="3986"/>
      <c r="J125" s="3986"/>
      <c r="K125" s="3987"/>
      <c r="L125" s="4114" t="s">
        <v>3525</v>
      </c>
      <c r="M125" s="4114"/>
      <c r="N125" s="4114"/>
      <c r="O125" s="4115"/>
      <c r="P125" s="4115"/>
      <c r="Q125" s="1302" t="str">
        <f>IF(O125&gt;15, "Too much!","")</f>
        <v/>
      </c>
    </row>
    <row r="126" spans="1:20" s="55" customFormat="1" ht="10.8" customHeight="1">
      <c r="A126" s="63"/>
      <c r="B126" s="444"/>
      <c r="C126" s="3927"/>
      <c r="D126" s="3928"/>
      <c r="E126" s="3928"/>
      <c r="F126" s="3928"/>
      <c r="G126" s="3928"/>
      <c r="H126" s="3928"/>
      <c r="I126" s="3928"/>
      <c r="J126" s="3928"/>
      <c r="K126" s="3929"/>
      <c r="L126" s="3988" t="s">
        <v>3525</v>
      </c>
      <c r="M126" s="3988"/>
      <c r="N126" s="3988"/>
      <c r="O126" s="3993"/>
      <c r="P126" s="3993"/>
      <c r="Q126" s="1302" t="str">
        <f>IF(O126&gt;15, "Too much!","")</f>
        <v/>
      </c>
    </row>
    <row r="127" spans="1:20" s="55" customFormat="1" ht="10.8" customHeight="1">
      <c r="A127" s="63"/>
      <c r="B127" s="430"/>
      <c r="C127" s="3927"/>
      <c r="D127" s="3928"/>
      <c r="E127" s="3928"/>
      <c r="F127" s="3928"/>
      <c r="G127" s="3928"/>
      <c r="H127" s="3928"/>
      <c r="I127" s="3928"/>
      <c r="J127" s="3928"/>
      <c r="K127" s="3929"/>
      <c r="L127" s="3988" t="s">
        <v>3525</v>
      </c>
      <c r="M127" s="3988"/>
      <c r="N127" s="3988"/>
      <c r="O127" s="3993"/>
      <c r="P127" s="3993"/>
      <c r="Q127" s="1302" t="str">
        <f>IF(O127&gt;15, "Too much!","")</f>
        <v/>
      </c>
    </row>
    <row r="128" spans="1:20" s="55" customFormat="1" ht="10.8" customHeight="1">
      <c r="A128" s="63"/>
      <c r="B128" s="443"/>
      <c r="C128" s="3924"/>
      <c r="D128" s="3925"/>
      <c r="E128" s="3925"/>
      <c r="F128" s="3925"/>
      <c r="G128" s="3925"/>
      <c r="H128" s="3925"/>
      <c r="I128" s="3925"/>
      <c r="J128" s="3925"/>
      <c r="K128" s="3926"/>
      <c r="L128" s="3989" t="s">
        <v>3525</v>
      </c>
      <c r="M128" s="3989"/>
      <c r="N128" s="3989"/>
      <c r="O128" s="4113"/>
      <c r="P128" s="4113"/>
      <c r="Q128" s="1302" t="str">
        <f>IF(O128&gt;15, "Too much!","")</f>
        <v/>
      </c>
    </row>
    <row r="129" spans="1:21" s="104" customFormat="1" ht="10.5" customHeight="1">
      <c r="B129" s="1930" t="s">
        <v>1941</v>
      </c>
      <c r="C129" s="66" t="s">
        <v>4621</v>
      </c>
      <c r="D129" s="36" t="s">
        <v>4626</v>
      </c>
      <c r="E129" s="52"/>
      <c r="F129" s="52"/>
      <c r="G129" s="52"/>
      <c r="H129" s="93"/>
      <c r="I129" s="93"/>
      <c r="J129" s="93"/>
      <c r="K129" s="93"/>
      <c r="L129" s="93"/>
      <c r="M129" s="93"/>
      <c r="N129" s="1152" t="s">
        <v>4817</v>
      </c>
      <c r="O129" s="236"/>
      <c r="P129" s="603"/>
      <c r="Q129" s="551"/>
      <c r="R129" s="55"/>
      <c r="S129" s="55"/>
      <c r="T129" s="55"/>
      <c r="U129" s="55"/>
    </row>
    <row r="130" spans="1:21" s="104" customFormat="1" ht="10.5" customHeight="1" thickBot="1">
      <c r="A130" s="197"/>
      <c r="B130" s="52"/>
      <c r="D130" s="36" t="s">
        <v>4627</v>
      </c>
      <c r="E130" s="52"/>
      <c r="F130" s="52"/>
      <c r="G130" s="52"/>
      <c r="H130" s="93"/>
      <c r="I130" s="93"/>
      <c r="J130" s="93"/>
      <c r="K130" s="93"/>
      <c r="L130" s="93"/>
      <c r="M130" s="489"/>
      <c r="N130" s="443" t="s">
        <v>2373</v>
      </c>
      <c r="O130" s="237"/>
      <c r="P130" s="605"/>
      <c r="Q130" s="551"/>
      <c r="R130" s="55"/>
      <c r="S130" s="55"/>
      <c r="T130" s="55"/>
      <c r="U130" s="55"/>
    </row>
    <row r="131" spans="1:21" s="104" customFormat="1" ht="12.75" customHeight="1" thickBot="1">
      <c r="A131" s="197" t="s">
        <v>731</v>
      </c>
      <c r="B131" s="964" t="s">
        <v>3623</v>
      </c>
      <c r="D131" s="52"/>
      <c r="F131" s="52"/>
      <c r="G131" s="52"/>
      <c r="H131" s="52"/>
      <c r="I131" s="52"/>
      <c r="J131" s="52"/>
      <c r="K131" s="52"/>
      <c r="L131" s="431" t="str">
        <f>IF(OR($O131=$M131,$O131=0,$O131=""),"","* * Check Score! * *")</f>
        <v/>
      </c>
      <c r="M131" s="1161">
        <v>1</v>
      </c>
      <c r="N131" s="1281" t="s">
        <v>731</v>
      </c>
      <c r="O131" s="1350"/>
      <c r="P131" s="1319"/>
      <c r="Q131" s="1881" t="str">
        <f>IF(OR($O131=$M131,$O131=0,$O131=""),"","*CHECK!*")</f>
        <v/>
      </c>
      <c r="R131" s="1140" t="s">
        <v>4775</v>
      </c>
      <c r="S131" s="1244"/>
      <c r="T131" s="1244"/>
      <c r="U131" s="1244"/>
    </row>
    <row r="132" spans="1:21" s="36" customFormat="1" ht="10.5" customHeight="1">
      <c r="A132" s="63"/>
      <c r="C132" s="52" t="s">
        <v>4815</v>
      </c>
      <c r="D132" s="1444"/>
      <c r="E132" s="1444"/>
      <c r="F132" s="1444"/>
      <c r="G132" s="1444"/>
      <c r="H132" s="1444"/>
      <c r="I132" s="1444"/>
      <c r="J132" s="1444"/>
      <c r="K132" s="1444"/>
      <c r="L132" s="1444"/>
      <c r="M132" s="1440"/>
      <c r="N132" s="52"/>
      <c r="O132" s="112"/>
      <c r="P132" s="607"/>
      <c r="Q132" s="52"/>
      <c r="R132" s="1244"/>
      <c r="S132" s="1244"/>
      <c r="T132" s="1244"/>
      <c r="U132" s="1244"/>
    </row>
    <row r="133" spans="1:21" s="36" customFormat="1" ht="10.5" customHeight="1">
      <c r="A133" s="63"/>
      <c r="B133" s="1930" t="s">
        <v>1939</v>
      </c>
      <c r="C133" s="3615" t="s">
        <v>4622</v>
      </c>
      <c r="D133" s="3615"/>
      <c r="E133" s="3615"/>
      <c r="F133" s="1444"/>
      <c r="G133" s="995" t="s">
        <v>4821</v>
      </c>
      <c r="I133" s="1444"/>
      <c r="J133" s="1444"/>
      <c r="K133" s="1444"/>
      <c r="L133" s="1444"/>
      <c r="M133" s="64"/>
      <c r="N133" s="1152" t="s">
        <v>4816</v>
      </c>
      <c r="O133" s="1139"/>
      <c r="P133" s="1050"/>
      <c r="Q133" s="52"/>
      <c r="R133" s="1244"/>
      <c r="S133" s="1244"/>
      <c r="T133" s="1244"/>
      <c r="U133" s="1244"/>
    </row>
    <row r="134" spans="1:21" s="36" customFormat="1" ht="10.5" customHeight="1">
      <c r="A134" s="63"/>
      <c r="B134" s="429"/>
      <c r="C134" s="3615"/>
      <c r="D134" s="3615"/>
      <c r="E134" s="3615"/>
      <c r="F134" s="1444"/>
      <c r="G134" s="995" t="s">
        <v>4818</v>
      </c>
      <c r="I134" s="1444"/>
      <c r="J134" s="1444"/>
      <c r="K134" s="1444"/>
      <c r="L134" s="1444"/>
      <c r="M134" s="1440"/>
      <c r="N134" s="443" t="s">
        <v>2373</v>
      </c>
      <c r="O134" s="419"/>
      <c r="P134" s="604"/>
      <c r="Q134" s="52"/>
      <c r="R134" s="1244"/>
      <c r="S134" s="1244"/>
      <c r="T134" s="1244"/>
      <c r="U134" s="1244"/>
    </row>
    <row r="135" spans="1:21" s="36" customFormat="1" ht="10.5" customHeight="1">
      <c r="A135" s="64"/>
      <c r="B135" s="429"/>
      <c r="C135" s="3615"/>
      <c r="D135" s="3615"/>
      <c r="E135" s="3615"/>
      <c r="F135" s="1444"/>
      <c r="G135" s="995" t="s">
        <v>4819</v>
      </c>
      <c r="I135" s="1444"/>
      <c r="J135" s="1444"/>
      <c r="K135" s="1444"/>
      <c r="L135" s="1444"/>
      <c r="M135" s="1440"/>
      <c r="N135" s="443" t="s">
        <v>2374</v>
      </c>
      <c r="O135" s="419"/>
      <c r="P135" s="604"/>
      <c r="Q135" s="52"/>
      <c r="R135" s="1244"/>
      <c r="S135" s="1244"/>
      <c r="T135" s="1244"/>
      <c r="U135" s="1244"/>
    </row>
    <row r="136" spans="1:21" s="36" customFormat="1" ht="10.5" customHeight="1">
      <c r="A136" s="63"/>
      <c r="B136" s="429"/>
      <c r="D136" s="1444"/>
      <c r="E136" s="1444"/>
      <c r="F136" s="1444"/>
      <c r="G136" s="995" t="s">
        <v>4820</v>
      </c>
      <c r="I136" s="1444"/>
      <c r="J136" s="1444"/>
      <c r="K136" s="1444"/>
      <c r="L136" s="1444"/>
      <c r="M136" s="1440"/>
      <c r="N136" s="443" t="s">
        <v>2375</v>
      </c>
      <c r="O136" s="419"/>
      <c r="P136" s="604"/>
      <c r="Q136" s="52"/>
      <c r="R136" s="1244"/>
      <c r="S136" s="1244"/>
      <c r="T136" s="1244"/>
      <c r="U136" s="1244"/>
    </row>
    <row r="137" spans="1:21" s="36" customFormat="1" ht="10.5" customHeight="1">
      <c r="A137" s="63"/>
      <c r="B137" s="429"/>
      <c r="D137" s="1444"/>
      <c r="E137" s="1444"/>
      <c r="F137" s="1444"/>
      <c r="G137" s="995" t="s">
        <v>4822</v>
      </c>
      <c r="I137" s="1444"/>
      <c r="J137" s="1444"/>
      <c r="K137" s="1444"/>
      <c r="L137" s="1444"/>
      <c r="M137" s="1440"/>
      <c r="N137" s="443" t="s">
        <v>2376</v>
      </c>
      <c r="O137" s="237"/>
      <c r="P137" s="605"/>
      <c r="Q137" s="52"/>
    </row>
    <row r="138" spans="1:21" s="36" customFormat="1" ht="10.5" customHeight="1">
      <c r="A138" s="63"/>
      <c r="C138" s="52" t="s">
        <v>4823</v>
      </c>
      <c r="D138" s="1444"/>
      <c r="E138" s="1444"/>
      <c r="F138" s="1444"/>
      <c r="G138" s="1444"/>
      <c r="H138" s="1444"/>
      <c r="I138" s="1444"/>
      <c r="J138" s="1444"/>
      <c r="K138" s="1444"/>
      <c r="L138" s="1444"/>
      <c r="M138" s="2322"/>
      <c r="N138" s="52"/>
      <c r="O138" s="2323"/>
      <c r="P138" s="2321"/>
      <c r="Q138" s="52"/>
      <c r="R138" s="1244"/>
      <c r="S138" s="1244"/>
      <c r="T138" s="1244"/>
      <c r="U138" s="1244"/>
    </row>
    <row r="139" spans="1:21" s="36" customFormat="1" ht="10.5" customHeight="1">
      <c r="A139" s="63"/>
      <c r="B139" s="1930" t="s">
        <v>1941</v>
      </c>
      <c r="C139" s="995" t="s">
        <v>4623</v>
      </c>
      <c r="D139" s="1444"/>
      <c r="E139" s="1444"/>
      <c r="F139" s="1444"/>
      <c r="G139" s="1444"/>
      <c r="H139" s="1444"/>
      <c r="I139" s="1444"/>
      <c r="J139" s="1444"/>
      <c r="K139" s="1444"/>
      <c r="L139" s="1444"/>
      <c r="M139" s="64"/>
      <c r="N139" s="1281" t="s">
        <v>1941</v>
      </c>
      <c r="O139" s="532"/>
      <c r="P139" s="602"/>
      <c r="Q139" s="52"/>
    </row>
    <row r="140" spans="1:21" s="55" customFormat="1" ht="10.5" customHeight="1">
      <c r="A140" s="63"/>
      <c r="B140" s="498"/>
      <c r="C140" s="55" t="s">
        <v>3630</v>
      </c>
      <c r="D140" s="474"/>
      <c r="E140" s="52"/>
      <c r="F140" s="52"/>
      <c r="G140" s="55" t="s">
        <v>3813</v>
      </c>
      <c r="H140" s="474"/>
      <c r="M140" s="58"/>
      <c r="N140" s="58"/>
      <c r="O140" s="58"/>
      <c r="P140" s="58"/>
      <c r="Q140" s="52"/>
    </row>
    <row r="141" spans="1:21" s="55" customFormat="1" ht="21" customHeight="1">
      <c r="B141" s="430"/>
      <c r="C141" s="3985"/>
      <c r="D141" s="3986"/>
      <c r="E141" s="3986"/>
      <c r="F141" s="3987"/>
      <c r="G141" s="3978"/>
      <c r="H141" s="3979"/>
      <c r="I141" s="3979"/>
      <c r="J141" s="3979"/>
      <c r="K141" s="3979"/>
      <c r="L141" s="3979"/>
      <c r="M141" s="3979"/>
      <c r="N141" s="3979"/>
      <c r="O141" s="3979"/>
      <c r="P141" s="3980"/>
      <c r="Q141" s="52"/>
    </row>
    <row r="142" spans="1:21" s="55" customFormat="1" ht="21" customHeight="1">
      <c r="A142" s="63"/>
      <c r="B142" s="444"/>
      <c r="C142" s="3927"/>
      <c r="D142" s="3928"/>
      <c r="E142" s="3928"/>
      <c r="F142" s="3929"/>
      <c r="G142" s="3927"/>
      <c r="H142" s="3928"/>
      <c r="I142" s="3928"/>
      <c r="J142" s="3928"/>
      <c r="K142" s="3928"/>
      <c r="L142" s="3928"/>
      <c r="M142" s="3928"/>
      <c r="N142" s="3928"/>
      <c r="O142" s="3928"/>
      <c r="P142" s="3929"/>
      <c r="Q142" s="52"/>
    </row>
    <row r="143" spans="1:21" s="55" customFormat="1" ht="21" customHeight="1">
      <c r="B143" s="2100"/>
      <c r="C143" s="3927"/>
      <c r="D143" s="3928"/>
      <c r="E143" s="3928"/>
      <c r="F143" s="3929"/>
      <c r="G143" s="3927"/>
      <c r="H143" s="3928"/>
      <c r="I143" s="3928"/>
      <c r="J143" s="3928"/>
      <c r="K143" s="3928"/>
      <c r="L143" s="3928"/>
      <c r="M143" s="3928"/>
      <c r="N143" s="3928"/>
      <c r="O143" s="3928"/>
      <c r="P143" s="3929"/>
      <c r="Q143" s="52"/>
    </row>
    <row r="144" spans="1:21" s="55" customFormat="1" ht="21" customHeight="1">
      <c r="A144" s="2100"/>
      <c r="B144" s="2100"/>
      <c r="C144" s="3924"/>
      <c r="D144" s="3925"/>
      <c r="E144" s="3925"/>
      <c r="F144" s="3926"/>
      <c r="G144" s="3924"/>
      <c r="H144" s="3925"/>
      <c r="I144" s="3925"/>
      <c r="J144" s="3925"/>
      <c r="K144" s="3925"/>
      <c r="L144" s="3925"/>
      <c r="M144" s="3925"/>
      <c r="N144" s="3925"/>
      <c r="O144" s="3925"/>
      <c r="P144" s="3926"/>
      <c r="Q144" s="52"/>
    </row>
    <row r="145" spans="1:27" s="43" customFormat="1" ht="11.25" customHeight="1" thickBot="1">
      <c r="A145" s="42"/>
      <c r="B145" s="1422" t="s">
        <v>3572</v>
      </c>
      <c r="C145" s="42"/>
      <c r="D145" s="48"/>
      <c r="E145" s="48"/>
      <c r="F145" s="48"/>
      <c r="G145" s="48"/>
      <c r="H145" s="36"/>
      <c r="K145" s="48"/>
      <c r="M145" s="46"/>
      <c r="N145" s="62"/>
      <c r="O145" s="3"/>
      <c r="P145" s="2086"/>
    </row>
    <row r="146" spans="1:27" s="43" customFormat="1" ht="29.25" customHeight="1" thickTop="1" thickBot="1">
      <c r="A146" s="3872"/>
      <c r="B146" s="3873"/>
      <c r="C146" s="3873"/>
      <c r="D146" s="3873"/>
      <c r="E146" s="3873"/>
      <c r="F146" s="3873"/>
      <c r="G146" s="3873"/>
      <c r="H146" s="3873"/>
      <c r="I146" s="3873"/>
      <c r="J146" s="3873"/>
      <c r="K146" s="3873"/>
      <c r="L146" s="3873"/>
      <c r="M146" s="3873"/>
      <c r="N146" s="3873"/>
      <c r="O146" s="3873"/>
      <c r="P146" s="3874"/>
      <c r="Q146" s="1250" t="s">
        <v>1228</v>
      </c>
      <c r="R146" s="504"/>
    </row>
    <row r="147" spans="1:27" s="43" customFormat="1" ht="10.199999999999999" customHeight="1" thickTop="1">
      <c r="B147" s="2101" t="s">
        <v>3826</v>
      </c>
      <c r="C147" s="100"/>
      <c r="D147" s="86"/>
      <c r="E147" s="101"/>
      <c r="F147" s="1438"/>
      <c r="G147" s="1438"/>
      <c r="H147" s="1438"/>
      <c r="I147" s="1438"/>
      <c r="J147" s="1438"/>
      <c r="K147" s="1438"/>
      <c r="L147" s="1438"/>
      <c r="M147" s="1438"/>
      <c r="N147" s="74"/>
      <c r="O147" s="70"/>
      <c r="P147" s="1435"/>
      <c r="Q147" s="485"/>
    </row>
    <row r="148" spans="1:27" s="43" customFormat="1" ht="11.25" customHeight="1">
      <c r="A148" s="3699"/>
      <c r="B148" s="3700"/>
      <c r="C148" s="3700"/>
      <c r="D148" s="3700"/>
      <c r="E148" s="3700"/>
      <c r="F148" s="3700"/>
      <c r="G148" s="3700"/>
      <c r="H148" s="3700"/>
      <c r="I148" s="3700"/>
      <c r="J148" s="3700"/>
      <c r="K148" s="3700"/>
      <c r="L148" s="3700"/>
      <c r="M148" s="3700"/>
      <c r="N148" s="3700"/>
      <c r="O148" s="3700"/>
      <c r="P148" s="3701"/>
      <c r="Q148" s="503"/>
    </row>
    <row r="149" spans="1:27" s="43" customFormat="1" ht="3" customHeight="1" thickBot="1">
      <c r="A149" s="42"/>
      <c r="C149" s="1438"/>
      <c r="D149" s="1438"/>
      <c r="E149" s="1438"/>
      <c r="F149" s="1438"/>
      <c r="G149" s="1438"/>
      <c r="H149" s="1438"/>
      <c r="I149" s="1438"/>
      <c r="J149" s="1438"/>
      <c r="K149" s="1438"/>
      <c r="L149" s="1438"/>
      <c r="M149" s="1438"/>
      <c r="N149" s="74"/>
      <c r="O149" s="70"/>
      <c r="P149" s="985"/>
    </row>
    <row r="150" spans="1:27" s="43" customFormat="1" ht="13.5" customHeight="1" thickBot="1">
      <c r="A150" s="156" t="s">
        <v>516</v>
      </c>
      <c r="B150" s="108" t="s">
        <v>3722</v>
      </c>
      <c r="C150" s="1438"/>
      <c r="D150" s="1438"/>
      <c r="E150" s="1438"/>
      <c r="F150" s="1438"/>
      <c r="G150" s="1438"/>
      <c r="H150" s="1438"/>
      <c r="I150" s="1438"/>
      <c r="J150" s="1438"/>
      <c r="K150" s="1438"/>
      <c r="L150" s="1438"/>
      <c r="M150" s="985">
        <v>5</v>
      </c>
      <c r="N150" s="74"/>
      <c r="O150" s="1285">
        <f>O152+O171</f>
        <v>0</v>
      </c>
      <c r="P150" s="1285">
        <f>P152+P171</f>
        <v>0</v>
      </c>
      <c r="Q150" s="111" t="s">
        <v>433</v>
      </c>
      <c r="S150" s="2253">
        <f>IF(NOT(R163=T163),0,IF(OR('Part VI-Revenues &amp; Expenses'!$P$67=0,$V$163=0),0,IF(AND($F$157="Family",$V$163=$T$163),3,IF($V$163=$T$163,2,IF(OR($V$163=2,$V$163=1),1,0)))))</f>
        <v>0</v>
      </c>
    </row>
    <row r="151" spans="1:27" s="43" customFormat="1" ht="3.75" customHeight="1">
      <c r="A151" s="42"/>
      <c r="C151" s="1438"/>
      <c r="D151" s="1438"/>
      <c r="E151" s="1438"/>
      <c r="F151" s="1438"/>
      <c r="G151" s="1438"/>
      <c r="H151" s="1438"/>
      <c r="I151" s="1438"/>
      <c r="J151" s="1438"/>
      <c r="K151" s="1438"/>
      <c r="L151" s="1438"/>
      <c r="M151" s="1438"/>
      <c r="N151" s="74"/>
      <c r="O151" s="70"/>
      <c r="P151" s="985"/>
    </row>
    <row r="152" spans="1:27" s="104" customFormat="1" ht="13.5" customHeight="1">
      <c r="A152" s="197" t="s">
        <v>1936</v>
      </c>
      <c r="B152" s="10" t="s">
        <v>3737</v>
      </c>
      <c r="C152" s="93"/>
      <c r="D152" s="1282"/>
      <c r="E152" s="1282"/>
      <c r="G152" s="1312"/>
      <c r="H152" s="1312"/>
      <c r="I152" s="1312"/>
      <c r="J152" s="1312"/>
      <c r="K152" s="1312"/>
      <c r="L152" s="1312"/>
      <c r="M152" s="489">
        <v>3</v>
      </c>
      <c r="N152" s="193"/>
      <c r="O152" s="2254"/>
      <c r="P152" s="1882"/>
      <c r="Q152" s="1881" t="str">
        <f>IF(OR($O152=$M152,$O152=0,$O152=""),"","*CHECK!*")</f>
        <v/>
      </c>
      <c r="R152" s="1140" t="s">
        <v>4775</v>
      </c>
    </row>
    <row r="153" spans="1:27" s="43" customFormat="1" ht="12" customHeight="1">
      <c r="B153" s="40" t="s">
        <v>3626</v>
      </c>
      <c r="C153" s="487"/>
      <c r="D153" s="487"/>
      <c r="E153" s="487"/>
      <c r="F153" s="487"/>
      <c r="G153" s="487"/>
      <c r="H153" s="487"/>
      <c r="I153" s="487"/>
      <c r="J153" s="487"/>
      <c r="K153" s="487"/>
      <c r="L153" s="487"/>
      <c r="M153" s="487"/>
      <c r="N153" s="487"/>
      <c r="O153" s="97"/>
      <c r="P153" s="601"/>
      <c r="Q153" s="3909" t="s">
        <v>4601</v>
      </c>
      <c r="R153" s="3909"/>
      <c r="S153" s="3909"/>
      <c r="T153" s="3909"/>
      <c r="U153" s="3909"/>
      <c r="V153" s="3909"/>
      <c r="W153" s="2250"/>
    </row>
    <row r="154" spans="1:27" s="43" customFormat="1" ht="3" customHeight="1">
      <c r="A154" s="141"/>
      <c r="B154" s="596"/>
      <c r="C154" s="596"/>
      <c r="D154" s="596"/>
      <c r="E154" s="596"/>
      <c r="F154" s="596"/>
      <c r="G154" s="596"/>
      <c r="H154" s="596"/>
      <c r="I154" s="596"/>
      <c r="J154" s="596"/>
      <c r="K154" s="596"/>
      <c r="L154" s="596"/>
      <c r="M154" s="596"/>
      <c r="O154" s="1419"/>
      <c r="P154" s="1419"/>
      <c r="Q154" s="3909"/>
      <c r="R154" s="3909"/>
      <c r="S154" s="3909"/>
      <c r="T154" s="3909"/>
      <c r="U154" s="3909"/>
      <c r="V154" s="3909"/>
      <c r="W154" s="2250"/>
    </row>
    <row r="155" spans="1:27" s="43" customFormat="1" ht="11.25" customHeight="1">
      <c r="A155" s="141"/>
      <c r="B155" s="3879" t="s">
        <v>4512</v>
      </c>
      <c r="C155" s="3879"/>
      <c r="D155" s="3879"/>
      <c r="E155" s="52" t="s">
        <v>3625</v>
      </c>
      <c r="F155" s="104"/>
      <c r="G155" s="52"/>
      <c r="H155" s="104"/>
      <c r="I155" s="3831"/>
      <c r="J155" s="3832"/>
      <c r="K155" s="3832"/>
      <c r="L155" s="3833"/>
      <c r="Q155" s="3909"/>
      <c r="R155" s="3909"/>
      <c r="S155" s="3909"/>
      <c r="T155" s="3909"/>
      <c r="U155" s="3909"/>
      <c r="V155" s="3909"/>
      <c r="W155" s="2250"/>
    </row>
    <row r="156" spans="1:27" s="43" customFormat="1" ht="11.25" customHeight="1">
      <c r="A156" s="141"/>
      <c r="B156" s="3879"/>
      <c r="C156" s="3879"/>
      <c r="D156" s="3879"/>
      <c r="E156" s="40" t="s">
        <v>4315</v>
      </c>
      <c r="F156" s="431"/>
      <c r="G156" s="104"/>
      <c r="H156" s="104"/>
      <c r="I156" s="40"/>
      <c r="J156" s="1448"/>
      <c r="K156" s="1448"/>
      <c r="L156" s="1448"/>
      <c r="M156" s="104"/>
      <c r="N156" s="1314"/>
      <c r="O156" s="97"/>
      <c r="P156" s="601"/>
      <c r="Q156" s="3909"/>
      <c r="R156" s="3909"/>
      <c r="S156" s="3909"/>
      <c r="T156" s="3909"/>
      <c r="U156" s="3909"/>
      <c r="V156" s="3909"/>
      <c r="W156" s="2250"/>
    </row>
    <row r="157" spans="1:27" s="43" customFormat="1" ht="12" customHeight="1">
      <c r="A157" s="42"/>
      <c r="C157" s="1438"/>
      <c r="D157" s="1438"/>
      <c r="E157" s="52" t="s">
        <v>4316</v>
      </c>
      <c r="F157" s="1933" t="str">
        <f>'Part I-Project Information'!$H$82</f>
        <v>Family</v>
      </c>
      <c r="H157" s="1932"/>
      <c r="I157" s="1438"/>
      <c r="J157" s="1438"/>
      <c r="M157" s="1438"/>
      <c r="N157" s="74"/>
      <c r="O157" s="3965" t="s">
        <v>4770</v>
      </c>
      <c r="P157" s="3965"/>
      <c r="Q157" s="3909"/>
      <c r="R157" s="3909"/>
      <c r="S157" s="3909"/>
      <c r="T157" s="3909"/>
      <c r="U157" s="3909"/>
      <c r="V157" s="3909"/>
      <c r="W157" s="2250"/>
    </row>
    <row r="158" spans="1:27" s="55" customFormat="1" ht="3" customHeight="1">
      <c r="A158" s="1002"/>
      <c r="B158" s="487"/>
      <c r="O158" s="3966"/>
      <c r="P158" s="3966"/>
      <c r="Q158" s="3909"/>
      <c r="R158" s="3909"/>
      <c r="S158" s="3909"/>
      <c r="T158" s="3909"/>
      <c r="U158" s="3909"/>
      <c r="V158" s="3909"/>
      <c r="W158" s="2250"/>
    </row>
    <row r="159" spans="1:27" s="43" customFormat="1" ht="12" customHeight="1">
      <c r="A159" s="430" t="s">
        <v>2372</v>
      </c>
      <c r="B159" s="113" t="s">
        <v>4513</v>
      </c>
      <c r="C159" s="1788"/>
      <c r="D159" s="1788"/>
      <c r="E159" s="52"/>
      <c r="F159" s="1789"/>
      <c r="G159" s="1789"/>
      <c r="I159" s="1788"/>
      <c r="J159" s="1788"/>
      <c r="K159" s="1788"/>
      <c r="L159" s="1788"/>
      <c r="M159" s="3933" t="s">
        <v>4314</v>
      </c>
      <c r="N159" s="74"/>
      <c r="O159" s="3966"/>
      <c r="P159" s="3966"/>
      <c r="Q159" s="3909"/>
      <c r="R159" s="3909"/>
      <c r="S159" s="3909"/>
      <c r="T159" s="3909"/>
      <c r="U159" s="3909"/>
      <c r="V159" s="3909"/>
      <c r="Y159" s="3908" t="s">
        <v>4791</v>
      </c>
      <c r="Z159" s="3908"/>
      <c r="AA159" s="3908"/>
    </row>
    <row r="160" spans="1:27" s="55" customFormat="1" ht="3" customHeight="1">
      <c r="A160" s="1002"/>
      <c r="B160" s="487"/>
      <c r="M160" s="3933"/>
      <c r="O160" s="3966"/>
      <c r="P160" s="3966"/>
      <c r="R160" s="2249"/>
      <c r="S160" s="474"/>
      <c r="T160" s="2249"/>
      <c r="U160" s="474"/>
      <c r="V160" s="43"/>
      <c r="W160" s="43"/>
    </row>
    <row r="161" spans="1:36" s="43" customFormat="1" ht="13.5" customHeight="1">
      <c r="A161" s="3919" t="s">
        <v>4771</v>
      </c>
      <c r="B161" s="3919"/>
      <c r="C161" s="3919"/>
      <c r="D161" s="3919"/>
      <c r="E161" s="3919"/>
      <c r="F161" s="3919"/>
      <c r="G161" s="3920"/>
      <c r="H161" s="3930" t="s">
        <v>3653</v>
      </c>
      <c r="I161" s="3931"/>
      <c r="J161" s="3932"/>
      <c r="K161" s="3933" t="s">
        <v>3624</v>
      </c>
      <c r="L161" s="3741" t="s">
        <v>4762</v>
      </c>
      <c r="M161" s="3933"/>
      <c r="N161" s="1812"/>
      <c r="O161" s="3966"/>
      <c r="P161" s="3966"/>
      <c r="Q161" s="3910" t="s">
        <v>4758</v>
      </c>
      <c r="R161" s="3910" t="s">
        <v>4761</v>
      </c>
      <c r="S161" s="3910" t="s">
        <v>4759</v>
      </c>
      <c r="T161" s="3910" t="s">
        <v>4760</v>
      </c>
      <c r="U161" s="3910" t="s">
        <v>4477</v>
      </c>
      <c r="V161" s="3910" t="s">
        <v>4476</v>
      </c>
      <c r="X161" s="104"/>
      <c r="Y161" s="2278" t="s">
        <v>4790</v>
      </c>
      <c r="Z161" s="2279" t="s">
        <v>4792</v>
      </c>
      <c r="AA161" s="2279" t="s">
        <v>4793</v>
      </c>
    </row>
    <row r="162" spans="1:36" s="43" customFormat="1" ht="15" customHeight="1">
      <c r="B162" s="546" t="s">
        <v>4794</v>
      </c>
      <c r="C162" s="2111"/>
      <c r="E162" s="2280" t="s">
        <v>4795</v>
      </c>
      <c r="F162" s="2244" t="s">
        <v>4769</v>
      </c>
      <c r="G162" s="2244" t="s">
        <v>3284</v>
      </c>
      <c r="H162" s="2034">
        <v>2017</v>
      </c>
      <c r="I162" s="583">
        <v>2018</v>
      </c>
      <c r="J162" s="583">
        <v>2019</v>
      </c>
      <c r="K162" s="3124"/>
      <c r="L162" s="3915"/>
      <c r="M162" s="3124"/>
      <c r="N162" s="1812"/>
      <c r="O162" s="3967"/>
      <c r="P162" s="3967"/>
      <c r="Q162" s="3910"/>
      <c r="R162" s="3910"/>
      <c r="S162" s="3910"/>
      <c r="T162" s="3910"/>
      <c r="U162" s="3910"/>
      <c r="V162" s="3910"/>
      <c r="X162" s="2278" t="s">
        <v>4788</v>
      </c>
      <c r="Y162" s="1418">
        <v>75.930000000000007</v>
      </c>
      <c r="Z162" s="1418">
        <v>73.77</v>
      </c>
      <c r="AA162" s="1418">
        <v>76.430000000000007</v>
      </c>
      <c r="AB162" s="1809"/>
      <c r="AD162" s="1809"/>
      <c r="AE162" s="1809"/>
      <c r="AF162" s="1809"/>
      <c r="AG162" s="1809"/>
      <c r="AH162" s="1809"/>
      <c r="AI162" s="1809"/>
      <c r="AJ162" s="1809"/>
    </row>
    <row r="163" spans="1:36" s="43" customFormat="1" ht="12" customHeight="1">
      <c r="A163" s="2252" t="str">
        <f>IF(OR(M163="Yes", O163="Yes", AND(B163="",F163="",G163="",H163="",I163="",J163="",L163="",O163="")),"", IF(AND(NOT(B163=""),OR(O163="",O163="No",O163="N/a"),OR(F163="",G163=""),AND(H163="",I163="",J163=""),L163=""),"Finish!","Check"))</f>
        <v/>
      </c>
      <c r="B163" s="3916"/>
      <c r="C163" s="3917"/>
      <c r="D163" s="3918"/>
      <c r="E163" s="2281" t="s">
        <v>4385</v>
      </c>
      <c r="F163" s="662"/>
      <c r="G163" s="1233"/>
      <c r="H163" s="1163"/>
      <c r="I163" s="1164"/>
      <c r="J163" s="1164"/>
      <c r="K163" s="2108" t="str">
        <f t="shared" ref="K163:K168" si="0">IF(H163+I163+J163=0,"",AVERAGE(H163,I163,J163))</f>
        <v/>
      </c>
      <c r="L163" s="2105"/>
      <c r="M163" s="2102" t="str">
        <f>IF(OR(K163="",L163=""),"",IF(K163&gt;L163,"Yes",IF(K163&lt;L163,"No","")))</f>
        <v/>
      </c>
      <c r="O163" s="236"/>
      <c r="P163" s="603"/>
      <c r="Q163" s="510">
        <f>IF(AND(B163="",F163="",G163="",H163="",I163="",J163="",L163="",O163=""),0,1)</f>
        <v>0</v>
      </c>
      <c r="R163" s="3911">
        <f>SUM(Q163:Q168)</f>
        <v>0</v>
      </c>
      <c r="S163" s="2251">
        <f t="shared" ref="S163:S168" si="1">IF(AND(M163="",NOT(O163="Yes")),0,1)</f>
        <v>0</v>
      </c>
      <c r="T163" s="3911">
        <f>SUM(S163:S168)</f>
        <v>0</v>
      </c>
      <c r="U163" s="2251">
        <f t="shared" ref="U163:U168" si="2">IF(OR(M163="Yes",O163="Yes"),1,0)</f>
        <v>0</v>
      </c>
      <c r="V163" s="3911">
        <f>SUM(U163:U168)</f>
        <v>0</v>
      </c>
      <c r="X163" s="2278" t="s">
        <v>4789</v>
      </c>
      <c r="Y163" s="1418">
        <v>77.45</v>
      </c>
      <c r="Z163" s="1418">
        <v>74.150000000000006</v>
      </c>
      <c r="AA163" s="1418">
        <v>76.150000000000006</v>
      </c>
      <c r="AB163" s="1809"/>
      <c r="AD163" s="1809"/>
      <c r="AE163" s="1809"/>
      <c r="AF163" s="1809"/>
      <c r="AG163" s="1809"/>
      <c r="AH163" s="1809"/>
      <c r="AI163" s="1809"/>
      <c r="AJ163" s="1809"/>
    </row>
    <row r="164" spans="1:36" s="43" customFormat="1" ht="12" customHeight="1">
      <c r="A164" s="2252" t="str">
        <f t="shared" ref="A164:A168" si="3">IF(OR(M164="Yes", O164="Yes", AND(B164="",F164="",G164="",H164="",I164="",J164="",L164="",O164="")),"", IF(AND(NOT(B164=""),OR(O164="",O164="No",O164="N/a"),OR(F164="",G164=""),AND(H164="",I164="",J164=""),L164=""),"Finish!","Check"))</f>
        <v/>
      </c>
      <c r="B164" s="3912"/>
      <c r="C164" s="3913"/>
      <c r="D164" s="3914"/>
      <c r="E164" s="2282" t="s">
        <v>4385</v>
      </c>
      <c r="F164" s="663"/>
      <c r="G164" s="1234"/>
      <c r="H164" s="1165"/>
      <c r="I164" s="1166"/>
      <c r="J164" s="1166"/>
      <c r="K164" s="2109" t="str">
        <f t="shared" si="0"/>
        <v/>
      </c>
      <c r="L164" s="2106"/>
      <c r="M164" s="2103" t="str">
        <f>IF(L164="","",IF(K164&gt;L164,"Yes",IF(K164&lt;L164,"No","")))</f>
        <v/>
      </c>
      <c r="O164" s="419"/>
      <c r="P164" s="604"/>
      <c r="Q164" s="510">
        <f t="shared" ref="Q164:Q168" si="4">IF(AND(B164="",F164="",G164="",H164="",I164="",J164="",L164="",O164=""),0,1)</f>
        <v>0</v>
      </c>
      <c r="R164" s="3911"/>
      <c r="S164" s="2251">
        <f t="shared" si="1"/>
        <v>0</v>
      </c>
      <c r="T164" s="3911"/>
      <c r="U164" s="2251">
        <f t="shared" si="2"/>
        <v>0</v>
      </c>
      <c r="V164" s="3911"/>
      <c r="X164" s="2278">
        <v>2019</v>
      </c>
      <c r="Y164" s="1418">
        <v>77.099999999999994</v>
      </c>
      <c r="Z164" s="1418">
        <v>72.099999999999994</v>
      </c>
      <c r="AA164" s="1418">
        <v>77</v>
      </c>
      <c r="AB164" s="1809"/>
      <c r="AC164" s="1809"/>
      <c r="AD164" s="1809"/>
      <c r="AE164" s="1809"/>
      <c r="AF164" s="1809"/>
      <c r="AG164" s="1809"/>
      <c r="AH164" s="1809"/>
      <c r="AI164" s="1809"/>
      <c r="AJ164" s="1809"/>
    </row>
    <row r="165" spans="1:36" s="43" customFormat="1" ht="12" customHeight="1">
      <c r="A165" s="2252" t="str">
        <f t="shared" si="3"/>
        <v/>
      </c>
      <c r="B165" s="3912"/>
      <c r="C165" s="3913"/>
      <c r="D165" s="3914"/>
      <c r="E165" s="2282" t="s">
        <v>4385</v>
      </c>
      <c r="F165" s="663"/>
      <c r="G165" s="1234"/>
      <c r="H165" s="1165"/>
      <c r="I165" s="1166"/>
      <c r="J165" s="1166"/>
      <c r="K165" s="2109" t="str">
        <f t="shared" si="0"/>
        <v/>
      </c>
      <c r="L165" s="2106"/>
      <c r="M165" s="2103" t="str">
        <f t="shared" ref="M165:M168" si="5">IF(L165="","",IF(K165&gt;L165,"Yes",IF(K165&lt;L165,"No","")))</f>
        <v/>
      </c>
      <c r="O165" s="419"/>
      <c r="P165" s="604"/>
      <c r="Q165" s="510">
        <f t="shared" si="4"/>
        <v>0</v>
      </c>
      <c r="R165" s="3911"/>
      <c r="S165" s="2251">
        <f t="shared" si="1"/>
        <v>0</v>
      </c>
      <c r="T165" s="3911"/>
      <c r="U165" s="2251">
        <f t="shared" si="2"/>
        <v>0</v>
      </c>
      <c r="V165" s="3911"/>
      <c r="Y165" s="1809"/>
      <c r="Z165" s="1809"/>
      <c r="AA165" s="1809"/>
      <c r="AB165" s="1809"/>
      <c r="AC165" s="1809"/>
      <c r="AD165" s="1809"/>
      <c r="AE165" s="1809"/>
      <c r="AF165" s="1809"/>
      <c r="AG165" s="1809"/>
      <c r="AH165" s="1809"/>
      <c r="AI165" s="1809"/>
      <c r="AJ165" s="1809"/>
    </row>
    <row r="166" spans="1:36" s="43" customFormat="1" ht="12" customHeight="1">
      <c r="A166" s="2252" t="str">
        <f t="shared" si="3"/>
        <v/>
      </c>
      <c r="B166" s="3912"/>
      <c r="C166" s="3913"/>
      <c r="D166" s="3914"/>
      <c r="E166" s="2282" t="s">
        <v>4385</v>
      </c>
      <c r="F166" s="663"/>
      <c r="G166" s="1234"/>
      <c r="H166" s="1165"/>
      <c r="I166" s="1166"/>
      <c r="J166" s="1166"/>
      <c r="K166" s="2109" t="str">
        <f t="shared" si="0"/>
        <v/>
      </c>
      <c r="L166" s="2106"/>
      <c r="M166" s="2103" t="str">
        <f t="shared" si="5"/>
        <v/>
      </c>
      <c r="O166" s="419"/>
      <c r="P166" s="604"/>
      <c r="Q166" s="510">
        <f t="shared" si="4"/>
        <v>0</v>
      </c>
      <c r="R166" s="3911"/>
      <c r="S166" s="2251">
        <f t="shared" si="1"/>
        <v>0</v>
      </c>
      <c r="T166" s="3911"/>
      <c r="U166" s="2251">
        <f t="shared" si="2"/>
        <v>0</v>
      </c>
      <c r="V166" s="3911"/>
      <c r="Y166" s="1809"/>
      <c r="Z166" s="1809"/>
      <c r="AA166" s="1809"/>
      <c r="AB166" s="1809"/>
      <c r="AC166" s="1809"/>
      <c r="AD166" s="1809"/>
      <c r="AE166" s="1809"/>
      <c r="AF166" s="1809"/>
      <c r="AG166" s="1809"/>
      <c r="AH166" s="1809"/>
      <c r="AI166" s="1809"/>
      <c r="AJ166" s="1809"/>
    </row>
    <row r="167" spans="1:36" s="43" customFormat="1" ht="12" customHeight="1">
      <c r="A167" s="2252" t="str">
        <f t="shared" si="3"/>
        <v/>
      </c>
      <c r="B167" s="3912"/>
      <c r="C167" s="3913"/>
      <c r="D167" s="3914"/>
      <c r="E167" s="2282" t="s">
        <v>4385</v>
      </c>
      <c r="F167" s="663"/>
      <c r="G167" s="1234"/>
      <c r="H167" s="1165"/>
      <c r="I167" s="1166"/>
      <c r="J167" s="1166"/>
      <c r="K167" s="2109" t="str">
        <f t="shared" si="0"/>
        <v/>
      </c>
      <c r="L167" s="2106"/>
      <c r="M167" s="2103" t="str">
        <f t="shared" si="5"/>
        <v/>
      </c>
      <c r="O167" s="419"/>
      <c r="P167" s="604"/>
      <c r="Q167" s="510">
        <f t="shared" si="4"/>
        <v>0</v>
      </c>
      <c r="R167" s="3911"/>
      <c r="S167" s="2251">
        <f t="shared" si="1"/>
        <v>0</v>
      </c>
      <c r="T167" s="3911"/>
      <c r="U167" s="2251">
        <f t="shared" si="2"/>
        <v>0</v>
      </c>
      <c r="V167" s="3911"/>
      <c r="Y167" s="1809"/>
      <c r="Z167" s="1809"/>
      <c r="AA167" s="1809"/>
      <c r="AB167" s="1809"/>
      <c r="AC167" s="1809"/>
      <c r="AD167" s="1809"/>
      <c r="AE167" s="1809"/>
      <c r="AF167" s="1809"/>
      <c r="AG167" s="1809"/>
      <c r="AH167" s="1809"/>
      <c r="AI167" s="1809"/>
      <c r="AJ167" s="1809"/>
    </row>
    <row r="168" spans="1:36" s="43" customFormat="1" ht="12" customHeight="1">
      <c r="A168" s="2252" t="str">
        <f t="shared" si="3"/>
        <v/>
      </c>
      <c r="B168" s="3921"/>
      <c r="C168" s="3922"/>
      <c r="D168" s="3923"/>
      <c r="E168" s="2283" t="s">
        <v>4385</v>
      </c>
      <c r="F168" s="664"/>
      <c r="G168" s="1235"/>
      <c r="H168" s="1167"/>
      <c r="I168" s="1168"/>
      <c r="J168" s="1168"/>
      <c r="K168" s="2110" t="str">
        <f t="shared" si="0"/>
        <v/>
      </c>
      <c r="L168" s="2107"/>
      <c r="M168" s="2104" t="str">
        <f t="shared" si="5"/>
        <v/>
      </c>
      <c r="O168" s="237"/>
      <c r="P168" s="605"/>
      <c r="Q168" s="510">
        <f t="shared" si="4"/>
        <v>0</v>
      </c>
      <c r="R168" s="3911"/>
      <c r="S168" s="2251">
        <f t="shared" si="1"/>
        <v>0</v>
      </c>
      <c r="T168" s="3911"/>
      <c r="U168" s="2251">
        <f t="shared" si="2"/>
        <v>0</v>
      </c>
      <c r="V168" s="3911"/>
    </row>
    <row r="169" spans="1:36" s="43" customFormat="1" ht="1.5" customHeight="1">
      <c r="A169" s="430"/>
      <c r="B169" s="660"/>
      <c r="L169" s="1809"/>
    </row>
    <row r="170" spans="1:36" s="55" customFormat="1" ht="6" customHeight="1" thickBot="1">
      <c r="A170" s="1002"/>
      <c r="B170" s="487"/>
    </row>
    <row r="171" spans="1:36" s="104" customFormat="1" ht="13.5" customHeight="1" thickBot="1">
      <c r="A171" s="197" t="s">
        <v>1938</v>
      </c>
      <c r="B171" s="10" t="s">
        <v>3738</v>
      </c>
      <c r="C171" s="93"/>
      <c r="D171" s="1282"/>
      <c r="E171" s="1282"/>
      <c r="F171" s="61"/>
      <c r="H171" s="40" t="s">
        <v>4574</v>
      </c>
      <c r="M171" s="489">
        <v>2</v>
      </c>
      <c r="N171" s="193"/>
      <c r="O171" s="1285">
        <f>IF(AND(I180="Yes",I181="Yes"),$H$181,IF(AND(I180="Yes",I181="No"),$H$180,0))</f>
        <v>0</v>
      </c>
      <c r="P171" s="1285">
        <f>IF(AND(J180="Yes",J181="Yes"),$H$181,IF(AND(J180="Yes",J181="No"),$H$180,0))</f>
        <v>0</v>
      </c>
      <c r="Q171" s="2226"/>
      <c r="R171" s="2240"/>
    </row>
    <row r="172" spans="1:36" s="55" customFormat="1" ht="12.75" customHeight="1">
      <c r="E172" s="3944" t="s">
        <v>3828</v>
      </c>
      <c r="F172" s="3944" t="s">
        <v>3490</v>
      </c>
      <c r="G172" s="3974" t="s">
        <v>3285</v>
      </c>
      <c r="H172" s="3974"/>
      <c r="I172" s="3974"/>
      <c r="J172" s="3974"/>
      <c r="K172" s="3974"/>
      <c r="L172" s="3974"/>
      <c r="M172" s="3974"/>
      <c r="N172" s="3974"/>
      <c r="P172" s="1315"/>
      <c r="R172" s="52" t="s">
        <v>2735</v>
      </c>
      <c r="S172" s="36"/>
      <c r="T172" s="4136" t="str">
        <f>'Part I-Project Information'!$F$38</f>
        <v>Augusta</v>
      </c>
      <c r="U172" s="4137"/>
      <c r="V172" s="4137"/>
      <c r="W172" s="4137"/>
      <c r="X172" s="4138"/>
    </row>
    <row r="173" spans="1:36" s="55" customFormat="1" ht="13.5" customHeight="1">
      <c r="A173" s="47"/>
      <c r="B173" s="4141" t="s">
        <v>3741</v>
      </c>
      <c r="C173" s="4141"/>
      <c r="D173" s="4141"/>
      <c r="E173" s="3947"/>
      <c r="F173" s="3947"/>
      <c r="G173" s="3946" t="s">
        <v>3740</v>
      </c>
      <c r="H173" s="3946"/>
      <c r="I173" s="3946"/>
      <c r="J173" s="3946"/>
      <c r="K173" s="3946"/>
      <c r="L173" s="3946"/>
      <c r="M173" s="3946"/>
      <c r="N173" s="3946"/>
      <c r="O173" s="3944" t="s">
        <v>3491</v>
      </c>
      <c r="P173" s="3944"/>
      <c r="R173" s="52" t="s">
        <v>2736</v>
      </c>
      <c r="S173" s="36"/>
      <c r="T173" s="4130" t="str">
        <f>'Part I-Project Information'!$J$39</f>
        <v>Richmond</v>
      </c>
      <c r="U173" s="4131"/>
      <c r="V173" s="4131"/>
      <c r="W173" s="4131"/>
      <c r="X173" s="4132"/>
    </row>
    <row r="174" spans="1:36" s="55" customFormat="1" ht="13.5" customHeight="1">
      <c r="A174" s="47"/>
      <c r="B174" s="3968" t="s">
        <v>3627</v>
      </c>
      <c r="C174" s="3969"/>
      <c r="D174" s="3970"/>
      <c r="E174" s="1446">
        <v>3000</v>
      </c>
      <c r="F174" s="1446">
        <v>6000</v>
      </c>
      <c r="G174" s="3943">
        <v>15000</v>
      </c>
      <c r="H174" s="3943"/>
      <c r="I174" s="3943"/>
      <c r="J174" s="3943"/>
      <c r="K174" s="3943"/>
      <c r="L174" s="3943"/>
      <c r="M174" s="3943"/>
      <c r="N174" s="3943"/>
      <c r="O174" s="3943">
        <v>20000</v>
      </c>
      <c r="P174" s="3943"/>
      <c r="R174" s="40" t="s">
        <v>2737</v>
      </c>
      <c r="S174" s="36"/>
      <c r="T174" s="4130" t="str">
        <f>'Part I-Project Information'!$O$40</f>
        <v>Augusta-Richmond Co.</v>
      </c>
      <c r="U174" s="4131"/>
      <c r="V174" s="4131"/>
      <c r="W174" s="4131"/>
      <c r="X174" s="4132"/>
    </row>
    <row r="175" spans="1:36" s="36" customFormat="1" ht="13.5" customHeight="1">
      <c r="A175" s="47"/>
      <c r="B175" s="4159" t="s">
        <v>3739</v>
      </c>
      <c r="C175" s="4160"/>
      <c r="D175" s="4161"/>
      <c r="E175" s="1445">
        <v>4500</v>
      </c>
      <c r="F175" s="1445">
        <v>9000</v>
      </c>
      <c r="G175" s="3945">
        <v>22500</v>
      </c>
      <c r="H175" s="3945"/>
      <c r="I175" s="3945"/>
      <c r="J175" s="3945"/>
      <c r="K175" s="3945"/>
      <c r="L175" s="3945"/>
      <c r="M175" s="3945"/>
      <c r="N175" s="3945"/>
      <c r="O175" s="3945">
        <v>30000</v>
      </c>
      <c r="P175" s="3945"/>
      <c r="R175" s="40" t="s">
        <v>3649</v>
      </c>
      <c r="T175" s="4130" t="str">
        <f>VLOOKUP('Part I-Project Information'!$J$39,'DCA Underwriting Assumptions'!$G$173:$J$332,4)</f>
        <v>MSA</v>
      </c>
      <c r="U175" s="4131"/>
      <c r="V175" s="4131"/>
      <c r="W175" s="4131"/>
      <c r="X175" s="4132"/>
    </row>
    <row r="176" spans="1:36" s="55" customFormat="1" ht="4.5" customHeight="1">
      <c r="A176" s="47"/>
      <c r="B176" s="47"/>
      <c r="C176" s="474"/>
      <c r="K176" s="583"/>
      <c r="L176" s="583"/>
    </row>
    <row r="177" spans="1:24" s="55" customFormat="1" ht="12" customHeight="1">
      <c r="B177" s="1000" t="s">
        <v>4807</v>
      </c>
      <c r="E177" s="997"/>
      <c r="F177" s="997"/>
      <c r="G177" s="997"/>
      <c r="I177" s="998"/>
      <c r="J177" s="1356"/>
      <c r="K177" s="2366" t="str">
        <f>IF(I177="","",IF(I177&lt;E174,"Minimum Jobs Threshold entered is below lowest in chart!",""))</f>
        <v/>
      </c>
      <c r="R177" s="36" t="s">
        <v>3464</v>
      </c>
      <c r="S177" s="36"/>
      <c r="T177" s="4133" t="str">
        <f>'Part I-Project Information'!$K$40</f>
        <v>Urban</v>
      </c>
      <c r="U177" s="4134"/>
      <c r="V177" s="4134"/>
      <c r="W177" s="4134"/>
      <c r="X177" s="4135"/>
    </row>
    <row r="178" spans="1:24" s="55" customFormat="1" ht="12" customHeight="1">
      <c r="A178" s="1002"/>
      <c r="B178" s="487" t="s">
        <v>3463</v>
      </c>
      <c r="H178" s="1001" t="str">
        <f>IF(I178&lt;I177,"Threshold not met!","")</f>
        <v/>
      </c>
      <c r="I178" s="999"/>
      <c r="J178" s="1357"/>
      <c r="K178" s="1317" t="str">
        <f>IF(J178&lt;J177,"Threshold not met!","")</f>
        <v/>
      </c>
    </row>
    <row r="179" spans="1:24" s="55" customFormat="1" ht="3" customHeight="1">
      <c r="A179" s="1002"/>
      <c r="B179" s="487"/>
    </row>
    <row r="180" spans="1:24" s="55" customFormat="1" ht="11.25" customHeight="1">
      <c r="B180" s="650" t="s">
        <v>1939</v>
      </c>
      <c r="C180" s="36" t="s">
        <v>3827</v>
      </c>
      <c r="D180" s="1225"/>
      <c r="E180" s="1225"/>
      <c r="F180" s="1225"/>
      <c r="G180" s="1225"/>
      <c r="H180" s="1389">
        <v>1</v>
      </c>
      <c r="I180" s="1386" t="str">
        <f>IF(OR(I177="",I178=""),"",IF(I178&gt;=I177,"Yes","No"))</f>
        <v/>
      </c>
      <c r="J180" s="1386" t="str">
        <f>IF(OR(J177="",J178=""),"",IF(J178&gt;=J177,"Yes","No"))</f>
        <v/>
      </c>
    </row>
    <row r="181" spans="1:24" s="55" customFormat="1" ht="11.25" customHeight="1">
      <c r="A181" s="1227" t="s">
        <v>1326</v>
      </c>
      <c r="B181" s="650" t="s">
        <v>1941</v>
      </c>
      <c r="C181" s="36" t="s">
        <v>3742</v>
      </c>
      <c r="D181" s="1449"/>
      <c r="E181" s="1449"/>
      <c r="F181" s="1449"/>
      <c r="H181" s="1389">
        <v>2</v>
      </c>
      <c r="I181" s="1387" t="str">
        <f>IF(OR(I177="",I178=""),"",IF(I178&gt;=HLOOKUP(I177,$E$174:$P$175,2),"Yes","No"))</f>
        <v/>
      </c>
      <c r="J181" s="1387" t="str">
        <f>IF(OR(J177="",J178=""),"",IF(J178&gt;=HLOOKUP(J177,$E$174:$P$175,2),"Yes","No"))</f>
        <v/>
      </c>
    </row>
    <row r="182" spans="1:24" s="55" customFormat="1" ht="11.25" customHeight="1">
      <c r="B182" s="141"/>
      <c r="C182" s="487" t="s">
        <v>3666</v>
      </c>
      <c r="D182" s="1449"/>
      <c r="E182" s="1449"/>
      <c r="F182" s="1449"/>
      <c r="G182" s="1316"/>
      <c r="I182" s="1388">
        <f>IF(I178="",0,(I178/I177) - 1)</f>
        <v>0</v>
      </c>
      <c r="J182" s="1388">
        <f>IF(J178="",0,(J178/J177) - 1)</f>
        <v>0</v>
      </c>
      <c r="M182" s="583"/>
    </row>
    <row r="183" spans="1:24" s="55" customFormat="1" ht="3" customHeight="1">
      <c r="A183" s="47"/>
      <c r="B183" s="47"/>
      <c r="C183" s="474"/>
      <c r="F183" s="1918"/>
      <c r="K183" s="583"/>
      <c r="L183" s="583"/>
    </row>
    <row r="184" spans="1:24" s="43" customFormat="1" ht="10.5" customHeight="1" thickBot="1">
      <c r="A184" s="42"/>
      <c r="B184" s="1422" t="s">
        <v>3572</v>
      </c>
      <c r="C184" s="42"/>
      <c r="D184" s="48"/>
      <c r="E184" s="48"/>
      <c r="F184" s="48"/>
      <c r="G184" s="48"/>
      <c r="H184" s="36"/>
      <c r="I184" s="36"/>
      <c r="J184" s="36"/>
      <c r="K184" s="36"/>
      <c r="M184" s="46"/>
      <c r="N184" s="62"/>
      <c r="O184" s="3"/>
      <c r="P184" s="1437"/>
    </row>
    <row r="185" spans="1:24" s="43" customFormat="1" ht="21.75" customHeight="1" thickTop="1" thickBot="1">
      <c r="A185" s="3872"/>
      <c r="B185" s="3873"/>
      <c r="C185" s="3873"/>
      <c r="D185" s="3873"/>
      <c r="E185" s="3873"/>
      <c r="F185" s="3873"/>
      <c r="G185" s="3873"/>
      <c r="H185" s="3873"/>
      <c r="I185" s="3873"/>
      <c r="J185" s="3873"/>
      <c r="K185" s="3873"/>
      <c r="L185" s="3873"/>
      <c r="M185" s="3873"/>
      <c r="N185" s="3873"/>
      <c r="O185" s="3873"/>
      <c r="P185" s="3874"/>
      <c r="Q185" s="1250" t="s">
        <v>1228</v>
      </c>
    </row>
    <row r="186" spans="1:24" s="43" customFormat="1" ht="10.5" customHeight="1" thickTop="1">
      <c r="A186" s="42"/>
      <c r="B186" s="86" t="s">
        <v>1820</v>
      </c>
      <c r="C186" s="100"/>
      <c r="D186" s="86"/>
      <c r="E186" s="101"/>
      <c r="F186" s="1438"/>
      <c r="G186" s="1438"/>
      <c r="H186" s="1438"/>
      <c r="I186" s="1438"/>
      <c r="J186" s="1438"/>
      <c r="K186" s="1438"/>
      <c r="L186" s="1438"/>
      <c r="M186" s="1438"/>
      <c r="N186" s="74"/>
      <c r="O186" s="70"/>
      <c r="P186" s="1435"/>
      <c r="Q186" s="485"/>
    </row>
    <row r="187" spans="1:24" s="43" customFormat="1" ht="11.25" customHeight="1">
      <c r="A187" s="3699"/>
      <c r="B187" s="3700"/>
      <c r="C187" s="3700"/>
      <c r="D187" s="3700"/>
      <c r="E187" s="3700"/>
      <c r="F187" s="3700"/>
      <c r="G187" s="3700"/>
      <c r="H187" s="3700"/>
      <c r="I187" s="3700"/>
      <c r="J187" s="3700"/>
      <c r="K187" s="3700"/>
      <c r="L187" s="3700"/>
      <c r="M187" s="3700"/>
      <c r="N187" s="3700"/>
      <c r="O187" s="3700"/>
      <c r="P187" s="3701"/>
      <c r="Q187" s="503"/>
      <c r="U187" s="1815"/>
    </row>
    <row r="188" spans="1:24" s="43" customFormat="1" ht="3" customHeight="1" thickBot="1">
      <c r="A188" s="42"/>
      <c r="C188" s="1438"/>
      <c r="D188" s="1438"/>
      <c r="E188" s="1438"/>
      <c r="F188" s="1438"/>
      <c r="G188" s="1438"/>
      <c r="H188" s="1438"/>
      <c r="I188" s="1438"/>
      <c r="J188" s="1438"/>
      <c r="K188" s="1438"/>
      <c r="L188" s="1438"/>
      <c r="M188" s="1438"/>
      <c r="N188" s="74"/>
      <c r="O188" s="70"/>
      <c r="P188" s="985"/>
    </row>
    <row r="189" spans="1:24" s="104" customFormat="1" ht="12.6" customHeight="1" thickBot="1">
      <c r="A189" s="156" t="s">
        <v>754</v>
      </c>
      <c r="B189" s="108" t="s">
        <v>3743</v>
      </c>
      <c r="C189" s="93"/>
      <c r="D189" s="59"/>
      <c r="E189" s="59"/>
      <c r="I189" s="1228"/>
      <c r="J189" s="1228"/>
      <c r="K189" s="652"/>
      <c r="L189" s="652"/>
      <c r="M189" s="1435">
        <v>7</v>
      </c>
      <c r="N189" s="7"/>
      <c r="O189" s="1284">
        <f>IF(OR(O$150&gt;0,O$261&gt;0,AND(NOT(K195="Yes"),NOT(K197="Yes"),NOT(K198="Yes"),NOT(K199="Yes"))),0,MIN($M$189,O192+O210))</f>
        <v>0</v>
      </c>
      <c r="P189" s="1284">
        <f>IF(OR(P$150&gt;0,P$261&gt;0,AND(NOT(L195="Yes"),NOT(L197="Yes"),NOT(L198="Yes"),NOT(L199="Yes"))),0,MIN($M$189,P192+P210))</f>
        <v>0</v>
      </c>
      <c r="Q189" s="111" t="s">
        <v>433</v>
      </c>
      <c r="R189" s="4148" t="s">
        <v>4576</v>
      </c>
      <c r="S189" s="4149"/>
      <c r="T189" s="4149"/>
      <c r="U189" s="4150"/>
    </row>
    <row r="190" spans="1:24" s="43" customFormat="1" ht="2.25" customHeight="1">
      <c r="A190" s="488"/>
      <c r="C190" s="183"/>
      <c r="D190" s="183"/>
      <c r="E190" s="191"/>
      <c r="F190" s="183"/>
      <c r="G190" s="183"/>
      <c r="H190" s="183"/>
      <c r="I190" s="183"/>
      <c r="J190" s="183"/>
      <c r="K190" s="183"/>
      <c r="L190" s="183"/>
      <c r="M190" s="183"/>
      <c r="N190" s="183"/>
      <c r="O190" s="183"/>
      <c r="P190" s="183"/>
      <c r="R190" s="4118"/>
      <c r="S190" s="4119"/>
      <c r="T190" s="4119"/>
      <c r="U190" s="4151"/>
    </row>
    <row r="191" spans="1:24" s="43" customFormat="1" ht="23.25" customHeight="1">
      <c r="A191" s="488"/>
      <c r="B191" s="3851" t="s">
        <v>4737</v>
      </c>
      <c r="C191" s="3851"/>
      <c r="D191" s="3851"/>
      <c r="E191" s="3851"/>
      <c r="F191" s="3851"/>
      <c r="G191" s="3851"/>
      <c r="H191" s="3851"/>
      <c r="I191" s="3851"/>
      <c r="J191" s="3851"/>
      <c r="K191" s="3851"/>
      <c r="L191" s="3851"/>
      <c r="M191" s="3851"/>
      <c r="N191" s="3851"/>
      <c r="O191" s="3851"/>
      <c r="P191" s="3851"/>
      <c r="R191" s="4118"/>
      <c r="S191" s="4119"/>
      <c r="T191" s="4119"/>
      <c r="U191" s="4151"/>
    </row>
    <row r="192" spans="1:24" s="43" customFormat="1" ht="12" customHeight="1">
      <c r="A192" s="141" t="s">
        <v>1936</v>
      </c>
      <c r="B192" s="196" t="s">
        <v>4608</v>
      </c>
      <c r="C192" s="183"/>
      <c r="D192" s="183"/>
      <c r="E192" s="183"/>
      <c r="F192" s="183"/>
      <c r="G192" s="183" t="s">
        <v>4603</v>
      </c>
      <c r="H192" s="183"/>
      <c r="I192" s="183"/>
      <c r="J192" s="183"/>
      <c r="K192" s="1401" t="s">
        <v>4763</v>
      </c>
      <c r="L192" s="1401" t="s">
        <v>4763</v>
      </c>
      <c r="M192" s="489">
        <v>5</v>
      </c>
      <c r="N192" s="47" t="s">
        <v>1936</v>
      </c>
      <c r="O192" s="614">
        <f>IF(O206=0,0,MIN($M$192,SUM(O206:O207)))</f>
        <v>0</v>
      </c>
      <c r="P192" s="614">
        <f>IF(SUM(P206:P207)=$M$207,0,MIN($M$192,SUM(P206:P207)))</f>
        <v>0</v>
      </c>
      <c r="R192" s="4118"/>
      <c r="S192" s="4119"/>
      <c r="T192" s="4119"/>
      <c r="U192" s="4151"/>
    </row>
    <row r="193" spans="1:26" s="33" customFormat="1" ht="11.25" customHeight="1">
      <c r="B193" s="2255" t="s">
        <v>4607</v>
      </c>
      <c r="D193" s="2255"/>
      <c r="E193" s="2255"/>
      <c r="F193" s="2255"/>
      <c r="G193" s="2255"/>
      <c r="H193" s="2255"/>
      <c r="I193" s="2255"/>
      <c r="J193" s="443"/>
      <c r="K193" s="1425"/>
      <c r="L193" s="1426"/>
      <c r="R193" s="4118"/>
      <c r="S193" s="4119"/>
      <c r="T193" s="4119"/>
      <c r="U193" s="4151"/>
      <c r="V193" s="644"/>
      <c r="W193" s="644"/>
      <c r="X193" s="644"/>
      <c r="Y193" s="644"/>
      <c r="Z193" s="644"/>
    </row>
    <row r="194" spans="1:26" s="43" customFormat="1" ht="12" customHeight="1">
      <c r="A194" s="488"/>
      <c r="B194" s="49" t="s">
        <v>4604</v>
      </c>
      <c r="C194" s="183"/>
      <c r="D194" s="183"/>
      <c r="E194" s="183"/>
      <c r="F194" s="183"/>
      <c r="G194" s="183"/>
      <c r="H194" s="183"/>
      <c r="I194" s="183"/>
      <c r="J194" s="183"/>
      <c r="K194" s="1401" t="s">
        <v>2444</v>
      </c>
      <c r="L194" s="1402" t="s">
        <v>2444</v>
      </c>
      <c r="N194" s="1423"/>
      <c r="P194" s="1424"/>
      <c r="R194" s="4118"/>
      <c r="S194" s="4119"/>
      <c r="T194" s="4119"/>
      <c r="U194" s="4151"/>
    </row>
    <row r="195" spans="1:26" s="448" customFormat="1" ht="11.25" customHeight="1">
      <c r="B195" s="1152" t="s">
        <v>2372</v>
      </c>
      <c r="C195" s="3892" t="s">
        <v>4389</v>
      </c>
      <c r="D195" s="3892"/>
      <c r="E195" s="3892"/>
      <c r="F195" s="3892"/>
      <c r="G195" s="3892"/>
      <c r="H195" s="3892"/>
      <c r="I195" s="3892"/>
      <c r="J195" s="1152" t="s">
        <v>2372</v>
      </c>
      <c r="K195" s="1425"/>
      <c r="L195" s="1426"/>
      <c r="M195" s="3937" t="s">
        <v>3645</v>
      </c>
      <c r="N195" s="3938"/>
      <c r="O195" s="3938"/>
      <c r="P195" s="3939"/>
      <c r="R195" s="4118"/>
      <c r="S195" s="4119"/>
      <c r="T195" s="4119"/>
      <c r="U195" s="4151"/>
      <c r="V195" s="2135"/>
      <c r="W195" s="2135"/>
      <c r="X195" s="2135"/>
      <c r="Y195" s="2135"/>
      <c r="Z195" s="2135"/>
    </row>
    <row r="196" spans="1:26" s="43" customFormat="1" ht="11.25" customHeight="1">
      <c r="A196" s="428"/>
      <c r="B196" s="430"/>
      <c r="C196" s="3892"/>
      <c r="D196" s="3892"/>
      <c r="E196" s="3892"/>
      <c r="F196" s="3892"/>
      <c r="G196" s="3892"/>
      <c r="H196" s="3892"/>
      <c r="I196" s="3892"/>
      <c r="J196" s="430"/>
      <c r="K196" s="1418"/>
      <c r="L196" s="1418"/>
      <c r="R196" s="4118"/>
      <c r="S196" s="4119"/>
      <c r="T196" s="4119"/>
      <c r="U196" s="4151"/>
    </row>
    <row r="197" spans="1:26" s="33" customFormat="1" ht="11.25" customHeight="1">
      <c r="B197" s="430" t="s">
        <v>2373</v>
      </c>
      <c r="C197" s="137" t="s">
        <v>4609</v>
      </c>
      <c r="D197" s="546"/>
      <c r="E197" s="546"/>
      <c r="F197" s="546"/>
      <c r="G197" s="546"/>
      <c r="H197" s="546"/>
      <c r="J197" s="430" t="s">
        <v>2373</v>
      </c>
      <c r="K197" s="2112"/>
      <c r="L197" s="609"/>
      <c r="M197" s="3937" t="s">
        <v>3645</v>
      </c>
      <c r="N197" s="3938"/>
      <c r="O197" s="3938"/>
      <c r="P197" s="3939"/>
      <c r="R197" s="4118"/>
      <c r="S197" s="4119"/>
      <c r="T197" s="4119"/>
      <c r="U197" s="4151"/>
      <c r="V197" s="644"/>
      <c r="W197" s="644"/>
      <c r="X197" s="644"/>
      <c r="Y197" s="644"/>
      <c r="Z197" s="644"/>
    </row>
    <row r="198" spans="1:26" s="33" customFormat="1" ht="11.25" customHeight="1">
      <c r="B198" s="430" t="s">
        <v>2374</v>
      </c>
      <c r="C198" s="546" t="s">
        <v>4606</v>
      </c>
      <c r="D198" s="546"/>
      <c r="E198" s="546"/>
      <c r="F198" s="546"/>
      <c r="G198" s="546"/>
      <c r="H198" s="546"/>
      <c r="I198" s="546"/>
      <c r="J198" s="430" t="s">
        <v>2374</v>
      </c>
      <c r="K198" s="2256"/>
      <c r="L198" s="2257"/>
      <c r="R198" s="4118"/>
      <c r="S198" s="4119"/>
      <c r="T198" s="4119"/>
      <c r="U198" s="4151"/>
      <c r="V198" s="644"/>
      <c r="W198" s="644"/>
      <c r="X198" s="644"/>
      <c r="Y198" s="644"/>
      <c r="Z198" s="644"/>
    </row>
    <row r="199" spans="1:26" s="43" customFormat="1" ht="11.25" customHeight="1">
      <c r="A199" s="428"/>
      <c r="C199" s="430" t="s">
        <v>2375</v>
      </c>
      <c r="D199" s="491" t="s">
        <v>4388</v>
      </c>
      <c r="E199" s="1883"/>
      <c r="F199" s="1883"/>
      <c r="G199" s="1883"/>
      <c r="H199" s="1883"/>
      <c r="I199" s="1883"/>
      <c r="J199" s="430" t="s">
        <v>2375</v>
      </c>
      <c r="K199" s="2258"/>
      <c r="L199" s="2259"/>
      <c r="M199" s="546"/>
      <c r="N199" s="546"/>
      <c r="O199" s="546"/>
      <c r="P199" s="546"/>
      <c r="R199" s="4118"/>
      <c r="S199" s="4119"/>
      <c r="T199" s="4119"/>
      <c r="U199" s="4151"/>
    </row>
    <row r="200" spans="1:26" s="43" customFormat="1" ht="12" customHeight="1">
      <c r="A200" s="488"/>
      <c r="B200" s="49" t="s">
        <v>4605</v>
      </c>
      <c r="C200" s="183"/>
      <c r="D200" s="183"/>
      <c r="E200" s="183"/>
      <c r="F200" s="183"/>
      <c r="G200" s="183"/>
      <c r="H200" s="183"/>
      <c r="I200" s="183"/>
      <c r="J200" s="183"/>
      <c r="K200" s="1401" t="s">
        <v>2444</v>
      </c>
      <c r="L200" s="1402" t="s">
        <v>2444</v>
      </c>
      <c r="N200" s="1423"/>
      <c r="P200" s="1424"/>
      <c r="R200" s="4118"/>
      <c r="S200" s="4119"/>
      <c r="T200" s="4119"/>
      <c r="U200" s="4151"/>
    </row>
    <row r="201" spans="1:26" s="104" customFormat="1" ht="11.25" customHeight="1">
      <c r="A201" s="488"/>
      <c r="B201" s="430" t="s">
        <v>2376</v>
      </c>
      <c r="C201" s="3867" t="s">
        <v>4575</v>
      </c>
      <c r="D201" s="3867"/>
      <c r="E201" s="3867"/>
      <c r="F201" s="3867"/>
      <c r="G201" s="3867"/>
      <c r="J201" s="430" t="s">
        <v>2376</v>
      </c>
      <c r="K201" s="1427"/>
      <c r="L201" s="609"/>
      <c r="M201" s="3971" t="s">
        <v>3645</v>
      </c>
      <c r="N201" s="3972"/>
      <c r="O201" s="3972"/>
      <c r="P201" s="3973"/>
      <c r="Q201" s="2115">
        <f>IF(K201="Yes",1,0)</f>
        <v>0</v>
      </c>
      <c r="R201" s="4118"/>
      <c r="S201" s="4119"/>
      <c r="T201" s="4119"/>
      <c r="U201" s="4151"/>
      <c r="V201" s="2115">
        <f>IF(L201="Yes",1,0)</f>
        <v>0</v>
      </c>
    </row>
    <row r="202" spans="1:26" s="33" customFormat="1" ht="11.25" customHeight="1">
      <c r="B202" s="443" t="s">
        <v>2392</v>
      </c>
      <c r="C202" s="546" t="s">
        <v>4317</v>
      </c>
      <c r="D202" s="546"/>
      <c r="E202" s="546"/>
      <c r="F202" s="546"/>
      <c r="G202" s="546"/>
      <c r="H202" s="546"/>
      <c r="J202" s="443" t="s">
        <v>2392</v>
      </c>
      <c r="K202" s="1870"/>
      <c r="L202" s="1871"/>
      <c r="M202" s="3940" t="s">
        <v>3645</v>
      </c>
      <c r="N202" s="3941"/>
      <c r="O202" s="3941"/>
      <c r="P202" s="3942"/>
      <c r="Q202" s="2115">
        <f t="shared" ref="Q202:Q203" si="6">IF(K202="Yes",1,0)</f>
        <v>0</v>
      </c>
      <c r="R202" s="4118"/>
      <c r="S202" s="4119"/>
      <c r="T202" s="4119"/>
      <c r="U202" s="4151"/>
      <c r="V202" s="2115">
        <f>IF(L202="Yes",1,0)</f>
        <v>0</v>
      </c>
      <c r="W202" s="644"/>
      <c r="X202" s="644"/>
      <c r="Y202" s="644"/>
      <c r="Z202" s="644"/>
    </row>
    <row r="203" spans="1:26" s="33" customFormat="1" ht="10.8" customHeight="1">
      <c r="B203" s="443" t="s">
        <v>2393</v>
      </c>
      <c r="C203" s="52" t="s">
        <v>4602</v>
      </c>
      <c r="D203" s="546"/>
      <c r="E203" s="546"/>
      <c r="F203" s="546"/>
      <c r="G203" s="546"/>
      <c r="J203" s="443" t="s">
        <v>2393</v>
      </c>
      <c r="K203" s="1428"/>
      <c r="L203" s="610"/>
      <c r="M203" s="4142" t="s">
        <v>3645</v>
      </c>
      <c r="N203" s="4143"/>
      <c r="O203" s="4143"/>
      <c r="P203" s="4144"/>
      <c r="Q203" s="2115">
        <f t="shared" si="6"/>
        <v>0</v>
      </c>
      <c r="R203" s="4118"/>
      <c r="S203" s="4119"/>
      <c r="T203" s="4119"/>
      <c r="U203" s="4151"/>
      <c r="V203" s="2115">
        <f>IF(L203="Yes",1,0)</f>
        <v>0</v>
      </c>
      <c r="W203" s="644"/>
      <c r="X203" s="644"/>
      <c r="Y203" s="644"/>
      <c r="Z203" s="644"/>
    </row>
    <row r="204" spans="1:26" s="43" customFormat="1" ht="4.2" customHeight="1">
      <c r="A204" s="428"/>
      <c r="B204" s="430"/>
      <c r="C204" s="2255"/>
      <c r="D204" s="2255"/>
      <c r="E204" s="2255"/>
      <c r="F204" s="2255"/>
      <c r="G204" s="2255"/>
      <c r="H204" s="2255"/>
      <c r="I204" s="2255"/>
      <c r="K204" s="1418"/>
      <c r="L204" s="1418"/>
      <c r="R204" s="4152"/>
      <c r="S204" s="4153"/>
      <c r="T204" s="4153"/>
      <c r="U204" s="4154"/>
    </row>
    <row r="205" spans="1:26" ht="11.25" customHeight="1">
      <c r="B205" s="2232" t="s">
        <v>4318</v>
      </c>
      <c r="H205" s="162"/>
      <c r="N205" s="27"/>
      <c r="O205" s="27"/>
      <c r="P205" s="27"/>
      <c r="Q205" s="1149"/>
      <c r="U205" s="162"/>
      <c r="V205" s="162"/>
      <c r="W205" s="162"/>
      <c r="X205" s="2123"/>
      <c r="Y205" s="443"/>
      <c r="Z205" s="162"/>
    </row>
    <row r="206" spans="1:26" ht="22.5" customHeight="1">
      <c r="A206" s="569"/>
      <c r="B206" s="658" t="s">
        <v>1939</v>
      </c>
      <c r="C206" s="3879" t="s">
        <v>4377</v>
      </c>
      <c r="D206" s="3879"/>
      <c r="E206" s="3879"/>
      <c r="F206" s="3879"/>
      <c r="G206" s="3879"/>
      <c r="H206" s="3879"/>
      <c r="I206" s="3879"/>
      <c r="J206" s="3879"/>
      <c r="K206" s="3879"/>
      <c r="L206" s="3879"/>
      <c r="M206" s="1344">
        <v>3</v>
      </c>
      <c r="N206" s="533" t="s">
        <v>1939</v>
      </c>
      <c r="O206" s="2134">
        <f>IF(AND(K195="Yes",K197="Yes",K198="Yes",K193="Agree"),SUM(Q201:Q203),0)</f>
        <v>0</v>
      </c>
      <c r="P206" s="2134">
        <f>IF(AND(L193="Agree",L195="Yes",L197="Yes",L198="Yes"),SUM(V201:V203),0)</f>
        <v>0</v>
      </c>
      <c r="Q206" s="1881"/>
      <c r="R206" s="1140"/>
    </row>
    <row r="207" spans="1:26" ht="12" customHeight="1">
      <c r="A207" s="569"/>
      <c r="B207" s="658" t="s">
        <v>1941</v>
      </c>
      <c r="C207" s="1151" t="s">
        <v>4376</v>
      </c>
      <c r="D207" s="1151"/>
      <c r="E207" s="1151"/>
      <c r="F207" s="1151"/>
      <c r="G207" s="1151"/>
      <c r="H207" s="1151"/>
      <c r="I207" s="1151"/>
      <c r="J207" s="491" t="s">
        <v>3594</v>
      </c>
      <c r="K207" s="33"/>
      <c r="L207" s="1868" t="str">
        <f>'Part I-Project Information'!$N$39</f>
        <v>Yes</v>
      </c>
      <c r="M207" s="1839">
        <v>2</v>
      </c>
      <c r="N207" s="493" t="s">
        <v>1941</v>
      </c>
      <c r="O207" s="2113"/>
      <c r="P207" s="2114"/>
      <c r="Q207" s="1881" t="str">
        <f>IF(OR($O207=$M207,$O207=0,$O207=""),"","*CHECK!*")</f>
        <v/>
      </c>
      <c r="R207" s="1140" t="s">
        <v>4775</v>
      </c>
    </row>
    <row r="208" spans="1:26" ht="12" customHeight="1">
      <c r="A208" s="569"/>
      <c r="B208" s="658"/>
      <c r="C208" s="3867" t="s">
        <v>4577</v>
      </c>
      <c r="D208" s="3867"/>
      <c r="E208" s="3867"/>
      <c r="F208" s="3867"/>
      <c r="G208" s="3867"/>
      <c r="H208" s="3867"/>
      <c r="I208" s="1840"/>
      <c r="J208" s="491" t="s">
        <v>3440</v>
      </c>
      <c r="K208" s="1872"/>
      <c r="L208" s="1869" t="str">
        <f>'Part I-Project Information'!$O$38</f>
        <v>105.04</v>
      </c>
      <c r="M208" s="1841"/>
      <c r="N208" s="1344"/>
      <c r="O208" s="1344"/>
      <c r="P208" s="1344"/>
      <c r="Q208" s="1144"/>
      <c r="R208" s="1140"/>
    </row>
    <row r="209" spans="1:23" ht="12" customHeight="1">
      <c r="A209" s="569"/>
      <c r="B209" s="528"/>
      <c r="C209" s="3867"/>
      <c r="D209" s="3867"/>
      <c r="E209" s="3867"/>
      <c r="F209" s="3867"/>
      <c r="G209" s="3867"/>
      <c r="H209" s="3867"/>
      <c r="J209" s="491" t="s">
        <v>3265</v>
      </c>
      <c r="K209" s="33"/>
      <c r="L209" s="1867" t="str">
        <f>'Part IV-A-Uses of Funds'!$H$152</f>
        <v>DDA/QCT</v>
      </c>
      <c r="M209" s="1867"/>
      <c r="N209" s="27"/>
      <c r="O209" s="27"/>
      <c r="P209" s="27"/>
      <c r="R209" s="162"/>
    </row>
    <row r="210" spans="1:23" ht="12" customHeight="1">
      <c r="A210" s="141" t="s">
        <v>1938</v>
      </c>
      <c r="B210" s="196" t="s">
        <v>4319</v>
      </c>
      <c r="D210" s="33"/>
      <c r="F210" s="1822"/>
      <c r="K210" s="1390"/>
      <c r="L210" s="431" t="str">
        <f>IF(OR($O210=$M210,$O210=0,$O210=""),"","* * Check Score! * *")</f>
        <v/>
      </c>
      <c r="M210" s="489">
        <v>2</v>
      </c>
      <c r="N210" s="63" t="s">
        <v>1938</v>
      </c>
      <c r="O210" s="665"/>
      <c r="P210" s="957"/>
      <c r="Q210" s="1144" t="str">
        <f>IF(OR($O210=$M210,$O210=0,$O210=""),"","*CHECK!*")</f>
        <v/>
      </c>
      <c r="R210" s="1140" t="s">
        <v>4775</v>
      </c>
    </row>
    <row r="211" spans="1:23" s="43" customFormat="1" ht="9.75" customHeight="1">
      <c r="A211" s="141"/>
      <c r="B211" s="104"/>
      <c r="C211" s="36" t="s">
        <v>2703</v>
      </c>
      <c r="D211" s="39"/>
      <c r="E211" s="36"/>
      <c r="F211" s="985"/>
      <c r="G211" s="104"/>
      <c r="H211" s="137"/>
      <c r="I211" s="104"/>
      <c r="J211" s="699" t="str">
        <f>'Part I-Project Information'!$H$105</f>
        <v>N/A - 4% Bond</v>
      </c>
      <c r="K211" s="995"/>
      <c r="L211" s="104"/>
      <c r="M211" s="104"/>
      <c r="N211" s="104"/>
      <c r="O211" s="104"/>
      <c r="P211" s="104"/>
      <c r="T211" s="431" t="str">
        <f>IF(OR($O210=$M210,$O210=0,$O210=""),"","* * Check Score! * *")</f>
        <v/>
      </c>
      <c r="V211" s="1244"/>
      <c r="W211" s="1244"/>
    </row>
    <row r="212" spans="1:23" s="43" customFormat="1" ht="11.25" customHeight="1">
      <c r="A212" s="194"/>
      <c r="B212" s="193" t="s">
        <v>3595</v>
      </c>
      <c r="C212" s="36" t="s">
        <v>3646</v>
      </c>
      <c r="D212" s="104"/>
      <c r="E212" s="104"/>
      <c r="F212" s="104"/>
      <c r="G212" s="104"/>
      <c r="H212" s="104"/>
      <c r="I212" s="104"/>
      <c r="J212" s="3934"/>
      <c r="K212" s="3935"/>
      <c r="L212" s="3935"/>
      <c r="M212" s="3935"/>
      <c r="N212" s="3935"/>
      <c r="O212" s="3935"/>
      <c r="P212" s="3936"/>
      <c r="V212" s="1244"/>
      <c r="W212" s="1244"/>
    </row>
    <row r="213" spans="1:23" s="43" customFormat="1" ht="11.25" customHeight="1">
      <c r="A213" s="194"/>
      <c r="B213" s="518" t="s">
        <v>3596</v>
      </c>
      <c r="C213" s="491" t="s">
        <v>3647</v>
      </c>
      <c r="D213" s="104"/>
      <c r="E213" s="104"/>
      <c r="F213" s="104"/>
      <c r="G213" s="104"/>
      <c r="H213" s="104"/>
      <c r="I213" s="1767" t="str">
        <f>IF($J$213="Government", "Additional documentation required - see QAP.","")</f>
        <v/>
      </c>
      <c r="J213" s="3809" t="s">
        <v>2731</v>
      </c>
      <c r="K213" s="4168"/>
      <c r="L213" s="4169"/>
      <c r="M213" s="104"/>
      <c r="N213" s="104"/>
      <c r="O213" s="104"/>
      <c r="P213" s="104"/>
      <c r="V213" s="1244"/>
      <c r="W213" s="1244"/>
    </row>
    <row r="214" spans="1:23" ht="11.25" customHeight="1">
      <c r="A214" s="195"/>
      <c r="B214" s="518" t="s">
        <v>3597</v>
      </c>
      <c r="C214" s="491" t="s">
        <v>4578</v>
      </c>
      <c r="D214" s="33"/>
      <c r="E214" s="33"/>
      <c r="F214" s="657"/>
      <c r="G214" s="657"/>
      <c r="H214" s="657"/>
      <c r="I214" s="33"/>
      <c r="J214" s="236"/>
      <c r="K214" s="4164" t="s">
        <v>4321</v>
      </c>
      <c r="L214" s="4165"/>
      <c r="M214" s="4165"/>
      <c r="N214" s="4165"/>
      <c r="O214" s="1817"/>
      <c r="P214" s="93"/>
      <c r="V214" s="1244"/>
      <c r="W214" s="1244"/>
    </row>
    <row r="215" spans="1:23" ht="11.25" customHeight="1">
      <c r="A215" s="195"/>
      <c r="B215" s="443" t="s">
        <v>3599</v>
      </c>
      <c r="C215" s="491" t="s">
        <v>4320</v>
      </c>
      <c r="D215" s="33"/>
      <c r="E215" s="33"/>
      <c r="F215" s="657"/>
      <c r="G215" s="657"/>
      <c r="H215" s="657"/>
      <c r="I215" s="33"/>
      <c r="J215" s="419"/>
      <c r="K215" s="4164"/>
      <c r="L215" s="4165"/>
      <c r="M215" s="4165"/>
      <c r="N215" s="4165"/>
      <c r="O215" s="1821"/>
      <c r="P215" s="1818" t="s">
        <v>3602</v>
      </c>
      <c r="V215" s="1244"/>
      <c r="W215" s="1244"/>
    </row>
    <row r="216" spans="1:23" ht="11.25" customHeight="1">
      <c r="A216" s="195"/>
      <c r="B216" s="443" t="s">
        <v>3600</v>
      </c>
      <c r="C216" s="491" t="s">
        <v>4323</v>
      </c>
      <c r="D216" s="33"/>
      <c r="E216" s="33"/>
      <c r="F216" s="657"/>
      <c r="G216" s="657"/>
      <c r="H216" s="657"/>
      <c r="I216" s="33"/>
      <c r="J216" s="237"/>
      <c r="L216" s="1819" t="s">
        <v>4322</v>
      </c>
      <c r="N216" s="1820"/>
      <c r="O216" s="4166"/>
      <c r="P216" s="4167"/>
      <c r="V216" s="1244"/>
      <c r="W216" s="1244"/>
    </row>
    <row r="217" spans="1:23" ht="2.25" customHeight="1">
      <c r="A217" s="195"/>
      <c r="G217" s="447"/>
      <c r="L217" s="1358"/>
      <c r="V217" s="1244"/>
      <c r="W217" s="1244"/>
    </row>
    <row r="218" spans="1:23" ht="21.75" customHeight="1">
      <c r="A218" s="4127" t="s">
        <v>3831</v>
      </c>
      <c r="B218" s="4125" t="s">
        <v>3829</v>
      </c>
      <c r="C218" s="4126"/>
      <c r="D218" s="3720"/>
      <c r="E218" s="3132"/>
      <c r="F218" s="3132"/>
      <c r="G218" s="3132"/>
      <c r="H218" s="3132"/>
      <c r="I218" s="3132"/>
      <c r="J218" s="3132"/>
      <c r="K218" s="3132"/>
      <c r="L218" s="3132"/>
      <c r="M218" s="3132"/>
      <c r="N218" s="3132"/>
      <c r="O218" s="3132"/>
      <c r="P218" s="3721"/>
      <c r="Q218" s="503"/>
      <c r="V218" s="1244"/>
      <c r="W218" s="1244"/>
    </row>
    <row r="219" spans="1:23" ht="22.5" customHeight="1">
      <c r="A219" s="4128"/>
      <c r="B219" s="4162" t="s">
        <v>3830</v>
      </c>
      <c r="C219" s="4163"/>
      <c r="D219" s="3071"/>
      <c r="E219" s="3072"/>
      <c r="F219" s="3072"/>
      <c r="G219" s="3072"/>
      <c r="H219" s="3072"/>
      <c r="I219" s="3072"/>
      <c r="J219" s="3072"/>
      <c r="K219" s="3072"/>
      <c r="L219" s="3072"/>
      <c r="M219" s="3072"/>
      <c r="N219" s="3072"/>
      <c r="O219" s="3072"/>
      <c r="P219" s="3074"/>
      <c r="Q219" s="503"/>
      <c r="V219" s="1244"/>
      <c r="W219" s="1244"/>
    </row>
    <row r="220" spans="1:23" ht="22.5" customHeight="1">
      <c r="A220" s="4129"/>
      <c r="B220" s="4157" t="s">
        <v>4373</v>
      </c>
      <c r="C220" s="4158"/>
      <c r="D220" s="3078"/>
      <c r="E220" s="3079"/>
      <c r="F220" s="3079"/>
      <c r="G220" s="3079"/>
      <c r="H220" s="3079"/>
      <c r="I220" s="3079"/>
      <c r="J220" s="3079"/>
      <c r="K220" s="3079"/>
      <c r="L220" s="3079"/>
      <c r="M220" s="3079"/>
      <c r="N220" s="3079"/>
      <c r="O220" s="3079"/>
      <c r="P220" s="3081"/>
      <c r="Q220" s="503"/>
      <c r="V220" s="1244"/>
      <c r="W220" s="1244"/>
    </row>
    <row r="221" spans="1:23" ht="11.25" customHeight="1">
      <c r="B221" s="36" t="s">
        <v>3339</v>
      </c>
      <c r="G221" s="3866" t="s">
        <v>2560</v>
      </c>
      <c r="H221" s="3866"/>
      <c r="J221" s="3864"/>
      <c r="K221" s="3865"/>
      <c r="L221" s="4155"/>
      <c r="M221" s="4156"/>
      <c r="V221" s="1244"/>
      <c r="W221" s="1244"/>
    </row>
    <row r="222" spans="1:23" s="43" customFormat="1" ht="11.25" customHeight="1">
      <c r="C222" s="36" t="s">
        <v>3340</v>
      </c>
      <c r="D222" s="1438"/>
      <c r="G222" s="4180">
        <f>'Part IV-A-Uses of Funds'!$G$132</f>
        <v>43012994</v>
      </c>
      <c r="H222" s="4181"/>
      <c r="J222" s="4178">
        <f>IF($J221=0,0,$J221/$G$222)</f>
        <v>0</v>
      </c>
      <c r="K222" s="4179"/>
      <c r="L222" s="4178">
        <f>IF($L221=0,0,$L221/$G$222)</f>
        <v>0</v>
      </c>
      <c r="M222" s="4179"/>
      <c r="V222" s="1244"/>
      <c r="W222" s="1244"/>
    </row>
    <row r="223" spans="1:23" s="104" customFormat="1" ht="10.5" customHeight="1" thickBot="1">
      <c r="A223" s="42"/>
      <c r="B223" s="1422" t="s">
        <v>3572</v>
      </c>
      <c r="C223" s="42"/>
      <c r="D223" s="48"/>
      <c r="E223" s="48"/>
      <c r="F223" s="48"/>
      <c r="G223" s="48"/>
      <c r="H223" s="36"/>
      <c r="I223" s="36"/>
      <c r="J223" s="36"/>
      <c r="K223" s="36"/>
      <c r="M223" s="46"/>
      <c r="N223" s="6"/>
      <c r="O223" s="3"/>
      <c r="P223" s="1435"/>
    </row>
    <row r="224" spans="1:23" s="43" customFormat="1" ht="21.75" customHeight="1" thickTop="1" thickBot="1">
      <c r="A224" s="3872"/>
      <c r="B224" s="3873"/>
      <c r="C224" s="3873"/>
      <c r="D224" s="3873"/>
      <c r="E224" s="3873"/>
      <c r="F224" s="3873"/>
      <c r="G224" s="3873"/>
      <c r="H224" s="3873"/>
      <c r="I224" s="3873"/>
      <c r="J224" s="3873"/>
      <c r="K224" s="3873"/>
      <c r="L224" s="3873"/>
      <c r="M224" s="3873"/>
      <c r="N224" s="3873"/>
      <c r="O224" s="3873"/>
      <c r="P224" s="3874"/>
      <c r="Q224" s="1250" t="s">
        <v>1228</v>
      </c>
    </row>
    <row r="225" spans="1:23" s="104" customFormat="1" ht="11.4" customHeight="1" thickTop="1">
      <c r="A225" s="42"/>
      <c r="B225" s="99" t="s">
        <v>1820</v>
      </c>
      <c r="C225" s="42"/>
      <c r="D225" s="99"/>
      <c r="E225" s="1441"/>
      <c r="F225" s="1441"/>
      <c r="G225" s="1441"/>
      <c r="H225" s="1441"/>
      <c r="I225" s="1441"/>
      <c r="J225" s="1441"/>
      <c r="K225" s="1441"/>
      <c r="L225" s="1441"/>
      <c r="M225" s="1441"/>
      <c r="N225" s="94"/>
      <c r="O225" s="967"/>
      <c r="P225" s="1435"/>
      <c r="Q225" s="485"/>
    </row>
    <row r="226" spans="1:23" s="43" customFormat="1" ht="11.25" customHeight="1">
      <c r="A226" s="3699"/>
      <c r="B226" s="3700"/>
      <c r="C226" s="3700"/>
      <c r="D226" s="3700"/>
      <c r="E226" s="3700"/>
      <c r="F226" s="3700"/>
      <c r="G226" s="3700"/>
      <c r="H226" s="3700"/>
      <c r="I226" s="3700"/>
      <c r="J226" s="3700"/>
      <c r="K226" s="3700"/>
      <c r="L226" s="3700"/>
      <c r="M226" s="3700"/>
      <c r="N226" s="3700"/>
      <c r="O226" s="3700"/>
      <c r="P226" s="3701"/>
      <c r="Q226" s="503"/>
    </row>
    <row r="227" spans="1:23" s="43" customFormat="1" ht="3" customHeight="1" thickBot="1">
      <c r="A227" s="42"/>
      <c r="C227" s="1438"/>
      <c r="D227" s="1438"/>
      <c r="E227" s="1438"/>
      <c r="F227" s="1438"/>
      <c r="G227" s="1438"/>
      <c r="H227" s="1438"/>
      <c r="I227" s="1438"/>
      <c r="J227" s="1438"/>
      <c r="K227" s="1438"/>
      <c r="L227" s="1438"/>
      <c r="M227" s="1438"/>
      <c r="N227" s="74"/>
      <c r="O227" s="70"/>
      <c r="P227" s="985"/>
    </row>
    <row r="228" spans="1:23" s="43" customFormat="1" ht="13.5" customHeight="1" thickBot="1">
      <c r="A228" s="156" t="s">
        <v>287</v>
      </c>
      <c r="B228" s="108" t="s">
        <v>3744</v>
      </c>
      <c r="C228" s="1438"/>
      <c r="D228" s="1438"/>
      <c r="E228" s="1438"/>
      <c r="F228" s="1438"/>
      <c r="G228" s="1438"/>
      <c r="H228" s="1438"/>
      <c r="I228" s="1438"/>
      <c r="J228" s="1438"/>
      <c r="M228" s="985">
        <v>3</v>
      </c>
      <c r="N228" s="74"/>
      <c r="O228" s="70"/>
      <c r="P228" s="1319"/>
      <c r="Q228" s="111" t="s">
        <v>433</v>
      </c>
      <c r="R228" s="1140" t="s">
        <v>2626</v>
      </c>
    </row>
    <row r="229" spans="1:23" s="43" customFormat="1" ht="13.5" customHeight="1">
      <c r="A229" s="156"/>
      <c r="B229" s="105" t="s">
        <v>4124</v>
      </c>
      <c r="C229" s="1644"/>
      <c r="D229" s="1644"/>
      <c r="E229" s="1644"/>
      <c r="F229" s="1644"/>
      <c r="G229" s="1644"/>
      <c r="H229" s="1644"/>
      <c r="I229" s="1644"/>
      <c r="J229" s="1644"/>
      <c r="K229" s="1643"/>
      <c r="L229" s="1823" t="str">
        <f>IF(OR(O$150&gt;0,O$261&gt;0),"Applicant is ineligible for points in this section!  Points claimed in VI or IX.","")</f>
        <v/>
      </c>
      <c r="M229" s="985"/>
      <c r="N229" s="74"/>
      <c r="O229" s="532"/>
      <c r="P229" s="1646"/>
      <c r="Q229" s="111"/>
      <c r="R229" s="4174" t="s">
        <v>4774</v>
      </c>
      <c r="S229" s="4174"/>
      <c r="T229" s="4174"/>
      <c r="U229" s="4174"/>
    </row>
    <row r="230" spans="1:23" s="43" customFormat="1" ht="13.5" customHeight="1">
      <c r="A230" s="156"/>
      <c r="B230" s="116" t="s">
        <v>3745</v>
      </c>
      <c r="C230" s="1644"/>
      <c r="D230" s="1644"/>
      <c r="E230" s="1644"/>
      <c r="F230" s="1644"/>
      <c r="G230" s="1644"/>
      <c r="H230" s="1644"/>
      <c r="I230" s="1644"/>
      <c r="J230" s="1644"/>
      <c r="K230" s="1439" t="s">
        <v>3141</v>
      </c>
      <c r="L230" s="1439" t="s">
        <v>251</v>
      </c>
      <c r="M230" s="985"/>
      <c r="N230" s="74"/>
      <c r="O230" s="70"/>
      <c r="P230" s="70"/>
      <c r="Q230" s="111"/>
      <c r="R230" s="4174"/>
      <c r="S230" s="4174"/>
      <c r="T230" s="4174"/>
      <c r="U230" s="4174"/>
    </row>
    <row r="231" spans="1:23" s="43" customFormat="1" ht="11.25" customHeight="1">
      <c r="A231" s="141"/>
      <c r="C231" s="55" t="s">
        <v>4579</v>
      </c>
      <c r="K231" s="1398">
        <f>$O$189</f>
        <v>0</v>
      </c>
      <c r="L231" s="1399">
        <f>$P$189</f>
        <v>0</v>
      </c>
      <c r="N231" s="518" t="s">
        <v>2372</v>
      </c>
      <c r="O231" s="236"/>
      <c r="P231" s="603"/>
      <c r="R231" s="4174"/>
      <c r="S231" s="4174"/>
      <c r="T231" s="4174"/>
      <c r="U231" s="4174"/>
    </row>
    <row r="232" spans="1:23" s="43" customFormat="1" ht="11.25" customHeight="1">
      <c r="A232" s="141"/>
      <c r="C232" s="55" t="s">
        <v>4764</v>
      </c>
      <c r="K232" s="1398">
        <f>$O$112</f>
        <v>0</v>
      </c>
      <c r="L232" s="1399">
        <f>$P$112</f>
        <v>0</v>
      </c>
      <c r="N232" s="518" t="s">
        <v>2373</v>
      </c>
      <c r="O232" s="419"/>
      <c r="P232" s="604"/>
      <c r="R232" s="4174"/>
      <c r="S232" s="4174"/>
      <c r="T232" s="4174"/>
      <c r="U232" s="4174"/>
    </row>
    <row r="233" spans="1:23" s="43" customFormat="1" ht="11.25" customHeight="1">
      <c r="C233" s="55" t="s">
        <v>4580</v>
      </c>
      <c r="N233" s="518" t="s">
        <v>2374</v>
      </c>
      <c r="O233" s="237"/>
      <c r="P233" s="604"/>
      <c r="R233" s="4174"/>
      <c r="S233" s="4174"/>
      <c r="T233" s="4174"/>
      <c r="U233" s="4174"/>
    </row>
    <row r="234" spans="1:23" s="43" customFormat="1" ht="11.25" customHeight="1">
      <c r="A234" s="141"/>
      <c r="C234" s="55" t="s">
        <v>4765</v>
      </c>
      <c r="K234" s="1807" t="str">
        <f>'Part I-Project Information'!F38</f>
        <v>Augusta</v>
      </c>
      <c r="L234" s="1809"/>
      <c r="N234" s="518" t="s">
        <v>2375</v>
      </c>
      <c r="O234" s="518"/>
      <c r="P234" s="604"/>
      <c r="R234" s="4174"/>
      <c r="S234" s="4174"/>
      <c r="T234" s="4174"/>
      <c r="U234" s="4174"/>
    </row>
    <row r="235" spans="1:23" s="43" customFormat="1" ht="11.25" customHeight="1">
      <c r="A235" s="141"/>
      <c r="C235" s="55" t="s">
        <v>4766</v>
      </c>
      <c r="K235" s="1398">
        <f>$O$150</f>
        <v>0</v>
      </c>
      <c r="L235" s="1399">
        <f>$P$150</f>
        <v>0</v>
      </c>
      <c r="N235" s="518" t="s">
        <v>2376</v>
      </c>
      <c r="O235" s="236"/>
      <c r="P235" s="604"/>
      <c r="R235" s="4174"/>
      <c r="S235" s="4174"/>
      <c r="T235" s="4174"/>
      <c r="U235" s="4174"/>
    </row>
    <row r="236" spans="1:23" s="43" customFormat="1" ht="11.25" customHeight="1">
      <c r="A236" s="141"/>
      <c r="C236" s="55" t="s">
        <v>4767</v>
      </c>
      <c r="K236" s="1398">
        <f>$O$261</f>
        <v>0</v>
      </c>
      <c r="L236" s="1399">
        <f>$P$261</f>
        <v>0</v>
      </c>
      <c r="N236" s="518" t="s">
        <v>2375</v>
      </c>
      <c r="O236" s="237"/>
      <c r="P236" s="605"/>
      <c r="R236" s="4174"/>
      <c r="S236" s="4174"/>
      <c r="T236" s="4174"/>
      <c r="U236" s="4174"/>
    </row>
    <row r="237" spans="1:23" s="43" customFormat="1" ht="3" customHeight="1">
      <c r="A237" s="42"/>
      <c r="C237" s="1438"/>
      <c r="D237" s="1438"/>
      <c r="E237" s="1438"/>
      <c r="F237" s="1438"/>
      <c r="G237" s="1438"/>
      <c r="H237" s="1438"/>
      <c r="I237" s="1438"/>
      <c r="J237" s="1438"/>
      <c r="K237" s="1438"/>
      <c r="L237" s="1438"/>
      <c r="M237" s="1438"/>
      <c r="N237" s="74"/>
      <c r="O237" s="70"/>
      <c r="P237" s="985"/>
      <c r="R237" s="4174"/>
      <c r="S237" s="4174"/>
      <c r="T237" s="4174"/>
      <c r="U237" s="4174"/>
    </row>
    <row r="238" spans="1:23" ht="11.25" customHeight="1">
      <c r="A238" s="141" t="s">
        <v>1936</v>
      </c>
      <c r="B238" s="196" t="s">
        <v>3747</v>
      </c>
      <c r="D238" s="33"/>
      <c r="G238" s="528" t="s">
        <v>3598</v>
      </c>
      <c r="N238" s="27"/>
      <c r="O238" s="27"/>
      <c r="P238" s="27"/>
      <c r="Q238" s="1149"/>
      <c r="R238" s="4174"/>
      <c r="S238" s="4174"/>
      <c r="T238" s="4174"/>
      <c r="U238" s="4174"/>
    </row>
    <row r="239" spans="1:23" s="33" customFormat="1" ht="11.25" customHeight="1">
      <c r="A239" s="569"/>
      <c r="C239" s="137" t="s">
        <v>3650</v>
      </c>
      <c r="E239" s="4187"/>
      <c r="F239" s="4188"/>
      <c r="G239" s="4188"/>
      <c r="H239" s="4188"/>
      <c r="I239" s="4189"/>
      <c r="J239" s="1442" t="s">
        <v>2625</v>
      </c>
      <c r="K239" s="4145"/>
      <c r="L239" s="4146"/>
      <c r="M239" s="4146"/>
      <c r="N239" s="4146"/>
      <c r="O239" s="4147"/>
      <c r="P239" s="644"/>
      <c r="Q239" s="1149"/>
      <c r="R239" s="4174"/>
      <c r="S239" s="4174"/>
      <c r="T239" s="4174"/>
      <c r="U239" s="4174"/>
    </row>
    <row r="240" spans="1:23" s="33" customFormat="1" ht="11.25" customHeight="1">
      <c r="A240" s="569"/>
      <c r="C240" s="137" t="s">
        <v>2144</v>
      </c>
      <c r="E240" s="4175"/>
      <c r="F240" s="4176"/>
      <c r="G240" s="4177"/>
      <c r="H240" s="2233" t="s">
        <v>1679</v>
      </c>
      <c r="I240" s="1229"/>
      <c r="J240" s="491" t="s">
        <v>1755</v>
      </c>
      <c r="K240" s="4175"/>
      <c r="L240" s="4176"/>
      <c r="M240" s="4176"/>
      <c r="N240" s="4176"/>
      <c r="O240" s="4177"/>
      <c r="Q240" s="1149"/>
      <c r="R240" s="4174"/>
      <c r="S240" s="4174"/>
      <c r="T240" s="4174"/>
      <c r="U240" s="4174"/>
      <c r="V240" s="1244"/>
      <c r="W240" s="1244"/>
    </row>
    <row r="241" spans="1:23" ht="3" customHeight="1">
      <c r="A241" s="569"/>
      <c r="C241" s="1151"/>
      <c r="D241" s="1151"/>
      <c r="E241" s="1151"/>
      <c r="F241" s="1151"/>
      <c r="G241" s="1151"/>
      <c r="H241" s="1151"/>
      <c r="I241" s="1151"/>
      <c r="J241" s="1151"/>
      <c r="K241" s="1151"/>
      <c r="L241" s="1151"/>
      <c r="N241" s="27"/>
      <c r="O241" s="27"/>
      <c r="P241" s="27"/>
      <c r="Q241" s="1149"/>
      <c r="R241" s="4174"/>
      <c r="S241" s="4174"/>
      <c r="T241" s="4174"/>
      <c r="U241" s="4174"/>
    </row>
    <row r="242" spans="1:23" ht="10.5" customHeight="1">
      <c r="A242" s="569"/>
      <c r="B242" s="658" t="s">
        <v>1939</v>
      </c>
      <c r="C242" s="1151" t="s">
        <v>3746</v>
      </c>
      <c r="D242" s="1147"/>
      <c r="E242" s="1147"/>
      <c r="F242" s="1147"/>
      <c r="G242" s="1147"/>
      <c r="H242" s="1147"/>
      <c r="I242" s="1147"/>
      <c r="J242" s="1147"/>
      <c r="K242" s="1147"/>
      <c r="L242" s="1147"/>
      <c r="M242" s="1147"/>
      <c r="N242" s="1147"/>
      <c r="O242" s="577" t="s">
        <v>2444</v>
      </c>
      <c r="P242" s="577" t="s">
        <v>2444</v>
      </c>
      <c r="Q242" s="1147"/>
      <c r="R242" s="4174"/>
      <c r="S242" s="4174"/>
      <c r="T242" s="4174"/>
      <c r="U242" s="4174"/>
    </row>
    <row r="243" spans="1:23" s="33" customFormat="1" ht="21.75" customHeight="1">
      <c r="A243" s="1443"/>
      <c r="B243" s="700"/>
      <c r="C243" s="3867" t="s">
        <v>4768</v>
      </c>
      <c r="D243" s="3867"/>
      <c r="E243" s="3867"/>
      <c r="F243" s="3867"/>
      <c r="G243" s="3867"/>
      <c r="H243" s="3867"/>
      <c r="I243" s="3867"/>
      <c r="J243" s="3867"/>
      <c r="K243" s="3867"/>
      <c r="L243" s="3867"/>
      <c r="M243" s="3867"/>
      <c r="N243" s="446" t="s">
        <v>1939</v>
      </c>
      <c r="O243" s="1371"/>
      <c r="P243" s="1372"/>
      <c r="Q243" s="1147"/>
      <c r="V243" s="1244"/>
      <c r="W243" s="1244"/>
    </row>
    <row r="244" spans="1:23" ht="11.25" customHeight="1">
      <c r="A244" s="569"/>
      <c r="B244" s="658" t="s">
        <v>1941</v>
      </c>
      <c r="C244" s="1151" t="s">
        <v>3748</v>
      </c>
      <c r="D244" s="1147"/>
      <c r="E244" s="1147"/>
      <c r="F244" s="1147"/>
      <c r="G244" s="528" t="s">
        <v>3598</v>
      </c>
      <c r="H244" s="1147"/>
      <c r="I244" s="1147"/>
      <c r="J244" s="1147"/>
      <c r="K244" s="1147"/>
      <c r="L244" s="1147"/>
      <c r="M244" s="1147"/>
      <c r="N244" s="1147"/>
      <c r="O244" s="577" t="s">
        <v>2444</v>
      </c>
      <c r="P244" s="577" t="s">
        <v>2444</v>
      </c>
      <c r="Q244" s="1147"/>
    </row>
    <row r="245" spans="1:23" ht="21" customHeight="1">
      <c r="A245" s="569"/>
      <c r="B245" s="1153"/>
      <c r="C245" s="3892" t="s">
        <v>4581</v>
      </c>
      <c r="D245" s="3892"/>
      <c r="E245" s="3892"/>
      <c r="F245" s="3892"/>
      <c r="G245" s="3892"/>
      <c r="H245" s="3892"/>
      <c r="I245" s="3892"/>
      <c r="J245" s="3892"/>
      <c r="K245" s="3892"/>
      <c r="L245" s="3892"/>
      <c r="M245" s="3892"/>
      <c r="N245" s="446" t="s">
        <v>1941</v>
      </c>
      <c r="O245" s="1371"/>
      <c r="P245" s="1372"/>
      <c r="Q245" s="1150"/>
      <c r="V245" s="1244"/>
      <c r="W245" s="1244"/>
    </row>
    <row r="246" spans="1:23" ht="11.25" customHeight="1">
      <c r="A246" s="141"/>
      <c r="B246" s="986" t="s">
        <v>2468</v>
      </c>
      <c r="C246" s="655" t="s">
        <v>3601</v>
      </c>
      <c r="D246" s="33"/>
      <c r="N246" s="27"/>
      <c r="O246" s="27"/>
      <c r="P246" s="27"/>
      <c r="Q246" s="117"/>
    </row>
    <row r="247" spans="1:23" s="33" customFormat="1" ht="21.75" customHeight="1">
      <c r="A247" s="569"/>
      <c r="B247" s="1154"/>
      <c r="C247" s="3879" t="s">
        <v>3750</v>
      </c>
      <c r="D247" s="3879"/>
      <c r="E247" s="3879"/>
      <c r="F247" s="3879"/>
      <c r="G247" s="3879"/>
      <c r="H247" s="3879"/>
      <c r="I247" s="3879"/>
      <c r="J247" s="3879"/>
      <c r="K247" s="3879"/>
      <c r="L247" s="3879"/>
      <c r="M247" s="3879"/>
      <c r="N247" s="446" t="s">
        <v>2468</v>
      </c>
      <c r="O247" s="1371"/>
      <c r="P247" s="1372"/>
      <c r="Q247" s="1150"/>
      <c r="V247" s="1244"/>
      <c r="W247" s="1244"/>
    </row>
    <row r="248" spans="1:23" s="33" customFormat="1" ht="10.5" customHeight="1">
      <c r="A248" s="569"/>
      <c r="B248" s="1154"/>
      <c r="C248" s="1877"/>
      <c r="D248" s="1877"/>
      <c r="E248" s="1877"/>
      <c r="F248" s="1877"/>
      <c r="G248" s="700" t="s">
        <v>4390</v>
      </c>
      <c r="H248" s="1877"/>
      <c r="J248" s="3881"/>
      <c r="K248" s="3882"/>
      <c r="L248" s="1877"/>
      <c r="M248" s="1877"/>
      <c r="N248" s="1877"/>
      <c r="O248" s="1877"/>
      <c r="P248" s="1877"/>
      <c r="Q248" s="1150"/>
      <c r="V248" s="1244"/>
      <c r="W248" s="1244"/>
    </row>
    <row r="249" spans="1:23" s="448" customFormat="1" ht="21" customHeight="1">
      <c r="A249" s="2246"/>
      <c r="B249" s="1152" t="s">
        <v>2372</v>
      </c>
      <c r="C249" s="3879" t="s">
        <v>3751</v>
      </c>
      <c r="D249" s="3879"/>
      <c r="E249" s="3879"/>
      <c r="F249" s="3879"/>
      <c r="G249" s="3879"/>
      <c r="H249" s="3879"/>
      <c r="I249" s="3879"/>
      <c r="J249" s="3879"/>
      <c r="K249" s="3879"/>
      <c r="L249" s="3879"/>
      <c r="M249" s="3879"/>
      <c r="N249" s="1152" t="s">
        <v>2372</v>
      </c>
      <c r="O249" s="1369"/>
      <c r="P249" s="1368"/>
      <c r="Q249" s="2247"/>
      <c r="V249" s="2248"/>
      <c r="W249" s="2248"/>
    </row>
    <row r="250" spans="1:23" s="33" customFormat="1" ht="11.25" customHeight="1">
      <c r="A250" s="569"/>
      <c r="B250" s="443" t="s">
        <v>2373</v>
      </c>
      <c r="C250" s="3867" t="s">
        <v>4324</v>
      </c>
      <c r="D250" s="3867"/>
      <c r="E250" s="3867"/>
      <c r="F250" s="3867"/>
      <c r="G250" s="3867"/>
      <c r="H250" s="3867"/>
      <c r="I250" s="3867"/>
      <c r="J250" s="3867"/>
      <c r="K250" s="3867"/>
      <c r="L250" s="3867"/>
      <c r="M250" s="3867"/>
      <c r="N250" s="443" t="s">
        <v>2373</v>
      </c>
      <c r="O250" s="237"/>
      <c r="P250" s="605"/>
      <c r="Q250" s="1150"/>
      <c r="V250" s="1244"/>
      <c r="W250" s="1244"/>
    </row>
    <row r="251" spans="1:23" ht="11.25" customHeight="1">
      <c r="A251" s="141"/>
      <c r="B251" s="986" t="s">
        <v>1198</v>
      </c>
      <c r="C251" s="655" t="s">
        <v>4325</v>
      </c>
      <c r="D251" s="33"/>
      <c r="N251" s="27"/>
      <c r="O251" s="27"/>
      <c r="P251" s="27"/>
      <c r="Q251" s="117"/>
    </row>
    <row r="252" spans="1:23" s="33" customFormat="1" ht="11.25" customHeight="1">
      <c r="A252" s="569"/>
      <c r="B252" s="443"/>
      <c r="C252" s="137" t="s">
        <v>4610</v>
      </c>
      <c r="D252" s="137"/>
      <c r="E252" s="137"/>
      <c r="F252" s="137"/>
      <c r="G252" s="137"/>
      <c r="H252" s="137"/>
      <c r="I252" s="137"/>
      <c r="J252" s="137"/>
      <c r="K252" s="137"/>
      <c r="L252" s="137"/>
      <c r="M252" s="137"/>
      <c r="N252" s="446" t="s">
        <v>1198</v>
      </c>
      <c r="O252" s="532"/>
      <c r="P252" s="602"/>
      <c r="Q252" s="1150"/>
      <c r="V252" s="1244"/>
      <c r="W252" s="1244"/>
    </row>
    <row r="253" spans="1:23" ht="11.4" customHeight="1">
      <c r="A253" s="141" t="s">
        <v>1938</v>
      </c>
      <c r="B253" s="196" t="s">
        <v>3749</v>
      </c>
      <c r="D253" s="33"/>
      <c r="G253" s="528" t="s">
        <v>3598</v>
      </c>
      <c r="N253" s="27"/>
      <c r="O253" s="577" t="s">
        <v>2444</v>
      </c>
      <c r="P253" s="577" t="s">
        <v>2444</v>
      </c>
      <c r="Q253" s="1149"/>
    </row>
    <row r="254" spans="1:23" ht="22.5" customHeight="1">
      <c r="B254" s="658" t="s">
        <v>1939</v>
      </c>
      <c r="C254" s="3975" t="s">
        <v>4582</v>
      </c>
      <c r="D254" s="3975"/>
      <c r="E254" s="3975"/>
      <c r="F254" s="3975"/>
      <c r="G254" s="3975"/>
      <c r="H254" s="3975"/>
      <c r="I254" s="3975"/>
      <c r="J254" s="3975"/>
      <c r="K254" s="3975"/>
      <c r="L254" s="3975"/>
      <c r="M254" s="1320" t="s">
        <v>1938</v>
      </c>
      <c r="N254" s="446" t="s">
        <v>1939</v>
      </c>
      <c r="O254" s="1369"/>
      <c r="P254" s="1368"/>
      <c r="Q254" s="1149"/>
      <c r="V254" s="1244"/>
      <c r="W254" s="1244"/>
    </row>
    <row r="255" spans="1:23" s="33" customFormat="1" ht="11.25" customHeight="1">
      <c r="A255" s="569"/>
      <c r="B255" s="658" t="s">
        <v>1941</v>
      </c>
      <c r="C255" s="491" t="s">
        <v>4583</v>
      </c>
      <c r="D255" s="1094"/>
      <c r="E255" s="1094"/>
      <c r="F255" s="1094"/>
      <c r="G255" s="1094"/>
      <c r="H255" s="1094"/>
      <c r="I255" s="1094"/>
      <c r="J255" s="1094"/>
      <c r="K255" s="1094"/>
      <c r="L255" s="1094"/>
      <c r="M255" s="1094"/>
      <c r="N255" s="446" t="s">
        <v>1941</v>
      </c>
      <c r="O255" s="237"/>
      <c r="P255" s="605"/>
      <c r="Q255" s="1150"/>
      <c r="V255" s="1447"/>
      <c r="W255" s="1447"/>
    </row>
    <row r="256" spans="1:23" s="43" customFormat="1" ht="12" customHeight="1" thickBot="1">
      <c r="A256" s="42"/>
      <c r="B256" s="1422" t="s">
        <v>3572</v>
      </c>
      <c r="C256" s="42"/>
      <c r="D256" s="48"/>
      <c r="E256" s="48"/>
      <c r="F256" s="48"/>
      <c r="G256" s="48"/>
      <c r="H256" s="36"/>
      <c r="I256" s="137"/>
      <c r="M256" s="46"/>
      <c r="N256" s="62"/>
      <c r="O256" s="3"/>
      <c r="P256" s="1437"/>
    </row>
    <row r="257" spans="1:24" s="43" customFormat="1" ht="45.6" customHeight="1" thickTop="1" thickBot="1">
      <c r="A257" s="3893"/>
      <c r="B257" s="3894"/>
      <c r="C257" s="3894"/>
      <c r="D257" s="3894"/>
      <c r="E257" s="3894"/>
      <c r="F257" s="3894"/>
      <c r="G257" s="3894"/>
      <c r="H257" s="3894"/>
      <c r="I257" s="3894"/>
      <c r="J257" s="3894"/>
      <c r="K257" s="3894"/>
      <c r="L257" s="3894"/>
      <c r="M257" s="3894"/>
      <c r="N257" s="3894"/>
      <c r="O257" s="3894"/>
      <c r="P257" s="3895"/>
      <c r="Q257" s="1250" t="s">
        <v>1228</v>
      </c>
    </row>
    <row r="258" spans="1:24" s="43" customFormat="1" ht="10.5" customHeight="1" thickTop="1">
      <c r="A258" s="42"/>
      <c r="B258" s="86" t="s">
        <v>1820</v>
      </c>
      <c r="C258" s="42"/>
      <c r="D258" s="86"/>
      <c r="E258" s="1438"/>
      <c r="F258" s="1438"/>
      <c r="G258" s="1438"/>
      <c r="H258" s="1438"/>
      <c r="I258" s="1438"/>
      <c r="J258" s="1438"/>
      <c r="K258" s="1438"/>
      <c r="L258" s="1438"/>
      <c r="M258" s="1438"/>
      <c r="N258" s="74"/>
      <c r="O258" s="70"/>
      <c r="P258" s="1435"/>
      <c r="Q258" s="485"/>
    </row>
    <row r="259" spans="1:24" s="43" customFormat="1" ht="22.2" customHeight="1">
      <c r="A259" s="3883"/>
      <c r="B259" s="3884"/>
      <c r="C259" s="3884"/>
      <c r="D259" s="3884"/>
      <c r="E259" s="3884"/>
      <c r="F259" s="3884"/>
      <c r="G259" s="3884"/>
      <c r="H259" s="3884"/>
      <c r="I259" s="3884"/>
      <c r="J259" s="3884"/>
      <c r="K259" s="3884"/>
      <c r="L259" s="3884"/>
      <c r="M259" s="3884"/>
      <c r="N259" s="3884"/>
      <c r="O259" s="3884"/>
      <c r="P259" s="3885"/>
      <c r="Q259" s="503"/>
    </row>
    <row r="260" spans="1:24" ht="3.6" customHeight="1" thickBot="1">
      <c r="B260" s="119"/>
      <c r="C260" s="119"/>
      <c r="D260" s="119"/>
      <c r="E260" s="119"/>
      <c r="V260" s="43"/>
      <c r="W260" s="43"/>
      <c r="X260" s="43"/>
    </row>
    <row r="261" spans="1:24" s="104" customFormat="1" ht="12.6" customHeight="1" thickBot="1">
      <c r="A261" s="156" t="s">
        <v>418</v>
      </c>
      <c r="B261" s="108" t="s">
        <v>2695</v>
      </c>
      <c r="C261" s="93"/>
      <c r="D261" s="59"/>
      <c r="E261" s="59"/>
      <c r="G261" s="191" t="s">
        <v>4757</v>
      </c>
      <c r="M261" s="1435">
        <v>5</v>
      </c>
      <c r="N261" s="7"/>
      <c r="O261" s="1353">
        <f>O263+O272</f>
        <v>0</v>
      </c>
      <c r="P261" s="1353">
        <f>P263+P272</f>
        <v>0</v>
      </c>
      <c r="Q261" s="111" t="s">
        <v>433</v>
      </c>
      <c r="S261" s="3899" t="s">
        <v>4601</v>
      </c>
      <c r="T261" s="3900"/>
      <c r="U261" s="3901"/>
      <c r="V261" s="43"/>
      <c r="W261" s="43"/>
      <c r="X261" s="43"/>
    </row>
    <row r="262" spans="1:24" s="104" customFormat="1" ht="1.5" customHeight="1">
      <c r="A262" s="156"/>
      <c r="B262" s="108"/>
      <c r="C262" s="93"/>
      <c r="D262" s="59"/>
      <c r="E262" s="59"/>
      <c r="G262" s="191"/>
      <c r="M262" s="656"/>
      <c r="Q262" s="111"/>
      <c r="S262" s="3902"/>
      <c r="T262" s="3903"/>
      <c r="U262" s="3904"/>
      <c r="V262" s="43"/>
      <c r="W262" s="43"/>
      <c r="X262" s="43"/>
    </row>
    <row r="263" spans="1:24" s="104" customFormat="1" ht="11.25" customHeight="1">
      <c r="A263" s="3886" t="s">
        <v>1936</v>
      </c>
      <c r="B263" s="964" t="s">
        <v>4326</v>
      </c>
      <c r="C263" s="93"/>
      <c r="D263" s="59"/>
      <c r="E263" s="59"/>
      <c r="G263" s="528" t="s">
        <v>4738</v>
      </c>
      <c r="I263" s="2236" t="str">
        <f>'Part I-Project Information'!$O$38</f>
        <v>105.04</v>
      </c>
      <c r="K263" s="2121"/>
      <c r="M263" s="1323">
        <v>3</v>
      </c>
      <c r="N263" s="1824"/>
      <c r="O263" s="988">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3902"/>
      <c r="T263" s="3903"/>
      <c r="U263" s="3904"/>
      <c r="V263" s="43"/>
      <c r="W263" s="43"/>
      <c r="X263" s="43"/>
    </row>
    <row r="264" spans="1:24" ht="11.4" customHeight="1">
      <c r="A264" s="3886"/>
      <c r="B264" s="113" t="s">
        <v>2703</v>
      </c>
      <c r="C264" s="573"/>
      <c r="D264" s="573"/>
      <c r="G264" s="574" t="str">
        <f>'Part I-Project Information'!$H$105</f>
        <v>N/A - 4% Bond</v>
      </c>
      <c r="N264" s="1816" t="s">
        <v>1936</v>
      </c>
      <c r="O264" s="1402" t="s">
        <v>2444</v>
      </c>
      <c r="P264" s="1402" t="s">
        <v>2444</v>
      </c>
      <c r="S264" s="3902"/>
      <c r="T264" s="3903"/>
      <c r="U264" s="3904"/>
      <c r="V264" s="43"/>
      <c r="W264" s="43"/>
      <c r="X264" s="43"/>
    </row>
    <row r="265" spans="1:24" ht="11.4" customHeight="1">
      <c r="A265" s="3886"/>
      <c r="B265" s="986" t="s">
        <v>1939</v>
      </c>
      <c r="C265" s="496" t="s">
        <v>2609</v>
      </c>
      <c r="E265" s="119"/>
      <c r="M265" s="81"/>
      <c r="N265" s="193" t="s">
        <v>1939</v>
      </c>
      <c r="O265" s="236"/>
      <c r="P265" s="603"/>
      <c r="Q265" s="4183" t="str">
        <f>IF(AND(O265="Yes",O268="Yes"),"Only 1 or 4 can be 'Yes'!","")</f>
        <v/>
      </c>
      <c r="R265" s="4183"/>
      <c r="S265" s="3902"/>
      <c r="T265" s="3903"/>
      <c r="U265" s="3904"/>
    </row>
    <row r="266" spans="1:24" ht="11.4" customHeight="1">
      <c r="B266" s="986" t="s">
        <v>1941</v>
      </c>
      <c r="C266" s="496" t="s">
        <v>2654</v>
      </c>
      <c r="G266" s="102" t="s">
        <v>2327</v>
      </c>
      <c r="I266" s="2394" t="s">
        <v>4352</v>
      </c>
      <c r="J266" s="496" t="s">
        <v>2655</v>
      </c>
      <c r="L266" s="137" t="s">
        <v>2653</v>
      </c>
      <c r="M266" s="987" t="str">
        <f>IF(O266&gt;I266,"CHECK ACTUAL PERCENT!!!","")</f>
        <v/>
      </c>
      <c r="N266" s="193" t="s">
        <v>1941</v>
      </c>
      <c r="O266" s="1825"/>
      <c r="P266" s="1826"/>
      <c r="Q266" s="4183"/>
      <c r="R266" s="4183"/>
      <c r="S266" s="3902"/>
      <c r="T266" s="3903"/>
      <c r="U266" s="3904"/>
    </row>
    <row r="267" spans="1:24" ht="11.4" customHeight="1">
      <c r="B267" s="986" t="s">
        <v>2468</v>
      </c>
      <c r="C267" s="474" t="s">
        <v>2328</v>
      </c>
      <c r="E267" s="119"/>
      <c r="G267" s="102" t="s">
        <v>2329</v>
      </c>
      <c r="J267" s="3868" t="s">
        <v>4478</v>
      </c>
      <c r="L267" s="491" t="s">
        <v>2648</v>
      </c>
      <c r="M267" s="33"/>
      <c r="N267" s="193" t="s">
        <v>2468</v>
      </c>
      <c r="O267" s="1827" t="s">
        <v>197</v>
      </c>
      <c r="P267" s="1828" t="s">
        <v>197</v>
      </c>
      <c r="Q267" s="4183"/>
      <c r="R267" s="4183"/>
      <c r="S267" s="3902"/>
      <c r="T267" s="3903"/>
      <c r="U267" s="3904"/>
    </row>
    <row r="268" spans="1:24" s="448" customFormat="1" ht="11.4" customHeight="1">
      <c r="B268" s="658" t="s">
        <v>1198</v>
      </c>
      <c r="C268" s="3892" t="s">
        <v>4584</v>
      </c>
      <c r="D268" s="3892"/>
      <c r="E268" s="3892"/>
      <c r="F268" s="3892"/>
      <c r="G268" s="3892"/>
      <c r="H268" s="3892"/>
      <c r="I268" s="3892"/>
      <c r="J268" s="3869"/>
      <c r="K268" s="3868" t="s">
        <v>3752</v>
      </c>
      <c r="M268" s="1324">
        <v>2</v>
      </c>
      <c r="N268" s="193" t="s">
        <v>1198</v>
      </c>
      <c r="O268" s="1393"/>
      <c r="P268" s="1394"/>
      <c r="Q268" s="4183"/>
      <c r="R268" s="4183"/>
      <c r="S268" s="3902"/>
      <c r="T268" s="3903"/>
      <c r="U268" s="3904"/>
    </row>
    <row r="269" spans="1:24" ht="11.4" customHeight="1">
      <c r="B269" s="429"/>
      <c r="C269" s="3892"/>
      <c r="D269" s="3892"/>
      <c r="E269" s="3892"/>
      <c r="F269" s="3892"/>
      <c r="G269" s="3892"/>
      <c r="H269" s="3892"/>
      <c r="I269" s="3892"/>
      <c r="J269" s="3870"/>
      <c r="K269" s="3870"/>
      <c r="L269" s="3951" t="s">
        <v>3788</v>
      </c>
      <c r="M269" s="3952"/>
      <c r="N269" s="119"/>
      <c r="S269" s="3902"/>
      <c r="T269" s="3903"/>
      <c r="U269" s="3904"/>
    </row>
    <row r="270" spans="1:24" ht="23.25" customHeight="1">
      <c r="B270" s="429"/>
      <c r="C270" s="3892"/>
      <c r="D270" s="3892"/>
      <c r="E270" s="3892"/>
      <c r="F270" s="3892"/>
      <c r="G270" s="3892"/>
      <c r="H270" s="3892"/>
      <c r="I270" s="3892"/>
      <c r="J270" s="1965"/>
      <c r="K270" s="1964"/>
      <c r="L270" s="1321">
        <f>O64</f>
        <v>0</v>
      </c>
      <c r="M270" s="1322">
        <f>P64</f>
        <v>0</v>
      </c>
      <c r="N270" s="27"/>
      <c r="S270" s="3905"/>
      <c r="T270" s="3906"/>
      <c r="U270" s="3907"/>
    </row>
    <row r="271" spans="1:24" ht="2.25" customHeight="1">
      <c r="A271" s="576"/>
      <c r="B271" s="986"/>
      <c r="C271" s="474"/>
      <c r="E271" s="119"/>
      <c r="M271" s="1323"/>
      <c r="N271" s="1318"/>
      <c r="O271" s="985"/>
      <c r="P271" s="985"/>
      <c r="S271" s="2400"/>
      <c r="T271" s="2401"/>
      <c r="U271" s="2402"/>
    </row>
    <row r="272" spans="1:24" ht="11.4" customHeight="1">
      <c r="A272" s="2117" t="s">
        <v>1938</v>
      </c>
      <c r="B272" s="986" t="s">
        <v>4327</v>
      </c>
      <c r="C272" s="474"/>
      <c r="E272" s="119"/>
      <c r="G272" s="528" t="s">
        <v>6808</v>
      </c>
      <c r="I272" s="2392"/>
      <c r="K272" s="1816" t="s">
        <v>4619</v>
      </c>
      <c r="L272" s="2393"/>
      <c r="M272" s="1323">
        <v>2</v>
      </c>
      <c r="N272" s="1325" t="s">
        <v>1938</v>
      </c>
      <c r="O272" s="665"/>
      <c r="P272" s="957"/>
      <c r="Q272" s="1144" t="str">
        <f>IF(O272&lt;=M272,"","*CHECK!*")</f>
        <v/>
      </c>
      <c r="R272" s="1140" t="s">
        <v>4775</v>
      </c>
      <c r="S272" s="2403"/>
      <c r="T272" s="2399"/>
      <c r="U272" s="2404"/>
    </row>
    <row r="273" spans="1:21" ht="11.4" customHeight="1">
      <c r="A273" s="576"/>
      <c r="B273" s="986" t="s">
        <v>1939</v>
      </c>
      <c r="C273" s="137" t="s">
        <v>4474</v>
      </c>
      <c r="D273" s="137"/>
      <c r="E273" s="2234"/>
      <c r="F273" s="2237"/>
      <c r="G273" s="137" t="s">
        <v>4328</v>
      </c>
      <c r="H273" s="1094"/>
      <c r="I273" s="1094"/>
      <c r="J273" s="33"/>
      <c r="K273" s="33"/>
      <c r="L273" s="189" t="s">
        <v>6809</v>
      </c>
      <c r="M273" s="72"/>
      <c r="N273" s="193" t="s">
        <v>1939</v>
      </c>
      <c r="O273" s="1369"/>
      <c r="P273" s="1368"/>
      <c r="Q273" s="1144"/>
      <c r="R273" s="1140"/>
      <c r="S273" s="2399"/>
      <c r="T273" s="2399"/>
      <c r="U273" s="2399"/>
    </row>
    <row r="274" spans="1:21" ht="11.4" customHeight="1">
      <c r="A274" s="576"/>
      <c r="B274" s="986" t="s">
        <v>1941</v>
      </c>
      <c r="C274" s="137" t="s">
        <v>4475</v>
      </c>
      <c r="D274" s="137"/>
      <c r="E274" s="2234"/>
      <c r="F274" s="2235"/>
      <c r="G274" s="137" t="s">
        <v>4329</v>
      </c>
      <c r="H274" s="1094"/>
      <c r="I274" s="1094"/>
      <c r="J274" s="33"/>
      <c r="K274" s="33"/>
      <c r="L274" s="189" t="s">
        <v>6809</v>
      </c>
      <c r="M274" s="81"/>
      <c r="N274" s="193" t="s">
        <v>1941</v>
      </c>
      <c r="O274" s="237"/>
      <c r="P274" s="605"/>
      <c r="Q274" s="1144"/>
      <c r="R274" s="1140"/>
      <c r="S274" s="2399"/>
      <c r="T274" s="2399"/>
      <c r="U274" s="2399"/>
    </row>
    <row r="275" spans="1:21" ht="2.25" customHeight="1">
      <c r="A275" s="576"/>
      <c r="B275" s="986"/>
      <c r="C275" s="474"/>
      <c r="E275" s="119"/>
      <c r="M275" s="1323"/>
      <c r="N275" s="1318"/>
      <c r="O275" s="985"/>
      <c r="P275" s="985"/>
    </row>
    <row r="276" spans="1:21" s="43" customFormat="1" ht="10.5" customHeight="1" thickBot="1">
      <c r="A276" s="42"/>
      <c r="B276" s="1422" t="s">
        <v>3572</v>
      </c>
      <c r="C276" s="42"/>
      <c r="D276" s="48"/>
      <c r="E276" s="48"/>
      <c r="F276" s="48"/>
      <c r="G276" s="48"/>
      <c r="H276" s="36"/>
      <c r="I276" s="36"/>
      <c r="J276" s="36"/>
      <c r="K276" s="36"/>
      <c r="M276" s="46"/>
      <c r="N276" s="62"/>
      <c r="O276" s="3"/>
      <c r="P276" s="2097"/>
    </row>
    <row r="277" spans="1:21" s="43" customFormat="1" ht="34.799999999999997" customHeight="1" thickTop="1" thickBot="1">
      <c r="A277" s="3872"/>
      <c r="B277" s="3873"/>
      <c r="C277" s="3873"/>
      <c r="D277" s="3873"/>
      <c r="E277" s="3873"/>
      <c r="F277" s="3873"/>
      <c r="G277" s="3873"/>
      <c r="H277" s="3873"/>
      <c r="I277" s="3873"/>
      <c r="J277" s="3873"/>
      <c r="K277" s="3873"/>
      <c r="L277" s="3873"/>
      <c r="M277" s="3873"/>
      <c r="N277" s="3873"/>
      <c r="O277" s="3873"/>
      <c r="P277" s="3874"/>
      <c r="Q277" s="1250" t="s">
        <v>1228</v>
      </c>
    </row>
    <row r="278" spans="1:21" ht="2.25" customHeight="1" thickTop="1">
      <c r="A278" s="576"/>
      <c r="B278" s="986"/>
      <c r="C278" s="474"/>
      <c r="E278" s="119"/>
      <c r="M278" s="1323"/>
      <c r="N278" s="1318"/>
      <c r="O278" s="985"/>
      <c r="P278" s="985"/>
    </row>
    <row r="279" spans="1:21" s="43" customFormat="1" ht="10.5" customHeight="1">
      <c r="A279" s="42"/>
      <c r="B279" s="86" t="s">
        <v>1820</v>
      </c>
      <c r="C279" s="42"/>
      <c r="D279" s="86"/>
      <c r="E279" s="1438"/>
      <c r="F279" s="1438"/>
      <c r="G279" s="1438"/>
      <c r="H279" s="1438"/>
      <c r="I279" s="1438"/>
      <c r="J279" s="1438"/>
      <c r="K279" s="1438"/>
      <c r="L279" s="1438"/>
      <c r="M279" s="1438"/>
      <c r="N279" s="74"/>
      <c r="O279" s="70"/>
      <c r="P279" s="1435"/>
      <c r="Q279" s="485"/>
    </row>
    <row r="280" spans="1:21" s="43" customFormat="1" ht="11.25" customHeight="1">
      <c r="A280" s="3883"/>
      <c r="B280" s="3884"/>
      <c r="C280" s="3884"/>
      <c r="D280" s="3884"/>
      <c r="E280" s="3884"/>
      <c r="F280" s="3884"/>
      <c r="G280" s="3884"/>
      <c r="H280" s="3884"/>
      <c r="I280" s="3884"/>
      <c r="J280" s="3884"/>
      <c r="K280" s="3884"/>
      <c r="L280" s="3884"/>
      <c r="M280" s="3884"/>
      <c r="N280" s="3884"/>
      <c r="O280" s="3884"/>
      <c r="P280" s="3885"/>
      <c r="Q280" s="503"/>
    </row>
    <row r="281" spans="1:21" s="43" customFormat="1" ht="10.199999999999999" customHeight="1" thickBot="1">
      <c r="A281" s="42"/>
      <c r="D281" s="39"/>
      <c r="E281" s="36"/>
      <c r="F281" s="985"/>
      <c r="G281" s="985"/>
      <c r="H281" s="985"/>
      <c r="I281" s="985"/>
      <c r="J281" s="995"/>
      <c r="K281" s="995"/>
      <c r="L281" s="995"/>
      <c r="M281" s="60"/>
      <c r="N281" s="985"/>
      <c r="O281" s="1437"/>
      <c r="P281" s="3"/>
    </row>
    <row r="282" spans="1:21" ht="13.8" thickBot="1">
      <c r="A282" s="156" t="s">
        <v>356</v>
      </c>
      <c r="B282" s="2116" t="s">
        <v>4725</v>
      </c>
      <c r="C282" s="474"/>
      <c r="E282" s="119"/>
      <c r="G282" s="2119" t="s">
        <v>3611</v>
      </c>
      <c r="H282" s="2099" t="s">
        <v>3456</v>
      </c>
      <c r="I282" s="1829">
        <f>IF('Part VI-Revenues &amp; Expenses'!$P$67=0,0,'Part VI-Revenues &amp; Expenses'!$P$64/'Part VI-Revenues &amp; Expenses'!$P$67)</f>
        <v>0</v>
      </c>
      <c r="J282" s="1816" t="s">
        <v>4613</v>
      </c>
      <c r="K282" s="4139" t="str">
        <f>'Part I-Project Information'!$K$94</f>
        <v>40% of Units at 60% of AMI</v>
      </c>
      <c r="L282" s="4140"/>
      <c r="M282" s="154">
        <v>1</v>
      </c>
      <c r="N282" s="1318"/>
      <c r="O282" s="1285">
        <f>MIN($M$282,SUM(O283:O284))</f>
        <v>0</v>
      </c>
      <c r="P282" s="1285">
        <f>MIN($M$282,SUM(P283:P284))</f>
        <v>0</v>
      </c>
      <c r="Q282" s="111" t="s">
        <v>433</v>
      </c>
    </row>
    <row r="283" spans="1:21" ht="12" customHeight="1">
      <c r="A283" s="2096" t="s">
        <v>1936</v>
      </c>
      <c r="B283" s="2118" t="s">
        <v>4611</v>
      </c>
      <c r="C283" s="474"/>
      <c r="D283" s="490" t="s">
        <v>4612</v>
      </c>
      <c r="M283" s="72">
        <v>1</v>
      </c>
      <c r="N283" s="518" t="s">
        <v>1936</v>
      </c>
      <c r="O283" s="2120"/>
      <c r="P283" s="1352"/>
      <c r="Q283" s="1144" t="str">
        <f>IF(OR($O283=$M283,$O283=0,$O283=""),"","*CHECK!*")</f>
        <v/>
      </c>
      <c r="R283" s="1140" t="s">
        <v>4775</v>
      </c>
    </row>
    <row r="284" spans="1:21" ht="12" customHeight="1">
      <c r="A284" s="2096" t="s">
        <v>1938</v>
      </c>
      <c r="B284" s="2118" t="s">
        <v>4299</v>
      </c>
      <c r="C284" s="474"/>
      <c r="D284" s="490" t="s">
        <v>4731</v>
      </c>
      <c r="M284" s="81">
        <v>1</v>
      </c>
      <c r="N284" s="518" t="s">
        <v>1938</v>
      </c>
      <c r="O284" s="587"/>
      <c r="P284" s="599"/>
      <c r="Q284" s="1144" t="str">
        <f>IF(OR($O284=$M284,$O284=0,$O284=""),"","*CHECK!*")</f>
        <v/>
      </c>
      <c r="R284" s="1140" t="s">
        <v>4775</v>
      </c>
    </row>
    <row r="285" spans="1:21" ht="2.25" customHeight="1">
      <c r="A285" s="576"/>
      <c r="B285" s="986"/>
      <c r="C285" s="474"/>
      <c r="E285" s="119"/>
      <c r="M285" s="1323"/>
      <c r="N285" s="1318"/>
      <c r="O285" s="985"/>
      <c r="P285" s="985"/>
    </row>
    <row r="286" spans="1:21" s="43" customFormat="1" ht="14.4">
      <c r="A286" s="42"/>
      <c r="B286" s="86" t="s">
        <v>1820</v>
      </c>
      <c r="C286" s="42"/>
      <c r="D286" s="86"/>
      <c r="E286" s="2098"/>
      <c r="F286" s="2098"/>
      <c r="G286" s="2098"/>
      <c r="H286" s="2098"/>
      <c r="I286" s="2098"/>
      <c r="J286" s="2098"/>
      <c r="K286" s="2098"/>
      <c r="L286" s="2098"/>
      <c r="M286" s="2098"/>
      <c r="N286" s="74"/>
      <c r="O286" s="70"/>
      <c r="P286" s="2095"/>
      <c r="Q286" s="485"/>
    </row>
    <row r="287" spans="1:21" s="43" customFormat="1" ht="11.25" customHeight="1">
      <c r="A287" s="3883"/>
      <c r="B287" s="3884"/>
      <c r="C287" s="3884"/>
      <c r="D287" s="3884"/>
      <c r="E287" s="3884"/>
      <c r="F287" s="3884"/>
      <c r="G287" s="3884"/>
      <c r="H287" s="3884"/>
      <c r="I287" s="3884"/>
      <c r="J287" s="3884"/>
      <c r="K287" s="3884"/>
      <c r="L287" s="3884"/>
      <c r="M287" s="3884"/>
      <c r="N287" s="3884"/>
      <c r="O287" s="3884"/>
      <c r="P287" s="3885"/>
      <c r="Q287" s="503"/>
    </row>
    <row r="288" spans="1:21" s="43" customFormat="1" ht="10.199999999999999" customHeight="1" thickBot="1">
      <c r="A288" s="42"/>
      <c r="D288" s="39"/>
      <c r="E288" s="36"/>
      <c r="F288" s="985"/>
      <c r="G288" s="985"/>
      <c r="H288" s="985"/>
      <c r="I288" s="985"/>
      <c r="J288" s="995"/>
      <c r="K288" s="995"/>
      <c r="L288" s="995"/>
      <c r="M288" s="60"/>
      <c r="N288" s="985"/>
      <c r="O288" s="2097"/>
      <c r="P288" s="3"/>
    </row>
    <row r="289" spans="1:27" s="104" customFormat="1" ht="12.6" customHeight="1" thickBot="1">
      <c r="A289" s="156" t="s">
        <v>357</v>
      </c>
      <c r="B289" s="108" t="s">
        <v>3753</v>
      </c>
      <c r="C289" s="93"/>
      <c r="D289" s="59"/>
      <c r="E289" s="59"/>
      <c r="H289" s="191"/>
      <c r="I289" s="2119" t="s">
        <v>3611</v>
      </c>
      <c r="M289" s="1435">
        <v>10</v>
      </c>
      <c r="N289" s="7"/>
      <c r="O289" s="1285">
        <f>IF(OR(O189&gt;0,O261&gt;0),0,IF(OR(O290="Yes",O291="Yes"),$M$289,0))</f>
        <v>0</v>
      </c>
      <c r="P289" s="1285">
        <f>IF(OR(P189&gt;0,P261&gt;0),0,IF(OR(P290="Yes",P291="Yes"),$M$289,0))</f>
        <v>0</v>
      </c>
      <c r="Q289" s="111" t="s">
        <v>433</v>
      </c>
      <c r="R289" s="4173" t="s">
        <v>4773</v>
      </c>
      <c r="S289" s="4173"/>
      <c r="T289" s="4173"/>
      <c r="U289" s="4173"/>
      <c r="V289" s="4173"/>
    </row>
    <row r="290" spans="1:27" ht="11.25" customHeight="1">
      <c r="A290" s="1436" t="s">
        <v>1936</v>
      </c>
      <c r="B290" s="1326" t="s">
        <v>3604</v>
      </c>
      <c r="D290" s="700"/>
      <c r="E290" s="700"/>
      <c r="F290" s="700"/>
      <c r="G290" s="700"/>
      <c r="H290" s="700"/>
      <c r="I290" s="700"/>
      <c r="J290" s="700"/>
      <c r="K290" s="700"/>
      <c r="L290" s="1155"/>
      <c r="M290" s="3871" t="str">
        <f>IF(OR(SUM(T290:T291)&gt;1,SUM(Q290:Q291)&gt;1),"Only one category can be met by other means!","")</f>
        <v/>
      </c>
      <c r="N290" s="518" t="s">
        <v>1936</v>
      </c>
      <c r="O290" s="236"/>
      <c r="P290" s="603"/>
      <c r="Q290" s="1171">
        <f>IF(L290="Yes",1,0)</f>
        <v>0</v>
      </c>
      <c r="R290" s="4173"/>
      <c r="S290" s="4173"/>
      <c r="T290" s="4173"/>
      <c r="U290" s="4173"/>
      <c r="V290" s="4173"/>
    </row>
    <row r="291" spans="1:27" ht="11.25" customHeight="1">
      <c r="A291" s="1436" t="s">
        <v>1938</v>
      </c>
      <c r="B291" s="1326" t="s">
        <v>3605</v>
      </c>
      <c r="D291" s="700"/>
      <c r="L291" s="1155"/>
      <c r="M291" s="3871"/>
      <c r="N291" s="518" t="s">
        <v>1938</v>
      </c>
      <c r="O291" s="237"/>
      <c r="P291" s="605"/>
      <c r="Q291" s="1171">
        <f>IF(L291="Yes",1,0)</f>
        <v>0</v>
      </c>
      <c r="R291" s="4173"/>
      <c r="S291" s="4173"/>
      <c r="T291" s="4173"/>
      <c r="U291" s="4173"/>
      <c r="V291" s="4173"/>
    </row>
    <row r="292" spans="1:27" s="43" customFormat="1" ht="10.5" customHeight="1" thickBot="1">
      <c r="A292" s="42"/>
      <c r="B292" s="1422" t="s">
        <v>3572</v>
      </c>
      <c r="C292" s="42"/>
      <c r="D292" s="48"/>
      <c r="E292" s="48"/>
      <c r="F292" s="48"/>
      <c r="G292" s="48"/>
      <c r="H292" s="36"/>
      <c r="I292" s="36"/>
      <c r="J292" s="36"/>
      <c r="K292" s="36"/>
      <c r="M292" s="46"/>
      <c r="N292" s="62"/>
      <c r="O292" s="3"/>
      <c r="P292" s="1437"/>
      <c r="R292" s="4173"/>
      <c r="S292" s="4173"/>
      <c r="T292" s="4173"/>
      <c r="U292" s="4173"/>
      <c r="V292" s="4173"/>
    </row>
    <row r="293" spans="1:27" s="43" customFormat="1" ht="34.799999999999997" customHeight="1" thickTop="1" thickBot="1">
      <c r="A293" s="3872"/>
      <c r="B293" s="3873"/>
      <c r="C293" s="3873"/>
      <c r="D293" s="3873"/>
      <c r="E293" s="3873"/>
      <c r="F293" s="3873"/>
      <c r="G293" s="3873"/>
      <c r="H293" s="3873"/>
      <c r="I293" s="3873"/>
      <c r="J293" s="3873"/>
      <c r="K293" s="3873"/>
      <c r="L293" s="3873"/>
      <c r="M293" s="3873"/>
      <c r="N293" s="3873"/>
      <c r="O293" s="3873"/>
      <c r="P293" s="3874"/>
      <c r="Q293" s="1250" t="s">
        <v>1228</v>
      </c>
    </row>
    <row r="294" spans="1:27" s="43" customFormat="1" ht="10.5" customHeight="1" thickTop="1">
      <c r="A294" s="42"/>
      <c r="B294" s="86" t="s">
        <v>1820</v>
      </c>
      <c r="C294" s="42"/>
      <c r="D294" s="86"/>
      <c r="E294" s="1438"/>
      <c r="F294" s="1438"/>
      <c r="G294" s="1438"/>
      <c r="H294" s="1438"/>
      <c r="I294" s="1438"/>
      <c r="J294" s="1438"/>
      <c r="K294" s="1438"/>
      <c r="L294" s="1438"/>
      <c r="M294" s="1438"/>
      <c r="N294" s="74"/>
      <c r="O294" s="70"/>
      <c r="P294" s="1435"/>
      <c r="Q294" s="485"/>
    </row>
    <row r="295" spans="1:27" s="43" customFormat="1" ht="11.25" customHeight="1">
      <c r="A295" s="3883"/>
      <c r="B295" s="3884"/>
      <c r="C295" s="3884"/>
      <c r="D295" s="3884"/>
      <c r="E295" s="3884"/>
      <c r="F295" s="3884"/>
      <c r="G295" s="3884"/>
      <c r="H295" s="3884"/>
      <c r="I295" s="3884"/>
      <c r="J295" s="3884"/>
      <c r="K295" s="3884"/>
      <c r="L295" s="3884"/>
      <c r="M295" s="3884"/>
      <c r="N295" s="3884"/>
      <c r="O295" s="3884"/>
      <c r="P295" s="3885"/>
      <c r="Q295" s="503"/>
    </row>
    <row r="296" spans="1:27" s="43" customFormat="1" ht="15" thickBot="1">
      <c r="A296" s="42"/>
      <c r="D296" s="39"/>
      <c r="E296" s="36"/>
      <c r="F296" s="985"/>
      <c r="G296" s="985"/>
      <c r="H296" s="985"/>
      <c r="I296" s="985"/>
      <c r="J296" s="995"/>
      <c r="K296" s="995"/>
      <c r="L296" s="995"/>
      <c r="M296" s="60"/>
      <c r="N296" s="985"/>
      <c r="O296" s="1437"/>
      <c r="P296" s="3"/>
    </row>
    <row r="297" spans="1:27" s="43" customFormat="1" ht="12" customHeight="1" thickBot="1">
      <c r="A297" s="156" t="s">
        <v>358</v>
      </c>
      <c r="B297" s="107" t="s">
        <v>4727</v>
      </c>
      <c r="D297" s="41"/>
      <c r="E297" s="41"/>
      <c r="F297" s="41"/>
      <c r="H297" s="61"/>
      <c r="J297" s="87" t="s">
        <v>2703</v>
      </c>
      <c r="K297" s="48"/>
      <c r="L297" s="699" t="str">
        <f>'Part I-Project Information'!$H$105</f>
        <v>N/A - 4% Bond</v>
      </c>
      <c r="M297" s="1435">
        <v>3</v>
      </c>
      <c r="N297" s="6"/>
      <c r="O297" s="1348">
        <f>IF(AND($L$297="Flexible", $J$298="Yes- w/Master Plan",O299="Yes",O302="Yes",O303="No",O304="Yes",O305="Yes",O306="Yes"),$M297,0)</f>
        <v>0</v>
      </c>
      <c r="P297" s="1348">
        <f>IF(AND($L$297="Flexible", $J$298="Yes- w/Master Plan",P299="Yes",P302="Yes",P303="No",P304="Yes",P305="Yes",P306="Yes"),$M297,0)</f>
        <v>0</v>
      </c>
      <c r="Q297" s="111" t="s">
        <v>433</v>
      </c>
      <c r="R297" s="3898" t="s">
        <v>4585</v>
      </c>
      <c r="S297" s="3898"/>
      <c r="T297" s="3898"/>
      <c r="U297" s="3898"/>
      <c r="V297" s="3898"/>
      <c r="W297" s="2263"/>
      <c r="X297" s="2263"/>
    </row>
    <row r="298" spans="1:27" ht="11.25" customHeight="1">
      <c r="A298" s="1436"/>
      <c r="B298" s="2122" t="s">
        <v>4629</v>
      </c>
      <c r="D298" s="33"/>
      <c r="E298" s="33"/>
      <c r="F298" s="33"/>
      <c r="H298" s="87" t="s">
        <v>3511</v>
      </c>
      <c r="I298" s="490"/>
      <c r="J298" s="3887" t="str">
        <f>'Part I-Project Information'!$O$34</f>
        <v>No</v>
      </c>
      <c r="K298" s="3887"/>
      <c r="L298" s="1036">
        <f>'Part I-Project Information'!$O$35</f>
        <v>0</v>
      </c>
      <c r="M298" s="72"/>
      <c r="N298" s="72"/>
      <c r="O298" s="72"/>
      <c r="P298" s="72"/>
      <c r="Q298" s="1144" t="str">
        <f>IF(OR($O298=$M298,$O298=0,$O298=""),"","*CHECK!*")</f>
        <v/>
      </c>
      <c r="R298" s="3898"/>
      <c r="S298" s="3898"/>
      <c r="T298" s="3898"/>
      <c r="U298" s="3898"/>
      <c r="V298" s="3898"/>
    </row>
    <row r="299" spans="1:27" s="102" customFormat="1" ht="22.5" customHeight="1">
      <c r="A299" s="498" t="s">
        <v>1936</v>
      </c>
      <c r="B299" s="3879" t="s">
        <v>4628</v>
      </c>
      <c r="C299" s="3879"/>
      <c r="D299" s="3879"/>
      <c r="E299" s="3879"/>
      <c r="F299" s="3879"/>
      <c r="G299" s="3879"/>
      <c r="H299" s="3879"/>
      <c r="I299" s="3879"/>
      <c r="J299" s="3879"/>
      <c r="K299" s="3879"/>
      <c r="L299" s="3879"/>
      <c r="M299" s="3879"/>
      <c r="N299" s="165" t="s">
        <v>1936</v>
      </c>
      <c r="O299" s="1371"/>
      <c r="P299" s="1372"/>
      <c r="Q299" s="3891" t="s">
        <v>4630</v>
      </c>
      <c r="R299" s="3892"/>
      <c r="S299" s="3892"/>
      <c r="T299" s="3892"/>
      <c r="U299" s="1148"/>
      <c r="V299" s="1148"/>
      <c r="W299" s="1148"/>
      <c r="X299" s="1148"/>
      <c r="Y299" s="1148"/>
      <c r="Z299" s="1148"/>
      <c r="AA299" s="1148"/>
    </row>
    <row r="300" spans="1:27" s="120" customFormat="1" ht="11.25" customHeight="1">
      <c r="A300" s="429"/>
      <c r="B300" s="137" t="s">
        <v>3617</v>
      </c>
      <c r="I300" s="443" t="s">
        <v>4333</v>
      </c>
      <c r="J300" s="1813"/>
      <c r="K300" s="443" t="s">
        <v>599</v>
      </c>
      <c r="L300" s="3888"/>
      <c r="M300" s="3889"/>
      <c r="N300" s="3889"/>
      <c r="O300" s="3889"/>
      <c r="P300" s="3890"/>
      <c r="Q300" s="3891"/>
      <c r="R300" s="3892"/>
      <c r="S300" s="3892"/>
      <c r="T300" s="3892"/>
    </row>
    <row r="301" spans="1:27" s="120" customFormat="1" ht="11.25" customHeight="1">
      <c r="A301" s="429"/>
      <c r="B301" s="137" t="s">
        <v>3648</v>
      </c>
      <c r="I301" s="443" t="s">
        <v>4333</v>
      </c>
      <c r="J301" s="1814"/>
      <c r="K301" s="443" t="s">
        <v>599</v>
      </c>
      <c r="L301" s="3875"/>
      <c r="M301" s="3876"/>
      <c r="N301" s="3876"/>
      <c r="O301" s="3876"/>
      <c r="P301" s="3877"/>
      <c r="Q301" s="3891"/>
      <c r="R301" s="3892"/>
      <c r="S301" s="3892"/>
      <c r="T301" s="3892"/>
    </row>
    <row r="302" spans="1:27" s="120" customFormat="1" ht="11.25" customHeight="1">
      <c r="A302" s="429" t="s">
        <v>1938</v>
      </c>
      <c r="B302" s="120" t="s">
        <v>941</v>
      </c>
      <c r="M302" s="7"/>
      <c r="N302" s="518" t="s">
        <v>1938</v>
      </c>
      <c r="O302" s="1139"/>
      <c r="P302" s="1050"/>
      <c r="Q302" s="3891"/>
      <c r="R302" s="3892"/>
      <c r="S302" s="3892"/>
      <c r="T302" s="3892"/>
    </row>
    <row r="303" spans="1:27" s="120" customFormat="1" ht="11.25" customHeight="1">
      <c r="A303" s="429" t="s">
        <v>731</v>
      </c>
      <c r="B303" s="120" t="s">
        <v>942</v>
      </c>
      <c r="M303" s="7"/>
      <c r="N303" s="518" t="s">
        <v>731</v>
      </c>
      <c r="O303" s="419"/>
      <c r="P303" s="604"/>
      <c r="Q303" s="3891"/>
      <c r="R303" s="3892"/>
      <c r="S303" s="3892"/>
      <c r="T303" s="3892"/>
    </row>
    <row r="304" spans="1:27" s="120" customFormat="1" ht="22.5" customHeight="1">
      <c r="A304" s="498" t="s">
        <v>2065</v>
      </c>
      <c r="B304" s="3879" t="s">
        <v>4631</v>
      </c>
      <c r="C304" s="3879"/>
      <c r="D304" s="3879"/>
      <c r="E304" s="3879"/>
      <c r="F304" s="3879"/>
      <c r="G304" s="3879"/>
      <c r="H304" s="3879"/>
      <c r="I304" s="3879"/>
      <c r="J304" s="3879"/>
      <c r="K304" s="3879"/>
      <c r="L304" s="3879"/>
      <c r="M304" s="3879"/>
      <c r="N304" s="165" t="s">
        <v>2065</v>
      </c>
      <c r="O304" s="2125"/>
      <c r="P304" s="2124"/>
      <c r="Q304" s="3891"/>
      <c r="R304" s="3892"/>
      <c r="S304" s="3892"/>
      <c r="T304" s="3892"/>
    </row>
    <row r="305" spans="1:24" s="120" customFormat="1" ht="11.25" customHeight="1">
      <c r="A305" s="429" t="s">
        <v>1692</v>
      </c>
      <c r="B305" s="137" t="s">
        <v>4334</v>
      </c>
      <c r="M305" s="7"/>
      <c r="N305" s="518" t="s">
        <v>1692</v>
      </c>
      <c r="O305" s="237"/>
      <c r="P305" s="605"/>
      <c r="Q305" s="3891"/>
      <c r="R305" s="3892"/>
      <c r="S305" s="3892"/>
      <c r="T305" s="3892"/>
    </row>
    <row r="306" spans="1:24" s="120" customFormat="1" ht="11.25" customHeight="1">
      <c r="A306" s="429" t="s">
        <v>1693</v>
      </c>
      <c r="B306" s="120" t="s">
        <v>943</v>
      </c>
      <c r="M306" s="7"/>
      <c r="N306" s="518" t="s">
        <v>1693</v>
      </c>
      <c r="O306" s="237"/>
      <c r="P306" s="605"/>
      <c r="Q306" s="3891"/>
      <c r="R306" s="3892"/>
      <c r="S306" s="3892"/>
      <c r="T306" s="3892"/>
    </row>
    <row r="307" spans="1:24" s="43" customFormat="1" ht="10.5" customHeight="1" thickBot="1">
      <c r="A307" s="42"/>
      <c r="B307" s="1422" t="s">
        <v>3572</v>
      </c>
      <c r="C307" s="42"/>
      <c r="D307" s="48"/>
      <c r="E307" s="48"/>
      <c r="F307" s="48"/>
      <c r="G307" s="48"/>
      <c r="H307" s="36"/>
      <c r="I307" s="36"/>
      <c r="J307" s="36"/>
      <c r="K307" s="36"/>
      <c r="M307" s="46"/>
      <c r="N307" s="62"/>
      <c r="O307" s="3"/>
      <c r="P307" s="1488"/>
    </row>
    <row r="308" spans="1:24" s="43" customFormat="1" ht="21.75" customHeight="1" thickTop="1" thickBot="1">
      <c r="A308" s="3872"/>
      <c r="B308" s="3873"/>
      <c r="C308" s="3873"/>
      <c r="D308" s="3873"/>
      <c r="E308" s="3873"/>
      <c r="F308" s="3873"/>
      <c r="G308" s="3873"/>
      <c r="H308" s="3873"/>
      <c r="I308" s="3873"/>
      <c r="J308" s="3873"/>
      <c r="K308" s="3873"/>
      <c r="L308" s="3873"/>
      <c r="M308" s="3873"/>
      <c r="N308" s="3873"/>
      <c r="O308" s="3873"/>
      <c r="P308" s="3874"/>
      <c r="Q308" s="1250" t="s">
        <v>1228</v>
      </c>
    </row>
    <row r="309" spans="1:24" s="43" customFormat="1" ht="10.5" customHeight="1" thickTop="1">
      <c r="B309" s="86" t="s">
        <v>1820</v>
      </c>
      <c r="C309" s="100"/>
      <c r="D309" s="86"/>
      <c r="E309" s="101"/>
      <c r="F309" s="1438"/>
      <c r="G309" s="1438"/>
      <c r="H309" s="1438"/>
      <c r="I309" s="1438"/>
      <c r="J309" s="1438"/>
      <c r="K309" s="1438"/>
      <c r="L309" s="1438"/>
      <c r="M309" s="1438"/>
      <c r="N309" s="74"/>
      <c r="O309" s="70"/>
      <c r="P309" s="1435"/>
      <c r="Q309" s="485"/>
    </row>
    <row r="310" spans="1:24" s="43" customFormat="1" ht="11.25" customHeight="1">
      <c r="A310" s="3699"/>
      <c r="B310" s="3700"/>
      <c r="C310" s="3700"/>
      <c r="D310" s="3700"/>
      <c r="E310" s="3700"/>
      <c r="F310" s="3700"/>
      <c r="G310" s="3700"/>
      <c r="H310" s="3700"/>
      <c r="I310" s="3700"/>
      <c r="J310" s="3700"/>
      <c r="K310" s="3700"/>
      <c r="L310" s="3700"/>
      <c r="M310" s="3700"/>
      <c r="N310" s="3700"/>
      <c r="O310" s="3700"/>
      <c r="P310" s="3701"/>
      <c r="Q310" s="503"/>
    </row>
    <row r="311" spans="1:24" s="43" customFormat="1" ht="10.8" customHeight="1" thickBot="1">
      <c r="A311" s="42"/>
      <c r="D311" s="39"/>
      <c r="E311" s="36"/>
      <c r="F311" s="985"/>
      <c r="G311" s="985"/>
      <c r="H311" s="985"/>
      <c r="I311" s="985"/>
      <c r="J311" s="995"/>
      <c r="K311" s="995"/>
      <c r="L311" s="995"/>
      <c r="M311" s="60"/>
      <c r="N311" s="985"/>
      <c r="O311" s="2097"/>
      <c r="P311" s="3"/>
    </row>
    <row r="312" spans="1:24" s="43" customFormat="1" ht="12" customHeight="1" thickBot="1">
      <c r="A312" s="156" t="s">
        <v>1683</v>
      </c>
      <c r="B312" s="107" t="s">
        <v>4614</v>
      </c>
      <c r="D312" s="41"/>
      <c r="E312" s="41"/>
      <c r="F312" s="61" t="s">
        <v>3281</v>
      </c>
      <c r="H312" s="116" t="s">
        <v>4632</v>
      </c>
      <c r="I312" s="33"/>
      <c r="J312" s="987" t="str">
        <f>'Part I-Project Information'!F39</f>
        <v>Consolidated Government</v>
      </c>
      <c r="M312" s="2095">
        <v>5</v>
      </c>
      <c r="N312" s="6"/>
      <c r="O312" s="1285">
        <f>IF(O297&gt;0,0,MIN($M$312,MAX(O314,O318)))</f>
        <v>0</v>
      </c>
      <c r="P312" s="1285">
        <f>IF(P297&gt;0,0,MIN($M$312,MAX(P314,P318)))</f>
        <v>0</v>
      </c>
      <c r="Q312" s="111" t="s">
        <v>433</v>
      </c>
      <c r="R312" s="4171" t="s">
        <v>4585</v>
      </c>
      <c r="S312" s="4171"/>
      <c r="T312" s="4171"/>
      <c r="U312" s="4171"/>
      <c r="V312" s="4171"/>
      <c r="W312" s="2263"/>
      <c r="X312" s="2263"/>
    </row>
    <row r="313" spans="1:24" s="33" customFormat="1" ht="11.25" customHeight="1">
      <c r="A313" s="2096" t="s">
        <v>1936</v>
      </c>
      <c r="B313" s="196" t="s">
        <v>4636</v>
      </c>
      <c r="D313" s="657"/>
      <c r="J313" s="2126" t="str">
        <f>CONCATENATE('Part I-Project Information'!F38,", ",'Part I-Project Information'!J39)</f>
        <v>Augusta, Richmond</v>
      </c>
      <c r="R313" s="4171"/>
      <c r="S313" s="4171"/>
      <c r="T313" s="4171"/>
      <c r="U313" s="4171"/>
      <c r="V313" s="4171"/>
    </row>
    <row r="314" spans="1:24" s="33" customFormat="1" ht="36" customHeight="1">
      <c r="A314" s="2096"/>
      <c r="B314" s="3897" t="s">
        <v>4644</v>
      </c>
      <c r="C314" s="3897"/>
      <c r="D314" s="3897"/>
      <c r="E314" s="3897"/>
      <c r="F314" s="3897"/>
      <c r="G314" s="3897"/>
      <c r="H314" s="3897"/>
      <c r="I314" s="3897"/>
      <c r="J314" s="3897"/>
      <c r="K314" s="3897"/>
      <c r="L314" s="3897"/>
      <c r="M314" s="2128">
        <v>5</v>
      </c>
      <c r="N314" s="165" t="s">
        <v>1936</v>
      </c>
      <c r="O314" s="2129">
        <f>IF(AND(O315&gt;0,O316&gt;0),"Choose!",IF(O315&gt;0, $M$315,IF(O316&gt;0, $M$316, 0)))</f>
        <v>0</v>
      </c>
      <c r="P314" s="2129">
        <f>IF(AND(P315&gt;0,P316&gt;0),"Choose!",IF(P315&gt;0, $M$315,IF(P316&gt;0, $M$316, 0)))</f>
        <v>0</v>
      </c>
      <c r="R314" s="4171"/>
      <c r="S314" s="4171"/>
      <c r="T314" s="4171"/>
      <c r="U314" s="4171"/>
      <c r="V314" s="4171"/>
    </row>
    <row r="315" spans="1:24" s="33" customFormat="1" ht="11.25" customHeight="1">
      <c r="B315" s="986" t="s">
        <v>1939</v>
      </c>
      <c r="C315" s="655" t="s">
        <v>4634</v>
      </c>
      <c r="L315" s="431" t="str">
        <f>IF(OR($O315=$M315,$O315=0,$O315=""),"","* * Check Score! * *")</f>
        <v/>
      </c>
      <c r="M315" s="72">
        <v>5</v>
      </c>
      <c r="N315" s="493" t="s">
        <v>1939</v>
      </c>
      <c r="O315" s="585"/>
      <c r="P315" s="597"/>
      <c r="Q315" s="1144" t="str">
        <f>IF(OR($O315=$M315,$O315=0,$O315=""),"","*CHECK!*")</f>
        <v/>
      </c>
      <c r="R315" s="1140" t="s">
        <v>4775</v>
      </c>
    </row>
    <row r="316" spans="1:24" ht="11.25" customHeight="1">
      <c r="A316" s="656"/>
      <c r="B316" s="658" t="s">
        <v>1941</v>
      </c>
      <c r="C316" s="497" t="s">
        <v>4635</v>
      </c>
      <c r="D316" s="33"/>
      <c r="E316" s="33"/>
      <c r="F316" s="33"/>
      <c r="G316" s="40"/>
      <c r="H316" s="61"/>
      <c r="I316" s="40"/>
      <c r="L316" s="431" t="str">
        <f>IF(OR($O316=$M316,$O316=0,$O316=""),"","* * Check Score! * *")</f>
        <v/>
      </c>
      <c r="M316" s="81">
        <v>4</v>
      </c>
      <c r="N316" s="990" t="s">
        <v>1941</v>
      </c>
      <c r="O316" s="587"/>
      <c r="P316" s="599"/>
      <c r="Q316" s="1144" t="str">
        <f>IF(OR($O316=$M316,$O316=0,$O316=""),"","*CHECK!*")</f>
        <v/>
      </c>
      <c r="R316" s="1140" t="s">
        <v>4775</v>
      </c>
    </row>
    <row r="317" spans="1:24" s="33" customFormat="1" ht="11.25" customHeight="1">
      <c r="A317" s="2096" t="s">
        <v>1938</v>
      </c>
      <c r="B317" s="196" t="s">
        <v>4637</v>
      </c>
      <c r="D317" s="657"/>
      <c r="F317" s="2127" t="s">
        <v>4633</v>
      </c>
      <c r="H317" s="87" t="s">
        <v>2703</v>
      </c>
      <c r="I317" s="43"/>
      <c r="J317" s="699" t="str">
        <f>'Part I-Project Information'!$H$105</f>
        <v>N/A - 4% Bond</v>
      </c>
    </row>
    <row r="318" spans="1:24" s="33" customFormat="1" ht="11.25" customHeight="1">
      <c r="A318" s="2096"/>
      <c r="B318" s="989" t="s">
        <v>4645</v>
      </c>
      <c r="D318" s="657"/>
      <c r="H318" s="61"/>
      <c r="M318" s="653">
        <v>3</v>
      </c>
      <c r="N318" s="518" t="s">
        <v>1938</v>
      </c>
      <c r="O318" s="992">
        <f>IF(OR(AND(O319&gt;0,O320&gt;0), AND(O322&gt;0,O323&gt;0), AND(O319+O320&gt;0,O322+O323&gt;0)),"choose", IF(AND($J$317="Rural", SUM(O322:O323)&gt;0),"Not 3 or 4!",MIN($M$318, SUM(O319:O323))))</f>
        <v>0</v>
      </c>
      <c r="P318" s="992">
        <f>IF(OR(AND(P319&gt;0,P320&gt;0), AND(P322&gt;0,P323&gt;0), AND(P319+P320&gt;0,P322+P323&gt;0)),"choose", IF(AND($J$317="Rural", SUM(P322:P323)&gt;0),"Not 3 or 4!",MIN($M$318, SUM(P319:P323))))</f>
        <v>0</v>
      </c>
    </row>
    <row r="319" spans="1:24" s="33" customFormat="1" ht="11.25" customHeight="1">
      <c r="B319" s="986" t="s">
        <v>1939</v>
      </c>
      <c r="C319" s="655" t="s">
        <v>4639</v>
      </c>
      <c r="J319" s="2130" t="s">
        <v>4638</v>
      </c>
      <c r="L319" s="4182" t="str">
        <f>IF(OR(AND(O319&gt;0,O320&gt;0), AND(O322&gt;0,O323&gt;0), AND(O319+O320&gt;0,O322+O323&gt;0)),"Choose option 1 or 2 or 3 or 4!!!",IF(AND(J317="Rural", SUM(O322:O323)&gt;0),"Cannot choose options 3 or 4 if in Rural Pool!!!",""))</f>
        <v/>
      </c>
      <c r="M319" s="72">
        <v>3</v>
      </c>
      <c r="N319" s="493" t="s">
        <v>1939</v>
      </c>
      <c r="O319" s="585"/>
      <c r="P319" s="597"/>
      <c r="Q319" s="1144" t="str">
        <f>IF(OR($O319=$M319,$O319=0,$O319=""),"","*CHECK!*")</f>
        <v/>
      </c>
      <c r="R319" s="1140" t="s">
        <v>4775</v>
      </c>
    </row>
    <row r="320" spans="1:24" ht="11.25" customHeight="1">
      <c r="A320" s="656"/>
      <c r="B320" s="658" t="s">
        <v>1941</v>
      </c>
      <c r="C320" s="497" t="s">
        <v>4640</v>
      </c>
      <c r="D320" s="33"/>
      <c r="E320" s="33"/>
      <c r="F320" s="33"/>
      <c r="G320" s="40"/>
      <c r="H320" s="991"/>
      <c r="I320" s="40"/>
      <c r="J320" s="2130" t="s">
        <v>4638</v>
      </c>
      <c r="K320" s="2131"/>
      <c r="L320" s="4182"/>
      <c r="M320" s="81">
        <v>2</v>
      </c>
      <c r="N320" s="990" t="s">
        <v>1941</v>
      </c>
      <c r="O320" s="587"/>
      <c r="P320" s="599"/>
      <c r="Q320" s="1144" t="str">
        <f>IF(OR($O320=$M320,$O320=0,$O320=""),"","*CHECK!*")</f>
        <v/>
      </c>
      <c r="R320" s="1140" t="s">
        <v>4775</v>
      </c>
    </row>
    <row r="321" spans="1:21" ht="22.5" customHeight="1">
      <c r="A321" s="656"/>
      <c r="B321" s="3896" t="s">
        <v>4643</v>
      </c>
      <c r="C321" s="3896"/>
      <c r="D321" s="3896"/>
      <c r="E321" s="3896"/>
      <c r="F321" s="3896"/>
      <c r="G321" s="3896"/>
      <c r="H321" s="3896"/>
      <c r="I321" s="3896"/>
      <c r="J321" s="3896"/>
      <c r="K321" s="3896"/>
      <c r="L321" s="4182"/>
      <c r="M321" s="81"/>
      <c r="N321" s="81"/>
      <c r="O321" s="81"/>
      <c r="P321" s="81"/>
      <c r="Q321" s="1144"/>
      <c r="R321" s="1283"/>
    </row>
    <row r="322" spans="1:21" ht="11.25" customHeight="1">
      <c r="A322" s="656"/>
      <c r="B322" s="658" t="s">
        <v>2468</v>
      </c>
      <c r="C322" s="655" t="s">
        <v>4641</v>
      </c>
      <c r="D322" s="33"/>
      <c r="E322" s="33"/>
      <c r="F322" s="33"/>
      <c r="G322" s="40"/>
      <c r="H322" s="991"/>
      <c r="I322" s="40"/>
      <c r="K322" s="2131"/>
      <c r="L322" s="4182"/>
      <c r="M322" s="81">
        <v>3</v>
      </c>
      <c r="N322" s="990" t="s">
        <v>2468</v>
      </c>
      <c r="O322" s="2132"/>
      <c r="P322" s="2133"/>
      <c r="Q322" s="1144" t="str">
        <f>IF(OR($O322=$M322,$O322=0,$O322=""),"","*CHECK!*")</f>
        <v/>
      </c>
      <c r="R322" s="1140" t="s">
        <v>4775</v>
      </c>
    </row>
    <row r="323" spans="1:21" ht="11.25" customHeight="1">
      <c r="A323" s="656"/>
      <c r="B323" s="658" t="s">
        <v>1198</v>
      </c>
      <c r="C323" s="497" t="s">
        <v>4642</v>
      </c>
      <c r="D323" s="33"/>
      <c r="E323" s="33"/>
      <c r="F323" s="33"/>
      <c r="G323" s="40"/>
      <c r="H323" s="61"/>
      <c r="I323" s="40"/>
      <c r="K323" s="2131"/>
      <c r="L323" s="4182"/>
      <c r="M323" s="81">
        <v>2</v>
      </c>
      <c r="N323" s="990" t="s">
        <v>1198</v>
      </c>
      <c r="O323" s="587"/>
      <c r="P323" s="599"/>
      <c r="Q323" s="1144" t="str">
        <f>IF(OR($O323=$M323,$O323=0,$O323=""),"","*CHECK!*")</f>
        <v/>
      </c>
      <c r="R323" s="1140" t="s">
        <v>4775</v>
      </c>
    </row>
    <row r="324" spans="1:21" s="43" customFormat="1" ht="10.5" customHeight="1" thickBot="1">
      <c r="A324" s="42"/>
      <c r="B324" s="1422" t="s">
        <v>3572</v>
      </c>
      <c r="C324" s="42"/>
      <c r="D324" s="48"/>
      <c r="E324" s="48"/>
      <c r="F324" s="48"/>
      <c r="G324" s="48"/>
      <c r="H324" s="36"/>
      <c r="I324" s="36"/>
      <c r="J324" s="36"/>
      <c r="K324" s="36"/>
      <c r="M324" s="46"/>
      <c r="N324" s="62"/>
      <c r="O324" s="3"/>
      <c r="P324" s="2097"/>
    </row>
    <row r="325" spans="1:21" s="43" customFormat="1" ht="21.75" customHeight="1" thickTop="1" thickBot="1">
      <c r="A325" s="3872"/>
      <c r="B325" s="3873"/>
      <c r="C325" s="3873"/>
      <c r="D325" s="3873"/>
      <c r="E325" s="3873"/>
      <c r="F325" s="3873"/>
      <c r="G325" s="3873"/>
      <c r="H325" s="3873"/>
      <c r="I325" s="3873"/>
      <c r="J325" s="3873"/>
      <c r="K325" s="3873"/>
      <c r="L325" s="3873"/>
      <c r="M325" s="3873"/>
      <c r="N325" s="3873"/>
      <c r="O325" s="3873"/>
      <c r="P325" s="3874"/>
      <c r="Q325" s="1250" t="s">
        <v>1228</v>
      </c>
    </row>
    <row r="326" spans="1:21" s="43" customFormat="1" ht="10.5" customHeight="1" thickTop="1">
      <c r="B326" s="86" t="s">
        <v>1820</v>
      </c>
      <c r="C326" s="100"/>
      <c r="D326" s="86"/>
      <c r="E326" s="101"/>
      <c r="F326" s="2098"/>
      <c r="G326" s="2098"/>
      <c r="H326" s="2098"/>
      <c r="I326" s="2098"/>
      <c r="J326" s="2098"/>
      <c r="K326" s="2098"/>
      <c r="L326" s="2098"/>
      <c r="M326" s="2098"/>
      <c r="N326" s="74"/>
      <c r="O326" s="70"/>
      <c r="P326" s="2095"/>
      <c r="Q326" s="485"/>
    </row>
    <row r="327" spans="1:21" s="43" customFormat="1" ht="11.25" customHeight="1">
      <c r="A327" s="3699"/>
      <c r="B327" s="3700"/>
      <c r="C327" s="3700"/>
      <c r="D327" s="3700"/>
      <c r="E327" s="3700"/>
      <c r="F327" s="3700"/>
      <c r="G327" s="3700"/>
      <c r="H327" s="3700"/>
      <c r="I327" s="3700"/>
      <c r="J327" s="3700"/>
      <c r="K327" s="3700"/>
      <c r="L327" s="3700"/>
      <c r="M327" s="3700"/>
      <c r="N327" s="3700"/>
      <c r="O327" s="3700"/>
      <c r="P327" s="3701"/>
      <c r="Q327" s="503"/>
    </row>
    <row r="328" spans="1:21" ht="1.5" customHeight="1" thickBot="1">
      <c r="B328" s="119"/>
      <c r="C328" s="119"/>
      <c r="D328" s="119"/>
      <c r="E328" s="119"/>
      <c r="T328" s="1244"/>
      <c r="U328" s="1244"/>
    </row>
    <row r="329" spans="1:21" s="43" customFormat="1" ht="12" customHeight="1" thickBot="1">
      <c r="A329" s="157" t="s">
        <v>2691</v>
      </c>
      <c r="B329" s="108" t="s">
        <v>2729</v>
      </c>
      <c r="C329" s="54"/>
      <c r="D329" s="118"/>
      <c r="E329" s="118"/>
      <c r="F329" s="41"/>
      <c r="H329" s="40"/>
      <c r="J329" s="2245"/>
      <c r="K329" s="48"/>
      <c r="L329" s="518" t="s">
        <v>4776</v>
      </c>
      <c r="M329" s="1435">
        <v>4</v>
      </c>
      <c r="N329" s="6"/>
      <c r="O329" s="1285">
        <f>IF(AND(O330&gt;0,O334&gt;0),"AorB?",MIN($M329,SUM(O330,O334,O336)))</f>
        <v>0</v>
      </c>
      <c r="P329" s="1285">
        <f>IF(AND(P330&gt;0,P334&gt;0),"AorB?",MIN($M329,SUM(P330,P334,P336)))</f>
        <v>0</v>
      </c>
      <c r="Q329" s="111" t="s">
        <v>433</v>
      </c>
      <c r="T329" s="1244"/>
      <c r="U329" s="1244"/>
    </row>
    <row r="330" spans="1:21" s="104" customFormat="1" ht="11.25" customHeight="1">
      <c r="A330" s="141" t="s">
        <v>1936</v>
      </c>
      <c r="B330" s="183" t="s">
        <v>2177</v>
      </c>
      <c r="D330" s="61"/>
      <c r="E330" s="61"/>
      <c r="F330" s="44"/>
      <c r="G330" s="27"/>
      <c r="L330" s="431"/>
      <c r="M330" s="7">
        <v>3</v>
      </c>
      <c r="N330" s="518" t="s">
        <v>1936</v>
      </c>
      <c r="O330" s="1830">
        <f>IF(OR(AND(O331="Yes",O332="Yes",O333="Yes"),AND(O331="Yes",O333="Yes"),AND(O332="Yes",O333="Yes"),AND(O331="Yes",O332="Yes")),"choose",IF(O331="Yes",$M$331,IF(O332="Yes",$M$332, IF(O333="Yes",$M$333,0))))</f>
        <v>0</v>
      </c>
      <c r="P330" s="1830">
        <f>IF(OR(AND(P331="Yes",P332="Yes",P333="Yes"),AND(P331="Yes",P333="Yes"),AND(P332="Yes",P333="Yes"),AND(P331="Yes",P332="Yes")),"choose",IF(P331="Yes",$M$331,IF(P332="Yes",$M$332, IF(P333="Yes",$M$333,0))))</f>
        <v>0</v>
      </c>
      <c r="Q330" s="1144"/>
      <c r="R330" s="1283"/>
      <c r="T330" s="1244"/>
      <c r="U330" s="1244"/>
    </row>
    <row r="331" spans="1:21" s="104" customFormat="1" ht="11.25" customHeight="1">
      <c r="A331" s="141"/>
      <c r="B331" s="986" t="s">
        <v>1939</v>
      </c>
      <c r="C331" s="40" t="s">
        <v>4335</v>
      </c>
      <c r="D331" s="61"/>
      <c r="E331" s="61"/>
      <c r="F331" s="44"/>
      <c r="G331" s="27"/>
      <c r="L331" s="431"/>
      <c r="M331" s="7">
        <v>3</v>
      </c>
      <c r="N331" s="493" t="s">
        <v>1939</v>
      </c>
      <c r="O331" s="236"/>
      <c r="P331" s="603"/>
      <c r="Q331" s="1144"/>
      <c r="R331" s="1283"/>
      <c r="T331" s="1244"/>
      <c r="U331" s="1244"/>
    </row>
    <row r="332" spans="1:21" s="104" customFormat="1" ht="11.25" customHeight="1">
      <c r="A332" s="141"/>
      <c r="B332" s="658" t="s">
        <v>1941</v>
      </c>
      <c r="C332" s="40" t="s">
        <v>4336</v>
      </c>
      <c r="D332" s="61"/>
      <c r="E332" s="61"/>
      <c r="F332" s="44"/>
      <c r="G332" s="27"/>
      <c r="L332" s="431"/>
      <c r="M332" s="7">
        <v>2</v>
      </c>
      <c r="N332" s="990" t="s">
        <v>1941</v>
      </c>
      <c r="O332" s="419"/>
      <c r="P332" s="604"/>
      <c r="Q332" s="1144"/>
      <c r="R332" s="1283"/>
      <c r="T332" s="1244"/>
      <c r="U332" s="1244"/>
    </row>
    <row r="333" spans="1:21" s="104" customFormat="1" ht="10.5" customHeight="1">
      <c r="A333" s="141"/>
      <c r="B333" s="658" t="s">
        <v>2468</v>
      </c>
      <c r="C333" s="40" t="s">
        <v>4337</v>
      </c>
      <c r="D333" s="61"/>
      <c r="E333" s="61"/>
      <c r="F333" s="44"/>
      <c r="G333" s="27"/>
      <c r="K333" s="518"/>
      <c r="M333" s="7">
        <v>1</v>
      </c>
      <c r="N333" s="990" t="s">
        <v>2468</v>
      </c>
      <c r="O333" s="237"/>
      <c r="P333" s="605"/>
      <c r="R333" s="445"/>
      <c r="T333" s="1244"/>
      <c r="U333" s="1244"/>
    </row>
    <row r="334" spans="1:21" s="43" customFormat="1" ht="11.25" customHeight="1">
      <c r="A334" s="141" t="s">
        <v>1938</v>
      </c>
      <c r="B334" s="183" t="s">
        <v>4586</v>
      </c>
      <c r="D334" s="57"/>
      <c r="K334" s="52"/>
      <c r="L334" s="431" t="str">
        <f>IF(OR($O334=$M334,$O334=0,$O334=""),"","* * Check Score! * *")</f>
        <v/>
      </c>
      <c r="M334" s="7">
        <v>1</v>
      </c>
      <c r="N334" s="518" t="s">
        <v>1938</v>
      </c>
      <c r="O334" s="1360">
        <f>IF(O335="Yes",$M$334,0)</f>
        <v>0</v>
      </c>
      <c r="P334" s="1360">
        <f>IF(P335="Yes",$M$334,0)</f>
        <v>0</v>
      </c>
      <c r="Q334" s="1144" t="str">
        <f>IF(OR($O334=$M334,$O334=0,$O334=""),"","*CHECK!*")</f>
        <v/>
      </c>
      <c r="R334" s="1283"/>
      <c r="T334" s="1244"/>
      <c r="U334" s="1244"/>
    </row>
    <row r="335" spans="1:21" s="43" customFormat="1" ht="21.75" customHeight="1">
      <c r="A335" s="157"/>
      <c r="B335" s="3687" t="s">
        <v>4587</v>
      </c>
      <c r="C335" s="3687"/>
      <c r="D335" s="3687"/>
      <c r="E335" s="3687"/>
      <c r="F335" s="3687"/>
      <c r="G335" s="3687"/>
      <c r="H335" s="3687"/>
      <c r="I335" s="3687"/>
      <c r="J335" s="3687"/>
      <c r="K335" s="3687"/>
      <c r="L335" s="3687"/>
      <c r="M335" s="7"/>
      <c r="N335" s="518"/>
      <c r="O335" s="1430"/>
      <c r="P335" s="1431"/>
      <c r="Q335" s="445"/>
      <c r="R335" s="431"/>
      <c r="T335" s="1244"/>
      <c r="U335" s="1244"/>
    </row>
    <row r="336" spans="1:21" s="43" customFormat="1" ht="11.25" customHeight="1">
      <c r="A336" s="141" t="s">
        <v>731</v>
      </c>
      <c r="B336" s="183" t="s">
        <v>4338</v>
      </c>
      <c r="D336" s="57"/>
      <c r="H336" s="191"/>
      <c r="K336" s="52"/>
      <c r="L336" s="431"/>
      <c r="M336" s="7">
        <v>1</v>
      </c>
      <c r="N336" s="518" t="s">
        <v>731</v>
      </c>
      <c r="O336" s="1360">
        <f>IF(O330=0,0,IF(O337="Yes",$M$336,0))</f>
        <v>0</v>
      </c>
      <c r="P336" s="1360">
        <f>IF(P330=0,0,IF(P337="Yes",$M$336,0))</f>
        <v>0</v>
      </c>
      <c r="Q336" s="1144" t="str">
        <f>IF(OR($O336=$M336,$O336=0,$O336=""),"","*CHECK!*")</f>
        <v/>
      </c>
      <c r="R336" s="1283"/>
      <c r="T336" s="1244"/>
      <c r="U336" s="1244"/>
    </row>
    <row r="337" spans="1:21" s="43" customFormat="1" ht="33.75" customHeight="1">
      <c r="B337" s="3615" t="s">
        <v>4455</v>
      </c>
      <c r="C337" s="3615"/>
      <c r="D337" s="3615"/>
      <c r="E337" s="3615"/>
      <c r="F337" s="3615"/>
      <c r="G337" s="3615"/>
      <c r="H337" s="3615"/>
      <c r="I337" s="3615"/>
      <c r="J337" s="3615"/>
      <c r="K337" s="3615"/>
      <c r="L337" s="3615"/>
      <c r="M337" s="7"/>
      <c r="N337" s="518"/>
      <c r="O337" s="1393"/>
      <c r="P337" s="1394"/>
      <c r="Q337" s="445"/>
      <c r="R337" s="431"/>
      <c r="T337" s="1244"/>
      <c r="U337" s="1244"/>
    </row>
    <row r="338" spans="1:21" s="43" customFormat="1" ht="22.5" customHeight="1">
      <c r="B338" s="3615" t="s">
        <v>4456</v>
      </c>
      <c r="C338" s="3615"/>
      <c r="D338" s="3615"/>
      <c r="E338" s="3615"/>
      <c r="F338" s="3615"/>
      <c r="G338" s="3615"/>
      <c r="H338" s="3615"/>
      <c r="I338" s="3615"/>
      <c r="J338" s="3615"/>
      <c r="K338" s="3615"/>
      <c r="L338" s="3615"/>
      <c r="M338" s="7"/>
      <c r="N338" s="7"/>
      <c r="O338" s="7"/>
      <c r="P338" s="7"/>
      <c r="Q338" s="445"/>
      <c r="R338" s="431"/>
      <c r="T338" s="1244"/>
      <c r="U338" s="1244"/>
    </row>
    <row r="339" spans="1:21" s="43" customFormat="1" ht="10.5" customHeight="1">
      <c r="A339" s="42"/>
      <c r="B339" s="86" t="s">
        <v>1820</v>
      </c>
      <c r="C339" s="100"/>
      <c r="D339" s="86"/>
      <c r="E339" s="101"/>
      <c r="F339" s="1438"/>
      <c r="G339" s="1438"/>
      <c r="H339" s="1438"/>
      <c r="I339" s="1438"/>
      <c r="J339" s="1438"/>
      <c r="K339" s="1438"/>
      <c r="L339" s="1438"/>
      <c r="M339" s="1438"/>
      <c r="N339" s="74"/>
      <c r="O339" s="70"/>
      <c r="P339" s="1435"/>
      <c r="Q339" s="485"/>
    </row>
    <row r="340" spans="1:21" s="43" customFormat="1" ht="11.25" customHeight="1">
      <c r="A340" s="3699"/>
      <c r="B340" s="3700"/>
      <c r="C340" s="3700"/>
      <c r="D340" s="3700"/>
      <c r="E340" s="3700"/>
      <c r="F340" s="3700"/>
      <c r="G340" s="3700"/>
      <c r="H340" s="3700"/>
      <c r="I340" s="3700"/>
      <c r="J340" s="3700"/>
      <c r="K340" s="3700"/>
      <c r="L340" s="3700"/>
      <c r="M340" s="3700"/>
      <c r="N340" s="3700"/>
      <c r="O340" s="3700"/>
      <c r="P340" s="3701"/>
      <c r="Q340" s="503"/>
    </row>
    <row r="341" spans="1:21" s="43" customFormat="1" ht="1.5" customHeight="1" thickBot="1">
      <c r="A341" s="42"/>
      <c r="B341" s="42"/>
      <c r="C341" s="1438"/>
      <c r="D341" s="1438"/>
      <c r="E341" s="1438"/>
      <c r="F341" s="1438"/>
      <c r="G341" s="1438"/>
      <c r="H341" s="1438"/>
      <c r="I341" s="1438"/>
      <c r="J341" s="1438"/>
      <c r="K341" s="1438"/>
      <c r="L341" s="1438"/>
      <c r="M341" s="1438"/>
      <c r="N341" s="74"/>
      <c r="O341" s="70"/>
      <c r="P341" s="985"/>
    </row>
    <row r="342" spans="1:21" s="43" customFormat="1" ht="12" customHeight="1" thickBot="1">
      <c r="A342" s="156" t="s">
        <v>2194</v>
      </c>
      <c r="B342" s="108" t="s">
        <v>3754</v>
      </c>
      <c r="C342" s="88"/>
      <c r="D342" s="58"/>
      <c r="E342" s="52"/>
      <c r="G342" s="55"/>
      <c r="M342" s="1435">
        <v>2</v>
      </c>
      <c r="N342" s="6"/>
      <c r="O342" s="6"/>
      <c r="P342" s="1348">
        <f>P343+P351</f>
        <v>0</v>
      </c>
      <c r="Q342" s="111" t="s">
        <v>433</v>
      </c>
    </row>
    <row r="343" spans="1:21" s="43" customFormat="1" ht="12" customHeight="1">
      <c r="A343" s="141" t="s">
        <v>1936</v>
      </c>
      <c r="B343" s="183" t="s">
        <v>3755</v>
      </c>
      <c r="C343" s="88"/>
      <c r="D343" s="58"/>
      <c r="E343" s="52"/>
      <c r="G343" s="2371">
        <f>'Part VIII-Threshold Criteria'!I352</f>
        <v>0</v>
      </c>
      <c r="L343" s="518" t="s">
        <v>4824</v>
      </c>
      <c r="M343" s="2370" t="str">
        <f>'Part I-Project Information'!H100</f>
        <v>No</v>
      </c>
      <c r="N343" s="518" t="s">
        <v>1936</v>
      </c>
      <c r="O343" s="517" t="str">
        <f>'Part I-Project Information'!$H$100</f>
        <v>No</v>
      </c>
      <c r="P343" s="600"/>
      <c r="Q343" s="111"/>
      <c r="R343" s="1283" t="s">
        <v>2626</v>
      </c>
    </row>
    <row r="344" spans="1:21" s="104" customFormat="1" ht="10.5" customHeight="1">
      <c r="A344" s="141"/>
      <c r="B344" s="429" t="s">
        <v>1939</v>
      </c>
      <c r="C344" s="36" t="s">
        <v>4391</v>
      </c>
      <c r="D344" s="33"/>
      <c r="N344" s="493" t="s">
        <v>4392</v>
      </c>
      <c r="O344" s="236"/>
      <c r="P344" s="603"/>
      <c r="R344" s="431"/>
    </row>
    <row r="345" spans="1:21" s="104" customFormat="1" ht="10.5" customHeight="1">
      <c r="A345" s="141"/>
      <c r="B345" s="429"/>
      <c r="C345" s="36" t="s">
        <v>4749</v>
      </c>
      <c r="D345" s="33"/>
      <c r="N345" s="493" t="s">
        <v>4393</v>
      </c>
      <c r="O345" s="419"/>
      <c r="P345" s="604"/>
      <c r="R345" s="431"/>
    </row>
    <row r="346" spans="1:21" s="104" customFormat="1" ht="10.5" customHeight="1">
      <c r="A346" s="141"/>
      <c r="B346" s="429" t="s">
        <v>1941</v>
      </c>
      <c r="C346" s="36" t="s">
        <v>3763</v>
      </c>
      <c r="D346" s="33"/>
      <c r="N346" s="990" t="s">
        <v>1941</v>
      </c>
      <c r="O346" s="419"/>
      <c r="P346" s="604"/>
      <c r="R346" s="431"/>
    </row>
    <row r="347" spans="1:21" s="104" customFormat="1" ht="10.5" customHeight="1">
      <c r="A347" s="141"/>
      <c r="B347" s="429" t="s">
        <v>2468</v>
      </c>
      <c r="C347" s="36" t="s">
        <v>4394</v>
      </c>
      <c r="D347" s="33"/>
      <c r="N347" s="990" t="s">
        <v>2468</v>
      </c>
      <c r="O347" s="419"/>
      <c r="P347" s="604"/>
      <c r="R347" s="431"/>
    </row>
    <row r="348" spans="1:21" s="104" customFormat="1" ht="10.5" customHeight="1">
      <c r="B348" s="429" t="s">
        <v>1198</v>
      </c>
      <c r="C348" s="36" t="s">
        <v>4339</v>
      </c>
      <c r="D348" s="33"/>
      <c r="N348" s="990" t="s">
        <v>1198</v>
      </c>
      <c r="O348" s="419"/>
      <c r="P348" s="604"/>
      <c r="R348" s="431"/>
    </row>
    <row r="349" spans="1:21" s="104" customFormat="1" ht="10.5" customHeight="1">
      <c r="A349" s="141"/>
      <c r="B349" s="429" t="s">
        <v>1199</v>
      </c>
      <c r="C349" s="36" t="s">
        <v>4340</v>
      </c>
      <c r="D349" s="33"/>
      <c r="N349" s="990" t="s">
        <v>1199</v>
      </c>
      <c r="O349" s="419"/>
      <c r="P349" s="604"/>
      <c r="R349" s="431"/>
    </row>
    <row r="350" spans="1:21" s="104" customFormat="1" ht="10.5" customHeight="1">
      <c r="A350" s="141"/>
      <c r="B350" s="429" t="s">
        <v>1834</v>
      </c>
      <c r="C350" s="36" t="s">
        <v>3764</v>
      </c>
      <c r="D350" s="33"/>
      <c r="N350" s="990" t="s">
        <v>1834</v>
      </c>
      <c r="O350" s="237"/>
      <c r="P350" s="605"/>
      <c r="R350" s="431"/>
    </row>
    <row r="351" spans="1:21" s="43" customFormat="1" ht="12" customHeight="1">
      <c r="A351" s="141" t="s">
        <v>1938</v>
      </c>
      <c r="B351" s="183" t="s">
        <v>3756</v>
      </c>
      <c r="C351" s="88"/>
      <c r="D351" s="58"/>
      <c r="E351" s="52"/>
      <c r="G351" s="2371">
        <f>'Part I-Project Information'!D164</f>
        <v>0</v>
      </c>
      <c r="I351" s="542"/>
      <c r="L351" s="1402"/>
      <c r="M351" s="1402"/>
      <c r="N351" s="518" t="s">
        <v>1938</v>
      </c>
      <c r="P351" s="600"/>
      <c r="Q351" s="111"/>
      <c r="R351" s="1283" t="s">
        <v>2626</v>
      </c>
    </row>
    <row r="352" spans="1:21" s="104" customFormat="1" ht="10.5" customHeight="1">
      <c r="A352" s="157"/>
      <c r="B352" s="429" t="s">
        <v>1939</v>
      </c>
      <c r="C352" s="36" t="s">
        <v>4391</v>
      </c>
      <c r="D352" s="52"/>
      <c r="E352" s="52"/>
      <c r="M352" s="1435"/>
      <c r="N352" s="493" t="s">
        <v>4392</v>
      </c>
      <c r="O352" s="236"/>
      <c r="P352" s="603"/>
      <c r="Q352" s="111"/>
    </row>
    <row r="353" spans="1:19" s="104" customFormat="1" ht="10.5" customHeight="1">
      <c r="A353" s="141"/>
      <c r="B353" s="429"/>
      <c r="C353" s="36" t="s">
        <v>4777</v>
      </c>
      <c r="D353" s="33"/>
      <c r="N353" s="493" t="s">
        <v>4393</v>
      </c>
      <c r="O353" s="419"/>
      <c r="P353" s="604"/>
      <c r="R353" s="431"/>
    </row>
    <row r="354" spans="1:19" s="104" customFormat="1" ht="10.5" customHeight="1">
      <c r="A354" s="141"/>
      <c r="B354" s="429" t="s">
        <v>1941</v>
      </c>
      <c r="C354" s="36" t="s">
        <v>3775</v>
      </c>
      <c r="D354" s="33"/>
      <c r="N354" s="990" t="s">
        <v>1941</v>
      </c>
      <c r="O354" s="419"/>
      <c r="P354" s="604"/>
      <c r="R354" s="431"/>
    </row>
    <row r="355" spans="1:19" s="104" customFormat="1" ht="10.5" customHeight="1">
      <c r="B355" s="429" t="s">
        <v>2468</v>
      </c>
      <c r="C355" s="36" t="s">
        <v>3764</v>
      </c>
      <c r="D355" s="33"/>
      <c r="N355" s="990" t="s">
        <v>2468</v>
      </c>
      <c r="O355" s="237"/>
      <c r="P355" s="605"/>
      <c r="R355" s="431"/>
    </row>
    <row r="356" spans="1:19" s="43" customFormat="1" ht="10.5" customHeight="1">
      <c r="B356" s="86" t="s">
        <v>1820</v>
      </c>
      <c r="C356" s="100"/>
      <c r="D356" s="86"/>
      <c r="E356" s="101"/>
      <c r="F356" s="1438"/>
      <c r="G356" s="1438"/>
      <c r="H356" s="1438"/>
      <c r="I356" s="1438"/>
      <c r="J356" s="1438"/>
      <c r="K356" s="1438"/>
      <c r="L356" s="1438"/>
      <c r="M356" s="1438"/>
      <c r="N356" s="74"/>
      <c r="O356" s="70"/>
      <c r="P356" s="1435"/>
      <c r="Q356" s="485"/>
    </row>
    <row r="357" spans="1:19" s="43" customFormat="1" ht="11.25" customHeight="1">
      <c r="A357" s="3699"/>
      <c r="B357" s="3700"/>
      <c r="C357" s="3700"/>
      <c r="D357" s="3700"/>
      <c r="E357" s="3700"/>
      <c r="F357" s="3700"/>
      <c r="G357" s="3700"/>
      <c r="H357" s="3700"/>
      <c r="I357" s="3700"/>
      <c r="J357" s="3700"/>
      <c r="K357" s="3700"/>
      <c r="L357" s="3700"/>
      <c r="M357" s="3700"/>
      <c r="N357" s="3700"/>
      <c r="O357" s="3700"/>
      <c r="P357" s="3701"/>
      <c r="Q357" s="503"/>
    </row>
    <row r="358" spans="1:19" ht="2.25" customHeight="1"/>
    <row r="359" spans="1:19" s="43" customFormat="1" ht="2.25" customHeight="1" thickBot="1">
      <c r="A359" s="42"/>
      <c r="C359" s="1438"/>
      <c r="D359" s="1438"/>
      <c r="E359" s="1438"/>
      <c r="F359" s="1438"/>
      <c r="G359" s="1438"/>
      <c r="H359" s="1438"/>
      <c r="I359" s="1438"/>
      <c r="J359" s="1438"/>
      <c r="K359" s="1438"/>
      <c r="L359" s="1438"/>
      <c r="M359" s="1438"/>
      <c r="N359" s="74"/>
      <c r="O359" s="70"/>
      <c r="P359" s="985"/>
    </row>
    <row r="360" spans="1:19" s="43" customFormat="1" ht="12" customHeight="1" thickBot="1">
      <c r="A360" s="156" t="s">
        <v>3791</v>
      </c>
      <c r="B360" s="107" t="s">
        <v>1631</v>
      </c>
      <c r="D360" s="89"/>
      <c r="E360" s="89"/>
      <c r="G360" s="52"/>
      <c r="I360" s="512"/>
      <c r="J360" s="512"/>
      <c r="K360" s="1551"/>
      <c r="L360" s="1550"/>
      <c r="M360" s="985">
        <v>1</v>
      </c>
      <c r="N360" s="451"/>
      <c r="O360" s="1350"/>
      <c r="P360" s="1319"/>
      <c r="Q360" s="111" t="s">
        <v>433</v>
      </c>
      <c r="R360" s="4170" t="s">
        <v>4775</v>
      </c>
      <c r="S360" s="4170"/>
    </row>
    <row r="361" spans="1:19" s="43" customFormat="1" ht="11.25" customHeight="1">
      <c r="A361" s="141"/>
      <c r="B361" s="116" t="s">
        <v>3457</v>
      </c>
      <c r="D361" s="89"/>
      <c r="E361" s="89"/>
      <c r="G361" s="52"/>
      <c r="I361" s="3497" t="s">
        <v>6810</v>
      </c>
      <c r="J361" s="3498"/>
      <c r="K361" s="3498"/>
      <c r="L361" s="3499"/>
      <c r="M361" s="489"/>
      <c r="N361" s="451"/>
      <c r="O361" s="1402" t="s">
        <v>2444</v>
      </c>
      <c r="P361" s="1402" t="s">
        <v>2444</v>
      </c>
      <c r="Q361" s="1144"/>
      <c r="R361" s="4170"/>
      <c r="S361" s="4170"/>
    </row>
    <row r="362" spans="1:19" s="43" customFormat="1" ht="11.25" customHeight="1">
      <c r="A362" s="141"/>
      <c r="B362" s="429" t="s">
        <v>1939</v>
      </c>
      <c r="C362" s="55" t="s">
        <v>6811</v>
      </c>
      <c r="D362" s="89"/>
      <c r="E362" s="2405" t="s">
        <v>4354</v>
      </c>
      <c r="G362" s="52"/>
      <c r="I362" s="1549"/>
      <c r="J362" s="1169"/>
      <c r="K362" s="1169"/>
      <c r="L362" s="1169"/>
      <c r="M362" s="1831"/>
      <c r="N362" s="1853"/>
      <c r="O362" s="236"/>
      <c r="P362" s="603"/>
      <c r="Q362" s="1854"/>
      <c r="R362" s="4170"/>
      <c r="S362" s="4170"/>
    </row>
    <row r="363" spans="1:19" s="104" customFormat="1" ht="11.25" customHeight="1">
      <c r="A363" s="141"/>
      <c r="B363" s="51"/>
      <c r="C363" s="36"/>
      <c r="D363" s="51" t="s">
        <v>1326</v>
      </c>
      <c r="E363" s="36" t="s">
        <v>6812</v>
      </c>
      <c r="G363" s="52"/>
      <c r="H363" s="1302"/>
      <c r="I363" s="36"/>
      <c r="J363" s="36"/>
      <c r="K363" s="36"/>
      <c r="L363" s="2406"/>
      <c r="N363" s="1853"/>
      <c r="O363" s="237"/>
      <c r="P363" s="605"/>
      <c r="Q363" s="2407"/>
      <c r="R363" s="4170"/>
      <c r="S363" s="4170"/>
    </row>
    <row r="364" spans="1:19" s="43" customFormat="1" ht="11.25" customHeight="1">
      <c r="B364" s="429" t="s">
        <v>1941</v>
      </c>
      <c r="C364" s="40" t="s">
        <v>4355</v>
      </c>
      <c r="D364" s="104"/>
      <c r="E364" s="89"/>
      <c r="F364" s="52"/>
      <c r="G364" s="52"/>
      <c r="N364" s="518"/>
      <c r="O364" s="1402" t="s">
        <v>2444</v>
      </c>
      <c r="P364" s="1402" t="s">
        <v>2444</v>
      </c>
    </row>
    <row r="365" spans="1:19" s="120" customFormat="1" ht="10.5" customHeight="1">
      <c r="B365" s="430" t="s">
        <v>2372</v>
      </c>
      <c r="C365" s="491" t="s">
        <v>3757</v>
      </c>
      <c r="H365" s="39"/>
      <c r="I365" s="39"/>
      <c r="J365" s="39"/>
      <c r="K365" s="39"/>
      <c r="N365" s="430" t="s">
        <v>2372</v>
      </c>
      <c r="O365" s="236"/>
      <c r="P365" s="603"/>
    </row>
    <row r="366" spans="1:19" s="120" customFormat="1" ht="10.5" customHeight="1">
      <c r="B366" s="444" t="s">
        <v>2373</v>
      </c>
      <c r="C366" s="491" t="s">
        <v>3758</v>
      </c>
      <c r="N366" s="444" t="s">
        <v>2373</v>
      </c>
      <c r="O366" s="419"/>
      <c r="P366" s="604"/>
    </row>
    <row r="367" spans="1:19" s="120" customFormat="1" ht="10.5" customHeight="1">
      <c r="B367" s="430" t="s">
        <v>2374</v>
      </c>
      <c r="C367" s="491" t="s">
        <v>4588</v>
      </c>
      <c r="N367" s="430" t="s">
        <v>2374</v>
      </c>
      <c r="O367" s="237"/>
      <c r="P367" s="605"/>
    </row>
    <row r="368" spans="1:19" s="102" customFormat="1" ht="11.25" customHeight="1">
      <c r="B368" s="198" t="s">
        <v>3458</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2" t="s">
        <v>3572</v>
      </c>
      <c r="C370" s="42"/>
      <c r="D370" s="48"/>
      <c r="E370" s="48"/>
      <c r="F370" s="48"/>
      <c r="G370" s="48"/>
      <c r="H370" s="36"/>
      <c r="I370" s="36"/>
      <c r="J370" s="36"/>
      <c r="K370" s="36"/>
      <c r="M370" s="46"/>
      <c r="N370" s="6"/>
      <c r="O370" s="3"/>
      <c r="P370" s="1435"/>
    </row>
    <row r="371" spans="1:20" s="43" customFormat="1" ht="10.8" customHeight="1" thickTop="1" thickBot="1">
      <c r="A371" s="3872"/>
      <c r="B371" s="3873"/>
      <c r="C371" s="3873"/>
      <c r="D371" s="3873"/>
      <c r="E371" s="3873"/>
      <c r="F371" s="3873"/>
      <c r="G371" s="3873"/>
      <c r="H371" s="3873"/>
      <c r="I371" s="3873"/>
      <c r="J371" s="3873"/>
      <c r="K371" s="3873"/>
      <c r="L371" s="3873"/>
      <c r="M371" s="3873"/>
      <c r="N371" s="3873"/>
      <c r="O371" s="3873"/>
      <c r="P371" s="3874"/>
      <c r="Q371" s="1250" t="s">
        <v>1228</v>
      </c>
    </row>
    <row r="372" spans="1:20" s="104" customFormat="1" ht="10.5" customHeight="1" thickTop="1">
      <c r="A372" s="42"/>
      <c r="B372" s="99" t="s">
        <v>1820</v>
      </c>
      <c r="C372" s="42"/>
      <c r="D372" s="99"/>
      <c r="E372" s="1441"/>
      <c r="F372" s="1441"/>
      <c r="G372" s="1441"/>
      <c r="H372" s="1441"/>
      <c r="I372" s="1441"/>
      <c r="J372" s="1441"/>
      <c r="K372" s="1441"/>
      <c r="L372" s="1441"/>
      <c r="M372" s="1441"/>
      <c r="N372" s="94"/>
      <c r="O372" s="967"/>
      <c r="P372" s="1435"/>
      <c r="Q372" s="485"/>
    </row>
    <row r="373" spans="1:20" s="43" customFormat="1" ht="11.25" customHeight="1">
      <c r="A373" s="3699"/>
      <c r="B373" s="3700"/>
      <c r="C373" s="3700"/>
      <c r="D373" s="3700"/>
      <c r="E373" s="3700"/>
      <c r="F373" s="3700"/>
      <c r="G373" s="3700"/>
      <c r="H373" s="3700"/>
      <c r="I373" s="3700"/>
      <c r="J373" s="3700"/>
      <c r="K373" s="3700"/>
      <c r="L373" s="3700"/>
      <c r="M373" s="3700"/>
      <c r="N373" s="3700"/>
      <c r="O373" s="3700"/>
      <c r="P373" s="3701"/>
      <c r="Q373" s="503"/>
    </row>
    <row r="374" spans="1:20" ht="3" customHeight="1" thickBot="1"/>
    <row r="375" spans="1:20" s="43" customFormat="1" ht="12.75" customHeight="1" thickBot="1">
      <c r="A375" s="156" t="s">
        <v>3792</v>
      </c>
      <c r="B375" s="107" t="s">
        <v>3760</v>
      </c>
      <c r="D375" s="89"/>
      <c r="E375" s="89"/>
      <c r="F375" s="52"/>
      <c r="G375" s="52"/>
      <c r="H375" s="52"/>
      <c r="I375" s="52"/>
      <c r="J375" s="52"/>
      <c r="L375" s="431" t="str">
        <f>IF(O375&lt;=M375,"","* * Check Score! * *")</f>
        <v/>
      </c>
      <c r="M375" s="3">
        <v>4</v>
      </c>
      <c r="N375" s="6"/>
      <c r="O375" s="1351">
        <f>O382+O402</f>
        <v>0</v>
      </c>
      <c r="P375" s="1351">
        <f>P382+P402</f>
        <v>0</v>
      </c>
      <c r="Q375" s="111" t="s">
        <v>433</v>
      </c>
    </row>
    <row r="376" spans="1:20" s="43" customFormat="1" ht="10.5" customHeight="1">
      <c r="A376" s="42"/>
      <c r="B376" s="116" t="s">
        <v>4342</v>
      </c>
      <c r="E376" s="89"/>
      <c r="F376" s="52"/>
      <c r="G376" s="52"/>
      <c r="H376" s="52"/>
      <c r="I376" s="52"/>
      <c r="J376" s="54"/>
      <c r="K376" s="60"/>
      <c r="L376" s="56"/>
      <c r="O376" s="577" t="s">
        <v>2444</v>
      </c>
      <c r="P376" s="577" t="s">
        <v>2444</v>
      </c>
    </row>
    <row r="377" spans="1:20" s="102" customFormat="1" ht="12.75" customHeight="1">
      <c r="B377" s="430" t="s">
        <v>2372</v>
      </c>
      <c r="C377" s="137" t="s">
        <v>2730</v>
      </c>
      <c r="E377" s="89"/>
      <c r="F377" s="52"/>
      <c r="G377" s="52"/>
      <c r="H377" s="52"/>
      <c r="I377" s="52"/>
      <c r="J377" s="54"/>
      <c r="K377" s="60"/>
      <c r="L377" s="4025" t="str">
        <f>IF(OR(O377="No",O377="",O378="No",O378="",O379="No",O379="",O380="No",O380=""),"Unmet criterion results in no points!","")</f>
        <v>Unmet criterion results in no points!</v>
      </c>
      <c r="M377" s="4025"/>
      <c r="N377" s="430" t="s">
        <v>2372</v>
      </c>
      <c r="O377" s="236"/>
      <c r="P377" s="603"/>
      <c r="R377" s="3880" t="str">
        <f>IF(OR(P377="No",P377="",P378="No",P378="",P379="No",P379="",P380="No",P380=""),"Unmet criterion results in no points!","")</f>
        <v>Unmet criterion results in no points!</v>
      </c>
      <c r="S377" s="3880" t="e">
        <f>IF(OR(V377="No",V377="",V378="No",V378="",V379="No",V379="",V380="No",V380="",#REF!="No",#REF!="",#REF!="No",#REF!=""),"Unmet criterion results in no points!","")</f>
        <v>#REF!</v>
      </c>
    </row>
    <row r="378" spans="1:20" s="102" customFormat="1" ht="12.75" customHeight="1">
      <c r="B378" s="430" t="s">
        <v>2373</v>
      </c>
      <c r="C378" s="137" t="s">
        <v>3620</v>
      </c>
      <c r="L378" s="4025"/>
      <c r="M378" s="4025"/>
      <c r="N378" s="430" t="s">
        <v>2373</v>
      </c>
      <c r="O378" s="419"/>
      <c r="P378" s="604"/>
      <c r="R378" s="3880"/>
      <c r="S378" s="3880"/>
    </row>
    <row r="379" spans="1:20" s="102" customFormat="1" ht="12.75" customHeight="1">
      <c r="B379" s="430" t="s">
        <v>2374</v>
      </c>
      <c r="C379" s="137" t="s">
        <v>3619</v>
      </c>
      <c r="L379" s="4025"/>
      <c r="M379" s="4025"/>
      <c r="N379" s="430" t="s">
        <v>2374</v>
      </c>
      <c r="O379" s="419"/>
      <c r="P379" s="604"/>
      <c r="R379" s="3880"/>
      <c r="S379" s="3880"/>
    </row>
    <row r="380" spans="1:20" s="102" customFormat="1" ht="33.75" customHeight="1">
      <c r="B380" s="444" t="s">
        <v>2375</v>
      </c>
      <c r="C380" s="3879" t="s">
        <v>4341</v>
      </c>
      <c r="D380" s="3879"/>
      <c r="E380" s="3879"/>
      <c r="F380" s="3879"/>
      <c r="G380" s="3879"/>
      <c r="H380" s="3879"/>
      <c r="I380" s="3879"/>
      <c r="J380" s="3879"/>
      <c r="K380" s="3879"/>
      <c r="L380" s="3879"/>
      <c r="M380" s="3879"/>
      <c r="N380" s="444" t="s">
        <v>2375</v>
      </c>
      <c r="O380" s="1393"/>
      <c r="P380" s="1394"/>
    </row>
    <row r="381" spans="1:20" ht="3" customHeight="1">
      <c r="C381" s="3879"/>
      <c r="D381" s="3879"/>
      <c r="E381" s="3879"/>
      <c r="F381" s="3879"/>
      <c r="G381" s="3879"/>
      <c r="H381" s="3879"/>
      <c r="I381" s="3879"/>
      <c r="J381" s="3879"/>
      <c r="K381" s="3879"/>
      <c r="L381" s="3879"/>
      <c r="M381" s="3879"/>
    </row>
    <row r="382" spans="1:20" ht="12.75" customHeight="1">
      <c r="A382" s="1162" t="s">
        <v>1936</v>
      </c>
      <c r="B382" s="196" t="s">
        <v>3761</v>
      </c>
      <c r="L382" s="431" t="str">
        <f>IF(O382&lt;=M382,"","* * Check Score! * *")</f>
        <v/>
      </c>
      <c r="M382" s="1324">
        <v>3</v>
      </c>
      <c r="N382" s="518" t="s">
        <v>1936</v>
      </c>
      <c r="O382" s="665"/>
      <c r="P382" s="957"/>
      <c r="Q382" s="1144" t="str">
        <f>IF(O382&lt;=M382,"","*CHECK!*")</f>
        <v/>
      </c>
      <c r="R382" s="3878" t="s">
        <v>4775</v>
      </c>
      <c r="S382" s="3878"/>
      <c r="T382" s="2309"/>
    </row>
    <row r="383" spans="1:20" ht="12.75" customHeight="1">
      <c r="A383" s="1162"/>
      <c r="B383" s="658" t="s">
        <v>1939</v>
      </c>
      <c r="C383" s="1147" t="s">
        <v>4344</v>
      </c>
      <c r="D383" s="1147"/>
      <c r="E383" s="1147"/>
      <c r="F383" s="1147"/>
      <c r="G383" s="1147"/>
      <c r="H383" s="1147"/>
      <c r="I383" s="1147"/>
      <c r="N383" s="27"/>
      <c r="O383" s="27"/>
      <c r="P383" s="27"/>
      <c r="R383" s="3878"/>
      <c r="S383" s="3878"/>
      <c r="T383" s="2309"/>
    </row>
    <row r="384" spans="1:20" ht="12.75" customHeight="1">
      <c r="A384" s="1162"/>
      <c r="B384" s="498"/>
      <c r="C384" s="1147" t="s">
        <v>4343</v>
      </c>
      <c r="D384" s="1147"/>
      <c r="E384" s="1147"/>
      <c r="F384" s="1147"/>
      <c r="G384" s="1147"/>
      <c r="H384" s="1147"/>
      <c r="I384" s="1147"/>
      <c r="J384" s="4024" t="s">
        <v>1943</v>
      </c>
      <c r="K384" s="4024"/>
      <c r="M384" s="4024" t="s">
        <v>1943</v>
      </c>
      <c r="N384" s="4024"/>
      <c r="O384" s="4024"/>
      <c r="P384" s="4024"/>
      <c r="R384" s="3878"/>
      <c r="S384" s="3878"/>
      <c r="T384" s="2309"/>
    </row>
    <row r="385" spans="1:18" s="43" customFormat="1" ht="12.75" customHeight="1">
      <c r="A385" s="194"/>
      <c r="B385" s="430" t="s">
        <v>2372</v>
      </c>
      <c r="C385" s="36" t="s">
        <v>1451</v>
      </c>
      <c r="I385" s="430" t="s">
        <v>2372</v>
      </c>
      <c r="J385" s="4001"/>
      <c r="K385" s="4002"/>
      <c r="L385" s="430" t="s">
        <v>2372</v>
      </c>
      <c r="M385" s="4184"/>
      <c r="N385" s="4185"/>
      <c r="O385" s="4185"/>
      <c r="P385" s="4186"/>
      <c r="R385" s="431"/>
    </row>
    <row r="386" spans="1:18" ht="12.75" customHeight="1">
      <c r="A386" s="195"/>
      <c r="B386" s="444" t="s">
        <v>2373</v>
      </c>
      <c r="C386" s="36" t="s">
        <v>3460</v>
      </c>
      <c r="I386" s="444" t="s">
        <v>2373</v>
      </c>
      <c r="J386" s="4019"/>
      <c r="K386" s="4020"/>
      <c r="L386" s="444" t="s">
        <v>2373</v>
      </c>
      <c r="M386" s="4021"/>
      <c r="N386" s="4022"/>
      <c r="O386" s="4022"/>
      <c r="P386" s="4023"/>
      <c r="R386" s="431"/>
    </row>
    <row r="387" spans="1:18" ht="12.75" customHeight="1">
      <c r="B387" s="430" t="s">
        <v>2374</v>
      </c>
      <c r="C387" s="36" t="s">
        <v>4589</v>
      </c>
      <c r="I387" s="430" t="s">
        <v>2374</v>
      </c>
      <c r="J387" s="4019"/>
      <c r="K387" s="4020"/>
      <c r="L387" s="430" t="s">
        <v>2374</v>
      </c>
      <c r="M387" s="4021"/>
      <c r="N387" s="4022"/>
      <c r="O387" s="4022"/>
      <c r="P387" s="4023"/>
      <c r="R387" s="431"/>
    </row>
    <row r="388" spans="1:18" ht="12.75" customHeight="1">
      <c r="A388" s="195"/>
      <c r="B388" s="430" t="s">
        <v>2375</v>
      </c>
      <c r="C388" s="36" t="s">
        <v>3345</v>
      </c>
      <c r="I388" s="430" t="s">
        <v>2375</v>
      </c>
      <c r="J388" s="4019"/>
      <c r="K388" s="4020"/>
      <c r="L388" s="430" t="s">
        <v>2375</v>
      </c>
      <c r="M388" s="4021"/>
      <c r="N388" s="4022"/>
      <c r="O388" s="4022"/>
      <c r="P388" s="4023"/>
      <c r="R388" s="431"/>
    </row>
    <row r="389" spans="1:18" s="43" customFormat="1" ht="12.75" customHeight="1">
      <c r="A389" s="194"/>
      <c r="B389" s="444" t="s">
        <v>2376</v>
      </c>
      <c r="C389" s="36" t="s">
        <v>2647</v>
      </c>
      <c r="I389" s="444" t="s">
        <v>2376</v>
      </c>
      <c r="J389" s="4019"/>
      <c r="K389" s="4020"/>
      <c r="L389" s="444" t="s">
        <v>2376</v>
      </c>
      <c r="M389" s="4021"/>
      <c r="N389" s="4022"/>
      <c r="O389" s="4022"/>
      <c r="P389" s="4023"/>
      <c r="R389" s="431"/>
    </row>
    <row r="390" spans="1:18" ht="12.75" customHeight="1">
      <c r="B390" s="430" t="s">
        <v>2392</v>
      </c>
      <c r="C390" s="36" t="s">
        <v>1450</v>
      </c>
      <c r="I390" s="430" t="s">
        <v>2392</v>
      </c>
      <c r="J390" s="4019"/>
      <c r="K390" s="4020"/>
      <c r="L390" s="430" t="s">
        <v>2392</v>
      </c>
      <c r="M390" s="4021"/>
      <c r="N390" s="4022"/>
      <c r="O390" s="4022"/>
      <c r="P390" s="4023"/>
      <c r="R390" s="431"/>
    </row>
    <row r="391" spans="1:18" ht="12.75" customHeight="1">
      <c r="A391" s="195"/>
      <c r="B391" s="430" t="s">
        <v>2393</v>
      </c>
      <c r="C391" s="36" t="s">
        <v>3459</v>
      </c>
      <c r="I391" s="430" t="s">
        <v>2393</v>
      </c>
      <c r="J391" s="4019"/>
      <c r="K391" s="4020"/>
      <c r="L391" s="430" t="s">
        <v>2393</v>
      </c>
      <c r="M391" s="4021"/>
      <c r="N391" s="4022"/>
      <c r="O391" s="4022"/>
      <c r="P391" s="4023"/>
      <c r="R391" s="431"/>
    </row>
    <row r="392" spans="1:18" ht="12.75" customHeight="1">
      <c r="B392" s="443" t="s">
        <v>2394</v>
      </c>
      <c r="C392" s="36" t="s">
        <v>4345</v>
      </c>
      <c r="I392" s="443" t="s">
        <v>2394</v>
      </c>
      <c r="J392" s="4019"/>
      <c r="K392" s="4020"/>
      <c r="L392" s="443" t="s">
        <v>2394</v>
      </c>
      <c r="M392" s="4021"/>
      <c r="N392" s="4022"/>
      <c r="O392" s="4022"/>
      <c r="P392" s="4023"/>
      <c r="R392" s="431"/>
    </row>
    <row r="393" spans="1:18" ht="12.75" customHeight="1">
      <c r="B393" s="443" t="s">
        <v>2395</v>
      </c>
      <c r="C393" s="36" t="s">
        <v>4346</v>
      </c>
      <c r="I393" s="443" t="s">
        <v>2395</v>
      </c>
      <c r="J393" s="4019"/>
      <c r="K393" s="4020"/>
      <c r="L393" s="443" t="s">
        <v>2395</v>
      </c>
      <c r="M393" s="4021"/>
      <c r="N393" s="4022"/>
      <c r="O393" s="4022"/>
      <c r="P393" s="4023"/>
      <c r="R393" s="431"/>
    </row>
    <row r="394" spans="1:18" ht="12.75" customHeight="1" thickBot="1">
      <c r="B394" s="443" t="s">
        <v>3461</v>
      </c>
      <c r="C394" s="36" t="s">
        <v>4347</v>
      </c>
      <c r="I394" s="443" t="s">
        <v>3461</v>
      </c>
      <c r="J394" s="4019"/>
      <c r="K394" s="4020"/>
      <c r="L394" s="443" t="s">
        <v>3461</v>
      </c>
      <c r="M394" s="4029"/>
      <c r="N394" s="4030"/>
      <c r="O394" s="4030"/>
      <c r="P394" s="4031"/>
      <c r="R394" s="431"/>
    </row>
    <row r="395" spans="1:18" ht="12.75" customHeight="1" thickBot="1">
      <c r="B395" s="1400" t="s">
        <v>4348</v>
      </c>
      <c r="H395" s="1421" t="s">
        <v>2559</v>
      </c>
      <c r="J395" s="3998">
        <f>SUM(J385:K394)</f>
        <v>0</v>
      </c>
      <c r="K395" s="4000"/>
      <c r="M395" s="3998">
        <f>SUM($M385:$M394)</f>
        <v>0</v>
      </c>
      <c r="N395" s="3999"/>
      <c r="O395" s="3999"/>
      <c r="P395" s="4000"/>
      <c r="R395" s="431"/>
    </row>
    <row r="396" spans="1:18" s="43" customFormat="1" ht="7.5" customHeight="1">
      <c r="A396" s="42"/>
      <c r="D396" s="39"/>
      <c r="E396" s="36"/>
      <c r="F396" s="985"/>
      <c r="G396" s="617"/>
      <c r="H396" s="307"/>
      <c r="J396" s="561"/>
      <c r="K396" s="561"/>
      <c r="L396" s="617"/>
      <c r="M396" s="561"/>
      <c r="N396" s="561"/>
      <c r="O396" s="1313"/>
      <c r="P396" s="561"/>
    </row>
    <row r="397" spans="1:18" ht="12.75" customHeight="1">
      <c r="B397" s="1842" t="s">
        <v>1941</v>
      </c>
      <c r="C397" s="576" t="s">
        <v>2558</v>
      </c>
      <c r="M397" s="561"/>
      <c r="N397" s="561"/>
      <c r="O397" s="162"/>
      <c r="P397" s="561"/>
    </row>
    <row r="398" spans="1:18" s="43" customFormat="1" ht="12" customHeight="1">
      <c r="A398" s="42"/>
      <c r="C398" s="4017" t="s">
        <v>4458</v>
      </c>
      <c r="D398" s="4017"/>
      <c r="E398" s="4017"/>
      <c r="F398" s="491" t="s">
        <v>4380</v>
      </c>
      <c r="H398" s="27"/>
      <c r="I398" s="1843"/>
      <c r="J398" s="4003">
        <f>'Part IV-A-Uses of Funds'!$G$132</f>
        <v>43012994</v>
      </c>
      <c r="K398" s="4004"/>
      <c r="L398" s="617"/>
      <c r="M398" s="561"/>
      <c r="N398" s="561"/>
      <c r="O398" s="1313"/>
      <c r="P398" s="561"/>
    </row>
    <row r="399" spans="1:18" ht="12.75" customHeight="1">
      <c r="C399" s="4017"/>
      <c r="D399" s="4017"/>
      <c r="E399" s="4017"/>
      <c r="F399" s="495" t="s">
        <v>4379</v>
      </c>
      <c r="I399" s="1844"/>
      <c r="J399" s="4012">
        <f>IF($J398=0,0,$J395/$J398)</f>
        <v>0</v>
      </c>
      <c r="K399" s="4013"/>
      <c r="M399" s="4014">
        <f>IF($J398=0,0,$M395/$J398)</f>
        <v>0</v>
      </c>
      <c r="N399" s="4015"/>
      <c r="O399" s="4015"/>
      <c r="P399" s="4016"/>
    </row>
    <row r="400" spans="1:18" s="43" customFormat="1" ht="12.75" customHeight="1">
      <c r="C400" s="4017"/>
      <c r="D400" s="4017"/>
      <c r="E400" s="4017"/>
      <c r="F400" s="1225" t="s">
        <v>4378</v>
      </c>
      <c r="I400" s="1845"/>
      <c r="J400" s="4009">
        <f>IF(L377="", IF($J399&gt;=0.1, 3,IF($J399&gt;=0.05, 2,IF($J399&gt;=0.02,1,0))),0)</f>
        <v>0</v>
      </c>
      <c r="K400" s="4011"/>
      <c r="L400" s="574"/>
      <c r="M400" s="4009">
        <f>IF(R377="", IF($M399&gt;=0.1, 3,IF($M399&gt;=0.05, 2,IF($M399&gt;=0.02,1,0))),0)</f>
        <v>0</v>
      </c>
      <c r="N400" s="4010"/>
      <c r="O400" s="4010"/>
      <c r="P400" s="4011"/>
    </row>
    <row r="401" spans="1:23" ht="3" customHeight="1" thickBot="1"/>
    <row r="402" spans="1:23" s="104" customFormat="1" ht="12.75" customHeight="1" thickBot="1">
      <c r="A402" s="141" t="s">
        <v>1938</v>
      </c>
      <c r="B402" s="198" t="s">
        <v>3462</v>
      </c>
      <c r="D402" s="39"/>
      <c r="E402" s="36"/>
      <c r="F402" s="985"/>
      <c r="H402" s="36"/>
      <c r="I402" s="985"/>
      <c r="J402" s="995"/>
      <c r="K402" s="995"/>
      <c r="L402" s="431" t="str">
        <f>IF(OR($O402=$M402,$O402=0,$O402=""),"","* * Check Score! * *")</f>
        <v/>
      </c>
      <c r="M402" s="661">
        <v>1</v>
      </c>
      <c r="N402" s="64" t="s">
        <v>1938</v>
      </c>
      <c r="O402" s="1350"/>
      <c r="P402" s="1319"/>
      <c r="Q402" s="111" t="s">
        <v>433</v>
      </c>
      <c r="R402" s="1140" t="s">
        <v>4775</v>
      </c>
      <c r="V402" s="1244"/>
      <c r="W402" s="1244"/>
    </row>
    <row r="403" spans="1:23" s="43" customFormat="1" ht="22.5" customHeight="1">
      <c r="A403" s="141"/>
      <c r="B403" s="1152" t="s">
        <v>2372</v>
      </c>
      <c r="C403" s="3615" t="s">
        <v>3762</v>
      </c>
      <c r="D403" s="3615"/>
      <c r="E403" s="3615"/>
      <c r="F403" s="3615"/>
      <c r="G403" s="3615"/>
      <c r="H403" s="3615"/>
      <c r="I403" s="3615"/>
      <c r="J403" s="3615"/>
      <c r="K403" s="3615"/>
      <c r="L403" s="3615"/>
      <c r="M403" s="3615"/>
      <c r="N403" s="444" t="s">
        <v>2372</v>
      </c>
      <c r="O403" s="1224"/>
      <c r="P403" s="1349"/>
      <c r="V403" s="1244"/>
      <c r="W403" s="1244"/>
    </row>
    <row r="404" spans="1:23" s="43" customFormat="1" ht="12.75" customHeight="1">
      <c r="A404" s="141"/>
      <c r="B404" s="430" t="s">
        <v>2373</v>
      </c>
      <c r="C404" s="52" t="s">
        <v>3612</v>
      </c>
      <c r="D404" s="52"/>
      <c r="E404" s="52"/>
      <c r="F404" s="52"/>
      <c r="G404" s="52"/>
      <c r="H404" s="52"/>
      <c r="I404" s="52"/>
      <c r="J404" s="52"/>
      <c r="K404" s="52"/>
      <c r="M404" s="52"/>
      <c r="N404" s="444" t="s">
        <v>2373</v>
      </c>
      <c r="O404" s="237"/>
      <c r="P404" s="605"/>
      <c r="V404" s="1244"/>
      <c r="W404" s="1244"/>
    </row>
    <row r="405" spans="1:23" ht="12.75" customHeight="1">
      <c r="B405" s="430" t="s">
        <v>2374</v>
      </c>
      <c r="C405" s="490" t="s">
        <v>4349</v>
      </c>
      <c r="N405" s="430" t="s">
        <v>2374</v>
      </c>
      <c r="O405" s="237"/>
      <c r="P405" s="605"/>
    </row>
    <row r="406" spans="1:23" ht="12" customHeight="1" thickBot="1">
      <c r="B406" s="1422" t="s">
        <v>3572</v>
      </c>
    </row>
    <row r="407" spans="1:23" s="43" customFormat="1" ht="21.75" customHeight="1" thickTop="1" thickBot="1">
      <c r="A407" s="3872"/>
      <c r="B407" s="3873"/>
      <c r="C407" s="3873"/>
      <c r="D407" s="3873"/>
      <c r="E407" s="3873"/>
      <c r="F407" s="3873"/>
      <c r="G407" s="3873"/>
      <c r="H407" s="3873"/>
      <c r="I407" s="3873"/>
      <c r="J407" s="3873"/>
      <c r="K407" s="3873"/>
      <c r="L407" s="3873"/>
      <c r="M407" s="3873"/>
      <c r="N407" s="3873"/>
      <c r="O407" s="3873"/>
      <c r="P407" s="3874"/>
      <c r="Q407" s="1250" t="s">
        <v>1228</v>
      </c>
    </row>
    <row r="408" spans="1:23" s="104" customFormat="1" ht="11.25" customHeight="1" thickTop="1">
      <c r="A408" s="42"/>
      <c r="B408" s="565" t="s">
        <v>1820</v>
      </c>
      <c r="C408" s="100"/>
      <c r="D408" s="99"/>
      <c r="E408" s="199"/>
      <c r="F408" s="1441"/>
      <c r="G408" s="1441"/>
      <c r="H408" s="1441"/>
      <c r="I408" s="1441"/>
      <c r="J408" s="1441"/>
      <c r="K408" s="1441"/>
      <c r="L408" s="1441"/>
      <c r="M408" s="1441"/>
      <c r="N408" s="94"/>
      <c r="O408" s="967"/>
      <c r="P408" s="1435"/>
      <c r="Q408" s="485"/>
    </row>
    <row r="409" spans="1:23" s="43" customFormat="1" ht="11.25" customHeight="1">
      <c r="A409" s="3699"/>
      <c r="B409" s="3700"/>
      <c r="C409" s="3700"/>
      <c r="D409" s="3700"/>
      <c r="E409" s="3700"/>
      <c r="F409" s="3700"/>
      <c r="G409" s="3700"/>
      <c r="H409" s="3700"/>
      <c r="I409" s="3700"/>
      <c r="J409" s="3700"/>
      <c r="K409" s="3700"/>
      <c r="L409" s="3700"/>
      <c r="M409" s="3700"/>
      <c r="N409" s="3700"/>
      <c r="O409" s="3700"/>
      <c r="P409" s="3701"/>
      <c r="Q409" s="503"/>
    </row>
    <row r="410" spans="1:23" s="43" customFormat="1" ht="3" customHeight="1" thickBot="1">
      <c r="A410" s="42"/>
      <c r="B410" s="42"/>
      <c r="C410" s="1438"/>
      <c r="D410" s="1438"/>
      <c r="E410" s="1438"/>
      <c r="F410" s="1438"/>
      <c r="G410" s="1438"/>
      <c r="H410" s="1438"/>
      <c r="I410" s="1438"/>
      <c r="J410" s="1438"/>
      <c r="K410" s="1438"/>
      <c r="L410" s="1438"/>
      <c r="M410" s="1438"/>
      <c r="N410" s="74"/>
      <c r="O410" s="70"/>
      <c r="P410" s="985"/>
    </row>
    <row r="411" spans="1:23" s="43" customFormat="1" ht="13.5" customHeight="1" thickBot="1">
      <c r="A411" s="2239" t="s">
        <v>3790</v>
      </c>
      <c r="B411" s="107" t="s">
        <v>2640</v>
      </c>
      <c r="D411" s="40"/>
      <c r="G411" s="61" t="s">
        <v>3281</v>
      </c>
      <c r="J411" s="36"/>
      <c r="K411" s="36"/>
      <c r="L411" s="36"/>
      <c r="M411" s="1435">
        <v>2</v>
      </c>
      <c r="N411" s="518"/>
      <c r="O411" s="1348">
        <f>MIN($M411,O415+O422)</f>
        <v>0</v>
      </c>
      <c r="P411" s="1348">
        <f>MIN($M411,P415+P422)</f>
        <v>0</v>
      </c>
      <c r="Q411" s="111" t="s">
        <v>433</v>
      </c>
      <c r="R411" s="431" t="str">
        <f>IF(OR($O415=$M411,$O415=0,$O415=""),"","* * Check Score! * *")</f>
        <v/>
      </c>
    </row>
    <row r="412" spans="1:23" s="468" customFormat="1" ht="1.5" customHeight="1">
      <c r="B412" s="498"/>
      <c r="F412" s="492"/>
      <c r="G412" s="994"/>
      <c r="M412" s="469"/>
      <c r="N412" s="469"/>
      <c r="O412" s="469"/>
      <c r="P412" s="469"/>
      <c r="Q412" s="191"/>
    </row>
    <row r="413" spans="1:23" s="468" customFormat="1" ht="11.25" customHeight="1">
      <c r="A413" s="157"/>
      <c r="B413" s="993" t="s">
        <v>3346</v>
      </c>
      <c r="D413" s="3497" t="s">
        <v>4449</v>
      </c>
      <c r="E413" s="3498"/>
      <c r="F413" s="3498"/>
      <c r="G413" s="3498"/>
      <c r="H413" s="3498"/>
      <c r="I413" s="3499"/>
      <c r="J413" s="447" t="s">
        <v>2734</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7" t="s">
        <v>1936</v>
      </c>
      <c r="B415" s="87" t="s">
        <v>4590</v>
      </c>
      <c r="C415" s="447"/>
      <c r="D415" s="447"/>
      <c r="E415" s="447"/>
      <c r="F415" s="447"/>
      <c r="G415" s="447"/>
      <c r="H415" s="447"/>
      <c r="I415" s="447"/>
      <c r="M415" s="469">
        <v>2</v>
      </c>
      <c r="N415" s="165" t="s">
        <v>1936</v>
      </c>
      <c r="O415" s="665"/>
      <c r="P415" s="1645"/>
      <c r="Q415" s="1144" t="str">
        <f>IF(OR($O415=$M415,$O415=0,$O415=""),"","*CHECK!*")</f>
        <v/>
      </c>
      <c r="R415" s="1140" t="s">
        <v>4775</v>
      </c>
    </row>
    <row r="416" spans="1:23" s="468" customFormat="1" ht="12" customHeight="1">
      <c r="A416" s="467"/>
      <c r="B416" s="3851" t="s">
        <v>4592</v>
      </c>
      <c r="C416" s="3851"/>
      <c r="D416" s="3851"/>
      <c r="E416" s="3851"/>
      <c r="F416" s="3851"/>
      <c r="G416" s="3851"/>
      <c r="H416" s="3851"/>
      <c r="I416" s="3851"/>
      <c r="J416" s="3851"/>
      <c r="K416" s="3851"/>
      <c r="L416" s="3851"/>
      <c r="M416" s="4028" t="s">
        <v>4450</v>
      </c>
      <c r="N416" s="4028"/>
      <c r="Q416" s="191"/>
    </row>
    <row r="417" spans="1:19" s="468" customFormat="1" ht="12" customHeight="1">
      <c r="B417" s="3851"/>
      <c r="C417" s="3851"/>
      <c r="D417" s="3851"/>
      <c r="E417" s="3851"/>
      <c r="F417" s="3851"/>
      <c r="G417" s="3851"/>
      <c r="H417" s="3851"/>
      <c r="I417" s="3851"/>
      <c r="J417" s="3851"/>
      <c r="K417" s="3851"/>
      <c r="L417" s="3851"/>
      <c r="M417" s="4028"/>
      <c r="N417" s="4028"/>
      <c r="O417" s="4007">
        <f>'Part VI-Revenues &amp; Expenses'!$P$123</f>
        <v>0</v>
      </c>
      <c r="P417" s="4008"/>
      <c r="Q417" s="191"/>
    </row>
    <row r="418" spans="1:19" s="468" customFormat="1" ht="12" customHeight="1">
      <c r="B418" s="3851"/>
      <c r="C418" s="3851"/>
      <c r="D418" s="3851"/>
      <c r="E418" s="3851"/>
      <c r="F418" s="3851"/>
      <c r="G418" s="3851"/>
      <c r="H418" s="3851"/>
      <c r="I418" s="3851"/>
      <c r="J418" s="3851"/>
      <c r="K418" s="3851"/>
      <c r="L418" s="3851"/>
      <c r="M418" s="1149" t="s">
        <v>2732</v>
      </c>
      <c r="N418" s="469"/>
      <c r="O418" s="4005">
        <f>'Part VI-Revenues &amp; Expenses'!$P$67</f>
        <v>200</v>
      </c>
      <c r="P418" s="4006"/>
      <c r="Q418" s="191"/>
    </row>
    <row r="419" spans="1:19" s="468" customFormat="1" ht="12" customHeight="1">
      <c r="B419" s="4018"/>
      <c r="C419" s="4018"/>
      <c r="D419" s="4018"/>
      <c r="E419" s="4018"/>
      <c r="F419" s="4018"/>
      <c r="G419" s="4018"/>
      <c r="H419" s="4018"/>
      <c r="I419" s="4018"/>
      <c r="J419" s="4018"/>
      <c r="K419" s="4018"/>
      <c r="L419" s="4018"/>
      <c r="M419" s="1846" t="s">
        <v>2733</v>
      </c>
      <c r="N419" s="469"/>
      <c r="O419" s="4026">
        <f>IF(O418=0,0,O417/O418)</f>
        <v>0</v>
      </c>
      <c r="P419" s="4027"/>
      <c r="Q419" s="191"/>
    </row>
    <row r="420" spans="1:19" s="43" customFormat="1" ht="66.75" customHeight="1">
      <c r="A420" s="594"/>
      <c r="B420" s="3843" t="s">
        <v>3851</v>
      </c>
      <c r="C420" s="3844"/>
      <c r="D420" s="3844"/>
      <c r="E420" s="3844"/>
      <c r="F420" s="3844"/>
      <c r="G420" s="3844"/>
      <c r="H420" s="3844"/>
      <c r="I420" s="3844"/>
      <c r="J420" s="3844"/>
      <c r="K420" s="3844"/>
      <c r="L420" s="3844"/>
      <c r="M420" s="3844"/>
      <c r="N420" s="3844"/>
      <c r="O420" s="3844"/>
      <c r="P420" s="3845"/>
      <c r="Q420" s="503" t="s">
        <v>1228</v>
      </c>
      <c r="R420" s="1250"/>
      <c r="S420" s="1250"/>
    </row>
    <row r="421" spans="1:19" s="468" customFormat="1" ht="1.5" customHeight="1">
      <c r="A421" s="656"/>
      <c r="B421" s="498"/>
      <c r="F421" s="492"/>
      <c r="G421" s="994"/>
      <c r="M421" s="469"/>
      <c r="N421" s="469"/>
      <c r="O421" s="469"/>
      <c r="P421" s="469"/>
      <c r="Q421" s="191"/>
    </row>
    <row r="422" spans="1:19" s="468" customFormat="1" ht="11.25" customHeight="1">
      <c r="A422" s="595" t="s">
        <v>3850</v>
      </c>
      <c r="B422" s="1035" t="s">
        <v>4591</v>
      </c>
      <c r="C422" s="142"/>
      <c r="D422" s="966"/>
      <c r="H422" s="447"/>
      <c r="M422" s="469">
        <v>2</v>
      </c>
      <c r="N422" s="165" t="s">
        <v>1938</v>
      </c>
      <c r="O422" s="665"/>
      <c r="P422" s="1645"/>
      <c r="Q422" s="1144" t="str">
        <f>IF(OR($O422=$M422,$O422=0,$O422=""),"","*CHECK!*")</f>
        <v/>
      </c>
      <c r="R422" s="1140" t="s">
        <v>4775</v>
      </c>
    </row>
    <row r="423" spans="1:19" s="468" customFormat="1" ht="11.25" customHeight="1">
      <c r="A423" s="595"/>
      <c r="B423" s="3615" t="s">
        <v>4350</v>
      </c>
      <c r="C423" s="3615"/>
      <c r="D423" s="3615"/>
      <c r="E423" s="3615"/>
      <c r="F423" s="3615"/>
      <c r="G423" s="3615"/>
      <c r="H423" s="3615"/>
      <c r="I423" s="3615"/>
      <c r="J423" s="3615"/>
      <c r="K423" s="3615"/>
      <c r="L423" s="3615"/>
      <c r="M423" s="1931" t="s">
        <v>4351</v>
      </c>
      <c r="O423" s="3996">
        <f>'Part VI-Revenues &amp; Expenses'!$P$125</f>
        <v>0</v>
      </c>
      <c r="P423" s="3997"/>
      <c r="Q423" s="191"/>
    </row>
    <row r="424" spans="1:19" s="468" customFormat="1" ht="11.25" customHeight="1">
      <c r="A424" s="595"/>
      <c r="B424" s="3615"/>
      <c r="C424" s="3615"/>
      <c r="D424" s="3615"/>
      <c r="E424" s="3615"/>
      <c r="F424" s="3615"/>
      <c r="G424" s="3615"/>
      <c r="H424" s="3615"/>
      <c r="I424" s="3615"/>
      <c r="J424" s="3615"/>
      <c r="K424" s="3615"/>
      <c r="L424" s="3615"/>
      <c r="M424" s="1459" t="s">
        <v>2732</v>
      </c>
      <c r="N424" s="469"/>
      <c r="O424" s="4005">
        <f>'Part VI-Revenues &amp; Expenses'!$P$67</f>
        <v>200</v>
      </c>
      <c r="P424" s="4006"/>
      <c r="Q424" s="191"/>
    </row>
    <row r="425" spans="1:19" s="468" customFormat="1" ht="11.25" customHeight="1">
      <c r="A425" s="595"/>
      <c r="B425" s="3615"/>
      <c r="C425" s="3615"/>
      <c r="D425" s="3615"/>
      <c r="E425" s="3615"/>
      <c r="F425" s="3615"/>
      <c r="G425" s="3615"/>
      <c r="H425" s="3615"/>
      <c r="I425" s="3615"/>
      <c r="J425" s="3615"/>
      <c r="K425" s="3615"/>
      <c r="L425" s="3615"/>
      <c r="M425" s="1846" t="s">
        <v>2733</v>
      </c>
      <c r="N425" s="469"/>
      <c r="O425" s="4026">
        <f>IF(O424=0,0,L411/O424)</f>
        <v>0</v>
      </c>
      <c r="P425" s="4027"/>
      <c r="Q425" s="191"/>
    </row>
    <row r="426" spans="1:19" s="43" customFormat="1" ht="11.25" customHeight="1" thickBot="1">
      <c r="A426" s="42"/>
      <c r="B426" s="1422" t="s">
        <v>3572</v>
      </c>
      <c r="C426" s="42"/>
      <c r="D426" s="48"/>
      <c r="E426" s="48"/>
      <c r="F426" s="48"/>
      <c r="G426" s="48"/>
      <c r="H426" s="36"/>
      <c r="I426" s="36"/>
      <c r="J426" s="36"/>
      <c r="K426" s="36"/>
      <c r="M426" s="46"/>
      <c r="N426" s="62"/>
      <c r="O426" s="3"/>
      <c r="P426" s="1437"/>
    </row>
    <row r="427" spans="1:19" s="43" customFormat="1" ht="66.599999999999994" customHeight="1" thickTop="1" thickBot="1">
      <c r="A427" s="3872"/>
      <c r="B427" s="3873"/>
      <c r="C427" s="3873"/>
      <c r="D427" s="3873"/>
      <c r="E427" s="3873"/>
      <c r="F427" s="3873"/>
      <c r="G427" s="3873"/>
      <c r="H427" s="3873"/>
      <c r="I427" s="3873"/>
      <c r="J427" s="3873"/>
      <c r="K427" s="3873"/>
      <c r="L427" s="3873"/>
      <c r="M427" s="3873"/>
      <c r="N427" s="3873"/>
      <c r="O427" s="3873"/>
      <c r="P427" s="3874"/>
      <c r="Q427" s="1250" t="s">
        <v>1228</v>
      </c>
      <c r="R427" s="504"/>
    </row>
    <row r="428" spans="1:19" s="43" customFormat="1" ht="10.5" customHeight="1" thickTop="1">
      <c r="B428" s="86" t="s">
        <v>1820</v>
      </c>
      <c r="C428" s="100"/>
      <c r="D428" s="86"/>
      <c r="E428" s="101"/>
      <c r="F428" s="1438"/>
      <c r="G428" s="1438"/>
      <c r="H428" s="1438"/>
      <c r="I428" s="1438"/>
      <c r="J428" s="1438"/>
      <c r="K428" s="1438"/>
      <c r="L428" s="1438"/>
      <c r="M428" s="1438"/>
      <c r="N428" s="74"/>
      <c r="O428" s="70"/>
      <c r="P428" s="1435"/>
      <c r="Q428" s="485"/>
    </row>
    <row r="429" spans="1:19" s="43" customFormat="1" ht="22.2" customHeight="1">
      <c r="A429" s="3699"/>
      <c r="B429" s="3700"/>
      <c r="C429" s="3700"/>
      <c r="D429" s="3700"/>
      <c r="E429" s="3700"/>
      <c r="F429" s="3700"/>
      <c r="G429" s="3700"/>
      <c r="H429" s="3700"/>
      <c r="I429" s="3700"/>
      <c r="J429" s="3700"/>
      <c r="K429" s="3700"/>
      <c r="L429" s="3700"/>
      <c r="M429" s="3700"/>
      <c r="N429" s="3700"/>
      <c r="O429" s="3700"/>
      <c r="P429" s="3701"/>
      <c r="Q429" s="503"/>
    </row>
    <row r="430" spans="1:19" s="43" customFormat="1" ht="3" customHeight="1" thickBot="1">
      <c r="A430" s="42"/>
      <c r="B430" s="42"/>
      <c r="C430" s="1438"/>
      <c r="D430" s="1438"/>
      <c r="E430" s="1438"/>
      <c r="F430" s="1438"/>
      <c r="G430" s="1438"/>
      <c r="H430" s="1438"/>
      <c r="I430" s="1438"/>
      <c r="J430" s="1438"/>
      <c r="K430" s="1438"/>
      <c r="L430" s="1438"/>
      <c r="M430" s="1438"/>
      <c r="N430" s="74"/>
      <c r="O430" s="70"/>
      <c r="P430" s="985"/>
    </row>
    <row r="431" spans="1:19" s="104" customFormat="1" ht="11.25" customHeight="1" thickBot="1">
      <c r="A431" s="157" t="s">
        <v>3793</v>
      </c>
      <c r="B431" s="107" t="s">
        <v>4726</v>
      </c>
      <c r="D431" s="45"/>
      <c r="E431" s="45"/>
      <c r="F431" s="39"/>
      <c r="G431" s="36"/>
      <c r="I431" s="36"/>
      <c r="J431" s="36"/>
      <c r="K431" s="36"/>
      <c r="L431" s="431" t="str">
        <f>IF(OR($O431=$M431,$O431&lt;=0,$O431=""),"","* * Check Score! * *")</f>
        <v/>
      </c>
      <c r="M431" s="1435">
        <v>10</v>
      </c>
      <c r="N431" s="6"/>
      <c r="O431" s="1285">
        <f>MIN($M$431,O433-O434+O435)</f>
        <v>10</v>
      </c>
      <c r="P431" s="1285">
        <f>MIN($M$431,P433-P434+P435)</f>
        <v>10</v>
      </c>
      <c r="Q431" s="111" t="s">
        <v>433</v>
      </c>
    </row>
    <row r="432" spans="1:19" s="104" customFormat="1" ht="1.5" customHeight="1">
      <c r="A432" s="157"/>
      <c r="B432" s="107"/>
      <c r="D432" s="45"/>
      <c r="E432" s="45"/>
      <c r="F432" s="39"/>
      <c r="G432" s="36"/>
      <c r="I432" s="36"/>
      <c r="J432" s="36"/>
      <c r="K432" s="36"/>
      <c r="L432" s="431"/>
      <c r="M432" s="1435"/>
      <c r="N432" s="6"/>
      <c r="O432" s="6"/>
      <c r="P432" s="6"/>
      <c r="Q432" s="111"/>
    </row>
    <row r="433" spans="1:20" s="104" customFormat="1" ht="10.5" customHeight="1">
      <c r="A433" s="157"/>
      <c r="B433" s="87" t="s">
        <v>3487</v>
      </c>
      <c r="D433" s="45"/>
      <c r="E433" s="45"/>
      <c r="F433" s="39"/>
      <c r="G433" s="36"/>
      <c r="I433" s="36"/>
      <c r="J433" s="36"/>
      <c r="K433" s="36"/>
      <c r="L433" s="431"/>
      <c r="M433" s="1435"/>
      <c r="N433" s="6"/>
      <c r="O433" s="1360">
        <v>10</v>
      </c>
      <c r="P433" s="1360">
        <v>10</v>
      </c>
      <c r="Q433" s="111"/>
    </row>
    <row r="434" spans="1:20" s="104" customFormat="1" ht="10.5" customHeight="1">
      <c r="A434" s="157"/>
      <c r="B434" s="87" t="s">
        <v>3488</v>
      </c>
      <c r="D434" s="45"/>
      <c r="E434" s="45"/>
      <c r="F434" s="39"/>
      <c r="G434" s="36"/>
      <c r="I434" s="36"/>
      <c r="J434" s="36"/>
      <c r="K434" s="36"/>
      <c r="L434" s="431"/>
      <c r="M434" s="1435"/>
      <c r="N434" s="6"/>
      <c r="O434" s="1359"/>
      <c r="P434" s="1352"/>
      <c r="Q434" s="111"/>
    </row>
    <row r="435" spans="1:20" s="104" customFormat="1" ht="10.5" customHeight="1">
      <c r="A435" s="157"/>
      <c r="B435" s="87" t="s">
        <v>3489</v>
      </c>
      <c r="D435" s="45"/>
      <c r="E435" s="45"/>
      <c r="F435" s="39"/>
      <c r="G435" s="36"/>
      <c r="I435" s="36"/>
      <c r="J435" s="36"/>
      <c r="K435" s="36"/>
      <c r="L435" s="431"/>
      <c r="M435" s="1435"/>
      <c r="N435" s="6"/>
      <c r="O435" s="1011"/>
      <c r="P435" s="599"/>
      <c r="Q435" s="111"/>
    </row>
    <row r="436" spans="1:20" s="104" customFormat="1" ht="10.5" customHeight="1">
      <c r="A436" s="66"/>
      <c r="B436" s="66" t="s">
        <v>1820</v>
      </c>
      <c r="C436" s="50"/>
      <c r="D436" s="66"/>
      <c r="E436" s="1441"/>
      <c r="F436" s="1441"/>
      <c r="G436" s="1441"/>
      <c r="H436" s="1441"/>
      <c r="I436" s="1441"/>
      <c r="J436" s="1441"/>
      <c r="K436" s="1441"/>
      <c r="L436" s="1441"/>
      <c r="M436" s="1441"/>
      <c r="N436" s="94"/>
      <c r="O436" s="967"/>
      <c r="P436" s="1435"/>
    </row>
    <row r="437" spans="1:20" s="43" customFormat="1" ht="10.8" customHeight="1">
      <c r="A437" s="3699"/>
      <c r="B437" s="3700"/>
      <c r="C437" s="3700"/>
      <c r="D437" s="3700"/>
      <c r="E437" s="3700"/>
      <c r="F437" s="3700"/>
      <c r="G437" s="3700"/>
      <c r="H437" s="3700"/>
      <c r="I437" s="3700"/>
      <c r="J437" s="3700"/>
      <c r="K437" s="3700"/>
      <c r="L437" s="3700"/>
      <c r="M437" s="3700"/>
      <c r="N437" s="3700"/>
      <c r="O437" s="3700"/>
      <c r="P437" s="3701"/>
      <c r="Q437" s="1250" t="s">
        <v>1228</v>
      </c>
      <c r="R437" s="504"/>
    </row>
    <row r="438" spans="1:20" s="43" customFormat="1" ht="6" customHeight="1" thickBot="1">
      <c r="A438" s="157"/>
      <c r="B438" s="42"/>
      <c r="C438" s="1438"/>
      <c r="D438" s="1438"/>
      <c r="E438" s="1438"/>
      <c r="F438" s="1438"/>
      <c r="G438" s="1438"/>
      <c r="H438" s="1438"/>
      <c r="I438" s="1438"/>
      <c r="J438" s="1438"/>
      <c r="K438" s="1438"/>
      <c r="L438" s="1438"/>
      <c r="M438" s="1438"/>
      <c r="N438" s="74"/>
      <c r="O438" s="70"/>
      <c r="P438" s="985"/>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7">
        <f>-O8+O25+O50+O64+O74+O112+O150+O189+O261+O282+O289+O297+O312+O329+O360+O375+O411+O431</f>
        <v>20</v>
      </c>
      <c r="P439" s="1347">
        <f>-P8+P25+P50+P64+P74+P112+P150+P189+P228+P261+P282+P289+P297+P312+P329+P342+P360+P375+P411+P431</f>
        <v>20</v>
      </c>
    </row>
    <row r="440" spans="1:20" s="42" customFormat="1" ht="11.25" customHeight="1" thickTop="1">
      <c r="A440" s="54"/>
      <c r="B440" s="67"/>
      <c r="C440" s="54"/>
      <c r="D440" s="35"/>
      <c r="E440" s="35"/>
      <c r="F440" s="69"/>
      <c r="G440" s="69"/>
      <c r="H440" s="183" t="s">
        <v>3845</v>
      </c>
      <c r="J440" s="68"/>
      <c r="K440" s="68"/>
      <c r="L440" s="43"/>
      <c r="M440" s="35"/>
      <c r="N440" s="1435"/>
      <c r="O440" s="1435"/>
      <c r="P440" s="516">
        <f>P228</f>
        <v>0</v>
      </c>
    </row>
    <row r="441" spans="1:20" s="42" customFormat="1" ht="11.25" customHeight="1">
      <c r="A441" s="54"/>
      <c r="B441" s="67"/>
      <c r="C441" s="54"/>
      <c r="D441" s="35"/>
      <c r="E441" s="35"/>
      <c r="F441" s="69"/>
      <c r="G441" s="69"/>
      <c r="H441" s="183" t="s">
        <v>3846</v>
      </c>
      <c r="J441" s="68"/>
      <c r="K441" s="68"/>
      <c r="L441" s="43"/>
      <c r="M441" s="35"/>
      <c r="N441" s="1435"/>
      <c r="O441" s="516"/>
      <c r="P441" s="516">
        <f>P342</f>
        <v>0</v>
      </c>
    </row>
    <row r="442" spans="1:20" s="43" customFormat="1" ht="11.25" customHeight="1">
      <c r="A442" s="42"/>
      <c r="D442" s="39"/>
      <c r="E442" s="36"/>
      <c r="F442" s="985"/>
      <c r="H442" s="183" t="s">
        <v>3848</v>
      </c>
      <c r="I442" s="985"/>
      <c r="J442" s="995"/>
      <c r="K442" s="995"/>
      <c r="L442" s="995"/>
      <c r="M442" s="60"/>
      <c r="N442" s="985"/>
      <c r="O442" s="1437"/>
      <c r="P442" s="1360">
        <f>P439-P440-P441</f>
        <v>20</v>
      </c>
    </row>
    <row r="443" spans="1:20" s="162" customFormat="1" ht="2.25" customHeight="1">
      <c r="A443" s="54"/>
      <c r="B443" s="67"/>
      <c r="C443" s="54"/>
      <c r="D443" s="150"/>
      <c r="E443" s="150"/>
      <c r="F443" s="40"/>
      <c r="G443" s="40"/>
      <c r="H443" s="69"/>
      <c r="I443" s="69"/>
      <c r="J443" s="534"/>
      <c r="K443" s="534"/>
      <c r="L443" s="43"/>
      <c r="M443" s="150"/>
      <c r="N443" s="1435"/>
      <c r="O443" s="1435"/>
      <c r="P443" s="3"/>
    </row>
    <row r="444" spans="1:20" s="43" customFormat="1" ht="22.5" customHeight="1">
      <c r="A444" s="3995" t="s">
        <v>6839</v>
      </c>
      <c r="B444" s="3995"/>
      <c r="C444" s="3995"/>
      <c r="D444" s="3995"/>
      <c r="E444" s="3995"/>
      <c r="F444" s="3995"/>
      <c r="G444" s="3995"/>
      <c r="H444" s="3995"/>
      <c r="I444" s="3995"/>
      <c r="J444" s="3995"/>
      <c r="K444" s="3995"/>
      <c r="L444" s="3995"/>
      <c r="M444" s="3995"/>
      <c r="N444" s="3995"/>
      <c r="O444" s="3995"/>
      <c r="P444" s="3995"/>
    </row>
    <row r="445" spans="1:20" s="43" customFormat="1" ht="409.2" customHeight="1">
      <c r="A445" s="3660"/>
      <c r="B445" s="3661"/>
      <c r="C445" s="3661"/>
      <c r="D445" s="3661"/>
      <c r="E445" s="3661"/>
      <c r="F445" s="3661"/>
      <c r="G445" s="3661"/>
      <c r="H445" s="3661"/>
      <c r="I445" s="3661"/>
      <c r="J445" s="3661"/>
      <c r="K445" s="3661"/>
      <c r="L445" s="3661"/>
      <c r="M445" s="3661"/>
      <c r="N445" s="3661"/>
      <c r="O445" s="3661"/>
      <c r="P445" s="3662"/>
      <c r="Q445" s="503" t="s">
        <v>1228</v>
      </c>
      <c r="R445" s="504"/>
    </row>
    <row r="446" spans="1:20" s="162" customFormat="1">
      <c r="C446" s="509" t="s">
        <v>2042</v>
      </c>
      <c r="D446" s="509"/>
      <c r="E446" s="509"/>
      <c r="F446" s="509"/>
      <c r="G446" s="509"/>
      <c r="H446" s="509"/>
      <c r="I446" s="509"/>
      <c r="J446" s="2350" t="s">
        <v>1612</v>
      </c>
      <c r="K446" s="509"/>
      <c r="L446" s="509"/>
      <c r="M446" s="509"/>
      <c r="N446" s="510"/>
      <c r="O446" s="2347"/>
      <c r="P446" s="2347"/>
      <c r="Q446" s="2348"/>
      <c r="R446" s="2349"/>
      <c r="S446" s="2349"/>
      <c r="T446" s="2349"/>
    </row>
    <row r="447" spans="1:20" s="162" customFormat="1">
      <c r="C447" s="509" t="s">
        <v>2043</v>
      </c>
      <c r="D447" s="509"/>
      <c r="E447" s="509"/>
      <c r="F447" s="509"/>
      <c r="G447" s="509"/>
      <c r="H447" s="509"/>
      <c r="I447" s="509"/>
      <c r="J447" s="2350" t="s">
        <v>1613</v>
      </c>
      <c r="K447" s="509"/>
      <c r="L447" s="509"/>
      <c r="M447" s="509"/>
      <c r="N447" s="510"/>
      <c r="O447" s="2347"/>
      <c r="P447" s="2347"/>
      <c r="Q447" s="2348"/>
      <c r="R447" s="2349"/>
      <c r="S447" s="2349"/>
      <c r="T447" s="2349"/>
    </row>
    <row r="448" spans="1:20" s="162" customFormat="1">
      <c r="C448" s="2351" t="s">
        <v>2044</v>
      </c>
      <c r="D448" s="509"/>
      <c r="E448" s="509"/>
      <c r="F448" s="509"/>
      <c r="G448" s="509"/>
      <c r="H448" s="509"/>
      <c r="I448" s="509"/>
      <c r="J448" s="2350" t="s">
        <v>2440</v>
      </c>
      <c r="K448" s="509"/>
      <c r="L448" s="509"/>
      <c r="M448" s="509"/>
      <c r="N448" s="510"/>
      <c r="O448" s="2347"/>
      <c r="P448" s="2347"/>
      <c r="Q448" s="2348"/>
      <c r="R448" s="2349"/>
      <c r="S448" s="2349"/>
      <c r="T448" s="2349"/>
    </row>
    <row r="449" spans="3:20" s="162" customFormat="1">
      <c r="C449" s="2351" t="s">
        <v>2045</v>
      </c>
      <c r="D449" s="509"/>
      <c r="E449" s="509"/>
      <c r="F449" s="509"/>
      <c r="G449" s="509"/>
      <c r="H449" s="509"/>
      <c r="I449" s="509"/>
      <c r="J449" s="2350" t="s">
        <v>1614</v>
      </c>
      <c r="K449" s="509"/>
      <c r="L449" s="509"/>
      <c r="M449" s="509"/>
      <c r="N449" s="510"/>
      <c r="O449" s="2347"/>
      <c r="P449" s="2347"/>
      <c r="Q449" s="2348"/>
      <c r="R449" s="2349"/>
      <c r="S449" s="2349"/>
      <c r="T449" s="2349"/>
    </row>
    <row r="450" spans="3:20" s="162" customFormat="1">
      <c r="C450" s="2351"/>
      <c r="D450" s="509"/>
      <c r="E450" s="509"/>
      <c r="F450" s="509"/>
      <c r="G450" s="509"/>
      <c r="H450" s="509"/>
      <c r="I450" s="509"/>
      <c r="J450" s="2350" t="s">
        <v>1615</v>
      </c>
      <c r="K450" s="509"/>
      <c r="L450" s="509"/>
      <c r="M450" s="509"/>
      <c r="N450" s="510"/>
      <c r="O450" s="2347"/>
      <c r="P450" s="2347"/>
      <c r="Q450" s="2348"/>
      <c r="R450" s="2349"/>
      <c r="S450" s="2349"/>
      <c r="T450" s="2349"/>
    </row>
    <row r="451" spans="3:20" s="162" customFormat="1">
      <c r="C451" s="509" t="s">
        <v>1727</v>
      </c>
      <c r="D451" s="509"/>
      <c r="E451" s="509"/>
      <c r="F451" s="509"/>
      <c r="G451" s="509"/>
      <c r="H451" s="509"/>
      <c r="I451" s="509"/>
      <c r="J451" s="2350" t="s">
        <v>1616</v>
      </c>
      <c r="K451" s="509"/>
      <c r="L451" s="509"/>
      <c r="M451" s="509"/>
      <c r="N451" s="510"/>
      <c r="O451" s="2347"/>
      <c r="P451" s="2347"/>
      <c r="Q451" s="2348"/>
      <c r="R451" s="2349"/>
      <c r="S451" s="2349"/>
      <c r="T451" s="2349"/>
    </row>
    <row r="452" spans="3:20" s="162" customFormat="1">
      <c r="C452" s="2352" t="s">
        <v>1363</v>
      </c>
      <c r="D452" s="509"/>
      <c r="E452" s="509"/>
      <c r="F452" s="509"/>
      <c r="G452" s="509"/>
      <c r="H452" s="509"/>
      <c r="I452" s="509"/>
      <c r="J452" s="2350" t="s">
        <v>1617</v>
      </c>
      <c r="K452" s="509"/>
      <c r="L452" s="509"/>
      <c r="M452" s="509"/>
      <c r="N452" s="510"/>
      <c r="O452" s="2347"/>
      <c r="P452" s="2347"/>
      <c r="Q452" s="2348"/>
      <c r="R452" s="2349"/>
      <c r="S452" s="2349"/>
      <c r="T452" s="2349"/>
    </row>
    <row r="453" spans="3:20" s="162" customFormat="1">
      <c r="C453" s="2352" t="s">
        <v>1364</v>
      </c>
      <c r="D453" s="509"/>
      <c r="E453" s="509"/>
      <c r="F453" s="509"/>
      <c r="G453" s="509"/>
      <c r="H453" s="509"/>
      <c r="I453" s="509"/>
      <c r="J453" s="2350" t="s">
        <v>1618</v>
      </c>
      <c r="K453" s="509"/>
      <c r="L453" s="509"/>
      <c r="M453" s="509"/>
      <c r="N453" s="510"/>
      <c r="O453" s="2347"/>
      <c r="P453" s="2347"/>
      <c r="Q453" s="2348"/>
      <c r="R453" s="2349"/>
      <c r="S453" s="2349"/>
      <c r="T453" s="2349"/>
    </row>
    <row r="454" spans="3:20" s="162" customFormat="1">
      <c r="C454" s="2353" t="s">
        <v>2083</v>
      </c>
      <c r="D454" s="509"/>
      <c r="E454" s="509"/>
      <c r="F454" s="509"/>
      <c r="G454" s="509"/>
      <c r="H454" s="509"/>
      <c r="I454" s="509"/>
      <c r="J454" s="2350" t="s">
        <v>1619</v>
      </c>
      <c r="K454" s="509"/>
      <c r="L454" s="509"/>
      <c r="M454" s="509"/>
      <c r="N454" s="510"/>
      <c r="O454" s="2347"/>
      <c r="P454" s="2347"/>
      <c r="Q454" s="2348"/>
      <c r="R454" s="2349"/>
      <c r="S454" s="2349"/>
      <c r="T454" s="2349"/>
    </row>
    <row r="455" spans="3:20" s="162" customFormat="1">
      <c r="C455" s="2353" t="s">
        <v>1360</v>
      </c>
      <c r="D455" s="509"/>
      <c r="E455" s="509"/>
      <c r="F455" s="509"/>
      <c r="G455" s="509"/>
      <c r="H455" s="509"/>
      <c r="I455" s="509"/>
      <c r="J455" s="2350" t="s">
        <v>574</v>
      </c>
      <c r="K455" s="509"/>
      <c r="L455" s="509"/>
      <c r="M455" s="509"/>
      <c r="N455" s="510"/>
      <c r="O455" s="2347"/>
      <c r="P455" s="2347"/>
      <c r="Q455" s="2348"/>
      <c r="R455" s="2349"/>
      <c r="S455" s="2349"/>
      <c r="T455" s="2349"/>
    </row>
    <row r="456" spans="3:20" s="162" customFormat="1">
      <c r="C456" s="2353" t="s">
        <v>1361</v>
      </c>
      <c r="D456" s="509"/>
      <c r="E456" s="509"/>
      <c r="F456" s="509"/>
      <c r="G456" s="509"/>
      <c r="H456" s="509"/>
      <c r="I456" s="509"/>
      <c r="J456" s="2350" t="s">
        <v>1620</v>
      </c>
      <c r="K456" s="509"/>
      <c r="L456" s="509"/>
      <c r="M456" s="509"/>
      <c r="N456" s="510"/>
      <c r="O456" s="2347"/>
      <c r="P456" s="2347"/>
      <c r="Q456" s="2348"/>
      <c r="R456" s="2349"/>
      <c r="S456" s="2349"/>
      <c r="T456" s="2349"/>
    </row>
    <row r="457" spans="3:20" s="162" customFormat="1">
      <c r="C457" s="2352" t="s">
        <v>2078</v>
      </c>
      <c r="D457" s="509"/>
      <c r="E457" s="509"/>
      <c r="F457" s="509"/>
      <c r="G457" s="509"/>
      <c r="H457" s="509"/>
      <c r="I457" s="509"/>
      <c r="J457" s="2350" t="s">
        <v>1621</v>
      </c>
      <c r="K457" s="509"/>
      <c r="L457" s="509"/>
      <c r="M457" s="509"/>
      <c r="N457" s="510"/>
      <c r="O457" s="2347"/>
      <c r="P457" s="2347"/>
      <c r="Q457" s="2348"/>
      <c r="R457" s="2349"/>
      <c r="S457" s="2349"/>
      <c r="T457" s="2349"/>
    </row>
    <row r="458" spans="3:20" s="162" customFormat="1">
      <c r="C458" s="2352" t="s">
        <v>2079</v>
      </c>
      <c r="D458" s="509"/>
      <c r="E458" s="509"/>
      <c r="F458" s="509"/>
      <c r="G458" s="509"/>
      <c r="H458" s="509"/>
      <c r="I458" s="509"/>
      <c r="J458" s="2350" t="s">
        <v>1622</v>
      </c>
      <c r="K458" s="509"/>
      <c r="L458" s="509"/>
      <c r="M458" s="509"/>
      <c r="N458" s="510"/>
      <c r="O458" s="2347"/>
      <c r="P458" s="2347"/>
      <c r="Q458" s="2348"/>
      <c r="R458" s="2349"/>
      <c r="S458" s="2349"/>
      <c r="T458" s="2349"/>
    </row>
    <row r="459" spans="3:20" s="162" customFormat="1">
      <c r="C459" s="2352" t="s">
        <v>2080</v>
      </c>
      <c r="D459" s="509"/>
      <c r="E459" s="509"/>
      <c r="F459" s="509"/>
      <c r="G459" s="509"/>
      <c r="H459" s="509"/>
      <c r="I459" s="509"/>
      <c r="J459" s="2350" t="s">
        <v>33</v>
      </c>
      <c r="K459" s="509"/>
      <c r="L459" s="509"/>
      <c r="M459" s="509"/>
      <c r="N459" s="510"/>
      <c r="O459" s="2347"/>
      <c r="P459" s="2347"/>
      <c r="Q459" s="2348"/>
      <c r="R459" s="2349"/>
      <c r="S459" s="2349"/>
      <c r="T459" s="2349"/>
    </row>
    <row r="460" spans="3:20" s="162" customFormat="1">
      <c r="C460" s="2352" t="s">
        <v>2081</v>
      </c>
      <c r="D460" s="509"/>
      <c r="E460" s="509"/>
      <c r="F460" s="509"/>
      <c r="G460" s="509"/>
      <c r="H460" s="509"/>
      <c r="I460" s="509"/>
      <c r="J460" s="509"/>
      <c r="K460" s="509"/>
      <c r="L460" s="509"/>
      <c r="M460" s="509"/>
      <c r="N460" s="510"/>
      <c r="O460" s="2347"/>
      <c r="P460" s="2347"/>
      <c r="Q460" s="2348"/>
      <c r="R460" s="2349"/>
      <c r="S460" s="2349"/>
      <c r="T460" s="2349"/>
    </row>
    <row r="461" spans="3:20" s="162" customFormat="1">
      <c r="C461" s="2352" t="s">
        <v>2082</v>
      </c>
      <c r="D461" s="509"/>
      <c r="E461" s="509"/>
      <c r="F461" s="509"/>
      <c r="G461" s="509"/>
      <c r="H461" s="509"/>
      <c r="I461" s="509"/>
      <c r="J461" s="2354" t="s">
        <v>3301</v>
      </c>
      <c r="K461" s="509"/>
      <c r="L461" s="509"/>
      <c r="M461" s="509"/>
      <c r="N461" s="510"/>
      <c r="O461" s="2354" t="s">
        <v>3584</v>
      </c>
      <c r="P461" s="2347"/>
      <c r="Q461" s="2348"/>
      <c r="R461" s="2349"/>
      <c r="S461" s="2349"/>
      <c r="T461" s="2349"/>
    </row>
    <row r="462" spans="3:20" s="162" customFormat="1">
      <c r="C462" s="2352" t="s">
        <v>1362</v>
      </c>
      <c r="D462" s="509"/>
      <c r="E462" s="509"/>
      <c r="F462" s="509"/>
      <c r="G462" s="509"/>
      <c r="H462" s="509"/>
      <c r="I462" s="509"/>
      <c r="J462" s="2350" t="s">
        <v>3302</v>
      </c>
      <c r="K462" s="509"/>
      <c r="L462" s="509"/>
      <c r="M462" s="509"/>
      <c r="N462" s="510"/>
      <c r="O462" s="2347"/>
      <c r="P462" s="2347"/>
      <c r="Q462" s="2348"/>
      <c r="R462" s="2349"/>
      <c r="S462" s="2349"/>
      <c r="T462" s="2349"/>
    </row>
    <row r="463" spans="3:20" s="162" customFormat="1">
      <c r="C463" s="2352" t="s">
        <v>2224</v>
      </c>
      <c r="D463" s="509"/>
      <c r="E463" s="509"/>
      <c r="F463" s="509"/>
      <c r="G463" s="509"/>
      <c r="H463" s="509"/>
      <c r="I463" s="509"/>
      <c r="J463" s="509" t="s">
        <v>3286</v>
      </c>
      <c r="K463" s="509"/>
      <c r="L463" s="509"/>
      <c r="M463" s="509"/>
      <c r="N463" s="510"/>
      <c r="O463" s="2347">
        <v>2</v>
      </c>
      <c r="P463" s="2347"/>
      <c r="Q463" s="2348"/>
      <c r="R463" s="2349"/>
      <c r="S463" s="2349"/>
      <c r="T463" s="2349"/>
    </row>
    <row r="464" spans="3:20" s="162" customFormat="1">
      <c r="C464" s="509"/>
      <c r="D464" s="509"/>
      <c r="E464" s="509"/>
      <c r="F464" s="509"/>
      <c r="G464" s="509"/>
      <c r="H464" s="509"/>
      <c r="I464" s="509"/>
      <c r="J464" s="509" t="s">
        <v>3287</v>
      </c>
      <c r="K464" s="509"/>
      <c r="L464" s="509"/>
      <c r="M464" s="509"/>
      <c r="N464" s="510"/>
      <c r="O464" s="2347">
        <v>2</v>
      </c>
      <c r="P464" s="2347"/>
      <c r="Q464" s="2348"/>
      <c r="R464" s="2349"/>
      <c r="S464" s="2349"/>
      <c r="T464" s="2349"/>
    </row>
    <row r="465" spans="1:20" s="162" customFormat="1">
      <c r="C465" s="509"/>
      <c r="D465" s="509"/>
      <c r="E465" s="509"/>
      <c r="F465" s="509"/>
      <c r="G465" s="4172" t="s">
        <v>1472</v>
      </c>
      <c r="H465" s="4172"/>
      <c r="I465" s="4172"/>
      <c r="J465" s="509" t="s">
        <v>3288</v>
      </c>
      <c r="K465" s="509"/>
      <c r="L465" s="509"/>
      <c r="M465" s="509"/>
      <c r="N465" s="510"/>
      <c r="O465" s="2347">
        <v>2</v>
      </c>
      <c r="P465" s="2347"/>
      <c r="Q465" s="2348"/>
      <c r="R465" s="2349"/>
      <c r="S465" s="2349"/>
      <c r="T465" s="2349"/>
    </row>
    <row r="466" spans="1:20" s="162" customFormat="1">
      <c r="C466" s="509" t="s">
        <v>2695</v>
      </c>
      <c r="D466" s="509"/>
      <c r="E466" s="509"/>
      <c r="F466" s="509"/>
      <c r="G466" s="2355" t="s">
        <v>4781</v>
      </c>
      <c r="H466" s="2356" t="s">
        <v>4782</v>
      </c>
      <c r="I466" s="2355" t="s">
        <v>4780</v>
      </c>
      <c r="J466" s="509" t="s">
        <v>3289</v>
      </c>
      <c r="K466" s="509"/>
      <c r="L466" s="2355"/>
      <c r="M466" s="509"/>
      <c r="N466" s="510"/>
      <c r="O466" s="2347">
        <v>2</v>
      </c>
      <c r="P466" s="2347"/>
      <c r="Q466" s="2348"/>
      <c r="R466" s="2349"/>
      <c r="S466" s="2349"/>
      <c r="T466" s="2349"/>
    </row>
    <row r="467" spans="1:20" s="162" customFormat="1">
      <c r="C467" s="2357" t="s">
        <v>2697</v>
      </c>
      <c r="D467" s="509"/>
      <c r="E467" s="509"/>
      <c r="F467" s="509"/>
      <c r="G467" s="2358" t="s">
        <v>2456</v>
      </c>
      <c r="H467" s="2356"/>
      <c r="I467" s="2358"/>
      <c r="J467" s="509" t="s">
        <v>3582</v>
      </c>
      <c r="K467" s="509"/>
      <c r="L467" s="2358"/>
      <c r="M467" s="509"/>
      <c r="N467" s="510"/>
      <c r="O467" s="2347">
        <v>2</v>
      </c>
      <c r="P467" s="2347"/>
      <c r="Q467" s="2348"/>
      <c r="R467" s="2349"/>
      <c r="S467" s="2349"/>
      <c r="T467" s="2349"/>
    </row>
    <row r="468" spans="1:20" s="162" customFormat="1">
      <c r="C468" s="2357" t="s">
        <v>2698</v>
      </c>
      <c r="D468" s="509"/>
      <c r="E468" s="509"/>
      <c r="F468" s="509"/>
      <c r="G468" s="2358" t="s">
        <v>454</v>
      </c>
      <c r="H468" s="510" t="s">
        <v>4784</v>
      </c>
      <c r="I468" s="2355" t="s">
        <v>2615</v>
      </c>
      <c r="J468" s="2356" t="s">
        <v>3290</v>
      </c>
      <c r="K468" s="509"/>
      <c r="L468" s="2359"/>
      <c r="M468" s="509"/>
      <c r="N468" s="510"/>
      <c r="O468" s="2347">
        <v>1</v>
      </c>
      <c r="P468" s="2347"/>
      <c r="Q468" s="2348"/>
      <c r="R468" s="2349"/>
      <c r="S468" s="2349"/>
      <c r="T468" s="2349"/>
    </row>
    <row r="469" spans="1:20" s="162" customFormat="1">
      <c r="C469" s="2357" t="s">
        <v>2699</v>
      </c>
      <c r="D469" s="509"/>
      <c r="E469" s="509"/>
      <c r="F469" s="509"/>
      <c r="G469" s="2358" t="s">
        <v>1738</v>
      </c>
      <c r="H469" s="510">
        <v>2020</v>
      </c>
      <c r="I469" s="510" t="s">
        <v>4783</v>
      </c>
      <c r="J469" s="2356" t="s">
        <v>3291</v>
      </c>
      <c r="K469" s="509"/>
      <c r="L469" s="2359"/>
      <c r="M469" s="509"/>
      <c r="N469" s="510"/>
      <c r="O469" s="2347">
        <v>1</v>
      </c>
      <c r="P469" s="2347"/>
      <c r="Q469" s="2348"/>
      <c r="R469" s="2349"/>
      <c r="S469" s="2349"/>
      <c r="T469" s="2349"/>
    </row>
    <row r="470" spans="1:20" s="162" customFormat="1">
      <c r="C470" s="2357" t="s">
        <v>2700</v>
      </c>
      <c r="D470" s="509"/>
      <c r="E470" s="509"/>
      <c r="F470" s="509"/>
      <c r="G470" s="2358" t="s">
        <v>2488</v>
      </c>
      <c r="H470" s="510" t="s">
        <v>1690</v>
      </c>
      <c r="I470" s="2355" t="s">
        <v>2615</v>
      </c>
      <c r="J470" s="2356" t="s">
        <v>3292</v>
      </c>
      <c r="K470" s="509"/>
      <c r="L470" s="2359"/>
      <c r="M470" s="509"/>
      <c r="N470" s="510"/>
      <c r="O470" s="2347">
        <v>1</v>
      </c>
      <c r="P470" s="2347"/>
      <c r="Q470" s="2348"/>
      <c r="R470" s="2349"/>
      <c r="S470" s="2349"/>
      <c r="T470" s="2349"/>
    </row>
    <row r="471" spans="1:20" s="162" customFormat="1">
      <c r="C471" s="2357" t="s">
        <v>2701</v>
      </c>
      <c r="D471" s="509"/>
      <c r="E471" s="509"/>
      <c r="F471" s="509"/>
      <c r="G471" s="2358" t="s">
        <v>1014</v>
      </c>
      <c r="H471" s="510">
        <v>2020</v>
      </c>
      <c r="I471" s="510" t="s">
        <v>4783</v>
      </c>
      <c r="J471" s="2356" t="s">
        <v>3583</v>
      </c>
      <c r="K471" s="509"/>
      <c r="L471" s="2359"/>
      <c r="M471" s="509"/>
      <c r="N471" s="510"/>
      <c r="O471" s="2347">
        <v>1</v>
      </c>
      <c r="P471" s="2347"/>
      <c r="Q471" s="2348"/>
      <c r="R471" s="2349"/>
      <c r="S471" s="2349"/>
      <c r="T471" s="2349"/>
    </row>
    <row r="472" spans="1:20" s="162" customFormat="1">
      <c r="C472" s="2357" t="s">
        <v>2702</v>
      </c>
      <c r="D472" s="509"/>
      <c r="E472" s="509"/>
      <c r="F472" s="509"/>
      <c r="G472" s="2358" t="s">
        <v>3618</v>
      </c>
      <c r="H472" s="510">
        <v>2019</v>
      </c>
      <c r="I472" s="510" t="s">
        <v>4783</v>
      </c>
      <c r="J472" s="2356" t="s">
        <v>3300</v>
      </c>
      <c r="K472" s="509"/>
      <c r="L472" s="2359"/>
      <c r="M472" s="509"/>
      <c r="N472" s="510"/>
      <c r="O472" s="2347">
        <v>1</v>
      </c>
      <c r="P472" s="2347"/>
      <c r="Q472" s="2348"/>
      <c r="R472" s="2349"/>
      <c r="S472" s="2349"/>
      <c r="T472" s="2349"/>
    </row>
    <row r="473" spans="1:20" s="162" customFormat="1">
      <c r="C473" s="2357"/>
      <c r="D473" s="509"/>
      <c r="E473" s="509"/>
      <c r="F473" s="509"/>
      <c r="G473" s="2358" t="s">
        <v>350</v>
      </c>
      <c r="H473" s="510" t="s">
        <v>1690</v>
      </c>
      <c r="I473" s="2355" t="s">
        <v>2615</v>
      </c>
      <c r="J473" s="2356" t="s">
        <v>3293</v>
      </c>
      <c r="K473" s="509"/>
      <c r="L473" s="2359"/>
      <c r="M473" s="509"/>
      <c r="N473" s="510"/>
      <c r="O473" s="2347">
        <v>1</v>
      </c>
      <c r="P473" s="2347"/>
      <c r="Q473" s="2348"/>
      <c r="R473" s="2349"/>
      <c r="S473" s="2349"/>
      <c r="T473" s="2349"/>
    </row>
    <row r="474" spans="1:20" s="162" customFormat="1">
      <c r="C474" s="2357"/>
      <c r="D474" s="509"/>
      <c r="E474" s="509"/>
      <c r="F474" s="509"/>
      <c r="G474" s="2358" t="s">
        <v>1714</v>
      </c>
      <c r="H474" s="510">
        <v>2020</v>
      </c>
      <c r="I474" s="510" t="s">
        <v>4783</v>
      </c>
      <c r="J474" s="2356" t="s">
        <v>3294</v>
      </c>
      <c r="K474" s="509"/>
      <c r="L474" s="2359"/>
      <c r="M474" s="509"/>
      <c r="N474" s="510"/>
      <c r="O474" s="2347">
        <v>1</v>
      </c>
      <c r="P474" s="2347"/>
      <c r="Q474" s="2348"/>
      <c r="R474" s="2349"/>
      <c r="S474" s="2349"/>
      <c r="T474" s="2349"/>
    </row>
    <row r="475" spans="1:20" s="162" customFormat="1">
      <c r="C475" s="2357"/>
      <c r="D475" s="509"/>
      <c r="E475" s="509"/>
      <c r="F475" s="509"/>
      <c r="G475" s="2358" t="s">
        <v>2012</v>
      </c>
      <c r="H475" s="510" t="s">
        <v>4784</v>
      </c>
      <c r="I475" s="2355" t="s">
        <v>2615</v>
      </c>
      <c r="J475" s="2356" t="s">
        <v>3295</v>
      </c>
      <c r="K475" s="509"/>
      <c r="L475" s="2359"/>
      <c r="M475" s="509"/>
      <c r="N475" s="510"/>
      <c r="O475" s="2347">
        <v>1</v>
      </c>
      <c r="P475" s="2347"/>
      <c r="Q475" s="2348"/>
      <c r="R475" s="2349"/>
      <c r="S475" s="2349"/>
      <c r="T475" s="2349"/>
    </row>
    <row r="476" spans="1:20" s="162" customFormat="1">
      <c r="C476" s="509"/>
      <c r="D476" s="509"/>
      <c r="E476" s="509"/>
      <c r="F476" s="509"/>
      <c r="G476" s="2358" t="s">
        <v>85</v>
      </c>
      <c r="H476" s="510" t="s">
        <v>4784</v>
      </c>
      <c r="I476" s="2355" t="s">
        <v>2615</v>
      </c>
      <c r="J476" s="2356" t="s">
        <v>3296</v>
      </c>
      <c r="K476" s="509"/>
      <c r="L476" s="2359"/>
      <c r="M476" s="509"/>
      <c r="N476" s="510"/>
      <c r="O476" s="2347">
        <v>1</v>
      </c>
      <c r="P476" s="2347"/>
      <c r="Q476" s="2348"/>
      <c r="R476" s="2349"/>
      <c r="S476" s="2349"/>
      <c r="T476" s="2349"/>
    </row>
    <row r="477" spans="1:20" s="162" customFormat="1">
      <c r="A477" s="2349"/>
      <c r="B477" s="2349"/>
      <c r="C477" s="509"/>
      <c r="D477" s="509"/>
      <c r="E477" s="509"/>
      <c r="F477" s="509"/>
      <c r="G477" s="2358" t="s">
        <v>874</v>
      </c>
      <c r="H477" s="510">
        <v>2019</v>
      </c>
      <c r="I477" s="510" t="s">
        <v>4783</v>
      </c>
      <c r="J477" s="2356" t="s">
        <v>3299</v>
      </c>
      <c r="K477" s="509"/>
      <c r="L477" s="2359"/>
      <c r="M477" s="509"/>
      <c r="N477" s="510"/>
      <c r="O477" s="2347">
        <v>1</v>
      </c>
      <c r="P477" s="2347"/>
      <c r="Q477" s="2348"/>
      <c r="R477" s="2349"/>
      <c r="S477" s="2349"/>
      <c r="T477" s="2349"/>
    </row>
    <row r="478" spans="1:20" s="162" customFormat="1">
      <c r="A478" s="1170" t="s">
        <v>2704</v>
      </c>
      <c r="B478" s="2349"/>
      <c r="C478" s="509"/>
      <c r="D478" s="509"/>
      <c r="E478" s="509"/>
      <c r="F478" s="509"/>
      <c r="G478" s="2358" t="s">
        <v>2090</v>
      </c>
      <c r="H478" s="510" t="s">
        <v>4784</v>
      </c>
      <c r="I478" s="2355" t="s">
        <v>2615</v>
      </c>
      <c r="J478" s="2356" t="s">
        <v>3297</v>
      </c>
      <c r="K478" s="509"/>
      <c r="L478" s="2359"/>
      <c r="M478" s="509"/>
      <c r="N478" s="510"/>
      <c r="O478" s="2347">
        <v>1</v>
      </c>
      <c r="P478" s="2347"/>
      <c r="Q478" s="2348"/>
      <c r="R478" s="2349"/>
      <c r="S478" s="2349"/>
      <c r="T478" s="2349"/>
    </row>
    <row r="479" spans="1:20" s="162" customFormat="1">
      <c r="A479" s="1170" t="s">
        <v>2727</v>
      </c>
      <c r="B479" s="2349"/>
      <c r="C479" s="509"/>
      <c r="D479" s="509"/>
      <c r="E479" s="509"/>
      <c r="F479" s="509"/>
      <c r="G479" s="2358" t="s">
        <v>2010</v>
      </c>
      <c r="H479" s="510">
        <v>2019</v>
      </c>
      <c r="I479" s="510" t="s">
        <v>4783</v>
      </c>
      <c r="J479" s="2356" t="s">
        <v>3298</v>
      </c>
      <c r="K479" s="509"/>
      <c r="L479" s="2359"/>
      <c r="M479" s="509"/>
      <c r="N479" s="510"/>
      <c r="O479" s="2347">
        <v>1</v>
      </c>
      <c r="P479" s="2347"/>
      <c r="Q479" s="2348"/>
      <c r="R479" s="2349"/>
      <c r="S479" s="2349"/>
      <c r="T479" s="2349"/>
    </row>
    <row r="480" spans="1:20" s="162" customFormat="1">
      <c r="A480" s="2365" t="s">
        <v>3266</v>
      </c>
      <c r="B480" s="2349"/>
      <c r="C480" s="509"/>
      <c r="D480" s="2357"/>
      <c r="E480" s="2357">
        <v>3</v>
      </c>
      <c r="F480" s="509"/>
      <c r="G480" s="2358" t="s">
        <v>330</v>
      </c>
      <c r="H480" s="510">
        <v>2019</v>
      </c>
      <c r="I480" s="510" t="s">
        <v>4783</v>
      </c>
      <c r="J480" s="509"/>
      <c r="K480" s="509"/>
      <c r="L480" s="2359"/>
      <c r="M480" s="509"/>
      <c r="N480" s="510"/>
      <c r="O480" s="2347"/>
      <c r="P480" s="2347"/>
      <c r="Q480" s="2348"/>
      <c r="R480" s="2349"/>
      <c r="S480" s="2349"/>
      <c r="T480" s="2349"/>
    </row>
    <row r="481" spans="1:20" s="162" customFormat="1">
      <c r="A481" s="2365" t="s">
        <v>3267</v>
      </c>
      <c r="B481" s="2349"/>
      <c r="C481" s="509"/>
      <c r="D481" s="2357"/>
      <c r="E481" s="2357">
        <v>2</v>
      </c>
      <c r="F481" s="509"/>
      <c r="G481" s="2358" t="s">
        <v>852</v>
      </c>
      <c r="H481" s="510">
        <v>2019</v>
      </c>
      <c r="I481" s="510" t="s">
        <v>4783</v>
      </c>
      <c r="J481" s="509"/>
      <c r="K481" s="509"/>
      <c r="L481" s="2359"/>
      <c r="M481" s="509"/>
      <c r="N481" s="510"/>
      <c r="O481" s="2347"/>
      <c r="P481" s="2347"/>
      <c r="Q481" s="2348"/>
      <c r="R481" s="2349"/>
      <c r="S481" s="2349"/>
      <c r="T481" s="2349"/>
    </row>
    <row r="482" spans="1:20" s="162" customFormat="1">
      <c r="A482" s="2365" t="s">
        <v>3268</v>
      </c>
      <c r="B482" s="2349"/>
      <c r="C482" s="509"/>
      <c r="D482" s="2357"/>
      <c r="E482" s="2357">
        <v>10</v>
      </c>
      <c r="F482" s="509"/>
      <c r="G482" s="2358" t="s">
        <v>1881</v>
      </c>
      <c r="H482" s="510">
        <v>2019</v>
      </c>
      <c r="I482" s="510" t="s">
        <v>4783</v>
      </c>
      <c r="J482" s="2360" t="s">
        <v>3593</v>
      </c>
      <c r="K482" s="509"/>
      <c r="L482" s="2359"/>
      <c r="M482" s="509"/>
      <c r="N482" s="510"/>
      <c r="O482" s="2347"/>
      <c r="P482" s="2347"/>
      <c r="Q482" s="2348"/>
      <c r="R482" s="2349"/>
      <c r="S482" s="2349"/>
      <c r="T482" s="2349"/>
    </row>
    <row r="483" spans="1:20" s="162" customFormat="1">
      <c r="A483" s="2365" t="s">
        <v>2728</v>
      </c>
      <c r="B483" s="2349"/>
      <c r="C483" s="509"/>
      <c r="D483" s="2357"/>
      <c r="E483" s="2357"/>
      <c r="F483" s="509"/>
      <c r="G483" s="2358" t="s">
        <v>412</v>
      </c>
      <c r="H483" s="510">
        <v>2019</v>
      </c>
      <c r="I483" s="510" t="s">
        <v>4783</v>
      </c>
      <c r="J483" s="2356" t="s">
        <v>3732</v>
      </c>
      <c r="K483" s="509"/>
      <c r="L483" s="2359"/>
      <c r="M483" s="509"/>
      <c r="N483" s="510"/>
      <c r="O483" s="2347"/>
      <c r="P483" s="2347"/>
      <c r="Q483" s="2348"/>
      <c r="R483" s="2349"/>
      <c r="S483" s="2349"/>
      <c r="T483" s="2349"/>
    </row>
    <row r="484" spans="1:20" s="162" customFormat="1">
      <c r="A484" s="2349"/>
      <c r="B484" s="2349"/>
      <c r="C484" s="2357"/>
      <c r="D484" s="509"/>
      <c r="E484" s="509"/>
      <c r="F484" s="509"/>
      <c r="G484" s="2358" t="s">
        <v>963</v>
      </c>
      <c r="H484" s="510">
        <v>2020</v>
      </c>
      <c r="I484" s="510" t="s">
        <v>4783</v>
      </c>
      <c r="J484" s="2356" t="s">
        <v>3727</v>
      </c>
      <c r="K484" s="509"/>
      <c r="L484" s="2359"/>
      <c r="M484" s="509"/>
      <c r="N484" s="510"/>
      <c r="O484" s="2347"/>
      <c r="P484" s="2347"/>
      <c r="Q484" s="2348"/>
      <c r="R484" s="2349"/>
      <c r="S484" s="2349"/>
      <c r="T484" s="2349"/>
    </row>
    <row r="485" spans="1:20" s="162" customFormat="1">
      <c r="C485" s="2357"/>
      <c r="D485" s="509"/>
      <c r="E485" s="509"/>
      <c r="F485" s="509"/>
      <c r="G485" s="2358" t="s">
        <v>557</v>
      </c>
      <c r="H485" s="510">
        <v>2020</v>
      </c>
      <c r="I485" s="510" t="s">
        <v>4783</v>
      </c>
      <c r="J485" s="2356" t="s">
        <v>3586</v>
      </c>
      <c r="K485" s="2356"/>
      <c r="L485" s="2359"/>
      <c r="M485" s="509"/>
      <c r="N485" s="510"/>
      <c r="O485" s="2347"/>
      <c r="P485" s="2347"/>
      <c r="Q485" s="2348"/>
      <c r="R485" s="2349"/>
      <c r="S485" s="2349"/>
      <c r="T485" s="2349"/>
    </row>
    <row r="486" spans="1:20" s="162" customFormat="1">
      <c r="C486" s="2357"/>
      <c r="D486" s="509"/>
      <c r="E486" s="509"/>
      <c r="F486" s="509"/>
      <c r="G486" s="2358" t="s">
        <v>846</v>
      </c>
      <c r="H486" s="510" t="s">
        <v>4784</v>
      </c>
      <c r="I486" s="2355" t="s">
        <v>2615</v>
      </c>
      <c r="J486" s="2356" t="s">
        <v>3723</v>
      </c>
      <c r="K486" s="509"/>
      <c r="L486" s="2359"/>
      <c r="M486" s="509"/>
      <c r="N486" s="510"/>
      <c r="O486" s="2347"/>
      <c r="P486" s="2347"/>
      <c r="Q486" s="2348"/>
      <c r="R486" s="2349"/>
      <c r="S486" s="2349"/>
      <c r="T486" s="2349"/>
    </row>
    <row r="487" spans="1:20" s="162" customFormat="1">
      <c r="C487" s="2357"/>
      <c r="D487" s="509"/>
      <c r="E487" s="509"/>
      <c r="F487" s="509"/>
      <c r="G487" s="2358" t="s">
        <v>3282</v>
      </c>
      <c r="H487" s="510">
        <v>2019</v>
      </c>
      <c r="I487" s="510" t="s">
        <v>4783</v>
      </c>
      <c r="J487" s="2356" t="s">
        <v>3587</v>
      </c>
      <c r="K487" s="2356"/>
      <c r="L487" s="2359"/>
      <c r="M487" s="509"/>
      <c r="N487" s="510"/>
      <c r="O487" s="2347"/>
      <c r="P487" s="2347"/>
      <c r="Q487" s="2348"/>
      <c r="R487" s="2349"/>
      <c r="S487" s="2349"/>
      <c r="T487" s="2349"/>
    </row>
    <row r="488" spans="1:20" s="162" customFormat="1">
      <c r="C488" s="509"/>
      <c r="D488" s="509"/>
      <c r="E488" s="509"/>
      <c r="F488" s="509"/>
      <c r="G488" s="2358" t="s">
        <v>801</v>
      </c>
      <c r="H488" s="510">
        <v>2019</v>
      </c>
      <c r="I488" s="510" t="s">
        <v>4783</v>
      </c>
      <c r="J488" s="2356" t="s">
        <v>3724</v>
      </c>
      <c r="K488" s="509"/>
      <c r="L488" s="2359"/>
      <c r="M488" s="509"/>
      <c r="N488" s="510"/>
      <c r="O488" s="2347"/>
      <c r="P488" s="2347"/>
      <c r="Q488" s="2348"/>
      <c r="R488" s="2349"/>
      <c r="S488" s="2349"/>
      <c r="T488" s="2349"/>
    </row>
    <row r="489" spans="1:20" s="162" customFormat="1">
      <c r="C489" s="509"/>
      <c r="D489" s="509"/>
      <c r="E489" s="509"/>
      <c r="F489" s="509"/>
      <c r="G489" s="2358" t="s">
        <v>175</v>
      </c>
      <c r="H489" s="510">
        <v>2019</v>
      </c>
      <c r="I489" s="510" t="s">
        <v>4783</v>
      </c>
      <c r="J489" s="2356" t="s">
        <v>3588</v>
      </c>
      <c r="K489" s="509"/>
      <c r="L489" s="2356"/>
      <c r="M489" s="509"/>
      <c r="N489" s="510"/>
      <c r="O489" s="2347"/>
      <c r="P489" s="2347"/>
      <c r="Q489" s="2348"/>
      <c r="R489" s="2349"/>
      <c r="S489" s="2349"/>
      <c r="T489" s="2349"/>
    </row>
    <row r="490" spans="1:20" s="162" customFormat="1">
      <c r="C490" s="509"/>
      <c r="D490" s="509"/>
      <c r="E490" s="509"/>
      <c r="F490" s="509"/>
      <c r="G490" s="2358" t="s">
        <v>3759</v>
      </c>
      <c r="H490" s="510" t="s">
        <v>4784</v>
      </c>
      <c r="I490" s="2355" t="s">
        <v>2615</v>
      </c>
      <c r="J490" s="2356" t="s">
        <v>3725</v>
      </c>
      <c r="K490" s="509"/>
      <c r="L490" s="2359"/>
      <c r="M490" s="509"/>
      <c r="N490" s="510"/>
      <c r="O490" s="2347"/>
      <c r="P490" s="2347"/>
      <c r="Q490" s="2348"/>
      <c r="R490" s="2349"/>
      <c r="S490" s="2349"/>
      <c r="T490" s="2349"/>
    </row>
    <row r="491" spans="1:20" s="162" customFormat="1">
      <c r="C491" s="509"/>
      <c r="D491" s="509"/>
      <c r="E491" s="509"/>
      <c r="F491" s="509"/>
      <c r="G491" s="2358" t="s">
        <v>527</v>
      </c>
      <c r="H491" s="510">
        <v>2020</v>
      </c>
      <c r="I491" s="510" t="s">
        <v>4783</v>
      </c>
      <c r="J491" s="2356" t="s">
        <v>3728</v>
      </c>
      <c r="K491" s="509"/>
      <c r="L491" s="2359"/>
      <c r="M491" s="509"/>
      <c r="N491" s="510"/>
      <c r="O491" s="2347"/>
      <c r="P491" s="2347"/>
      <c r="Q491" s="2348"/>
      <c r="R491" s="2349"/>
      <c r="S491" s="2349"/>
      <c r="T491" s="2349"/>
    </row>
    <row r="492" spans="1:20" s="162" customFormat="1">
      <c r="C492" s="509"/>
      <c r="D492" s="509"/>
      <c r="E492" s="509"/>
      <c r="F492" s="509"/>
      <c r="G492" s="2358" t="s">
        <v>391</v>
      </c>
      <c r="H492" s="510">
        <v>2020</v>
      </c>
      <c r="I492" s="510" t="s">
        <v>4783</v>
      </c>
      <c r="J492" s="2356" t="s">
        <v>3731</v>
      </c>
      <c r="K492" s="2356"/>
      <c r="L492" s="2356"/>
      <c r="M492" s="509"/>
      <c r="N492" s="510"/>
      <c r="O492" s="2347"/>
      <c r="P492" s="2347"/>
      <c r="Q492" s="2348"/>
      <c r="R492" s="2349"/>
      <c r="S492" s="2349"/>
      <c r="T492" s="2349"/>
    </row>
    <row r="493" spans="1:20" s="162" customFormat="1">
      <c r="C493" s="509"/>
      <c r="D493" s="2361"/>
      <c r="E493" s="509"/>
      <c r="F493" s="509"/>
      <c r="G493" s="2358" t="s">
        <v>1410</v>
      </c>
      <c r="H493" s="510" t="s">
        <v>4784</v>
      </c>
      <c r="I493" s="2355" t="s">
        <v>2615</v>
      </c>
      <c r="J493" s="2356" t="s">
        <v>3589</v>
      </c>
      <c r="K493" s="509"/>
      <c r="L493" s="2359"/>
      <c r="M493" s="509"/>
      <c r="N493" s="510"/>
      <c r="O493" s="2347"/>
      <c r="P493" s="2347"/>
      <c r="Q493" s="2348"/>
      <c r="R493" s="2349"/>
      <c r="S493" s="2349"/>
      <c r="T493" s="2349"/>
    </row>
    <row r="494" spans="1:20" s="162" customFormat="1">
      <c r="C494" s="509"/>
      <c r="D494" s="2361"/>
      <c r="E494" s="509"/>
      <c r="F494" s="509"/>
      <c r="G494" s="2358" t="s">
        <v>1793</v>
      </c>
      <c r="H494" s="510" t="s">
        <v>4784</v>
      </c>
      <c r="I494" s="2355" t="s">
        <v>2615</v>
      </c>
      <c r="J494" s="2356" t="s">
        <v>3590</v>
      </c>
      <c r="K494" s="509"/>
      <c r="L494" s="2359"/>
      <c r="M494" s="509"/>
      <c r="N494" s="510"/>
      <c r="O494" s="2347"/>
      <c r="P494" s="2347"/>
      <c r="Q494" s="2348"/>
      <c r="R494" s="2349"/>
      <c r="S494" s="2349"/>
      <c r="T494" s="2349"/>
    </row>
    <row r="495" spans="1:20" s="162" customFormat="1">
      <c r="C495" s="509"/>
      <c r="D495" s="2362"/>
      <c r="E495" s="509"/>
      <c r="F495" s="509"/>
      <c r="G495" s="2358" t="s">
        <v>2072</v>
      </c>
      <c r="H495" s="510">
        <v>2020</v>
      </c>
      <c r="I495" s="510" t="s">
        <v>4783</v>
      </c>
      <c r="J495" s="2356" t="s">
        <v>3726</v>
      </c>
      <c r="K495" s="509"/>
      <c r="L495" s="2359"/>
      <c r="M495" s="509"/>
      <c r="N495" s="510"/>
      <c r="O495" s="2347"/>
      <c r="P495" s="2347"/>
      <c r="Q495" s="2348"/>
      <c r="R495" s="2349"/>
      <c r="S495" s="2349"/>
      <c r="T495" s="2349"/>
    </row>
    <row r="496" spans="1:20" s="162" customFormat="1">
      <c r="C496" s="509"/>
      <c r="D496" s="2362"/>
      <c r="E496" s="2362"/>
      <c r="F496" s="509"/>
      <c r="G496" s="2358" t="s">
        <v>1413</v>
      </c>
      <c r="H496" s="510">
        <v>2019</v>
      </c>
      <c r="I496" s="510" t="s">
        <v>4783</v>
      </c>
      <c r="J496" s="2356" t="s">
        <v>3729</v>
      </c>
      <c r="K496" s="509"/>
      <c r="L496" s="2356"/>
      <c r="M496" s="509"/>
      <c r="N496" s="510"/>
      <c r="O496" s="2347"/>
      <c r="P496" s="2347"/>
      <c r="Q496" s="2348"/>
      <c r="R496" s="2349"/>
      <c r="S496" s="2349"/>
      <c r="T496" s="2349"/>
    </row>
    <row r="497" spans="3:20" s="162" customFormat="1">
      <c r="C497" s="509"/>
      <c r="D497" s="509"/>
      <c r="E497" s="509"/>
      <c r="F497" s="509"/>
      <c r="G497" s="2358" t="s">
        <v>240</v>
      </c>
      <c r="H497" s="510">
        <v>2019</v>
      </c>
      <c r="I497" s="510" t="s">
        <v>4783</v>
      </c>
      <c r="J497" s="2356" t="s">
        <v>3730</v>
      </c>
      <c r="K497" s="509"/>
      <c r="L497" s="2359"/>
      <c r="M497" s="509"/>
      <c r="N497" s="510"/>
      <c r="O497" s="2347"/>
      <c r="P497" s="2347"/>
      <c r="Q497" s="2348"/>
      <c r="R497" s="2349"/>
      <c r="S497" s="2349"/>
      <c r="T497" s="2349"/>
    </row>
    <row r="498" spans="3:20" s="162" customFormat="1">
      <c r="C498" s="509"/>
      <c r="D498" s="509"/>
      <c r="E498" s="509"/>
      <c r="F498" s="509"/>
      <c r="G498" s="2358" t="s">
        <v>1021</v>
      </c>
      <c r="H498" s="510">
        <v>2020</v>
      </c>
      <c r="I498" s="510" t="s">
        <v>4783</v>
      </c>
      <c r="J498" s="2356" t="s">
        <v>3591</v>
      </c>
      <c r="K498" s="509"/>
      <c r="L498" s="2359"/>
      <c r="M498" s="509"/>
      <c r="N498" s="510"/>
      <c r="O498" s="2347"/>
      <c r="P498" s="2347"/>
      <c r="Q498" s="2348"/>
      <c r="R498" s="2349"/>
      <c r="S498" s="2349"/>
      <c r="T498" s="2349"/>
    </row>
    <row r="499" spans="3:20" s="162" customFormat="1">
      <c r="C499" s="2361"/>
      <c r="D499" s="509"/>
      <c r="E499" s="509"/>
      <c r="F499" s="509"/>
      <c r="G499" s="2358" t="s">
        <v>2210</v>
      </c>
      <c r="H499" s="510">
        <v>2020</v>
      </c>
      <c r="I499" s="510" t="s">
        <v>4783</v>
      </c>
      <c r="J499" s="2356" t="s">
        <v>3592</v>
      </c>
      <c r="K499" s="509"/>
      <c r="L499" s="2359"/>
      <c r="M499" s="509"/>
      <c r="N499" s="510"/>
      <c r="O499" s="2347"/>
      <c r="P499" s="2347"/>
      <c r="Q499" s="2348"/>
      <c r="R499" s="2349"/>
      <c r="S499" s="2349"/>
      <c r="T499" s="2349"/>
    </row>
    <row r="500" spans="3:20" s="162" customFormat="1">
      <c r="C500" s="2361"/>
      <c r="D500" s="509"/>
      <c r="E500" s="509"/>
      <c r="F500" s="509"/>
      <c r="G500" s="2358" t="s">
        <v>4778</v>
      </c>
      <c r="H500" s="510" t="s">
        <v>4784</v>
      </c>
      <c r="I500" s="2355" t="s">
        <v>2615</v>
      </c>
      <c r="J500" s="2356"/>
      <c r="K500" s="509"/>
      <c r="L500" s="2359"/>
      <c r="M500" s="509"/>
      <c r="N500" s="510"/>
      <c r="O500" s="2347"/>
      <c r="P500" s="2347"/>
      <c r="Q500" s="2348"/>
      <c r="R500" s="2349"/>
      <c r="S500" s="2349"/>
      <c r="T500" s="2349"/>
    </row>
    <row r="501" spans="3:20" s="162" customFormat="1">
      <c r="C501" s="2361"/>
      <c r="D501" s="509"/>
      <c r="E501" s="509"/>
      <c r="F501" s="509"/>
      <c r="G501" s="2358" t="s">
        <v>1841</v>
      </c>
      <c r="H501" s="510" t="s">
        <v>4784</v>
      </c>
      <c r="I501" s="2355" t="s">
        <v>2615</v>
      </c>
      <c r="J501" s="2356"/>
      <c r="K501" s="509"/>
      <c r="L501" s="2359"/>
      <c r="M501" s="509"/>
      <c r="N501" s="510"/>
      <c r="O501" s="2347"/>
      <c r="P501" s="2347"/>
      <c r="Q501" s="2348"/>
      <c r="R501" s="2349"/>
      <c r="S501" s="2349"/>
      <c r="T501" s="2349"/>
    </row>
    <row r="502" spans="3:20" s="162" customFormat="1">
      <c r="C502" s="2361"/>
      <c r="D502" s="509"/>
      <c r="E502" s="509"/>
      <c r="F502" s="509"/>
      <c r="G502" s="2358" t="s">
        <v>491</v>
      </c>
      <c r="H502" s="510" t="s">
        <v>4784</v>
      </c>
      <c r="I502" s="2355" t="s">
        <v>2615</v>
      </c>
      <c r="J502" s="2356"/>
      <c r="K502" s="509"/>
      <c r="L502" s="2359"/>
      <c r="M502" s="509"/>
      <c r="N502" s="510"/>
      <c r="O502" s="2347"/>
      <c r="P502" s="2347"/>
      <c r="Q502" s="2348"/>
      <c r="R502" s="2349"/>
      <c r="S502" s="2349"/>
      <c r="T502" s="2349"/>
    </row>
    <row r="503" spans="3:20" s="162" customFormat="1">
      <c r="C503" s="2361"/>
      <c r="D503" s="509"/>
      <c r="E503" s="509"/>
      <c r="F503" s="509"/>
      <c r="G503" s="2358" t="s">
        <v>2054</v>
      </c>
      <c r="H503" s="510" t="s">
        <v>4784</v>
      </c>
      <c r="I503" s="2355" t="s">
        <v>2615</v>
      </c>
      <c r="J503" s="2356"/>
      <c r="K503" s="509"/>
      <c r="L503" s="2359"/>
      <c r="M503" s="509"/>
      <c r="N503" s="510"/>
      <c r="O503" s="2347"/>
      <c r="P503" s="2347"/>
      <c r="Q503" s="2348"/>
      <c r="R503" s="2349"/>
      <c r="S503" s="2349"/>
      <c r="T503" s="2349"/>
    </row>
    <row r="504" spans="3:20" s="162" customFormat="1">
      <c r="C504" s="2361"/>
      <c r="D504" s="509"/>
      <c r="E504" s="509"/>
      <c r="F504" s="509"/>
      <c r="G504" s="2358" t="s">
        <v>2202</v>
      </c>
      <c r="H504" s="510">
        <v>2020</v>
      </c>
      <c r="I504" s="510" t="s">
        <v>4783</v>
      </c>
      <c r="J504" s="2356"/>
      <c r="K504" s="509"/>
      <c r="L504" s="2359"/>
      <c r="M504" s="509"/>
      <c r="N504" s="510"/>
      <c r="O504" s="2347"/>
      <c r="P504" s="2347"/>
      <c r="Q504" s="2348"/>
      <c r="R504" s="2349"/>
      <c r="S504" s="2349"/>
      <c r="T504" s="2349"/>
    </row>
    <row r="505" spans="3:20" s="162" customFormat="1">
      <c r="C505" s="2361"/>
      <c r="D505" s="509"/>
      <c r="E505" s="509"/>
      <c r="F505" s="509"/>
      <c r="G505" s="2358" t="s">
        <v>2077</v>
      </c>
      <c r="H505" s="510">
        <v>2020</v>
      </c>
      <c r="I505" s="510" t="s">
        <v>4783</v>
      </c>
      <c r="J505" s="2356"/>
      <c r="K505" s="509"/>
      <c r="L505" s="2356"/>
      <c r="M505" s="509"/>
      <c r="N505" s="510"/>
      <c r="O505" s="2347"/>
      <c r="P505" s="2347"/>
      <c r="Q505" s="2348"/>
      <c r="R505" s="2349"/>
      <c r="S505" s="2349"/>
      <c r="T505" s="2349"/>
    </row>
    <row r="506" spans="3:20" s="162" customFormat="1">
      <c r="C506" s="2362"/>
      <c r="D506" s="509"/>
      <c r="E506" s="509"/>
      <c r="F506" s="509"/>
      <c r="G506" s="2358" t="s">
        <v>2275</v>
      </c>
      <c r="H506" s="510">
        <v>2019</v>
      </c>
      <c r="I506" s="510" t="s">
        <v>4783</v>
      </c>
      <c r="J506" s="2356"/>
      <c r="K506" s="509"/>
      <c r="L506" s="2356"/>
      <c r="M506" s="509"/>
      <c r="N506" s="510"/>
      <c r="O506" s="2347"/>
      <c r="P506" s="2347"/>
      <c r="Q506" s="2348"/>
      <c r="R506" s="2349"/>
      <c r="S506" s="2349"/>
      <c r="T506" s="2349"/>
    </row>
    <row r="507" spans="3:20" s="162" customFormat="1">
      <c r="C507" s="2362"/>
      <c r="D507" s="509"/>
      <c r="E507" s="509"/>
      <c r="F507" s="509"/>
      <c r="G507" s="2358" t="s">
        <v>4779</v>
      </c>
      <c r="H507" s="2356"/>
      <c r="I507" s="2356"/>
      <c r="J507" s="2356"/>
      <c r="K507" s="509"/>
      <c r="L507" s="2356"/>
      <c r="M507" s="509"/>
      <c r="N507" s="510"/>
      <c r="O507" s="2347"/>
      <c r="P507" s="2347"/>
      <c r="Q507" s="2348"/>
      <c r="R507" s="2349"/>
      <c r="S507" s="2349"/>
      <c r="T507" s="2349"/>
    </row>
    <row r="508" spans="3:20" s="162" customFormat="1">
      <c r="C508" s="509"/>
      <c r="D508" s="509"/>
      <c r="E508" s="509"/>
      <c r="F508" s="509"/>
      <c r="G508" s="2358" t="s">
        <v>1651</v>
      </c>
      <c r="H508" s="510">
        <v>2019</v>
      </c>
      <c r="I508" s="510" t="s">
        <v>4783</v>
      </c>
      <c r="J508" s="2356"/>
      <c r="K508" s="509"/>
      <c r="L508" s="2356"/>
      <c r="M508" s="509"/>
      <c r="N508" s="510"/>
      <c r="O508" s="2347"/>
      <c r="P508" s="2347"/>
      <c r="Q508" s="2348"/>
      <c r="R508" s="2349"/>
      <c r="S508" s="2349"/>
      <c r="T508" s="2349"/>
    </row>
    <row r="509" spans="3:20" s="162" customFormat="1">
      <c r="C509" s="509"/>
      <c r="D509" s="509"/>
      <c r="E509" s="509"/>
      <c r="F509" s="509"/>
      <c r="G509" s="2358" t="s">
        <v>1654</v>
      </c>
      <c r="H509" s="510">
        <v>2020</v>
      </c>
      <c r="I509" s="510" t="s">
        <v>4783</v>
      </c>
      <c r="J509" s="2356"/>
      <c r="K509" s="2356"/>
      <c r="L509" s="509"/>
      <c r="M509" s="509"/>
      <c r="N509" s="510"/>
      <c r="O509" s="2347"/>
      <c r="P509" s="2347"/>
      <c r="Q509" s="2348"/>
      <c r="R509" s="2349"/>
      <c r="S509" s="2349"/>
      <c r="T509" s="2349"/>
    </row>
    <row r="510" spans="3:20" s="162" customFormat="1">
      <c r="C510" s="509"/>
      <c r="D510" s="509"/>
      <c r="E510" s="509"/>
      <c r="F510" s="509"/>
      <c r="G510" s="2358" t="s">
        <v>1659</v>
      </c>
      <c r="H510" s="510">
        <v>2020</v>
      </c>
      <c r="I510" s="510" t="s">
        <v>4783</v>
      </c>
      <c r="J510" s="2356"/>
      <c r="K510" s="2356"/>
      <c r="L510" s="509"/>
      <c r="M510" s="509"/>
      <c r="N510" s="510"/>
      <c r="O510" s="2347"/>
      <c r="P510" s="2347"/>
      <c r="Q510" s="2348"/>
      <c r="R510" s="2349"/>
      <c r="S510" s="2349"/>
      <c r="T510" s="2349"/>
    </row>
    <row r="511" spans="3:20" s="162" customFormat="1">
      <c r="C511" s="509"/>
      <c r="D511" s="509"/>
      <c r="E511" s="509"/>
      <c r="F511" s="509"/>
      <c r="G511" s="2358" t="s">
        <v>1667</v>
      </c>
      <c r="H511" s="510">
        <v>2020</v>
      </c>
      <c r="I511" s="510" t="s">
        <v>4783</v>
      </c>
      <c r="J511" s="2356"/>
      <c r="K511" s="2356"/>
      <c r="L511" s="509"/>
      <c r="M511" s="509"/>
      <c r="N511" s="510"/>
      <c r="O511" s="2347"/>
      <c r="P511" s="2347"/>
      <c r="Q511" s="2348"/>
      <c r="R511" s="2349"/>
      <c r="S511" s="2349"/>
      <c r="T511" s="2349"/>
    </row>
    <row r="512" spans="3:20" s="162" customFormat="1">
      <c r="C512" s="509"/>
      <c r="D512" s="509"/>
      <c r="E512" s="509"/>
      <c r="F512" s="509"/>
      <c r="G512" s="2358" t="s">
        <v>1668</v>
      </c>
      <c r="H512" s="510">
        <v>2019</v>
      </c>
      <c r="I512" s="510" t="s">
        <v>4783</v>
      </c>
      <c r="J512" s="2356"/>
      <c r="K512" s="2356"/>
      <c r="L512" s="509"/>
      <c r="M512" s="509"/>
      <c r="N512" s="510"/>
      <c r="O512" s="2347"/>
      <c r="P512" s="2347"/>
      <c r="Q512" s="2348"/>
      <c r="R512" s="2349"/>
      <c r="S512" s="2349"/>
      <c r="T512" s="2349"/>
    </row>
    <row r="513" spans="3:20" s="162" customFormat="1">
      <c r="C513" s="509"/>
      <c r="D513" s="509"/>
      <c r="E513" s="509"/>
      <c r="F513" s="509"/>
      <c r="G513" s="2358" t="s">
        <v>103</v>
      </c>
      <c r="H513" s="510">
        <v>2020</v>
      </c>
      <c r="I513" s="510" t="s">
        <v>4783</v>
      </c>
      <c r="J513" s="2356"/>
      <c r="K513" s="2356"/>
      <c r="L513" s="509"/>
      <c r="M513" s="509"/>
      <c r="N513" s="510"/>
      <c r="O513" s="2347"/>
      <c r="P513" s="2347"/>
      <c r="Q513" s="2348"/>
      <c r="R513" s="2349"/>
      <c r="S513" s="2349"/>
      <c r="T513" s="2349"/>
    </row>
    <row r="514" spans="3:20" s="162" customFormat="1">
      <c r="C514" s="509"/>
      <c r="D514" s="509"/>
      <c r="E514" s="509"/>
      <c r="F514" s="509"/>
      <c r="G514" s="2358" t="s">
        <v>292</v>
      </c>
      <c r="H514" s="510">
        <v>2020</v>
      </c>
      <c r="I514" s="510" t="s">
        <v>4783</v>
      </c>
      <c r="J514" s="2356"/>
      <c r="K514" s="2356"/>
      <c r="L514" s="509"/>
      <c r="M514" s="509"/>
      <c r="N514" s="510"/>
      <c r="O514" s="2347"/>
      <c r="P514" s="2347"/>
      <c r="Q514" s="2348"/>
      <c r="R514" s="2349"/>
      <c r="S514" s="2349"/>
      <c r="T514" s="2349"/>
    </row>
    <row r="515" spans="3:20" s="162" customFormat="1">
      <c r="C515" s="509"/>
      <c r="D515" s="509"/>
      <c r="E515" s="509"/>
      <c r="F515" s="509"/>
      <c r="G515" s="2358" t="s">
        <v>1510</v>
      </c>
      <c r="H515" s="510" t="s">
        <v>4784</v>
      </c>
      <c r="I515" s="2355" t="s">
        <v>2615</v>
      </c>
      <c r="J515" s="2356"/>
      <c r="K515" s="2356"/>
      <c r="L515" s="509"/>
      <c r="M515" s="509"/>
      <c r="N515" s="510"/>
      <c r="O515" s="2347"/>
      <c r="P515" s="2347"/>
      <c r="Q515" s="2348"/>
      <c r="R515" s="2349"/>
      <c r="S515" s="2349"/>
      <c r="T515" s="2349"/>
    </row>
    <row r="516" spans="3:20" s="162" customFormat="1">
      <c r="C516" s="509"/>
      <c r="D516" s="509"/>
      <c r="E516" s="509"/>
      <c r="F516" s="509"/>
      <c r="G516" s="2358"/>
      <c r="H516" s="2356"/>
      <c r="I516" s="2356"/>
      <c r="J516" s="2356"/>
      <c r="K516" s="2356"/>
      <c r="L516" s="509"/>
      <c r="M516" s="509"/>
      <c r="N516" s="510"/>
      <c r="O516" s="2347"/>
      <c r="P516" s="2347"/>
      <c r="Q516" s="2348"/>
      <c r="R516" s="2349"/>
      <c r="S516" s="2349"/>
      <c r="T516" s="2349"/>
    </row>
    <row r="517" spans="3:20" s="162" customFormat="1">
      <c r="C517" s="509"/>
      <c r="D517" s="509"/>
      <c r="E517" s="509"/>
      <c r="F517" s="509"/>
      <c r="G517" s="2358"/>
      <c r="H517" s="2356"/>
      <c r="I517" s="2356"/>
      <c r="J517" s="2356"/>
      <c r="K517" s="2356"/>
      <c r="L517" s="509"/>
      <c r="M517" s="509"/>
      <c r="N517" s="510"/>
      <c r="O517" s="2347"/>
      <c r="P517" s="2347"/>
      <c r="Q517" s="2348"/>
      <c r="R517" s="2349"/>
      <c r="S517" s="2349"/>
      <c r="T517" s="2349"/>
    </row>
    <row r="518" spans="3:20" s="162" customFormat="1">
      <c r="C518" s="509"/>
      <c r="D518" s="509"/>
      <c r="E518" s="509"/>
      <c r="F518" s="509"/>
      <c r="G518" s="2358"/>
      <c r="H518" s="2356"/>
      <c r="I518" s="2356"/>
      <c r="J518" s="2356"/>
      <c r="K518" s="2356"/>
      <c r="L518" s="509"/>
      <c r="M518" s="509"/>
      <c r="N518" s="510"/>
      <c r="O518" s="2347"/>
      <c r="P518" s="2347"/>
      <c r="Q518" s="2348"/>
      <c r="R518" s="2349"/>
      <c r="S518" s="2349"/>
      <c r="T518" s="2349"/>
    </row>
    <row r="519" spans="3:20" s="162" customFormat="1">
      <c r="C519" s="509"/>
      <c r="D519" s="509"/>
      <c r="E519" s="509"/>
      <c r="F519" s="509"/>
      <c r="G519" s="2358"/>
      <c r="H519" s="2356"/>
      <c r="I519" s="2356"/>
      <c r="J519" s="2356"/>
      <c r="K519" s="2356"/>
      <c r="L519" s="509"/>
      <c r="M519" s="509"/>
      <c r="N519" s="510"/>
      <c r="O519" s="2347"/>
      <c r="P519" s="2347"/>
      <c r="Q519" s="2348"/>
      <c r="R519" s="2349"/>
      <c r="S519" s="2349"/>
      <c r="T519" s="2349"/>
    </row>
    <row r="520" spans="3:20" s="162" customFormat="1">
      <c r="C520" s="509"/>
      <c r="D520" s="509"/>
      <c r="E520" s="509"/>
      <c r="F520" s="509"/>
      <c r="G520" s="2358"/>
      <c r="H520" s="509"/>
      <c r="I520" s="509"/>
      <c r="J520" s="2356"/>
      <c r="K520" s="509"/>
      <c r="L520" s="509"/>
      <c r="M520" s="509"/>
      <c r="N520" s="510"/>
      <c r="O520" s="2347"/>
      <c r="P520" s="2347"/>
      <c r="Q520" s="2348"/>
      <c r="R520" s="2349"/>
      <c r="S520" s="2349"/>
      <c r="T520" s="2349"/>
    </row>
    <row r="521" spans="3:20" s="162" customFormat="1">
      <c r="C521" s="509"/>
      <c r="D521" s="509"/>
      <c r="E521" s="509"/>
      <c r="F521" s="509"/>
      <c r="G521" s="2358"/>
      <c r="H521" s="509"/>
      <c r="I521" s="509"/>
      <c r="J521" s="2356"/>
      <c r="K521" s="509"/>
      <c r="L521" s="509"/>
      <c r="M521" s="509"/>
      <c r="N521" s="510"/>
      <c r="O521" s="2347"/>
      <c r="P521" s="2347"/>
      <c r="Q521" s="2348"/>
      <c r="R521" s="2349"/>
      <c r="S521" s="2349"/>
      <c r="T521" s="2349"/>
    </row>
    <row r="522" spans="3:20" s="162" customFormat="1">
      <c r="C522" s="509"/>
      <c r="D522" s="509"/>
      <c r="E522" s="509"/>
      <c r="F522" s="509"/>
      <c r="G522" s="2358"/>
      <c r="H522" s="509"/>
      <c r="I522" s="509"/>
      <c r="J522" s="2356"/>
      <c r="K522" s="509"/>
      <c r="L522" s="509"/>
      <c r="M522" s="509"/>
      <c r="N522" s="510"/>
      <c r="O522" s="2347"/>
      <c r="P522" s="2347"/>
      <c r="Q522" s="2348"/>
      <c r="R522" s="2349"/>
      <c r="S522" s="2349"/>
      <c r="T522" s="2349"/>
    </row>
    <row r="523" spans="3:20" s="162" customFormat="1">
      <c r="C523" s="509"/>
      <c r="D523" s="509"/>
      <c r="E523" s="509"/>
      <c r="F523" s="509"/>
      <c r="G523" s="2350"/>
      <c r="H523" s="509"/>
      <c r="I523" s="509"/>
      <c r="J523" s="2356"/>
      <c r="K523" s="509"/>
      <c r="L523" s="509"/>
      <c r="M523" s="509"/>
      <c r="N523" s="510"/>
      <c r="O523" s="2347"/>
      <c r="P523" s="2347"/>
      <c r="Q523" s="2348"/>
      <c r="R523" s="2349"/>
      <c r="S523" s="2349"/>
      <c r="T523" s="2349"/>
    </row>
    <row r="524" spans="3:20" s="162" customFormat="1">
      <c r="C524" s="509"/>
      <c r="D524" s="509"/>
      <c r="E524" s="509"/>
      <c r="F524" s="509"/>
      <c r="G524" s="2350"/>
      <c r="H524" s="509"/>
      <c r="I524" s="509"/>
      <c r="J524" s="509"/>
      <c r="K524" s="509"/>
      <c r="L524" s="509"/>
      <c r="M524" s="509"/>
      <c r="N524" s="510"/>
      <c r="O524" s="2347"/>
      <c r="P524" s="2347"/>
      <c r="Q524" s="2348"/>
      <c r="R524" s="2349"/>
      <c r="S524" s="2349"/>
      <c r="T524" s="2349"/>
    </row>
    <row r="525" spans="3:20" s="162" customFormat="1">
      <c r="C525" s="509"/>
      <c r="D525" s="509"/>
      <c r="E525" s="509"/>
      <c r="F525" s="509"/>
      <c r="G525" s="2350"/>
      <c r="H525" s="509"/>
      <c r="I525" s="509"/>
      <c r="J525" s="509"/>
      <c r="K525" s="509"/>
      <c r="L525" s="509"/>
      <c r="M525" s="509"/>
      <c r="N525" s="510"/>
      <c r="O525" s="2347"/>
      <c r="P525" s="2347"/>
      <c r="Q525" s="2348"/>
      <c r="R525" s="2349"/>
      <c r="S525" s="2349"/>
      <c r="T525" s="2349"/>
    </row>
    <row r="526" spans="3:20" s="162" customFormat="1">
      <c r="C526" s="509"/>
      <c r="D526" s="509"/>
      <c r="E526" s="509"/>
      <c r="F526" s="509"/>
      <c r="G526" s="2350"/>
      <c r="H526" s="509"/>
      <c r="I526" s="509"/>
      <c r="J526" s="509"/>
      <c r="K526" s="509"/>
      <c r="L526" s="509"/>
      <c r="M526" s="509"/>
      <c r="N526" s="510"/>
      <c r="O526" s="2347"/>
      <c r="P526" s="2347"/>
      <c r="Q526" s="2348"/>
      <c r="R526" s="2349"/>
      <c r="S526" s="2349"/>
      <c r="T526" s="2349"/>
    </row>
    <row r="527" spans="3:20" s="162" customFormat="1">
      <c r="C527" s="509"/>
      <c r="D527" s="509"/>
      <c r="E527" s="509"/>
      <c r="F527" s="509"/>
      <c r="G527" s="2350"/>
      <c r="H527" s="509"/>
      <c r="I527" s="509"/>
      <c r="J527" s="509"/>
      <c r="K527" s="509"/>
      <c r="L527" s="509"/>
      <c r="M527" s="509"/>
      <c r="N527" s="510"/>
      <c r="O527" s="2347"/>
      <c r="P527" s="2347"/>
      <c r="Q527" s="2348"/>
      <c r="R527" s="2349"/>
      <c r="S527" s="2349"/>
      <c r="T527" s="2349"/>
    </row>
    <row r="528" spans="3:20" s="162" customFormat="1">
      <c r="C528" s="509"/>
      <c r="D528" s="509"/>
      <c r="E528" s="509"/>
      <c r="F528" s="509"/>
      <c r="G528" s="2350"/>
      <c r="H528" s="509"/>
      <c r="I528" s="509"/>
      <c r="J528" s="509"/>
      <c r="K528" s="509"/>
      <c r="L528" s="509"/>
      <c r="M528" s="509"/>
      <c r="N528" s="510"/>
      <c r="O528" s="2347"/>
      <c r="P528" s="2347"/>
      <c r="Q528" s="2348"/>
      <c r="R528" s="2349"/>
      <c r="S528" s="2349"/>
      <c r="T528" s="2349"/>
    </row>
    <row r="529" spans="3:20" s="162" customFormat="1">
      <c r="C529" s="509"/>
      <c r="D529" s="509"/>
      <c r="E529" s="509"/>
      <c r="F529" s="509"/>
      <c r="G529" s="2350"/>
      <c r="H529" s="509"/>
      <c r="I529" s="509"/>
      <c r="J529" s="509"/>
      <c r="K529" s="509"/>
      <c r="L529" s="509"/>
      <c r="M529" s="509"/>
      <c r="N529" s="510"/>
      <c r="O529" s="2347"/>
      <c r="P529" s="2347"/>
      <c r="Q529" s="2348"/>
      <c r="R529" s="2349"/>
      <c r="S529" s="2349"/>
      <c r="T529" s="2349"/>
    </row>
    <row r="530" spans="3:20" s="162" customFormat="1">
      <c r="C530" s="2349"/>
      <c r="D530" s="2349"/>
      <c r="E530" s="2349"/>
      <c r="F530" s="2349"/>
      <c r="G530" s="2350"/>
      <c r="H530" s="2349"/>
      <c r="I530" s="2349"/>
      <c r="J530" s="2349"/>
      <c r="K530" s="2349"/>
      <c r="L530" s="2349"/>
      <c r="M530" s="2349"/>
      <c r="N530" s="2363"/>
      <c r="O530" s="2364"/>
      <c r="P530" s="2364"/>
      <c r="Q530" s="2349"/>
      <c r="R530" s="2349"/>
      <c r="S530" s="2349"/>
      <c r="T530" s="2349"/>
    </row>
    <row r="531" spans="3:20" s="162" customFormat="1">
      <c r="C531" s="2349"/>
      <c r="D531" s="2349"/>
      <c r="E531" s="2349"/>
      <c r="F531" s="2349"/>
      <c r="G531" s="2350"/>
      <c r="H531" s="2349"/>
      <c r="I531" s="2349"/>
      <c r="J531" s="2349"/>
      <c r="K531" s="2349"/>
      <c r="L531" s="2349"/>
      <c r="M531" s="2349"/>
      <c r="N531" s="2363"/>
      <c r="O531" s="2364"/>
      <c r="P531" s="2364"/>
      <c r="Q531" s="2349"/>
      <c r="R531" s="2349"/>
      <c r="S531" s="2349"/>
      <c r="T531" s="2349"/>
    </row>
    <row r="532" spans="3:20" s="162" customFormat="1">
      <c r="C532" s="2349"/>
      <c r="D532" s="2349"/>
      <c r="E532" s="2349"/>
      <c r="F532" s="2349"/>
      <c r="G532" s="2350"/>
      <c r="H532" s="2349"/>
      <c r="I532" s="2349"/>
      <c r="J532" s="2349"/>
      <c r="K532" s="2349"/>
      <c r="L532" s="2349"/>
      <c r="M532" s="2349"/>
      <c r="N532" s="2363"/>
      <c r="O532" s="2364"/>
      <c r="P532" s="2364"/>
      <c r="Q532" s="2349"/>
      <c r="R532" s="2349"/>
      <c r="S532" s="2349"/>
      <c r="T532" s="2349"/>
    </row>
    <row r="533" spans="3:20" s="162" customFormat="1">
      <c r="C533" s="2349"/>
      <c r="D533" s="2349"/>
      <c r="E533" s="2349"/>
      <c r="F533" s="2349"/>
      <c r="G533" s="2356"/>
      <c r="H533" s="2349"/>
      <c r="I533" s="2349"/>
      <c r="J533" s="2349"/>
      <c r="K533" s="2349"/>
      <c r="L533" s="2349"/>
      <c r="M533" s="2349"/>
      <c r="N533" s="2363"/>
      <c r="O533" s="2364"/>
      <c r="P533" s="2364"/>
      <c r="Q533" s="2349"/>
      <c r="R533" s="2349"/>
      <c r="S533" s="2349"/>
      <c r="T533" s="2349"/>
    </row>
    <row r="534" spans="3:20" s="162" customFormat="1">
      <c r="C534" s="2349"/>
      <c r="D534" s="2349"/>
      <c r="E534" s="2349"/>
      <c r="F534" s="2349"/>
      <c r="G534" s="2356"/>
      <c r="H534" s="2349"/>
      <c r="I534" s="2349"/>
      <c r="J534" s="2349"/>
      <c r="K534" s="2349"/>
      <c r="L534" s="2349"/>
      <c r="M534" s="2349"/>
      <c r="N534" s="2363"/>
      <c r="O534" s="2364"/>
      <c r="P534" s="2364"/>
      <c r="Q534" s="2349"/>
      <c r="R534" s="2349"/>
      <c r="S534" s="2349"/>
      <c r="T534" s="2349"/>
    </row>
    <row r="535" spans="3:20" s="162" customFormat="1">
      <c r="C535" s="2349"/>
      <c r="D535" s="2349"/>
      <c r="E535" s="2349"/>
      <c r="F535" s="2349"/>
      <c r="G535" s="2356"/>
      <c r="H535" s="2349"/>
      <c r="I535" s="2349"/>
      <c r="J535" s="2349"/>
      <c r="K535" s="2349"/>
      <c r="L535" s="2349"/>
      <c r="M535" s="2349"/>
      <c r="N535" s="2363"/>
      <c r="O535" s="2364"/>
      <c r="P535" s="2364"/>
      <c r="Q535" s="2349"/>
      <c r="R535" s="2349"/>
      <c r="S535" s="2349"/>
      <c r="T535" s="2349"/>
    </row>
    <row r="536" spans="3:20" s="162" customFormat="1">
      <c r="C536" s="2349"/>
      <c r="D536" s="2349"/>
      <c r="E536" s="2349"/>
      <c r="F536" s="2349"/>
      <c r="G536" s="2348"/>
      <c r="H536" s="2349"/>
      <c r="I536" s="2349"/>
      <c r="J536" s="2349"/>
      <c r="K536" s="2349"/>
      <c r="L536" s="2349"/>
      <c r="M536" s="2349"/>
      <c r="N536" s="2363"/>
      <c r="O536" s="2364"/>
      <c r="P536" s="2364"/>
      <c r="Q536" s="2349"/>
      <c r="R536" s="2349"/>
      <c r="S536" s="2349"/>
      <c r="T536" s="2349"/>
    </row>
    <row r="537" spans="3:20" s="162" customFormat="1">
      <c r="C537" s="2349"/>
      <c r="D537" s="2349"/>
      <c r="E537" s="2349"/>
      <c r="F537" s="2349"/>
      <c r="G537" s="2348"/>
      <c r="H537" s="2349"/>
      <c r="I537" s="2349"/>
      <c r="J537" s="2349"/>
      <c r="K537" s="2349"/>
      <c r="L537" s="2349"/>
      <c r="M537" s="2349"/>
      <c r="N537" s="2363"/>
      <c r="O537" s="2364"/>
      <c r="P537" s="2364"/>
      <c r="Q537" s="2349"/>
      <c r="R537" s="2349"/>
      <c r="S537" s="2349"/>
      <c r="T537" s="2349"/>
    </row>
    <row r="538" spans="3:20" s="162" customFormat="1">
      <c r="C538" s="2349"/>
      <c r="D538" s="2349"/>
      <c r="E538" s="2349"/>
      <c r="F538" s="2349"/>
      <c r="G538" s="2348"/>
      <c r="H538" s="2349"/>
      <c r="I538" s="2349"/>
      <c r="J538" s="2349"/>
      <c r="K538" s="2349"/>
      <c r="L538" s="2349"/>
      <c r="M538" s="2349"/>
      <c r="N538" s="2363"/>
      <c r="O538" s="2364"/>
      <c r="P538" s="2364"/>
      <c r="Q538" s="2349"/>
      <c r="R538" s="2349"/>
      <c r="S538" s="2349"/>
      <c r="T538" s="2349"/>
    </row>
    <row r="539" spans="3:20" s="162" customFormat="1">
      <c r="C539" s="2349"/>
      <c r="D539" s="2349"/>
      <c r="E539" s="2349"/>
      <c r="F539" s="2349"/>
      <c r="G539" s="2348"/>
      <c r="H539" s="2349"/>
      <c r="I539" s="2349"/>
      <c r="J539" s="2349"/>
      <c r="K539" s="2349"/>
      <c r="L539" s="2349"/>
      <c r="M539" s="2349"/>
      <c r="N539" s="2363"/>
      <c r="O539" s="2364"/>
      <c r="P539" s="2364"/>
      <c r="Q539" s="2349"/>
      <c r="R539" s="2349"/>
      <c r="S539" s="2349"/>
      <c r="T539" s="2349"/>
    </row>
    <row r="540" spans="3:20" s="162" customFormat="1">
      <c r="C540" s="2349"/>
      <c r="D540" s="2349"/>
      <c r="E540" s="2349"/>
      <c r="F540" s="2349"/>
      <c r="G540" s="2348"/>
      <c r="H540" s="2349"/>
      <c r="I540" s="2349"/>
      <c r="J540" s="2349"/>
      <c r="K540" s="2349"/>
      <c r="L540" s="2349"/>
      <c r="M540" s="2349"/>
      <c r="N540" s="2363"/>
      <c r="O540" s="2364"/>
      <c r="P540" s="2364"/>
      <c r="Q540" s="2349"/>
      <c r="R540" s="2349"/>
      <c r="S540" s="2349"/>
      <c r="T540" s="2349"/>
    </row>
    <row r="541" spans="3:20" s="162" customFormat="1">
      <c r="C541" s="2349"/>
      <c r="D541" s="2349"/>
      <c r="E541" s="2349"/>
      <c r="F541" s="2349"/>
      <c r="G541" s="2348"/>
      <c r="H541" s="2349"/>
      <c r="I541" s="2349"/>
      <c r="J541" s="2349"/>
      <c r="K541" s="2349"/>
      <c r="L541" s="2349"/>
      <c r="M541" s="2349"/>
      <c r="N541" s="2363"/>
      <c r="O541" s="2364"/>
      <c r="P541" s="2364"/>
      <c r="Q541" s="2349"/>
      <c r="R541" s="2349"/>
      <c r="S541" s="2349"/>
      <c r="T541" s="2349"/>
    </row>
    <row r="542" spans="3:20" s="162" customFormat="1">
      <c r="C542" s="2349"/>
      <c r="D542" s="2349"/>
      <c r="E542" s="2349"/>
      <c r="F542" s="2349"/>
      <c r="G542" s="2348"/>
      <c r="H542" s="2349"/>
      <c r="I542" s="2349"/>
      <c r="J542" s="2349"/>
      <c r="K542" s="2349"/>
      <c r="L542" s="2349"/>
      <c r="M542" s="2349"/>
      <c r="N542" s="2363"/>
      <c r="O542" s="2364"/>
      <c r="P542" s="2364"/>
      <c r="Q542" s="2349"/>
      <c r="R542" s="2349"/>
      <c r="S542" s="2349"/>
      <c r="T542" s="2349"/>
    </row>
    <row r="543" spans="3:20" s="162" customFormat="1">
      <c r="C543" s="2349"/>
      <c r="D543" s="2349"/>
      <c r="E543" s="2349"/>
      <c r="F543" s="2349"/>
      <c r="G543" s="2348"/>
      <c r="H543" s="2349"/>
      <c r="I543" s="2349"/>
      <c r="J543" s="2349"/>
      <c r="K543" s="2349"/>
      <c r="L543" s="2349"/>
      <c r="M543" s="2349"/>
      <c r="N543" s="2363"/>
      <c r="O543" s="2364"/>
      <c r="P543" s="2364"/>
      <c r="Q543" s="2349"/>
      <c r="R543" s="2349"/>
      <c r="S543" s="2349"/>
      <c r="T543" s="2349"/>
    </row>
    <row r="544" spans="3:20" s="162" customFormat="1">
      <c r="C544" s="2349"/>
      <c r="D544" s="2349"/>
      <c r="E544" s="2349"/>
      <c r="F544" s="2349"/>
      <c r="G544" s="2349"/>
      <c r="H544" s="2349"/>
      <c r="I544" s="2349"/>
      <c r="J544" s="2349"/>
      <c r="K544" s="2349"/>
      <c r="L544" s="2349"/>
      <c r="M544" s="2349"/>
      <c r="N544" s="2363"/>
      <c r="O544" s="2364"/>
      <c r="P544" s="2364"/>
      <c r="Q544" s="2349"/>
      <c r="R544" s="2349"/>
      <c r="S544" s="2349"/>
      <c r="T544" s="2349"/>
    </row>
    <row r="545" spans="3:20" s="162" customFormat="1">
      <c r="C545" s="2349"/>
      <c r="D545" s="2349"/>
      <c r="E545" s="2349"/>
      <c r="F545" s="2349"/>
      <c r="G545" s="2349"/>
      <c r="H545" s="2349"/>
      <c r="I545" s="2349"/>
      <c r="J545" s="2349"/>
      <c r="K545" s="2349"/>
      <c r="L545" s="2349"/>
      <c r="M545" s="2349"/>
      <c r="N545" s="2363"/>
      <c r="O545" s="2364"/>
      <c r="P545" s="2364"/>
      <c r="Q545" s="2349"/>
      <c r="R545" s="2349"/>
      <c r="S545" s="2349"/>
      <c r="T545" s="2349"/>
    </row>
    <row r="546" spans="3:20" s="162" customFormat="1">
      <c r="C546" s="2349"/>
      <c r="D546" s="2349"/>
      <c r="E546" s="2349"/>
      <c r="F546" s="2349"/>
      <c r="G546" s="2349"/>
      <c r="H546" s="2349"/>
      <c r="I546" s="2349"/>
      <c r="J546" s="2349"/>
      <c r="K546" s="2349"/>
      <c r="L546" s="2349"/>
      <c r="M546" s="2349"/>
      <c r="N546" s="2363"/>
      <c r="O546" s="2364"/>
      <c r="P546" s="2364"/>
      <c r="Q546" s="2349"/>
      <c r="R546" s="2349"/>
      <c r="S546" s="2349"/>
      <c r="T546" s="2349"/>
    </row>
    <row r="547" spans="3:20" s="162" customFormat="1">
      <c r="C547" s="2349"/>
      <c r="D547" s="2349"/>
      <c r="E547" s="2349"/>
      <c r="F547" s="2349"/>
      <c r="G547" s="2349"/>
      <c r="H547" s="2349"/>
      <c r="I547" s="2349"/>
      <c r="J547" s="2349"/>
      <c r="K547" s="2349"/>
      <c r="L547" s="2349"/>
      <c r="M547" s="2349"/>
      <c r="N547" s="2363"/>
      <c r="O547" s="2364"/>
      <c r="P547" s="2364"/>
      <c r="Q547" s="2349"/>
      <c r="R547" s="2349"/>
      <c r="S547" s="2349"/>
      <c r="T547" s="2349"/>
    </row>
    <row r="548" spans="3:20" s="162" customFormat="1">
      <c r="C548" s="2349"/>
      <c r="D548" s="2349"/>
      <c r="E548" s="2349"/>
      <c r="F548" s="2349"/>
      <c r="G548" s="2349"/>
      <c r="H548" s="2349"/>
      <c r="I548" s="2349"/>
      <c r="J548" s="2349"/>
      <c r="K548" s="2349"/>
      <c r="L548" s="2349"/>
      <c r="M548" s="2349"/>
      <c r="N548" s="2363"/>
      <c r="O548" s="2364"/>
      <c r="P548" s="2364"/>
      <c r="Q548" s="2349"/>
      <c r="R548" s="2349"/>
      <c r="S548" s="2349"/>
      <c r="T548" s="2349"/>
    </row>
    <row r="549" spans="3:20" s="162" customFormat="1">
      <c r="C549" s="2349"/>
      <c r="D549" s="2349"/>
      <c r="E549" s="2349"/>
      <c r="F549" s="2349"/>
      <c r="G549" s="2349"/>
      <c r="H549" s="2349"/>
      <c r="I549" s="2349"/>
      <c r="J549" s="2349"/>
      <c r="K549" s="2349"/>
      <c r="L549" s="2349"/>
      <c r="M549" s="2349"/>
      <c r="N549" s="2363"/>
      <c r="O549" s="2364"/>
      <c r="P549" s="2364"/>
      <c r="Q549" s="2349"/>
      <c r="R549" s="2349"/>
      <c r="S549" s="2349"/>
      <c r="T549" s="2349"/>
    </row>
    <row r="550" spans="3:20" s="162" customFormat="1">
      <c r="C550" s="2349"/>
      <c r="D550" s="2349"/>
      <c r="E550" s="2349"/>
      <c r="F550" s="2349"/>
      <c r="G550" s="2349"/>
      <c r="H550" s="2349"/>
      <c r="I550" s="2349"/>
      <c r="J550" s="2349"/>
      <c r="K550" s="2349"/>
      <c r="L550" s="2349"/>
      <c r="M550" s="2349"/>
      <c r="N550" s="2363"/>
      <c r="O550" s="2364"/>
      <c r="P550" s="2364"/>
      <c r="Q550" s="2349"/>
      <c r="R550" s="2349"/>
      <c r="S550" s="2349"/>
      <c r="T550" s="2349"/>
    </row>
    <row r="551" spans="3:20" s="162" customFormat="1">
      <c r="C551" s="2349"/>
      <c r="D551" s="2349"/>
      <c r="E551" s="2349"/>
      <c r="F551" s="2349"/>
      <c r="G551" s="2349"/>
      <c r="H551" s="2349"/>
      <c r="I551" s="2349"/>
      <c r="J551" s="2349"/>
      <c r="K551" s="2349"/>
      <c r="L551" s="2349"/>
      <c r="M551" s="2349"/>
      <c r="N551" s="2363"/>
      <c r="O551" s="2364"/>
      <c r="P551" s="2364"/>
      <c r="Q551" s="2349"/>
      <c r="R551" s="2349"/>
      <c r="S551" s="2349"/>
      <c r="T551" s="2349"/>
    </row>
    <row r="552" spans="3:20" s="162" customFormat="1">
      <c r="C552" s="2349"/>
      <c r="D552" s="2349"/>
      <c r="E552" s="2349"/>
      <c r="F552" s="2349"/>
      <c r="G552" s="2349"/>
      <c r="H552" s="2349"/>
      <c r="I552" s="2349"/>
      <c r="J552" s="2349"/>
      <c r="K552" s="2349"/>
      <c r="L552" s="2349"/>
      <c r="M552" s="2349"/>
      <c r="N552" s="2363"/>
      <c r="O552" s="2364"/>
      <c r="P552" s="2364"/>
      <c r="Q552" s="2349"/>
      <c r="R552" s="2349"/>
      <c r="S552" s="2349"/>
      <c r="T552" s="2349"/>
    </row>
    <row r="553" spans="3:20" s="162" customFormat="1">
      <c r="C553" s="2349"/>
      <c r="D553" s="2349"/>
      <c r="E553" s="2349"/>
      <c r="F553" s="2349"/>
      <c r="G553" s="2349"/>
      <c r="H553" s="2349"/>
      <c r="I553" s="2349"/>
      <c r="J553" s="2349"/>
      <c r="K553" s="2349"/>
      <c r="L553" s="2349"/>
      <c r="M553" s="2349"/>
      <c r="N553" s="2363"/>
      <c r="O553" s="2364"/>
      <c r="P553" s="2364"/>
      <c r="Q553" s="2349"/>
      <c r="R553" s="2349"/>
      <c r="S553" s="2349"/>
      <c r="T553" s="2349"/>
    </row>
    <row r="554" spans="3:20" s="162" customFormat="1">
      <c r="C554" s="2349"/>
      <c r="D554" s="2349"/>
      <c r="E554" s="2349"/>
      <c r="F554" s="2349"/>
      <c r="G554" s="2349"/>
      <c r="H554" s="2349"/>
      <c r="I554" s="2349"/>
      <c r="J554" s="2349"/>
      <c r="K554" s="2349"/>
      <c r="L554" s="2349"/>
      <c r="M554" s="2349"/>
      <c r="N554" s="2363"/>
      <c r="O554" s="2364"/>
      <c r="P554" s="2364"/>
      <c r="Q554" s="2349"/>
      <c r="R554" s="2349"/>
      <c r="S554" s="2349"/>
      <c r="T554" s="2349"/>
    </row>
    <row r="555" spans="3:20" s="162" customFormat="1">
      <c r="C555" s="2349"/>
      <c r="D555" s="2349"/>
      <c r="E555" s="2349"/>
      <c r="F555" s="2349"/>
      <c r="G555" s="2349"/>
      <c r="H555" s="2349"/>
      <c r="I555" s="2349"/>
      <c r="J555" s="2349"/>
      <c r="K555" s="2349"/>
      <c r="L555" s="2349"/>
      <c r="M555" s="2349"/>
      <c r="N555" s="2363"/>
      <c r="O555" s="2364"/>
      <c r="P555" s="2364"/>
      <c r="Q555" s="2349"/>
      <c r="R555" s="2349"/>
      <c r="S555" s="2349"/>
      <c r="T555" s="2349"/>
    </row>
    <row r="556" spans="3:20" s="162" customFormat="1">
      <c r="C556" s="2349"/>
      <c r="D556" s="2349"/>
      <c r="E556" s="2349"/>
      <c r="F556" s="2349"/>
      <c r="G556" s="2349"/>
      <c r="H556" s="2349"/>
      <c r="I556" s="2349"/>
      <c r="J556" s="2349"/>
      <c r="K556" s="2349"/>
      <c r="L556" s="2349"/>
      <c r="M556" s="2349"/>
      <c r="N556" s="2363"/>
      <c r="O556" s="2364"/>
      <c r="P556" s="2364"/>
      <c r="Q556" s="2349"/>
      <c r="R556" s="2349"/>
      <c r="S556" s="2349"/>
      <c r="T556" s="2349"/>
    </row>
    <row r="557" spans="3:20" s="162" customFormat="1">
      <c r="C557" s="2349"/>
      <c r="D557" s="2349"/>
      <c r="E557" s="2349"/>
      <c r="F557" s="2349"/>
      <c r="G557" s="2349"/>
      <c r="H557" s="2349"/>
      <c r="I557" s="2349"/>
      <c r="J557" s="2349"/>
      <c r="K557" s="2349"/>
      <c r="L557" s="2349"/>
      <c r="M557" s="2349"/>
      <c r="N557" s="2363"/>
      <c r="O557" s="2364"/>
      <c r="P557" s="2364"/>
      <c r="Q557" s="2349"/>
      <c r="R557" s="2349"/>
      <c r="S557" s="2349"/>
      <c r="T557" s="2349"/>
    </row>
    <row r="558" spans="3:20" s="162" customFormat="1">
      <c r="C558" s="2349"/>
      <c r="D558" s="2349"/>
      <c r="E558" s="2349"/>
      <c r="F558" s="2349"/>
      <c r="G558" s="2349"/>
      <c r="H558" s="2349"/>
      <c r="I558" s="2349"/>
      <c r="J558" s="2349"/>
      <c r="K558" s="2349"/>
      <c r="L558" s="2349"/>
      <c r="M558" s="2349"/>
      <c r="N558" s="2363"/>
      <c r="O558" s="2364"/>
      <c r="P558" s="2364"/>
      <c r="Q558" s="2349"/>
      <c r="R558" s="2349"/>
      <c r="S558" s="2349"/>
      <c r="T558" s="2349"/>
    </row>
    <row r="559" spans="3:20" s="162" customFormat="1">
      <c r="C559" s="2349"/>
      <c r="D559" s="2349"/>
      <c r="E559" s="2349"/>
      <c r="F559" s="2349"/>
      <c r="G559" s="2349"/>
      <c r="H559" s="2349"/>
      <c r="I559" s="2349"/>
      <c r="J559" s="2349"/>
      <c r="K559" s="2349"/>
      <c r="L559" s="2349"/>
      <c r="M559" s="2349"/>
      <c r="N559" s="2363"/>
      <c r="O559" s="2364"/>
      <c r="P559" s="2364"/>
      <c r="Q559" s="2349"/>
      <c r="R559" s="2349"/>
      <c r="S559" s="2349"/>
      <c r="T559" s="2349"/>
    </row>
    <row r="560" spans="3:20">
      <c r="C560" s="2349"/>
      <c r="D560" s="2349"/>
      <c r="E560" s="2349"/>
      <c r="F560" s="2349"/>
      <c r="G560" s="2349"/>
      <c r="H560" s="2349"/>
      <c r="I560" s="2349"/>
      <c r="J560" s="2349"/>
      <c r="K560" s="2349"/>
      <c r="L560" s="2349"/>
      <c r="M560" s="2349"/>
      <c r="N560" s="2363"/>
      <c r="O560" s="2364"/>
      <c r="P560" s="2364"/>
      <c r="Q560" s="2349"/>
      <c r="R560" s="2349"/>
      <c r="S560" s="2349"/>
      <c r="T560" s="2349"/>
    </row>
    <row r="561" spans="3:20">
      <c r="C561" s="2349"/>
      <c r="D561" s="2349"/>
      <c r="E561" s="2349"/>
      <c r="F561" s="2349"/>
      <c r="G561" s="2349"/>
      <c r="H561" s="2349"/>
      <c r="I561" s="2349"/>
      <c r="J561" s="2349"/>
      <c r="K561" s="2349"/>
      <c r="L561" s="2349"/>
      <c r="M561" s="2349"/>
      <c r="N561" s="2363"/>
      <c r="O561" s="2364"/>
      <c r="P561" s="2364"/>
      <c r="Q561" s="2349"/>
      <c r="R561" s="2349"/>
      <c r="S561" s="2349"/>
      <c r="T561" s="2349"/>
    </row>
    <row r="562" spans="3:20">
      <c r="C562" s="2349"/>
      <c r="D562" s="2349"/>
      <c r="E562" s="2349"/>
      <c r="F562" s="2349"/>
      <c r="G562" s="2349"/>
      <c r="H562" s="2349"/>
      <c r="I562" s="2349"/>
      <c r="J562" s="2349"/>
      <c r="K562" s="2349"/>
      <c r="L562" s="2349"/>
      <c r="M562" s="2349"/>
      <c r="N562" s="2363"/>
      <c r="O562" s="2364"/>
      <c r="P562" s="2364"/>
      <c r="Q562" s="2349"/>
      <c r="R562" s="2349"/>
      <c r="S562" s="2349"/>
      <c r="T562" s="2349"/>
    </row>
    <row r="563" spans="3:20">
      <c r="C563" s="2349"/>
      <c r="D563" s="2349"/>
      <c r="E563" s="2349"/>
      <c r="F563" s="2349"/>
      <c r="G563" s="2349"/>
      <c r="H563" s="2349"/>
      <c r="I563" s="2349"/>
      <c r="J563" s="2349"/>
      <c r="K563" s="2349"/>
      <c r="L563" s="2349"/>
      <c r="M563" s="2349"/>
      <c r="N563" s="2363"/>
      <c r="O563" s="2364"/>
      <c r="P563" s="2364"/>
      <c r="Q563" s="2349"/>
      <c r="R563" s="2349"/>
      <c r="S563" s="2349"/>
      <c r="T563" s="2349"/>
    </row>
    <row r="564" spans="3:20">
      <c r="C564" s="2349"/>
      <c r="D564" s="2349"/>
      <c r="E564" s="2349"/>
      <c r="F564" s="2349"/>
      <c r="G564" s="2349"/>
      <c r="H564" s="2349"/>
      <c r="I564" s="2349"/>
      <c r="J564" s="2349"/>
      <c r="K564" s="2349"/>
      <c r="L564" s="2349"/>
      <c r="M564" s="2349"/>
      <c r="N564" s="2363"/>
      <c r="O564" s="2364"/>
      <c r="P564" s="2364"/>
      <c r="Q564" s="2349"/>
      <c r="R564" s="2349"/>
      <c r="S564" s="2349"/>
      <c r="T564" s="2349"/>
    </row>
    <row r="565" spans="3:20">
      <c r="C565" s="2349"/>
      <c r="D565" s="2349"/>
      <c r="E565" s="2349"/>
      <c r="F565" s="2349"/>
      <c r="G565" s="2349"/>
      <c r="H565" s="2349"/>
      <c r="I565" s="2349"/>
      <c r="J565" s="2349"/>
      <c r="K565" s="2349"/>
      <c r="L565" s="2349"/>
      <c r="M565" s="2349"/>
      <c r="N565" s="2363"/>
      <c r="O565" s="2364"/>
      <c r="P565" s="2364"/>
      <c r="Q565" s="2349"/>
      <c r="R565" s="2349"/>
      <c r="S565" s="2349"/>
      <c r="T565" s="2349"/>
    </row>
    <row r="566" spans="3:20">
      <c r="C566" s="2349"/>
      <c r="D566" s="2349"/>
      <c r="E566" s="2349"/>
      <c r="F566" s="2349"/>
      <c r="G566" s="2349"/>
      <c r="H566" s="2349"/>
      <c r="I566" s="2349"/>
      <c r="J566" s="2349"/>
      <c r="K566" s="2349"/>
      <c r="L566" s="2349"/>
      <c r="M566" s="2349"/>
      <c r="N566" s="2363"/>
      <c r="O566" s="2364"/>
      <c r="P566" s="2364"/>
      <c r="Q566" s="2349"/>
      <c r="R566" s="2349"/>
      <c r="S566" s="2349"/>
      <c r="T566" s="2349"/>
    </row>
    <row r="567" spans="3:20">
      <c r="C567" s="2349"/>
      <c r="D567" s="2349"/>
      <c r="E567" s="2349"/>
      <c r="F567" s="2349"/>
      <c r="G567" s="2349"/>
      <c r="H567" s="2349"/>
      <c r="I567" s="2349"/>
      <c r="J567" s="2349"/>
      <c r="K567" s="2349"/>
      <c r="L567" s="2349"/>
      <c r="M567" s="2349"/>
      <c r="N567" s="2363"/>
      <c r="O567" s="2364"/>
      <c r="P567" s="2364"/>
      <c r="Q567" s="2349"/>
      <c r="R567" s="2349"/>
      <c r="S567" s="2349"/>
      <c r="T567" s="2349"/>
    </row>
    <row r="568" spans="3:20">
      <c r="C568" s="2349"/>
      <c r="D568" s="2349"/>
      <c r="E568" s="2349"/>
      <c r="F568" s="2349"/>
      <c r="G568" s="2349"/>
      <c r="H568" s="2349"/>
      <c r="I568" s="2349"/>
      <c r="J568" s="2349"/>
      <c r="K568" s="2349"/>
      <c r="L568" s="2349"/>
      <c r="M568" s="2349"/>
      <c r="N568" s="2363"/>
      <c r="O568" s="2364"/>
      <c r="P568" s="2364"/>
      <c r="Q568" s="2349"/>
      <c r="R568" s="2349"/>
      <c r="S568" s="2349"/>
      <c r="T568" s="2349"/>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722" customWidth="1"/>
    <col min="4" max="4" width="15.44140625" style="722" customWidth="1"/>
    <col min="5" max="5" width="4.88671875" style="722" customWidth="1"/>
    <col min="6" max="9" width="12.88671875" style="722" customWidth="1"/>
    <col min="10" max="10" width="5.109375" style="722" customWidth="1"/>
    <col min="11" max="16384" width="9.109375" style="722"/>
  </cols>
  <sheetData>
    <row r="1" spans="1:16" ht="15.6">
      <c r="A1" s="4196" t="s">
        <v>2811</v>
      </c>
      <c r="B1" s="4196"/>
      <c r="C1" s="4196"/>
      <c r="D1" s="4196"/>
      <c r="E1" s="4196"/>
      <c r="F1" s="4196"/>
      <c r="G1" s="4196"/>
      <c r="H1" s="4196"/>
      <c r="I1" s="4196"/>
      <c r="J1" s="4196"/>
    </row>
    <row r="2" spans="1:16" ht="15.6">
      <c r="A2" s="4196" t="str">
        <f>'Sensitivity Analysis'!C8</f>
        <v>Lakeview Terrace</v>
      </c>
      <c r="B2" s="4196"/>
      <c r="C2" s="4196"/>
      <c r="D2" s="4196"/>
      <c r="E2" s="4196"/>
      <c r="F2" s="4196"/>
      <c r="G2" s="4196"/>
      <c r="H2" s="4196"/>
      <c r="I2" s="4196"/>
      <c r="J2" s="4196"/>
    </row>
    <row r="3" spans="1:16" ht="15.6">
      <c r="A3" s="4196" t="str">
        <f>'Subsidy Layering Memo'!F14</f>
        <v>Augusta, Richmond</v>
      </c>
      <c r="B3" s="4196"/>
      <c r="C3" s="4196"/>
      <c r="D3" s="4196"/>
      <c r="E3" s="4196"/>
      <c r="F3" s="4196"/>
      <c r="G3" s="4196"/>
      <c r="H3" s="4196"/>
      <c r="I3" s="4196"/>
      <c r="J3" s="4196"/>
    </row>
    <row r="4" spans="1:16" ht="15.6">
      <c r="A4" s="4197" t="s">
        <v>2812</v>
      </c>
      <c r="B4" s="4196"/>
      <c r="C4" s="4196"/>
      <c r="D4" s="4196"/>
      <c r="E4" s="4196"/>
      <c r="F4" s="4196"/>
      <c r="G4" s="4196"/>
      <c r="H4" s="4196"/>
      <c r="I4" s="4196"/>
      <c r="J4" s="4196"/>
    </row>
    <row r="5" spans="1:16" ht="5.25" customHeight="1"/>
    <row r="6" spans="1:16" ht="5.25" customHeight="1"/>
    <row r="7" spans="1:16" ht="15.6">
      <c r="A7" s="4198" t="s">
        <v>2813</v>
      </c>
      <c r="B7" s="4198"/>
      <c r="C7" s="4199"/>
      <c r="M7" s="4190"/>
      <c r="N7" s="4190"/>
      <c r="O7" s="4190"/>
      <c r="P7" s="4190"/>
    </row>
    <row r="8" spans="1:16" ht="57" customHeight="1">
      <c r="A8" s="4191" t="s">
        <v>4481</v>
      </c>
      <c r="B8" s="4191"/>
      <c r="C8" s="4191"/>
      <c r="D8" s="4191"/>
      <c r="E8" s="4191"/>
      <c r="F8" s="4191"/>
      <c r="G8" s="4191"/>
      <c r="H8" s="4191"/>
      <c r="I8" s="4191"/>
      <c r="J8" s="4191"/>
      <c r="K8" s="723"/>
    </row>
    <row r="9" spans="1:16" ht="45.75" customHeight="1">
      <c r="A9" s="4191"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Augusta, Richmond County, Georgia, with the development of 200 units (UNIT DESCRIPTION) set aside for Family.</v>
      </c>
      <c r="B9" s="4191"/>
      <c r="C9" s="4191"/>
      <c r="D9" s="4191"/>
      <c r="E9" s="4191"/>
      <c r="F9" s="4191"/>
      <c r="G9" s="4191"/>
      <c r="H9" s="4191"/>
      <c r="I9" s="4191"/>
      <c r="J9" s="4191"/>
      <c r="K9" s="723"/>
    </row>
    <row r="10" spans="1:16" ht="15.6">
      <c r="A10" s="724" t="s">
        <v>2814</v>
      </c>
    </row>
    <row r="11" spans="1:16" ht="16.5" customHeight="1">
      <c r="A11" s="4191" t="str">
        <f>'Subsidy Layering Memo'!A44</f>
        <v xml:space="preserve">Ownership entity:  (NAME) LP, a Georgia Limited Partnership, will be the ownership entity for the proposed project. </v>
      </c>
      <c r="B11" s="4193"/>
      <c r="C11" s="4193"/>
      <c r="D11" s="4193"/>
      <c r="E11" s="4193"/>
      <c r="F11" s="4193"/>
      <c r="G11" s="4193"/>
      <c r="H11" s="4193"/>
      <c r="I11" s="4193"/>
      <c r="J11" s="4191"/>
    </row>
    <row r="12" spans="1:16" ht="63.75" customHeight="1">
      <c r="A12" s="4191" t="s">
        <v>2844</v>
      </c>
      <c r="B12" s="4191"/>
      <c r="C12" s="4191"/>
      <c r="D12" s="4191"/>
      <c r="E12" s="4191"/>
      <c r="F12" s="4191"/>
      <c r="G12" s="4191"/>
      <c r="H12" s="4191"/>
      <c r="I12" s="4191"/>
      <c r="J12" s="4191"/>
    </row>
    <row r="13" spans="1:16" ht="48.75" customHeight="1">
      <c r="A13" s="4191" t="s">
        <v>2845</v>
      </c>
      <c r="B13" s="4191"/>
      <c r="C13" s="4191"/>
      <c r="D13" s="4191"/>
      <c r="E13" s="4191"/>
      <c r="F13" s="4191"/>
      <c r="G13" s="4191"/>
      <c r="H13" s="4191"/>
      <c r="I13" s="4191"/>
      <c r="J13" s="4191"/>
    </row>
    <row r="14" spans="1:16" ht="15.6">
      <c r="A14" s="724" t="s">
        <v>2815</v>
      </c>
      <c r="B14" s="725"/>
    </row>
    <row r="15" spans="1:16">
      <c r="A15" s="722" t="s">
        <v>2816</v>
      </c>
      <c r="D15" s="1968" t="s">
        <v>2817</v>
      </c>
    </row>
    <row r="16" spans="1:16">
      <c r="A16" s="722" t="s">
        <v>2818</v>
      </c>
      <c r="D16" s="1966">
        <f>'Sensitivity Analysis'!C25</f>
        <v>13700000</v>
      </c>
    </row>
    <row r="17" spans="1:11">
      <c r="A17" s="726" t="s">
        <v>2819</v>
      </c>
      <c r="D17" s="1967">
        <f>'Sensitivity Analysis'!C13</f>
        <v>200</v>
      </c>
    </row>
    <row r="18" spans="1:11" ht="14.25" customHeight="1"/>
    <row r="19" spans="1:11" ht="15.6">
      <c r="A19" s="724" t="s">
        <v>2820</v>
      </c>
      <c r="B19" s="725"/>
      <c r="C19" s="725"/>
    </row>
    <row r="20" spans="1:11" ht="48.75" customHeight="1">
      <c r="A20" s="4194" t="s">
        <v>2847</v>
      </c>
      <c r="B20" s="4194"/>
      <c r="C20" s="4194"/>
      <c r="D20" s="4194"/>
      <c r="E20" s="4194"/>
      <c r="F20" s="4194"/>
      <c r="G20" s="4194"/>
      <c r="H20" s="4194"/>
      <c r="I20" s="4194"/>
      <c r="J20" s="4194"/>
    </row>
    <row r="21" spans="1:11" ht="72.75" customHeight="1">
      <c r="A21" s="4191" t="s">
        <v>4480</v>
      </c>
      <c r="B21" s="4191"/>
      <c r="C21" s="4191"/>
      <c r="D21" s="4191"/>
      <c r="E21" s="4191"/>
      <c r="F21" s="4191"/>
      <c r="G21" s="4191"/>
      <c r="H21" s="4191"/>
      <c r="I21" s="4191"/>
      <c r="J21" s="4191"/>
    </row>
    <row r="22" spans="1:11" ht="15.6">
      <c r="A22" s="724" t="s">
        <v>2821</v>
      </c>
      <c r="B22" s="725"/>
      <c r="C22" s="725"/>
      <c r="D22" s="725"/>
      <c r="E22" s="725"/>
      <c r="F22" s="725"/>
    </row>
    <row r="23" spans="1:11" ht="102.75" customHeight="1">
      <c r="A23" s="4195" t="s">
        <v>2840</v>
      </c>
      <c r="B23" s="4195"/>
      <c r="C23" s="4195"/>
      <c r="D23" s="4195"/>
      <c r="E23" s="4195"/>
      <c r="F23" s="4195"/>
      <c r="G23" s="4195"/>
      <c r="H23" s="4195"/>
      <c r="I23" s="4195"/>
      <c r="J23" s="4195"/>
      <c r="K23" s="1553"/>
    </row>
    <row r="24" spans="1:11" ht="15" customHeight="1">
      <c r="A24" s="4192"/>
      <c r="B24" s="4192"/>
      <c r="C24" s="4192"/>
      <c r="D24" s="4192"/>
      <c r="E24" s="4192"/>
      <c r="F24" s="4192"/>
      <c r="G24" s="4192"/>
      <c r="H24" s="4192"/>
      <c r="I24" s="4192"/>
      <c r="J24" s="4192"/>
      <c r="K24" s="722" t="s">
        <v>238</v>
      </c>
    </row>
    <row r="25" spans="1:11" ht="15" customHeight="1">
      <c r="B25" s="1552"/>
      <c r="C25" s="1552"/>
      <c r="D25" s="1552"/>
      <c r="E25" s="1552"/>
      <c r="F25" s="1552"/>
      <c r="G25" s="1552"/>
      <c r="H25" s="1552"/>
      <c r="I25" s="1552" t="s">
        <v>238</v>
      </c>
      <c r="J25" s="1552"/>
    </row>
    <row r="26" spans="1:11" ht="15.6">
      <c r="A26" s="725" t="s">
        <v>2822</v>
      </c>
    </row>
    <row r="28" spans="1:11" ht="15.6" thickBot="1">
      <c r="A28" s="727"/>
      <c r="B28" s="727"/>
      <c r="C28" s="727"/>
      <c r="D28" s="727"/>
      <c r="F28" s="727"/>
      <c r="G28" s="727"/>
      <c r="H28" s="727"/>
      <c r="I28" s="727"/>
    </row>
    <row r="29" spans="1:11">
      <c r="A29" s="722" t="s">
        <v>2823</v>
      </c>
      <c r="D29" s="722" t="s">
        <v>904</v>
      </c>
      <c r="F29" s="722" t="s">
        <v>2824</v>
      </c>
      <c r="I29" s="722" t="s">
        <v>904</v>
      </c>
      <c r="J29" s="722"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731"/>
    <col min="2" max="2" width="7.88671875" style="731" customWidth="1"/>
    <col min="3" max="3" width="14.88671875" style="731" customWidth="1"/>
    <col min="4" max="4" width="20.109375" style="731" customWidth="1"/>
    <col min="5" max="5" width="8" style="731" customWidth="1"/>
    <col min="6" max="6" width="5.109375" style="731" customWidth="1"/>
    <col min="7" max="7" width="5.44140625" style="731" customWidth="1"/>
    <col min="8" max="8" width="8.5546875" style="731" customWidth="1"/>
    <col min="9" max="9" width="28.5546875" style="731" customWidth="1"/>
    <col min="10" max="10" width="4.109375" style="731" hidden="1" customWidth="1"/>
    <col min="11" max="11" width="9.109375" style="731"/>
    <col min="12" max="12" width="16.109375" style="731" customWidth="1"/>
    <col min="13" max="13" width="11.109375" style="731" customWidth="1"/>
    <col min="14" max="14" width="10.88671875" style="731" bestFit="1" customWidth="1"/>
    <col min="15" max="15" width="28.5546875" style="731" customWidth="1"/>
    <col min="16" max="16384" width="9.109375" style="731"/>
  </cols>
  <sheetData>
    <row r="2" spans="1:10">
      <c r="A2" s="728" t="s">
        <v>2825</v>
      </c>
      <c r="B2" s="729"/>
      <c r="C2" s="729"/>
      <c r="D2" s="729"/>
      <c r="E2" s="730"/>
      <c r="F2" s="729"/>
      <c r="G2" s="729"/>
      <c r="H2" s="729"/>
      <c r="I2" s="729"/>
      <c r="J2" s="729"/>
    </row>
    <row r="3" spans="1:10">
      <c r="A3" s="732"/>
    </row>
    <row r="4" spans="1:10">
      <c r="A4" s="732" t="s">
        <v>2826</v>
      </c>
      <c r="D4" s="731" t="s">
        <v>2827</v>
      </c>
    </row>
    <row r="5" spans="1:10">
      <c r="A5" s="732"/>
    </row>
    <row r="6" spans="1:10">
      <c r="A6" s="732" t="s">
        <v>2828</v>
      </c>
      <c r="D6" s="731" t="s">
        <v>2829</v>
      </c>
    </row>
    <row r="7" spans="1:10">
      <c r="A7" s="732"/>
    </row>
    <row r="8" spans="1:10">
      <c r="A8" s="732" t="s">
        <v>2830</v>
      </c>
      <c r="D8" s="733" t="s">
        <v>2831</v>
      </c>
    </row>
    <row r="9" spans="1:10">
      <c r="A9" s="732"/>
    </row>
    <row r="10" spans="1:10">
      <c r="A10" s="732" t="s">
        <v>2832</v>
      </c>
      <c r="D10" s="733" t="s">
        <v>2833</v>
      </c>
    </row>
    <row r="11" spans="1:10">
      <c r="A11" s="732"/>
      <c r="D11" s="1963"/>
    </row>
    <row r="12" spans="1:10">
      <c r="A12" s="732" t="s">
        <v>2834</v>
      </c>
      <c r="D12" s="731" t="s">
        <v>599</v>
      </c>
      <c r="F12" s="1963" t="str">
        <f>'Sensitivity Analysis'!$C$8</f>
        <v>Lakeview Terrace</v>
      </c>
    </row>
    <row r="13" spans="1:10">
      <c r="A13" s="732"/>
      <c r="D13" s="731" t="s">
        <v>2835</v>
      </c>
      <c r="F13" s="1963" t="str">
        <f>'Sensitivity Analysis'!E8</f>
        <v>2020-5</v>
      </c>
    </row>
    <row r="14" spans="1:10">
      <c r="A14" s="732"/>
      <c r="D14" s="731" t="s">
        <v>2836</v>
      </c>
      <c r="F14" s="1963" t="str">
        <f>'Sensitivity Analysis'!H8</f>
        <v>Augusta, Richmond</v>
      </c>
    </row>
    <row r="15" spans="1:10">
      <c r="A15" s="732"/>
      <c r="D15" s="731" t="s">
        <v>3198</v>
      </c>
      <c r="F15" s="4200">
        <f>'Sensitivity Analysis'!$C$25</f>
        <v>13700000</v>
      </c>
      <c r="G15" s="4200"/>
      <c r="H15" s="4200"/>
    </row>
    <row r="16" spans="1:10">
      <c r="A16" s="732"/>
      <c r="D16" s="734" t="s">
        <v>2837</v>
      </c>
      <c r="F16" s="735">
        <f>'Sensitivity Analysis'!C13</f>
        <v>200</v>
      </c>
      <c r="G16" s="736" t="s">
        <v>3199</v>
      </c>
      <c r="H16" s="1484">
        <f>'Sensitivity Analysis'!E13</f>
        <v>200</v>
      </c>
    </row>
    <row r="17" spans="1:18">
      <c r="A17" s="732"/>
      <c r="D17" s="734" t="s">
        <v>2801</v>
      </c>
      <c r="F17" s="735" t="str">
        <f>'Sensitivity Analysis'!C14</f>
        <v>Family</v>
      </c>
    </row>
    <row r="18" spans="1:18">
      <c r="A18" s="732"/>
      <c r="D18" s="734" t="s">
        <v>3203</v>
      </c>
      <c r="F18" s="1963" t="str">
        <f>'Sensitivity Analysis'!H15</f>
        <v>Urban</v>
      </c>
    </row>
    <row r="19" spans="1:18">
      <c r="A19" s="732"/>
      <c r="D19" s="734" t="s">
        <v>3200</v>
      </c>
      <c r="F19" s="1963" t="str">
        <f>'Sensitivity Analysis'!E16</f>
        <v>No</v>
      </c>
    </row>
    <row r="20" spans="1:18">
      <c r="A20" s="732"/>
      <c r="D20" s="734"/>
    </row>
    <row r="21" spans="1:18">
      <c r="A21" s="737" t="s">
        <v>2838</v>
      </c>
    </row>
    <row r="22" spans="1:18" ht="111.75" customHeight="1">
      <c r="A22" s="4207" t="s">
        <v>3376</v>
      </c>
      <c r="B22" s="4207"/>
      <c r="C22" s="4207"/>
      <c r="D22" s="4207"/>
      <c r="E22" s="4207"/>
      <c r="F22" s="4207"/>
      <c r="G22" s="4207"/>
      <c r="H22" s="4207"/>
      <c r="I22" s="4207"/>
      <c r="J22" s="4207"/>
      <c r="K22" s="4214" t="s">
        <v>4482</v>
      </c>
      <c r="L22" s="4214"/>
      <c r="M22" s="4214"/>
      <c r="N22" s="4214"/>
      <c r="O22" s="1969"/>
      <c r="P22" s="1969"/>
      <c r="Q22" s="1969"/>
      <c r="R22" s="1969"/>
    </row>
    <row r="23" spans="1:18" ht="0.75" hidden="1" customHeight="1">
      <c r="A23" s="1957"/>
      <c r="B23" s="1957"/>
      <c r="C23" s="1957"/>
      <c r="D23" s="1957"/>
      <c r="E23" s="1957"/>
      <c r="F23" s="1957"/>
      <c r="G23" s="1957"/>
      <c r="H23" s="1957"/>
      <c r="I23" s="1957"/>
      <c r="J23" s="1957"/>
    </row>
    <row r="24" spans="1:18" ht="9.75" hidden="1" customHeight="1">
      <c r="A24" s="4215"/>
      <c r="B24" s="4215"/>
      <c r="C24" s="4215"/>
      <c r="D24" s="4215"/>
      <c r="E24" s="4215"/>
      <c r="F24" s="4215"/>
      <c r="G24" s="4215"/>
      <c r="H24" s="4215"/>
      <c r="I24" s="4215"/>
      <c r="J24" s="4215"/>
    </row>
    <row r="25" spans="1:18" ht="10.5" hidden="1" customHeight="1">
      <c r="A25" s="4216"/>
      <c r="B25" s="4216"/>
      <c r="C25" s="4216"/>
      <c r="D25" s="4216"/>
      <c r="E25" s="4216"/>
      <c r="F25" s="4216"/>
      <c r="G25" s="4216"/>
      <c r="H25" s="4216"/>
      <c r="I25" s="4216"/>
      <c r="J25" s="4216"/>
    </row>
    <row r="26" spans="1:18">
      <c r="A26" s="737" t="s">
        <v>2839</v>
      </c>
    </row>
    <row r="27" spans="1:18" ht="14.25" customHeight="1">
      <c r="A27" s="4217" t="s">
        <v>2840</v>
      </c>
      <c r="B27" s="4217"/>
      <c r="C27" s="4217"/>
      <c r="D27" s="4217"/>
      <c r="E27" s="4217"/>
      <c r="F27" s="4217"/>
      <c r="G27" s="4217"/>
      <c r="H27" s="4217"/>
      <c r="I27" s="4217"/>
      <c r="J27" s="4217"/>
    </row>
    <row r="28" spans="1:18" ht="14.25" customHeight="1">
      <c r="A28" s="4217"/>
      <c r="B28" s="4217"/>
      <c r="C28" s="4217"/>
      <c r="D28" s="4217"/>
      <c r="E28" s="4217"/>
      <c r="F28" s="4217"/>
      <c r="G28" s="4217"/>
      <c r="H28" s="4217"/>
      <c r="I28" s="4217"/>
      <c r="J28" s="4217"/>
    </row>
    <row r="29" spans="1:18" ht="6.75" customHeight="1">
      <c r="A29" s="4217"/>
      <c r="B29" s="4217"/>
      <c r="C29" s="4217"/>
      <c r="D29" s="4217"/>
      <c r="E29" s="4217"/>
      <c r="F29" s="4217"/>
      <c r="G29" s="4217"/>
      <c r="H29" s="4217"/>
      <c r="I29" s="4217"/>
      <c r="J29" s="4217"/>
    </row>
    <row r="30" spans="1:18" ht="14.25" customHeight="1">
      <c r="A30" s="4217"/>
      <c r="B30" s="4217"/>
      <c r="C30" s="4217"/>
      <c r="D30" s="4217"/>
      <c r="E30" s="4217"/>
      <c r="F30" s="4217"/>
      <c r="G30" s="4217"/>
      <c r="H30" s="4217"/>
      <c r="I30" s="4217"/>
      <c r="J30" s="4217"/>
    </row>
    <row r="31" spans="1:18" ht="14.25" customHeight="1">
      <c r="A31" s="4217"/>
      <c r="B31" s="4217"/>
      <c r="C31" s="4217"/>
      <c r="D31" s="4217"/>
      <c r="E31" s="4217"/>
      <c r="F31" s="4217"/>
      <c r="G31" s="4217"/>
      <c r="H31" s="4217"/>
      <c r="I31" s="4217"/>
      <c r="J31" s="4217"/>
    </row>
    <row r="32" spans="1:18" ht="54.75" customHeight="1">
      <c r="A32" s="4217"/>
      <c r="B32" s="4217"/>
      <c r="C32" s="4217"/>
      <c r="D32" s="4217"/>
      <c r="E32" s="4217"/>
      <c r="F32" s="4217"/>
      <c r="G32" s="4217"/>
      <c r="H32" s="4217"/>
      <c r="I32" s="4217"/>
      <c r="J32" s="4217"/>
    </row>
    <row r="33" spans="1:10" ht="0.75" hidden="1" customHeight="1">
      <c r="A33" s="4217"/>
      <c r="B33" s="4217"/>
      <c r="C33" s="4217"/>
      <c r="D33" s="4217"/>
      <c r="E33" s="4217"/>
      <c r="F33" s="4217"/>
      <c r="G33" s="4217"/>
      <c r="H33" s="4217"/>
      <c r="I33" s="4217"/>
      <c r="J33" s="4217"/>
    </row>
    <row r="34" spans="1:10" ht="3.75" hidden="1" customHeight="1">
      <c r="A34" s="4217"/>
      <c r="B34" s="4217"/>
      <c r="C34" s="4217"/>
      <c r="D34" s="4217"/>
      <c r="E34" s="4217"/>
      <c r="F34" s="4217"/>
      <c r="G34" s="4217"/>
      <c r="H34" s="4217"/>
      <c r="I34" s="4217"/>
      <c r="J34" s="4217"/>
    </row>
    <row r="35" spans="1:10" ht="5.25" customHeight="1">
      <c r="A35" s="1959"/>
      <c r="B35" s="1959"/>
      <c r="C35" s="1959"/>
      <c r="D35" s="1959"/>
      <c r="E35" s="1959"/>
      <c r="F35" s="1959"/>
      <c r="G35" s="1959"/>
      <c r="H35" s="1959"/>
      <c r="I35" s="1959"/>
      <c r="J35" s="1959"/>
    </row>
    <row r="36" spans="1:10" ht="19.5" customHeight="1">
      <c r="A36" s="4215" t="s">
        <v>2841</v>
      </c>
      <c r="B36" s="4215"/>
      <c r="C36" s="4215"/>
      <c r="D36" s="1957"/>
      <c r="E36" s="1957"/>
      <c r="F36" s="1957"/>
      <c r="G36" s="1957"/>
      <c r="H36" s="1957"/>
      <c r="I36" s="1957"/>
      <c r="J36" s="1957"/>
    </row>
    <row r="37" spans="1:10" ht="15" customHeight="1">
      <c r="A37" s="4191"/>
      <c r="B37" s="4191"/>
      <c r="C37" s="4191"/>
      <c r="D37" s="4191"/>
      <c r="E37" s="4191"/>
      <c r="F37" s="4191"/>
      <c r="G37" s="4191"/>
      <c r="H37" s="4191"/>
      <c r="I37" s="4191"/>
      <c r="J37" s="4191"/>
    </row>
    <row r="38" spans="1:10" ht="33.75" customHeight="1">
      <c r="A38" s="4191"/>
      <c r="B38" s="4191"/>
      <c r="C38" s="4191"/>
      <c r="D38" s="4191"/>
      <c r="E38" s="4191"/>
      <c r="F38" s="4191"/>
      <c r="G38" s="4191"/>
      <c r="H38" s="4191"/>
      <c r="I38" s="4191"/>
      <c r="J38" s="4191"/>
    </row>
    <row r="39" spans="1:10" ht="2.25" customHeight="1">
      <c r="A39" s="1957"/>
      <c r="B39" s="1957"/>
      <c r="C39" s="1957"/>
      <c r="D39" s="1957"/>
      <c r="E39" s="1957"/>
      <c r="F39" s="1957"/>
      <c r="G39" s="1957"/>
      <c r="H39" s="1957"/>
      <c r="I39" s="1957"/>
      <c r="J39" s="1957"/>
    </row>
    <row r="40" spans="1:10">
      <c r="A40" s="737" t="s">
        <v>2842</v>
      </c>
    </row>
    <row r="41" spans="1:10" ht="135" customHeight="1">
      <c r="A41" s="4216" t="s">
        <v>4479</v>
      </c>
      <c r="B41" s="4216"/>
      <c r="C41" s="4216"/>
      <c r="D41" s="4216"/>
      <c r="E41" s="4216"/>
      <c r="F41" s="4216"/>
      <c r="G41" s="4216"/>
      <c r="H41" s="4216"/>
      <c r="I41" s="4216"/>
      <c r="J41" s="4216"/>
    </row>
    <row r="42" spans="1:10" ht="6" customHeight="1">
      <c r="A42" s="1958"/>
      <c r="B42" s="1958"/>
      <c r="C42" s="1958"/>
      <c r="D42" s="1958"/>
      <c r="E42" s="1958"/>
      <c r="F42" s="1958"/>
      <c r="G42" s="1958"/>
      <c r="H42" s="1958"/>
      <c r="I42" s="1958"/>
      <c r="J42" s="1958"/>
    </row>
    <row r="43" spans="1:10">
      <c r="A43" s="737" t="s">
        <v>2843</v>
      </c>
    </row>
    <row r="44" spans="1:10" ht="33" customHeight="1">
      <c r="A44" s="4191" t="s">
        <v>3889</v>
      </c>
      <c r="B44" s="4193"/>
      <c r="C44" s="4193"/>
      <c r="D44" s="4193"/>
      <c r="E44" s="4193"/>
      <c r="F44" s="4193"/>
      <c r="G44" s="4193"/>
      <c r="H44" s="4193"/>
      <c r="I44" s="4193"/>
      <c r="J44" s="4191"/>
    </row>
    <row r="45" spans="1:10" ht="3" customHeight="1"/>
    <row r="46" spans="1:10" ht="72.75" customHeight="1">
      <c r="A46" s="4191" t="s">
        <v>3890</v>
      </c>
      <c r="B46" s="4191"/>
      <c r="C46" s="4191"/>
      <c r="D46" s="4191"/>
      <c r="E46" s="4191"/>
      <c r="F46" s="4191"/>
      <c r="G46" s="4191"/>
      <c r="H46" s="4191"/>
      <c r="I46" s="4191"/>
      <c r="J46" s="4191"/>
    </row>
    <row r="47" spans="1:10" ht="3" customHeight="1">
      <c r="A47" s="1957"/>
      <c r="B47" s="1957"/>
      <c r="C47" s="1957"/>
      <c r="D47" s="1957"/>
      <c r="E47" s="1957"/>
      <c r="F47" s="1957"/>
      <c r="G47" s="1957"/>
      <c r="H47" s="1957"/>
      <c r="I47" s="1957"/>
      <c r="J47" s="1957"/>
    </row>
    <row r="48" spans="1:10" ht="56.25" customHeight="1">
      <c r="A48" s="4191" t="s">
        <v>3891</v>
      </c>
      <c r="B48" s="4191"/>
      <c r="C48" s="4191"/>
      <c r="D48" s="4191"/>
      <c r="E48" s="4191"/>
      <c r="F48" s="4191"/>
      <c r="G48" s="4191"/>
      <c r="H48" s="4191"/>
      <c r="I48" s="4191"/>
      <c r="J48" s="4191"/>
    </row>
    <row r="49" spans="1:17" ht="3" customHeight="1">
      <c r="A49" s="1957"/>
      <c r="B49" s="1957"/>
      <c r="C49" s="1957"/>
      <c r="D49" s="1957"/>
      <c r="E49" s="1957"/>
      <c r="F49" s="1957"/>
      <c r="G49" s="1957"/>
      <c r="H49" s="1957"/>
      <c r="I49" s="1957"/>
      <c r="J49" s="1957"/>
    </row>
    <row r="50" spans="1:17" ht="49.5" customHeight="1">
      <c r="A50" s="4191" t="s">
        <v>3892</v>
      </c>
      <c r="B50" s="4191"/>
      <c r="C50" s="4191"/>
      <c r="D50" s="4191"/>
      <c r="E50" s="4191"/>
      <c r="F50" s="4191"/>
      <c r="G50" s="4191"/>
      <c r="H50" s="4191"/>
      <c r="I50" s="4191"/>
      <c r="J50" s="1957"/>
    </row>
    <row r="51" spans="1:17" ht="3" customHeight="1">
      <c r="A51" s="1957"/>
      <c r="B51" s="1957"/>
      <c r="C51" s="1957"/>
      <c r="D51" s="1957"/>
      <c r="E51" s="1957"/>
      <c r="F51" s="1957"/>
      <c r="G51" s="1957"/>
      <c r="H51" s="1957"/>
      <c r="I51" s="1957"/>
      <c r="J51" s="1957"/>
    </row>
    <row r="52" spans="1:17" ht="54.75" customHeight="1">
      <c r="A52" s="4206" t="s">
        <v>3208</v>
      </c>
      <c r="B52" s="4205"/>
      <c r="C52" s="4205"/>
      <c r="D52" s="4205"/>
      <c r="E52" s="4205"/>
      <c r="F52" s="4205"/>
      <c r="G52" s="4205"/>
      <c r="H52" s="4205"/>
      <c r="I52" s="4205"/>
      <c r="J52" s="1957"/>
    </row>
    <row r="53" spans="1:17" ht="3" customHeight="1">
      <c r="A53" s="1957"/>
      <c r="B53" s="1957"/>
      <c r="C53" s="1957"/>
      <c r="D53" s="1957"/>
      <c r="E53" s="1957"/>
      <c r="F53" s="1957"/>
      <c r="G53" s="1957"/>
      <c r="H53" s="1957"/>
      <c r="I53" s="1957"/>
      <c r="J53" s="1957"/>
    </row>
    <row r="54" spans="1:17" ht="62.25" customHeight="1">
      <c r="A54" s="4205" t="s">
        <v>3893</v>
      </c>
      <c r="B54" s="4205"/>
      <c r="C54" s="4205"/>
      <c r="D54" s="4205"/>
      <c r="E54" s="4205"/>
      <c r="F54" s="4205"/>
      <c r="G54" s="4205"/>
      <c r="H54" s="4205"/>
      <c r="I54" s="4205"/>
      <c r="J54" s="4205"/>
    </row>
    <row r="55" spans="1:17" ht="3" customHeight="1"/>
    <row r="56" spans="1:17" ht="73.5" customHeight="1">
      <c r="A56" s="4191" t="s">
        <v>3894</v>
      </c>
      <c r="B56" s="4191"/>
      <c r="C56" s="4191"/>
      <c r="D56" s="4191"/>
      <c r="E56" s="4191"/>
      <c r="F56" s="4191"/>
      <c r="G56" s="4191"/>
      <c r="H56" s="4191"/>
      <c r="I56" s="4191"/>
      <c r="J56" s="4191"/>
    </row>
    <row r="57" spans="1:17" ht="6" customHeight="1">
      <c r="A57" s="1957" t="s">
        <v>238</v>
      </c>
      <c r="B57" s="1957"/>
      <c r="C57" s="1957"/>
      <c r="D57" s="1957"/>
      <c r="E57" s="1957"/>
      <c r="F57" s="1957"/>
      <c r="G57" s="1957"/>
      <c r="H57" s="1957"/>
      <c r="I57" s="1957"/>
      <c r="J57" s="1957"/>
    </row>
    <row r="58" spans="1:17">
      <c r="A58" s="737" t="s">
        <v>2846</v>
      </c>
      <c r="L58" s="738" t="s">
        <v>3368</v>
      </c>
    </row>
    <row r="59" spans="1:17" ht="73.5" customHeight="1">
      <c r="A59" s="4207" t="s">
        <v>2847</v>
      </c>
      <c r="B59" s="4207"/>
      <c r="C59" s="4207"/>
      <c r="D59" s="4207"/>
      <c r="E59" s="4207"/>
      <c r="F59" s="4207"/>
      <c r="G59" s="4207"/>
      <c r="H59" s="4207"/>
      <c r="I59" s="4207"/>
      <c r="J59" s="4207"/>
      <c r="L59" s="739">
        <f>'Closing term sheet'!C133</f>
        <v>1137459</v>
      </c>
      <c r="M59" s="740"/>
      <c r="N59" s="740"/>
      <c r="O59" s="740"/>
    </row>
    <row r="60" spans="1:17" ht="7.5" customHeight="1">
      <c r="A60" s="1957"/>
      <c r="B60" s="1957"/>
      <c r="C60" s="1957"/>
      <c r="D60" s="1957"/>
      <c r="E60" s="1957"/>
      <c r="F60" s="1957"/>
      <c r="G60" s="1957"/>
      <c r="H60" s="1957"/>
      <c r="I60" s="1957"/>
      <c r="J60" s="1957"/>
      <c r="L60" s="741" t="s">
        <v>3369</v>
      </c>
      <c r="M60" s="742" t="s">
        <v>3374</v>
      </c>
      <c r="N60" s="743" t="s">
        <v>3371</v>
      </c>
      <c r="O60" s="741" t="s">
        <v>3370</v>
      </c>
      <c r="P60" s="742" t="s">
        <v>3373</v>
      </c>
      <c r="Q60" s="743" t="s">
        <v>3372</v>
      </c>
    </row>
    <row r="61" spans="1:17" ht="78.75" customHeight="1">
      <c r="A61" s="4205" t="s">
        <v>3280</v>
      </c>
      <c r="B61" s="4205"/>
      <c r="C61" s="4205"/>
      <c r="D61" s="4205"/>
      <c r="E61" s="4205"/>
      <c r="F61" s="4205"/>
      <c r="G61" s="4205"/>
      <c r="H61" s="4205"/>
      <c r="I61" s="4205"/>
      <c r="J61" s="744"/>
      <c r="L61" s="745">
        <f>'Part III-Sources of Funds'!I49</f>
        <v>17607999</v>
      </c>
      <c r="M61" s="746">
        <f>'Part IV-A-Uses of Funds'!$J$184</f>
        <v>2001110</v>
      </c>
      <c r="N61" s="747">
        <f>'Part IV-A-Uses of Funds'!N175</f>
        <v>0.88</v>
      </c>
      <c r="O61" s="745">
        <f>'Part III-Sources of Funds'!I50</f>
        <v>10804913</v>
      </c>
      <c r="P61" s="746">
        <f>M61</f>
        <v>2001110</v>
      </c>
      <c r="Q61" s="747">
        <f>'Part IV-A-Uses of Funds'!Q175</f>
        <v>0.54</v>
      </c>
    </row>
    <row r="62" spans="1:17" ht="18.75" customHeight="1">
      <c r="A62" s="748" t="s">
        <v>2848</v>
      </c>
    </row>
    <row r="63" spans="1:17" ht="177" customHeight="1">
      <c r="A63" s="4205" t="s">
        <v>3895</v>
      </c>
      <c r="B63" s="4205"/>
      <c r="C63" s="4205"/>
      <c r="D63" s="4205"/>
      <c r="E63" s="4205"/>
      <c r="F63" s="4205"/>
      <c r="G63" s="4205"/>
      <c r="H63" s="4205"/>
      <c r="I63" s="4205"/>
      <c r="J63" s="4205"/>
      <c r="L63" s="749">
        <f>'Part VII-Pro Forma'!K71</f>
        <v>8200774.5998554267</v>
      </c>
      <c r="M63" s="4208" t="s">
        <v>3375</v>
      </c>
      <c r="N63" s="4209"/>
    </row>
    <row r="64" spans="1:17" ht="6" customHeight="1">
      <c r="A64" s="737"/>
    </row>
    <row r="65" spans="1:10">
      <c r="A65" s="737" t="s">
        <v>2849</v>
      </c>
    </row>
    <row r="66" spans="1:10" ht="72.599999999999994" customHeight="1">
      <c r="A66" s="4205" t="s">
        <v>2850</v>
      </c>
      <c r="B66" s="4205"/>
      <c r="C66" s="4205"/>
      <c r="D66" s="4205"/>
      <c r="E66" s="4205"/>
      <c r="F66" s="4205"/>
      <c r="G66" s="4205"/>
      <c r="H66" s="4205"/>
      <c r="I66" s="4205"/>
      <c r="J66" s="4205"/>
    </row>
    <row r="67" spans="1:10" ht="36" customHeight="1">
      <c r="A67" s="4205" t="s">
        <v>2851</v>
      </c>
      <c r="B67" s="4205"/>
      <c r="C67" s="4205"/>
      <c r="D67" s="4205"/>
      <c r="E67" s="4205"/>
      <c r="F67" s="4205"/>
      <c r="G67" s="4205"/>
      <c r="H67" s="4205"/>
      <c r="I67" s="4205"/>
      <c r="J67" s="4205"/>
    </row>
    <row r="68" spans="1:10" ht="6" customHeight="1">
      <c r="A68" s="737"/>
    </row>
    <row r="69" spans="1:10">
      <c r="A69" s="737" t="s">
        <v>2852</v>
      </c>
    </row>
    <row r="70" spans="1:10" ht="105.75" customHeight="1">
      <c r="A70" s="4191" t="s">
        <v>2853</v>
      </c>
      <c r="B70" s="4191"/>
      <c r="C70" s="4191"/>
      <c r="D70" s="4191"/>
      <c r="E70" s="4191"/>
      <c r="F70" s="4191"/>
      <c r="G70" s="4191"/>
      <c r="H70" s="4191"/>
      <c r="I70" s="4191"/>
      <c r="J70" s="4191"/>
    </row>
    <row r="71" spans="1:10" ht="6" customHeight="1">
      <c r="A71" s="737"/>
    </row>
    <row r="72" spans="1:10">
      <c r="A72" s="737" t="s">
        <v>2854</v>
      </c>
    </row>
    <row r="73" spans="1:10" ht="66" customHeight="1">
      <c r="A73" s="4191" t="s">
        <v>2855</v>
      </c>
      <c r="B73" s="4191"/>
      <c r="C73" s="4191"/>
      <c r="D73" s="4191"/>
      <c r="E73" s="4191"/>
      <c r="F73" s="4191"/>
      <c r="G73" s="4191"/>
      <c r="H73" s="4191"/>
      <c r="I73" s="4191"/>
      <c r="J73" s="4191"/>
    </row>
    <row r="74" spans="1:10" s="1959" customFormat="1" ht="6" customHeight="1">
      <c r="A74" s="4191"/>
      <c r="B74" s="4191"/>
      <c r="C74" s="4191"/>
      <c r="D74" s="4191"/>
      <c r="E74" s="4191"/>
      <c r="F74" s="4191"/>
      <c r="G74" s="4191"/>
      <c r="H74" s="4191"/>
      <c r="I74" s="4191"/>
      <c r="J74" s="4191"/>
    </row>
    <row r="75" spans="1:10" ht="16.5" customHeight="1">
      <c r="A75" s="1961" t="s">
        <v>2856</v>
      </c>
      <c r="B75" s="736"/>
      <c r="C75" s="736"/>
      <c r="D75" s="1963"/>
      <c r="E75" s="736"/>
      <c r="F75" s="736"/>
      <c r="G75" s="736"/>
      <c r="H75" s="736"/>
      <c r="I75" s="736"/>
      <c r="J75" s="750"/>
    </row>
    <row r="76" spans="1:10" s="1959" customFormat="1" ht="63" customHeight="1">
      <c r="A76" s="4191" t="s">
        <v>4103</v>
      </c>
      <c r="B76" s="4191"/>
      <c r="C76" s="4191"/>
      <c r="D76" s="4191"/>
      <c r="E76" s="4191"/>
      <c r="F76" s="4191"/>
      <c r="G76" s="4191"/>
      <c r="H76" s="4191"/>
      <c r="I76" s="4191"/>
      <c r="J76" s="4191"/>
    </row>
    <row r="77" spans="1:10" s="1959" customFormat="1" ht="6" customHeight="1">
      <c r="A77" s="1957"/>
      <c r="B77" s="1957"/>
      <c r="C77" s="1957"/>
      <c r="D77" s="1957"/>
      <c r="E77" s="1957"/>
      <c r="F77" s="1957"/>
      <c r="G77" s="1957"/>
      <c r="H77" s="1957"/>
      <c r="I77" s="1957"/>
      <c r="J77" s="1957"/>
    </row>
    <row r="78" spans="1:10" ht="16.5" customHeight="1">
      <c r="A78" s="4211" t="s">
        <v>2857</v>
      </c>
      <c r="B78" s="4212"/>
      <c r="C78" s="4212"/>
      <c r="D78" s="736"/>
      <c r="E78" s="736"/>
      <c r="F78" s="736"/>
      <c r="G78" s="736"/>
      <c r="H78" s="736"/>
      <c r="I78" s="736"/>
      <c r="J78" s="750"/>
    </row>
    <row r="79" spans="1:10" ht="41.25" customHeight="1">
      <c r="A79" s="4205" t="s">
        <v>3896</v>
      </c>
      <c r="B79" s="4213"/>
      <c r="C79" s="4213"/>
      <c r="D79" s="4213"/>
      <c r="E79" s="4213"/>
      <c r="F79" s="4213"/>
      <c r="G79" s="4213"/>
      <c r="H79" s="4213"/>
      <c r="I79" s="4213"/>
      <c r="J79" s="4213"/>
    </row>
    <row r="80" spans="1:10" ht="6" customHeight="1">
      <c r="A80" s="751"/>
      <c r="B80" s="736"/>
      <c r="C80" s="736"/>
      <c r="D80" s="736"/>
      <c r="E80" s="736"/>
      <c r="F80" s="736"/>
      <c r="G80" s="736"/>
      <c r="H80" s="736"/>
      <c r="I80" s="736"/>
      <c r="J80" s="750"/>
    </row>
    <row r="81" spans="1:15">
      <c r="A81" s="737" t="s">
        <v>2858</v>
      </c>
    </row>
    <row r="82" spans="1:15" ht="124.2" customHeight="1">
      <c r="A82" s="4205" t="s">
        <v>2859</v>
      </c>
      <c r="B82" s="4205"/>
      <c r="C82" s="4205"/>
      <c r="D82" s="4205"/>
      <c r="E82" s="4205"/>
      <c r="F82" s="4205"/>
      <c r="G82" s="4205"/>
      <c r="H82" s="4205"/>
      <c r="I82" s="4205"/>
      <c r="J82" s="4205"/>
      <c r="L82" s="4214" t="s">
        <v>2860</v>
      </c>
      <c r="M82" s="4214"/>
      <c r="N82" s="4214"/>
    </row>
    <row r="83" spans="1:15" ht="6" customHeight="1">
      <c r="A83" s="1960"/>
      <c r="B83" s="1960"/>
      <c r="C83" s="1960"/>
      <c r="D83" s="1960"/>
      <c r="E83" s="1960"/>
      <c r="F83" s="1960"/>
      <c r="G83" s="1960"/>
      <c r="H83" s="1960"/>
      <c r="I83" s="1960"/>
      <c r="J83" s="1960"/>
      <c r="L83" s="1962"/>
      <c r="M83" s="1962"/>
      <c r="N83" s="1962"/>
    </row>
    <row r="84" spans="1:15" ht="17.25" customHeight="1">
      <c r="A84" s="737" t="s">
        <v>2861</v>
      </c>
    </row>
    <row r="85" spans="1:15" ht="105" customHeight="1">
      <c r="A85" s="4205" t="s">
        <v>2862</v>
      </c>
      <c r="B85" s="4205"/>
      <c r="C85" s="4205"/>
      <c r="D85" s="4205"/>
      <c r="E85" s="4205"/>
      <c r="F85" s="4205"/>
      <c r="G85" s="4205"/>
      <c r="H85" s="4205"/>
      <c r="I85" s="4205"/>
      <c r="J85" s="4205"/>
      <c r="L85" s="4214" t="s">
        <v>2863</v>
      </c>
      <c r="M85" s="4214"/>
      <c r="N85" s="752" t="e">
        <f>'After-Tax Analysis'!G66</f>
        <v>#VALUE!</v>
      </c>
      <c r="O85" s="753" t="s">
        <v>2864</v>
      </c>
    </row>
    <row r="86" spans="1:15" ht="6" customHeight="1">
      <c r="A86" s="737"/>
    </row>
    <row r="87" spans="1:15">
      <c r="A87" s="737" t="s">
        <v>2865</v>
      </c>
    </row>
    <row r="88" spans="1:15" ht="118.5" customHeight="1">
      <c r="A88" s="4191" t="s">
        <v>2866</v>
      </c>
      <c r="B88" s="4191"/>
      <c r="C88" s="4191"/>
      <c r="D88" s="4191"/>
      <c r="E88" s="4191"/>
      <c r="F88" s="4191"/>
      <c r="G88" s="4191"/>
      <c r="H88" s="4191"/>
      <c r="I88" s="4191"/>
      <c r="J88" s="4191"/>
    </row>
    <row r="89" spans="1:15" ht="20.25" customHeight="1">
      <c r="A89" s="4193" t="s">
        <v>2867</v>
      </c>
      <c r="B89" s="4193"/>
      <c r="C89" s="4193"/>
      <c r="D89" s="4191"/>
      <c r="E89" s="1957"/>
      <c r="F89" s="1957"/>
      <c r="G89" s="1957"/>
      <c r="H89" s="1957"/>
      <c r="I89" s="1957"/>
      <c r="J89" s="1957"/>
    </row>
    <row r="90" spans="1:15" ht="109.5" customHeight="1">
      <c r="A90" s="4203" t="s">
        <v>2868</v>
      </c>
      <c r="B90" s="4204"/>
      <c r="C90" s="4204"/>
      <c r="D90" s="4204"/>
      <c r="E90" s="4204"/>
      <c r="F90" s="4204"/>
      <c r="G90" s="4204"/>
      <c r="H90" s="4204"/>
      <c r="I90" s="4204"/>
      <c r="J90" s="4204"/>
    </row>
    <row r="91" spans="1:15" ht="11.25" customHeight="1">
      <c r="A91" s="737"/>
    </row>
    <row r="92" spans="1:15">
      <c r="A92" s="737" t="s">
        <v>2869</v>
      </c>
    </row>
    <row r="93" spans="1:15" ht="110.4" customHeight="1">
      <c r="A93" s="4207" t="s">
        <v>2870</v>
      </c>
      <c r="B93" s="4207"/>
      <c r="C93" s="4207"/>
      <c r="D93" s="4207"/>
      <c r="E93" s="4207"/>
      <c r="F93" s="4207"/>
      <c r="G93" s="4207"/>
      <c r="H93" s="4207"/>
      <c r="I93" s="4207"/>
      <c r="J93" s="4207"/>
      <c r="L93" s="1489">
        <f>'Part VII-Pro Forma'!K71</f>
        <v>8200774.5998554267</v>
      </c>
      <c r="M93" s="4210" t="s">
        <v>2871</v>
      </c>
      <c r="N93" s="4210"/>
    </row>
    <row r="94" spans="1:15" ht="11.25" hidden="1" customHeight="1">
      <c r="A94" s="1957"/>
      <c r="B94" s="1957"/>
      <c r="C94" s="1957"/>
      <c r="D94" s="1957"/>
      <c r="E94" s="1957"/>
      <c r="F94" s="1957"/>
      <c r="G94" s="1957"/>
      <c r="H94" s="1957"/>
      <c r="I94" s="1957"/>
      <c r="J94" s="1957"/>
    </row>
    <row r="95" spans="1:15" ht="12" hidden="1" customHeight="1">
      <c r="A95" s="1957"/>
      <c r="B95" s="1957"/>
      <c r="C95" s="1957"/>
      <c r="D95" s="1957"/>
      <c r="E95" s="1957"/>
      <c r="F95" s="1957"/>
      <c r="G95" s="1957"/>
      <c r="H95" s="1957"/>
      <c r="I95" s="1957"/>
      <c r="J95" s="750"/>
    </row>
    <row r="96" spans="1:15" ht="6" customHeight="1">
      <c r="A96" s="1957"/>
      <c r="B96" s="1957"/>
      <c r="C96" s="1957"/>
      <c r="D96" s="1957"/>
      <c r="E96" s="1957"/>
      <c r="F96" s="1957"/>
      <c r="G96" s="1957"/>
      <c r="H96" s="1957"/>
      <c r="I96" s="1957"/>
      <c r="J96" s="750"/>
    </row>
    <row r="97" spans="1:10" ht="17.25" customHeight="1">
      <c r="A97" s="4193" t="s">
        <v>2872</v>
      </c>
      <c r="B97" s="4193"/>
      <c r="C97" s="4193"/>
      <c r="D97" s="1957"/>
      <c r="E97" s="1957"/>
      <c r="F97" s="1957"/>
      <c r="G97" s="1957"/>
      <c r="H97" s="1957"/>
      <c r="I97" s="1957"/>
      <c r="J97" s="750"/>
    </row>
    <row r="98" spans="1:10" ht="37.5" customHeight="1">
      <c r="A98" s="4205" t="s">
        <v>2873</v>
      </c>
      <c r="B98" s="4205"/>
      <c r="C98" s="4205"/>
      <c r="D98" s="4205"/>
      <c r="E98" s="4205"/>
      <c r="F98" s="4205"/>
      <c r="G98" s="4205"/>
      <c r="H98" s="4205"/>
      <c r="I98" s="4205"/>
      <c r="J98" s="4205"/>
    </row>
    <row r="99" spans="1:10" ht="6" customHeight="1">
      <c r="A99" s="737"/>
    </row>
    <row r="100" spans="1:10">
      <c r="A100" s="737" t="s">
        <v>2874</v>
      </c>
    </row>
    <row r="101" spans="1:10" ht="43.5" customHeight="1">
      <c r="A101" s="4191" t="s">
        <v>2875</v>
      </c>
      <c r="B101" s="4191"/>
      <c r="C101" s="4191"/>
      <c r="D101" s="4191"/>
      <c r="E101" s="4191"/>
      <c r="F101" s="4191"/>
      <c r="G101" s="4191"/>
      <c r="H101" s="4191"/>
      <c r="I101" s="4191"/>
      <c r="J101" s="4191"/>
    </row>
    <row r="102" spans="1:10" ht="6" customHeight="1">
      <c r="A102" s="1957"/>
      <c r="B102" s="1957"/>
      <c r="C102" s="1957"/>
      <c r="D102" s="1957"/>
      <c r="E102" s="1957"/>
      <c r="F102" s="1957"/>
      <c r="G102" s="1957"/>
      <c r="H102" s="1957"/>
      <c r="I102" s="1957"/>
      <c r="J102" s="1957"/>
    </row>
    <row r="103" spans="1:10">
      <c r="A103" s="737" t="s">
        <v>2876</v>
      </c>
    </row>
    <row r="105" spans="1:10" ht="18" thickBot="1">
      <c r="A105" s="2439" t="s">
        <v>2877</v>
      </c>
      <c r="B105" s="2439"/>
      <c r="C105" s="2439"/>
      <c r="D105" s="2439"/>
      <c r="E105" s="2439"/>
      <c r="F105" s="2439"/>
      <c r="G105" s="2440"/>
      <c r="H105" s="731" t="s">
        <v>2878</v>
      </c>
      <c r="I105" s="2439"/>
      <c r="J105" s="2439"/>
    </row>
    <row r="108" spans="1:10" ht="13.8" customHeight="1" thickBot="1">
      <c r="G108" s="2440"/>
      <c r="H108" s="731" t="s">
        <v>2879</v>
      </c>
    </row>
    <row r="109" spans="1:10">
      <c r="A109" s="731" t="s">
        <v>2880</v>
      </c>
    </row>
    <row r="112" spans="1:10" ht="14.4" thickBot="1">
      <c r="A112" s="754"/>
      <c r="B112" s="754"/>
      <c r="C112" s="754"/>
      <c r="D112" s="754"/>
      <c r="E112" s="2437"/>
      <c r="F112" s="754"/>
      <c r="G112" s="754"/>
      <c r="H112" s="754"/>
      <c r="I112" s="754"/>
      <c r="J112" s="754"/>
    </row>
    <row r="113" spans="1:10">
      <c r="A113" s="4201" t="s">
        <v>6828</v>
      </c>
      <c r="B113" s="4201"/>
      <c r="C113" s="4201"/>
      <c r="D113" s="4201"/>
      <c r="E113" s="4202"/>
      <c r="F113" s="2435" t="s">
        <v>6829</v>
      </c>
      <c r="G113" s="2435"/>
      <c r="H113" s="2438"/>
      <c r="I113" s="2438"/>
      <c r="J113" s="2435"/>
    </row>
    <row r="115" spans="1:10" ht="14.4" thickBot="1">
      <c r="A115" s="731" t="s">
        <v>2881</v>
      </c>
      <c r="B115" s="754"/>
      <c r="C115" s="754"/>
      <c r="H115" s="731" t="s">
        <v>2881</v>
      </c>
      <c r="I115" s="2436"/>
    </row>
    <row r="203" spans="1:1">
      <c r="A203" s="73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71" customFormat="1" ht="17.399999999999999">
      <c r="A1" s="1477" t="s">
        <v>2882</v>
      </c>
      <c r="B1" s="785"/>
      <c r="C1" s="785"/>
      <c r="D1" s="785"/>
      <c r="E1" s="785"/>
      <c r="F1" s="785"/>
      <c r="G1" s="785"/>
      <c r="H1" s="785"/>
      <c r="I1" s="785"/>
      <c r="J1" s="785"/>
      <c r="K1" s="785"/>
      <c r="L1" s="725"/>
      <c r="M1" s="725"/>
    </row>
    <row r="2" spans="1:14" s="271" customFormat="1" ht="17.399999999999999">
      <c r="A2" s="1477" t="str">
        <f>+"Financial Analysis for:  "&amp;E8&amp;"  "&amp;C8</f>
        <v>Financial Analysis for:  2020-5  Lakeview Terrace</v>
      </c>
      <c r="B2" s="785"/>
      <c r="C2" s="785"/>
      <c r="D2" s="785"/>
      <c r="E2" s="785"/>
      <c r="F2" s="785"/>
      <c r="G2" s="785"/>
      <c r="H2" s="785"/>
      <c r="I2" s="785"/>
      <c r="J2" s="785"/>
      <c r="K2" s="785"/>
      <c r="L2" s="725"/>
      <c r="M2" s="725"/>
    </row>
    <row r="5" spans="1:14" ht="15.6">
      <c r="A5" s="756"/>
      <c r="B5" s="757"/>
      <c r="C5" s="758"/>
      <c r="D5" s="757"/>
      <c r="E5" s="757"/>
      <c r="F5" s="756"/>
      <c r="G5" s="757"/>
      <c r="H5" s="758"/>
      <c r="I5" s="757"/>
      <c r="J5" s="757"/>
      <c r="K5" s="757"/>
      <c r="L5" s="757"/>
      <c r="M5" s="722"/>
    </row>
    <row r="7" spans="1:14" ht="15.6">
      <c r="A7" s="725" t="s">
        <v>2883</v>
      </c>
      <c r="B7" s="722"/>
      <c r="C7" s="759"/>
      <c r="D7" s="760"/>
      <c r="E7" s="760"/>
      <c r="F7" s="725" t="s">
        <v>3211</v>
      </c>
      <c r="G7" s="722"/>
      <c r="H7" s="4219"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19"/>
      <c r="J7" s="4219"/>
      <c r="K7" s="4219"/>
      <c r="L7" s="722"/>
      <c r="M7" s="722"/>
    </row>
    <row r="8" spans="1:14" ht="15.6">
      <c r="A8" s="725" t="s">
        <v>2884</v>
      </c>
      <c r="B8" s="725"/>
      <c r="C8" s="4219" t="str">
        <f>'Part I-Project Information'!F34</f>
        <v>Lakeview Terrace</v>
      </c>
      <c r="D8" s="4219"/>
      <c r="E8" s="1554" t="str">
        <f>'Part I-Project Information'!O6</f>
        <v>2020-5</v>
      </c>
      <c r="F8" s="761" t="s">
        <v>2885</v>
      </c>
      <c r="G8" s="760"/>
      <c r="H8" s="4219" t="str">
        <f>CONCATENATE('Part I-Project Information'!F38,", ",'Part I-Project Information'!J39)</f>
        <v>Augusta, Richmond</v>
      </c>
      <c r="I8" s="4219"/>
      <c r="J8" s="4219"/>
      <c r="K8" s="4219"/>
      <c r="L8" s="722"/>
      <c r="M8" s="762"/>
    </row>
    <row r="9" spans="1:14" ht="15.6">
      <c r="A9" s="725" t="s">
        <v>2887</v>
      </c>
      <c r="B9" s="725"/>
      <c r="C9" s="4219" t="s">
        <v>1727</v>
      </c>
      <c r="D9" s="4219"/>
      <c r="E9" s="760"/>
      <c r="F9" s="761" t="s">
        <v>2888</v>
      </c>
      <c r="G9" s="760"/>
      <c r="H9" s="4219" t="str">
        <f>'Part II-Development Team'!H5</f>
        <v>Lakeview Terrace, LP</v>
      </c>
      <c r="I9" s="4219"/>
      <c r="J9" s="4219"/>
      <c r="K9" s="4219"/>
      <c r="L9" s="4219"/>
      <c r="M9" s="762"/>
    </row>
    <row r="10" spans="1:14" ht="15.6">
      <c r="A10" s="725" t="s">
        <v>2890</v>
      </c>
      <c r="B10" s="722"/>
      <c r="C10" s="1554" t="str">
        <f>'Part II-Development Team'!H14</f>
        <v>JPM Decatur GP, LLC</v>
      </c>
      <c r="D10" s="760"/>
      <c r="E10" s="760"/>
      <c r="F10" s="761" t="s">
        <v>3430</v>
      </c>
      <c r="G10" s="760"/>
      <c r="H10" s="4219" t="str">
        <f>'Part II-Development Team'!H33</f>
        <v>Monarch Private Capital, LLC</v>
      </c>
      <c r="I10" s="4219"/>
      <c r="J10" s="4219"/>
      <c r="K10" s="4219" t="str">
        <f>'Part II-Development Team'!H39</f>
        <v>Monarch Private Capital, LLC</v>
      </c>
      <c r="L10" s="4219"/>
    </row>
    <row r="11" spans="1:14" ht="15.6">
      <c r="A11" s="725" t="s">
        <v>2891</v>
      </c>
      <c r="B11" s="722"/>
      <c r="C11" s="1554" t="str">
        <f>IF('Part II-Development Team'!H20="","",'Part II-Development Team'!H20)</f>
        <v>Lakeview Terrace GP, LLC</v>
      </c>
      <c r="D11" s="760"/>
      <c r="E11" s="1481" t="str">
        <f>IF('Part II-Development Team'!H26="","",'Part II-Development Team'!H26)</f>
        <v/>
      </c>
      <c r="F11" s="761" t="s">
        <v>634</v>
      </c>
      <c r="G11" s="760"/>
      <c r="H11" s="4219" t="str">
        <f>'Part II-Development Team'!H54</f>
        <v>Parent Development, LLC</v>
      </c>
      <c r="I11" s="4219"/>
      <c r="J11" s="4219"/>
      <c r="K11" s="4219" t="str">
        <f>'Part II-Development Team'!H60</f>
        <v>Outlook Development, LLC</v>
      </c>
      <c r="L11" s="4219"/>
      <c r="M11" s="4219" t="str">
        <f>'Part II-Development Team'!H66</f>
        <v>Timshel Hill Tide Developers, LLC</v>
      </c>
      <c r="N11" s="4219"/>
    </row>
    <row r="12" spans="1:14" ht="15.6">
      <c r="A12" s="725" t="s">
        <v>2892</v>
      </c>
      <c r="B12" s="722"/>
      <c r="C12" s="1554" t="str">
        <f>'Part II-Development Team'!H86</f>
        <v>Wolgast Corporation</v>
      </c>
      <c r="D12" s="760"/>
      <c r="E12" s="760"/>
      <c r="F12" s="761" t="s">
        <v>2893</v>
      </c>
      <c r="G12" s="760"/>
      <c r="H12" s="4219" t="str">
        <f>'Part II-Development Team'!H92</f>
        <v>Gateway Management Company</v>
      </c>
      <c r="I12" s="4219"/>
      <c r="J12" s="4219"/>
      <c r="K12" s="4219"/>
      <c r="L12" s="722"/>
      <c r="M12" s="722"/>
    </row>
    <row r="13" spans="1:14" ht="15.6">
      <c r="A13" s="725" t="s">
        <v>2894</v>
      </c>
      <c r="B13" s="761"/>
      <c r="C13" s="721">
        <f>'Part VI-Revenues &amp; Expenses'!$P$67</f>
        <v>200</v>
      </c>
      <c r="E13" s="1482">
        <f>'Part VI-Revenues &amp; Expenses'!$P$63</f>
        <v>200</v>
      </c>
      <c r="F13" s="761" t="s">
        <v>3888</v>
      </c>
      <c r="G13" s="760"/>
      <c r="H13" s="1555">
        <f>'Part I-Project Information'!H76</f>
        <v>10</v>
      </c>
      <c r="I13" s="1483"/>
      <c r="J13" s="1483"/>
      <c r="K13" s="1555">
        <f>'Part I-Project Information'!P75</f>
        <v>224730</v>
      </c>
      <c r="L13" s="722"/>
      <c r="M13" s="722"/>
    </row>
    <row r="14" spans="1:14" ht="15.6">
      <c r="A14" s="725" t="s">
        <v>3201</v>
      </c>
      <c r="B14" s="722"/>
      <c r="C14" s="1555" t="str">
        <f>'Part I-Project Information'!H82</f>
        <v>Family</v>
      </c>
      <c r="D14" s="4219" t="str">
        <f>IF('Part I-Project Information'!N74=0,"",'Part I-Project Information'!N74)</f>
        <v/>
      </c>
      <c r="E14" s="4219"/>
      <c r="F14" s="761" t="s">
        <v>2895</v>
      </c>
      <c r="G14" s="760"/>
      <c r="H14" s="4224" t="s">
        <v>3377</v>
      </c>
      <c r="I14" s="4224"/>
      <c r="J14" s="4224"/>
      <c r="K14" s="4224" t="s">
        <v>3377</v>
      </c>
      <c r="L14" s="4224"/>
      <c r="M14" s="722"/>
    </row>
    <row r="15" spans="1:14" ht="15.6">
      <c r="A15" s="725" t="s">
        <v>2896</v>
      </c>
      <c r="B15" s="722"/>
      <c r="C15" s="763" t="s">
        <v>1727</v>
      </c>
      <c r="D15" s="760"/>
      <c r="E15" s="760"/>
      <c r="F15" s="761" t="s">
        <v>3202</v>
      </c>
      <c r="G15" s="760"/>
      <c r="H15" s="1554" t="str">
        <f>'Part I-Project Information'!K40</f>
        <v>Urban</v>
      </c>
      <c r="I15" s="760"/>
      <c r="J15" s="760"/>
      <c r="K15" s="760"/>
      <c r="L15" s="722"/>
      <c r="M15" s="722"/>
    </row>
    <row r="16" spans="1:14" ht="15.6">
      <c r="A16" s="725" t="s">
        <v>3406</v>
      </c>
      <c r="B16" s="722"/>
      <c r="C16" s="1554" t="str">
        <f>'Part I-Project Information'!H100</f>
        <v>No</v>
      </c>
      <c r="D16" s="764" t="s">
        <v>2603</v>
      </c>
      <c r="E16" s="1554" t="str">
        <f>'Part I-Project Information'!H103</f>
        <v>No</v>
      </c>
      <c r="F16" s="761"/>
      <c r="G16" s="760"/>
      <c r="H16" s="760"/>
      <c r="I16" s="760"/>
      <c r="J16" s="760"/>
      <c r="K16" s="760"/>
      <c r="L16" s="722"/>
      <c r="M16" s="722"/>
    </row>
    <row r="17" spans="1:13" ht="15">
      <c r="A17" s="722"/>
      <c r="B17" s="722"/>
      <c r="C17" s="722"/>
      <c r="D17" s="760"/>
      <c r="E17" s="760"/>
      <c r="F17" s="760"/>
      <c r="G17" s="760"/>
      <c r="H17" s="760"/>
      <c r="I17" s="760"/>
      <c r="J17" s="722"/>
      <c r="K17" s="722"/>
      <c r="L17" s="722"/>
      <c r="M17" s="722"/>
    </row>
    <row r="18" spans="1:13" ht="15.6">
      <c r="A18" s="725" t="s">
        <v>3204</v>
      </c>
      <c r="B18" s="722"/>
      <c r="C18" s="1557">
        <f>'Part IV-A-Uses of Funds'!G132</f>
        <v>43012994</v>
      </c>
      <c r="D18" s="1531">
        <f>IF(C18=0,"",$C$29/C18)</f>
        <v>0.3185084023678984</v>
      </c>
      <c r="E18" s="760" t="s">
        <v>3205</v>
      </c>
      <c r="F18" s="761" t="s">
        <v>3206</v>
      </c>
      <c r="G18" s="760"/>
      <c r="H18" s="4218">
        <f>'Part IV-A-Uses of Funds'!B44</f>
        <v>31920000</v>
      </c>
      <c r="I18" s="4218"/>
      <c r="J18" s="1530">
        <f>IF(H18=0,"",$C$29/H18)</f>
        <v>0.42919799498746869</v>
      </c>
      <c r="K18" s="4219" t="s">
        <v>3207</v>
      </c>
      <c r="L18" s="4219"/>
      <c r="M18" s="722"/>
    </row>
    <row r="19" spans="1:13" ht="15.6">
      <c r="A19" s="725" t="s">
        <v>2897</v>
      </c>
      <c r="B19" s="722"/>
      <c r="C19" s="1556">
        <f>C18/C13</f>
        <v>215064.97</v>
      </c>
      <c r="D19" s="760"/>
      <c r="E19" s="722"/>
      <c r="F19" s="725" t="s">
        <v>2897</v>
      </c>
      <c r="G19" s="722"/>
      <c r="H19" s="4220">
        <f>H18/C13</f>
        <v>159600</v>
      </c>
      <c r="I19" s="4220"/>
      <c r="J19" s="722"/>
      <c r="K19" s="722"/>
      <c r="L19" s="722"/>
      <c r="M19" s="722"/>
    </row>
    <row r="20" spans="1:13" ht="15.6">
      <c r="A20" s="725" t="s">
        <v>2898</v>
      </c>
      <c r="B20" s="722"/>
      <c r="C20" s="1558">
        <f>C18/K13</f>
        <v>191.39854047078717</v>
      </c>
      <c r="D20" s="765"/>
      <c r="E20" s="766"/>
      <c r="F20" s="725" t="s">
        <v>2898</v>
      </c>
      <c r="G20" s="722"/>
      <c r="H20" s="4221">
        <f>H18/K13</f>
        <v>142.03711120010681</v>
      </c>
      <c r="I20" s="4220"/>
      <c r="J20" s="722"/>
      <c r="K20" s="722"/>
      <c r="L20" s="722"/>
      <c r="M20" s="722"/>
    </row>
    <row r="21" spans="1:13" ht="15.6">
      <c r="A21" s="725"/>
      <c r="B21" s="722"/>
      <c r="C21" s="767"/>
      <c r="D21" s="722"/>
      <c r="E21" s="722"/>
      <c r="F21" s="725"/>
      <c r="G21" s="722"/>
      <c r="H21" s="767"/>
      <c r="I21" s="722"/>
      <c r="J21" s="722"/>
      <c r="K21" s="722"/>
      <c r="L21" s="722"/>
      <c r="M21" s="722"/>
    </row>
    <row r="22" spans="1:13" ht="15">
      <c r="A22" s="757"/>
      <c r="B22" s="757"/>
      <c r="C22" s="757"/>
      <c r="D22" s="757"/>
      <c r="E22" s="757"/>
      <c r="F22" s="757"/>
      <c r="G22" s="757"/>
      <c r="H22" s="757"/>
      <c r="I22" s="757"/>
      <c r="J22" s="757"/>
      <c r="K22" s="757"/>
      <c r="L22" s="757"/>
      <c r="M22" s="762"/>
    </row>
    <row r="23" spans="1:13" ht="15.6">
      <c r="A23" s="768" t="s">
        <v>2899</v>
      </c>
      <c r="B23" s="769"/>
      <c r="C23" s="769"/>
      <c r="D23" s="769"/>
      <c r="E23" s="760"/>
      <c r="F23" s="760"/>
      <c r="G23" s="760"/>
      <c r="H23" s="760"/>
      <c r="I23" s="760"/>
      <c r="J23" s="760"/>
      <c r="K23" s="760"/>
      <c r="L23" s="722"/>
      <c r="M23" s="762"/>
    </row>
    <row r="24" spans="1:13" ht="27" customHeight="1">
      <c r="A24" s="722"/>
      <c r="B24" s="722"/>
      <c r="C24" s="722"/>
      <c r="D24" s="770" t="s">
        <v>2900</v>
      </c>
      <c r="E24" s="722"/>
      <c r="F24" s="722"/>
      <c r="G24" s="722"/>
      <c r="H24" s="722"/>
      <c r="I24" s="722"/>
      <c r="J24" s="722"/>
      <c r="K24" s="722"/>
      <c r="L24" s="722"/>
      <c r="M24" s="762"/>
    </row>
    <row r="25" spans="1:13" ht="15.6">
      <c r="A25" s="725" t="s">
        <v>2901</v>
      </c>
      <c r="B25" s="771" t="str">
        <f>'Part III-Sources of Funds'!E38</f>
        <v>Bellwether Enterprise/Freddie Mac</v>
      </c>
      <c r="C25" s="772">
        <f>'Part III-Sources of Funds'!I38</f>
        <v>13700000</v>
      </c>
      <c r="D25" s="773" t="s">
        <v>2902</v>
      </c>
      <c r="E25" s="722"/>
      <c r="F25" s="760"/>
      <c r="G25" s="722" t="s">
        <v>2903</v>
      </c>
      <c r="H25" s="722"/>
      <c r="I25" s="722"/>
      <c r="K25" s="772"/>
      <c r="L25" s="760"/>
      <c r="M25" s="762"/>
    </row>
    <row r="26" spans="1:13" ht="15">
      <c r="A26" s="722"/>
      <c r="B26" s="771"/>
      <c r="C26" s="772"/>
      <c r="D26" s="773"/>
      <c r="E26" s="722"/>
      <c r="F26" s="760"/>
      <c r="G26" s="722" t="s">
        <v>2904</v>
      </c>
      <c r="H26" s="722"/>
      <c r="I26" s="722"/>
      <c r="K26" s="774" t="e">
        <f>C29/K25</f>
        <v>#DIV/0!</v>
      </c>
      <c r="L26" s="760"/>
      <c r="M26" s="722"/>
    </row>
    <row r="27" spans="1:13" ht="15">
      <c r="A27" s="722"/>
      <c r="B27" s="771"/>
      <c r="C27" s="772"/>
      <c r="D27" s="773"/>
      <c r="E27" s="722"/>
      <c r="F27" s="760"/>
      <c r="G27" s="722"/>
      <c r="H27" s="722"/>
      <c r="I27" s="722"/>
      <c r="K27" s="760"/>
      <c r="L27" s="760"/>
      <c r="M27" s="722"/>
    </row>
    <row r="28" spans="1:13" ht="15">
      <c r="A28" s="722"/>
      <c r="B28" s="722"/>
      <c r="C28" s="722"/>
      <c r="D28" s="722"/>
      <c r="E28" s="722"/>
      <c r="F28" s="760"/>
      <c r="G28" s="722" t="s">
        <v>2905</v>
      </c>
      <c r="H28" s="722"/>
      <c r="I28" s="722"/>
      <c r="K28" s="772"/>
      <c r="L28" s="760"/>
      <c r="M28" s="722"/>
    </row>
    <row r="29" spans="1:13" ht="16.2" thickBot="1">
      <c r="A29" s="722"/>
      <c r="B29" s="775" t="s">
        <v>2906</v>
      </c>
      <c r="C29" s="776">
        <f>SUM(C25:C27)</f>
        <v>13700000</v>
      </c>
      <c r="D29" s="722"/>
      <c r="E29" s="722"/>
      <c r="F29" s="760"/>
      <c r="G29" s="722" t="s">
        <v>2907</v>
      </c>
      <c r="H29" s="722"/>
      <c r="I29" s="722"/>
      <c r="K29" s="774" t="e">
        <f>C29/K28</f>
        <v>#DIV/0!</v>
      </c>
      <c r="L29" s="760"/>
      <c r="M29" s="722"/>
    </row>
    <row r="30" spans="1:13" ht="16.2" thickTop="1">
      <c r="A30" s="725" t="s">
        <v>2908</v>
      </c>
      <c r="B30" s="775"/>
      <c r="C30" s="777">
        <f>'Part III-Sources of Funds'!$I$49+'Part III-Sources of Funds'!$I$50</f>
        <v>28412912</v>
      </c>
      <c r="D30" s="722"/>
      <c r="E30" s="722"/>
      <c r="F30" s="760"/>
      <c r="G30" s="722"/>
      <c r="H30" s="722"/>
      <c r="I30" s="722"/>
      <c r="K30" s="778"/>
      <c r="L30" s="760"/>
      <c r="M30" s="722"/>
    </row>
    <row r="31" spans="1:13" ht="15">
      <c r="A31" s="779" t="s">
        <v>2909</v>
      </c>
      <c r="B31" s="771">
        <f>'Part III-Sources of Funds'!E39</f>
        <v>0</v>
      </c>
      <c r="C31" s="772">
        <f>'Part III-Sources of Funds'!I39</f>
        <v>0</v>
      </c>
      <c r="D31" s="773"/>
      <c r="E31" s="722"/>
      <c r="F31" s="760"/>
      <c r="G31" s="722"/>
      <c r="H31" s="722"/>
      <c r="I31" s="722"/>
      <c r="K31" s="722"/>
      <c r="L31" s="760"/>
      <c r="M31" s="722"/>
    </row>
    <row r="32" spans="1:13" ht="15">
      <c r="A32" s="779" t="s">
        <v>2909</v>
      </c>
      <c r="B32" s="771">
        <f>'Part III-Sources of Funds'!E40</f>
        <v>0</v>
      </c>
      <c r="C32" s="772">
        <f>'Part III-Sources of Funds'!I40</f>
        <v>0</v>
      </c>
      <c r="D32" s="773"/>
      <c r="E32" s="722" t="s">
        <v>238</v>
      </c>
      <c r="F32" s="760"/>
      <c r="G32" s="722" t="s">
        <v>2910</v>
      </c>
      <c r="H32" s="722"/>
      <c r="I32" s="722"/>
      <c r="K32" s="772"/>
      <c r="L32" s="760"/>
      <c r="M32" s="760"/>
    </row>
    <row r="33" spans="1:13" ht="15.6">
      <c r="A33" s="722"/>
      <c r="B33" s="760"/>
      <c r="C33" s="780"/>
      <c r="D33" s="722"/>
      <c r="E33" s="722"/>
      <c r="F33" s="760"/>
      <c r="G33" s="1486" t="s">
        <v>2911</v>
      </c>
      <c r="H33" s="1486"/>
      <c r="I33" s="1486"/>
      <c r="K33" s="774" t="e">
        <f>$C$29/K32</f>
        <v>#DIV/0!</v>
      </c>
      <c r="L33" s="760"/>
      <c r="M33" s="781"/>
    </row>
    <row r="34" spans="1:13" ht="15.6">
      <c r="A34" s="722"/>
      <c r="B34" s="775" t="s">
        <v>2912</v>
      </c>
      <c r="C34" s="780">
        <f>SUM(C31:C32)</f>
        <v>0</v>
      </c>
      <c r="D34" s="722"/>
      <c r="E34" s="722"/>
      <c r="F34" s="722"/>
      <c r="G34" s="722"/>
      <c r="H34" s="722"/>
      <c r="I34" s="722"/>
      <c r="K34" s="760"/>
      <c r="L34" s="722"/>
      <c r="M34" s="781"/>
    </row>
    <row r="35" spans="1:13" ht="15.6">
      <c r="A35" s="722"/>
      <c r="B35" s="775"/>
      <c r="C35" s="722"/>
      <c r="D35" s="722"/>
      <c r="E35" s="722"/>
      <c r="F35" s="722"/>
      <c r="G35" s="1486" t="s">
        <v>2913</v>
      </c>
      <c r="H35" s="1486"/>
      <c r="I35" s="1486"/>
      <c r="K35" s="782" t="e">
        <f>(C36)/K25</f>
        <v>#DIV/0!</v>
      </c>
      <c r="L35" s="722"/>
      <c r="M35" s="760"/>
    </row>
    <row r="36" spans="1:13" ht="15.6">
      <c r="A36" s="722"/>
      <c r="B36" s="775" t="s">
        <v>2914</v>
      </c>
      <c r="C36" s="780">
        <f>C29+C34</f>
        <v>13700000</v>
      </c>
      <c r="D36" s="722"/>
      <c r="E36" s="722"/>
      <c r="F36" s="722"/>
      <c r="G36" s="722"/>
      <c r="H36" s="722"/>
      <c r="I36" s="722"/>
      <c r="K36" s="760"/>
      <c r="L36" s="722"/>
      <c r="M36" s="760"/>
    </row>
    <row r="37" spans="1:13" ht="15.6">
      <c r="A37" s="722"/>
      <c r="B37" s="775"/>
      <c r="C37" s="783"/>
      <c r="D37" s="722"/>
      <c r="E37" s="722"/>
      <c r="F37" s="722"/>
      <c r="G37" s="1486" t="s">
        <v>2915</v>
      </c>
      <c r="H37" s="1486"/>
      <c r="I37" s="1486"/>
      <c r="K37" s="1487" t="e">
        <f>+(C36)/K32</f>
        <v>#DIV/0!</v>
      </c>
      <c r="L37" s="722"/>
      <c r="M37" s="781"/>
    </row>
    <row r="38" spans="1:13" ht="15.6">
      <c r="A38" s="722"/>
      <c r="B38" s="775" t="s">
        <v>2916</v>
      </c>
      <c r="C38" s="784">
        <f>C36/C18</f>
        <v>0.3185084023678984</v>
      </c>
      <c r="D38" s="722"/>
      <c r="E38" s="722"/>
      <c r="F38" s="722"/>
      <c r="G38" s="722"/>
      <c r="H38" s="722"/>
      <c r="I38" s="722"/>
      <c r="K38" s="760"/>
      <c r="L38" s="722"/>
      <c r="M38" s="781"/>
    </row>
    <row r="39" spans="1:13" ht="15.6">
      <c r="A39" s="722"/>
      <c r="B39" s="775"/>
      <c r="C39" s="783"/>
      <c r="D39" s="722"/>
      <c r="E39" s="722"/>
      <c r="F39" s="722"/>
      <c r="G39" s="722"/>
      <c r="H39" s="722"/>
      <c r="I39" s="722"/>
      <c r="K39" s="760"/>
      <c r="L39" s="722"/>
      <c r="M39" s="722"/>
    </row>
    <row r="40" spans="1:13" ht="15.6">
      <c r="A40" s="722"/>
      <c r="B40" s="775" t="s">
        <v>2917</v>
      </c>
      <c r="C40" s="784">
        <f>C36/H18</f>
        <v>0.42919799498746869</v>
      </c>
      <c r="D40" s="722"/>
      <c r="E40" s="722"/>
      <c r="F40" s="725"/>
      <c r="G40" s="725" t="s">
        <v>2918</v>
      </c>
      <c r="H40" s="722"/>
      <c r="I40" s="722"/>
      <c r="K40" s="774">
        <f>C30/C18</f>
        <v>0.66056578158683865</v>
      </c>
      <c r="L40" s="722"/>
      <c r="M40" s="722"/>
    </row>
    <row r="46" spans="1:13" ht="15.6">
      <c r="A46" s="785" t="s">
        <v>2919</v>
      </c>
      <c r="B46" s="755"/>
      <c r="C46" s="755"/>
      <c r="D46" s="755"/>
      <c r="E46" s="755"/>
      <c r="F46" s="755"/>
      <c r="G46" s="755"/>
      <c r="H46" s="755"/>
      <c r="I46" s="755"/>
      <c r="J46" s="755"/>
      <c r="K46" s="755"/>
      <c r="L46" s="755"/>
      <c r="M46" s="722"/>
    </row>
    <row r="47" spans="1:13" ht="15.6">
      <c r="A47" s="785" t="str">
        <f>C8</f>
        <v>Lakeview Terrace</v>
      </c>
      <c r="B47" s="755"/>
      <c r="C47" s="755"/>
      <c r="D47" s="755"/>
      <c r="E47" s="755"/>
      <c r="F47" s="755"/>
      <c r="G47" s="755"/>
      <c r="H47" s="755"/>
      <c r="I47" s="755"/>
      <c r="J47" s="755"/>
      <c r="K47" s="755"/>
      <c r="L47" s="755"/>
      <c r="M47" s="722"/>
    </row>
    <row r="50" spans="1:14" s="722" customFormat="1" ht="15.6">
      <c r="A50" s="725" t="s">
        <v>2920</v>
      </c>
      <c r="C50" s="786" t="s">
        <v>2921</v>
      </c>
      <c r="E50" s="787" t="s">
        <v>3378</v>
      </c>
      <c r="F50" s="788">
        <v>0.1</v>
      </c>
      <c r="G50" s="787" t="s">
        <v>3379</v>
      </c>
      <c r="H50" s="788">
        <v>0.05</v>
      </c>
      <c r="I50" s="787" t="s">
        <v>3380</v>
      </c>
      <c r="J50" s="788">
        <v>0.03</v>
      </c>
      <c r="K50" s="4222" t="s">
        <v>2922</v>
      </c>
      <c r="L50" s="4223"/>
      <c r="M50" s="27"/>
      <c r="N50" s="27"/>
    </row>
    <row r="51" spans="1:14" s="722" customFormat="1" ht="15.6">
      <c r="A51" s="725"/>
      <c r="C51" s="786"/>
      <c r="E51" s="786"/>
      <c r="F51" s="789"/>
      <c r="G51" s="786"/>
      <c r="H51" s="789"/>
      <c r="I51" s="786"/>
      <c r="J51" s="789"/>
      <c r="K51" s="786"/>
      <c r="M51" s="27"/>
      <c r="N51" s="27"/>
    </row>
    <row r="52" spans="1:14" s="722" customFormat="1" ht="18.75" customHeight="1">
      <c r="B52" s="790" t="s">
        <v>2923</v>
      </c>
      <c r="C52" s="791">
        <f>'Part VII-Pro Forma'!B14</f>
        <v>1968000</v>
      </c>
      <c r="D52" s="791"/>
      <c r="E52" s="791">
        <f>$C$52</f>
        <v>1968000</v>
      </c>
      <c r="F52" s="791"/>
      <c r="G52" s="791">
        <f>$C$52</f>
        <v>1968000</v>
      </c>
      <c r="H52" s="791"/>
      <c r="I52" s="791">
        <f>$C$52</f>
        <v>1968000</v>
      </c>
      <c r="J52" s="791"/>
      <c r="K52" s="791">
        <f>$C$52</f>
        <v>1968000</v>
      </c>
      <c r="L52" s="792"/>
      <c r="M52" s="27"/>
      <c r="N52" s="27"/>
    </row>
    <row r="53" spans="1:14" s="722" customFormat="1" ht="18.75" customHeight="1">
      <c r="B53" s="790" t="s">
        <v>2926</v>
      </c>
      <c r="C53" s="791">
        <f>'Part VII-Pro Forma'!B15</f>
        <v>39360</v>
      </c>
      <c r="D53" s="791"/>
      <c r="E53" s="791">
        <f>$C$53</f>
        <v>39360</v>
      </c>
      <c r="F53" s="791"/>
      <c r="G53" s="791">
        <f>$C$53</f>
        <v>39360</v>
      </c>
      <c r="H53" s="791"/>
      <c r="I53" s="791">
        <f>$C$53</f>
        <v>39360</v>
      </c>
      <c r="J53" s="791"/>
      <c r="K53" s="791">
        <f>$C$53</f>
        <v>39360</v>
      </c>
      <c r="L53" s="792"/>
      <c r="M53" s="27"/>
      <c r="N53" s="27"/>
    </row>
    <row r="54" spans="1:14" s="722" customFormat="1" ht="18.75" customHeight="1">
      <c r="B54" s="790" t="s">
        <v>2924</v>
      </c>
      <c r="C54" s="791">
        <f>'Part VII-Pro Forma'!B16</f>
        <v>-140515.20000000001</v>
      </c>
      <c r="D54" s="791"/>
      <c r="E54" s="791">
        <f>-($C$52+E53)*F50</f>
        <v>-200736</v>
      </c>
      <c r="F54" s="793"/>
      <c r="G54" s="791">
        <f>-($C$52+G53)*0.07</f>
        <v>-140515.20000000001</v>
      </c>
      <c r="H54" s="791"/>
      <c r="I54" s="791">
        <f>-($C$52+I53)*0.07</f>
        <v>-140515.20000000001</v>
      </c>
      <c r="J54" s="791"/>
      <c r="K54" s="791">
        <f>-($C$52+K53)*L54</f>
        <v>-200736</v>
      </c>
      <c r="L54" s="794">
        <v>0.1</v>
      </c>
      <c r="M54" s="27"/>
      <c r="N54" s="27"/>
    </row>
    <row r="55" spans="1:14" s="722" customFormat="1" ht="18.75" customHeight="1">
      <c r="B55" s="790" t="s">
        <v>2925</v>
      </c>
      <c r="C55" s="791">
        <f>'Part VII-Pro Forma'!B17</f>
        <v>0</v>
      </c>
      <c r="D55" s="791"/>
      <c r="E55" s="791">
        <f>$C$55</f>
        <v>0</v>
      </c>
      <c r="F55" s="793"/>
      <c r="G55" s="791">
        <f>$C$55</f>
        <v>0</v>
      </c>
      <c r="H55" s="791"/>
      <c r="I55" s="791">
        <f>$C$55</f>
        <v>0</v>
      </c>
      <c r="J55" s="791"/>
      <c r="K55" s="791">
        <f>$C$55</f>
        <v>0</v>
      </c>
      <c r="L55" s="795"/>
      <c r="M55" s="27"/>
      <c r="N55" s="27"/>
    </row>
    <row r="56" spans="1:14" s="722" customFormat="1" ht="18.75" customHeight="1">
      <c r="B56" s="796" t="s">
        <v>2927</v>
      </c>
      <c r="C56" s="797">
        <f>SUM(C52:C55)</f>
        <v>1866844.8</v>
      </c>
      <c r="D56" s="791"/>
      <c r="E56" s="797">
        <f>SUM(E52:E55)</f>
        <v>1806624</v>
      </c>
      <c r="F56" s="791"/>
      <c r="G56" s="797">
        <f>SUM(G52:G55)</f>
        <v>1866844.8</v>
      </c>
      <c r="H56" s="791"/>
      <c r="I56" s="797">
        <f>SUM(I52:I55)</f>
        <v>1866844.8</v>
      </c>
      <c r="J56" s="791"/>
      <c r="K56" s="797">
        <f>SUM(K52:K55)</f>
        <v>1806624</v>
      </c>
      <c r="L56" s="792"/>
      <c r="M56" s="27"/>
      <c r="N56" s="27"/>
    </row>
    <row r="57" spans="1:14" s="722" customFormat="1" ht="24" customHeight="1">
      <c r="B57" s="790"/>
      <c r="C57" s="798"/>
      <c r="D57" s="791"/>
      <c r="E57" s="798"/>
      <c r="F57" s="791"/>
      <c r="G57" s="798"/>
      <c r="H57" s="791"/>
      <c r="I57" s="798"/>
      <c r="J57" s="791"/>
      <c r="K57" s="798"/>
      <c r="L57" s="792"/>
      <c r="M57" s="27"/>
      <c r="N57" s="27"/>
    </row>
    <row r="58" spans="1:14" s="722" customFormat="1" ht="18.75" customHeight="1">
      <c r="B58" s="790" t="s">
        <v>2928</v>
      </c>
      <c r="C58" s="791">
        <f>+'Part VI-Revenues &amp; Expenses'!F226+'Part VI-Revenues &amp; Expenses'!F235+'Part VI-Revenues &amp; Expenses'!L222+'Part VI-Revenues &amp; Expenses'!L230</f>
        <v>320000</v>
      </c>
      <c r="D58" s="791"/>
      <c r="E58" s="791">
        <f>$C$58</f>
        <v>320000</v>
      </c>
      <c r="F58" s="791"/>
      <c r="G58" s="791">
        <f>$C$58</f>
        <v>320000</v>
      </c>
      <c r="H58" s="791"/>
      <c r="I58" s="791">
        <f>$C$58</f>
        <v>320000</v>
      </c>
      <c r="J58" s="791"/>
      <c r="K58" s="791">
        <f>$C$58</f>
        <v>320000</v>
      </c>
      <c r="L58" s="792"/>
      <c r="M58" s="27"/>
      <c r="N58" s="27"/>
    </row>
    <row r="59" spans="1:14" s="722" customFormat="1" ht="18.75" customHeight="1">
      <c r="B59" s="790" t="s">
        <v>2929</v>
      </c>
      <c r="C59" s="791">
        <f>+'Part VI-Revenues &amp; Expenses'!F246</f>
        <v>130000</v>
      </c>
      <c r="D59" s="791"/>
      <c r="E59" s="791">
        <f>$C$59</f>
        <v>130000</v>
      </c>
      <c r="F59" s="791"/>
      <c r="G59" s="791">
        <f>$C$59</f>
        <v>130000</v>
      </c>
      <c r="H59" s="791"/>
      <c r="I59" s="791">
        <f>$C$59</f>
        <v>130000</v>
      </c>
      <c r="J59" s="791"/>
      <c r="K59" s="791">
        <f>$C$59*(1+$L$59)</f>
        <v>135200</v>
      </c>
      <c r="L59" s="799">
        <v>0.04</v>
      </c>
      <c r="M59" s="27"/>
      <c r="N59" s="27"/>
    </row>
    <row r="60" spans="1:14" s="722" customFormat="1" ht="18.75" customHeight="1">
      <c r="B60" s="790" t="s">
        <v>1348</v>
      </c>
      <c r="C60" s="791">
        <f>+'Part VI-Revenues &amp; Expenses'!L239</f>
        <v>111200</v>
      </c>
      <c r="D60" s="791"/>
      <c r="E60" s="791">
        <f>$C$60</f>
        <v>111200</v>
      </c>
      <c r="F60" s="791"/>
      <c r="G60" s="791">
        <f>$C$60</f>
        <v>111200</v>
      </c>
      <c r="H60" s="791"/>
      <c r="I60" s="791">
        <f>$C$60*(1+$J$50)</f>
        <v>114536</v>
      </c>
      <c r="J60" s="793"/>
      <c r="K60" s="791">
        <f>$C$60*(1+$J$50)</f>
        <v>114536</v>
      </c>
      <c r="L60" s="794">
        <v>0.03</v>
      </c>
      <c r="M60" s="27"/>
      <c r="N60" s="27"/>
    </row>
    <row r="61" spans="1:14" s="722" customFormat="1" ht="18.75" customHeight="1">
      <c r="B61" s="790" t="s">
        <v>1349</v>
      </c>
      <c r="C61" s="791">
        <f>+'Part VI-Revenues &amp; Expenses'!L246</f>
        <v>280000</v>
      </c>
      <c r="D61" s="791"/>
      <c r="E61" s="791">
        <f>$C$61</f>
        <v>280000</v>
      </c>
      <c r="F61" s="791"/>
      <c r="G61" s="791">
        <f>$C$61*(1+H50)</f>
        <v>294000</v>
      </c>
      <c r="H61" s="793"/>
      <c r="I61" s="791">
        <f>$C$61</f>
        <v>280000</v>
      </c>
      <c r="J61" s="791"/>
      <c r="K61" s="791">
        <f>$C$61*(1+$L$61)</f>
        <v>294000</v>
      </c>
      <c r="L61" s="794">
        <v>0.05</v>
      </c>
      <c r="M61" s="27"/>
      <c r="N61" s="27"/>
    </row>
    <row r="62" spans="1:14" s="722" customFormat="1" ht="18.75" customHeight="1">
      <c r="B62" s="796" t="s">
        <v>2930</v>
      </c>
      <c r="C62" s="797">
        <f>SUM(C58:C61)</f>
        <v>841200</v>
      </c>
      <c r="D62" s="791"/>
      <c r="E62" s="797">
        <f>SUM(E58:E61)</f>
        <v>841200</v>
      </c>
      <c r="F62" s="791"/>
      <c r="G62" s="797">
        <f>SUM(G58:G61)</f>
        <v>855200</v>
      </c>
      <c r="H62" s="791"/>
      <c r="I62" s="797">
        <f>SUM(I58:I61)</f>
        <v>844536</v>
      </c>
      <c r="J62" s="791"/>
      <c r="K62" s="797">
        <f>SUM(K58:K61)</f>
        <v>863736</v>
      </c>
      <c r="L62" s="800"/>
      <c r="M62" s="27"/>
      <c r="N62" s="27"/>
    </row>
    <row r="63" spans="1:14" s="722" customFormat="1" ht="24" customHeight="1">
      <c r="B63" s="801"/>
      <c r="C63" s="798"/>
      <c r="D63" s="798"/>
      <c r="E63" s="798"/>
      <c r="F63" s="798"/>
      <c r="G63" s="798"/>
      <c r="H63" s="798"/>
      <c r="I63" s="798"/>
      <c r="J63" s="798"/>
      <c r="K63" s="798"/>
      <c r="L63" s="800"/>
      <c r="M63" s="27"/>
      <c r="N63" s="27"/>
    </row>
    <row r="64" spans="1:14" s="722" customFormat="1" ht="15.6">
      <c r="A64" s="27"/>
      <c r="B64" s="802" t="s">
        <v>2931</v>
      </c>
      <c r="C64" s="803">
        <f>C56-C62</f>
        <v>1025644.8</v>
      </c>
      <c r="D64" s="803"/>
      <c r="E64" s="803">
        <f>E56-E62</f>
        <v>965424</v>
      </c>
      <c r="F64" s="803"/>
      <c r="G64" s="803">
        <f>G56-G62</f>
        <v>1011644.8</v>
      </c>
      <c r="H64" s="803"/>
      <c r="I64" s="803">
        <f>I56-I62</f>
        <v>1022308.8</v>
      </c>
      <c r="J64" s="803"/>
      <c r="K64" s="803">
        <f>K56-K62</f>
        <v>942888</v>
      </c>
      <c r="L64" s="33"/>
      <c r="M64" s="27"/>
      <c r="N64" s="27"/>
    </row>
    <row r="65" spans="1:14" s="722" customFormat="1" ht="24" customHeight="1">
      <c r="A65" s="27"/>
      <c r="B65" s="801"/>
      <c r="C65" s="798"/>
      <c r="D65" s="798"/>
      <c r="E65" s="798"/>
      <c r="F65" s="798"/>
      <c r="G65" s="798"/>
      <c r="H65" s="798"/>
      <c r="I65" s="798"/>
      <c r="J65" s="798"/>
      <c r="K65" s="798"/>
      <c r="L65" s="33"/>
      <c r="M65" s="27"/>
      <c r="N65" s="27"/>
    </row>
    <row r="66" spans="1:14" s="722" customFormat="1" ht="15">
      <c r="A66" s="27"/>
      <c r="B66" s="801" t="s">
        <v>2932</v>
      </c>
      <c r="C66" s="798">
        <f>'Part VI-Revenues &amp; Expenses'!Q233</f>
        <v>50000</v>
      </c>
      <c r="D66" s="798"/>
      <c r="E66" s="798">
        <f>$C$66</f>
        <v>50000</v>
      </c>
      <c r="F66" s="798"/>
      <c r="G66" s="798">
        <f>$C$66</f>
        <v>50000</v>
      </c>
      <c r="H66" s="798"/>
      <c r="I66" s="798">
        <f>$C$66</f>
        <v>50000</v>
      </c>
      <c r="J66" s="798"/>
      <c r="K66" s="798">
        <f>$C$66</f>
        <v>50000</v>
      </c>
      <c r="L66" s="33"/>
      <c r="M66" s="27"/>
      <c r="N66" s="27"/>
    </row>
    <row r="67" spans="1:14" s="722" customFormat="1" ht="6" customHeight="1">
      <c r="A67" s="27"/>
      <c r="B67" s="801"/>
      <c r="C67" s="798"/>
      <c r="D67" s="798"/>
      <c r="E67" s="798"/>
      <c r="F67" s="798"/>
      <c r="G67" s="798"/>
      <c r="H67" s="798"/>
      <c r="I67" s="798"/>
      <c r="J67" s="798"/>
      <c r="K67" s="798"/>
      <c r="L67" s="33"/>
      <c r="M67" s="27"/>
      <c r="N67" s="27"/>
    </row>
    <row r="68" spans="1:14" s="722" customFormat="1" ht="15">
      <c r="A68" s="27"/>
      <c r="B68" s="801" t="s">
        <v>2933</v>
      </c>
      <c r="C68" s="798">
        <f>'Part VI-Revenues &amp; Expenses'!Q219</f>
        <v>93342</v>
      </c>
      <c r="D68" s="798"/>
      <c r="E68" s="798">
        <f>$C$68</f>
        <v>93342</v>
      </c>
      <c r="F68" s="798"/>
      <c r="G68" s="798">
        <f>$C$68</f>
        <v>93342</v>
      </c>
      <c r="H68" s="798"/>
      <c r="I68" s="798">
        <f>$C$68</f>
        <v>93342</v>
      </c>
      <c r="J68" s="798"/>
      <c r="K68" s="798">
        <f>$C$68</f>
        <v>93342</v>
      </c>
      <c r="L68" s="33"/>
      <c r="M68" s="27"/>
      <c r="N68" s="27"/>
    </row>
    <row r="69" spans="1:14" s="722" customFormat="1" ht="24" customHeight="1">
      <c r="A69" s="27"/>
      <c r="B69" s="804"/>
      <c r="C69" s="798"/>
      <c r="D69" s="791"/>
      <c r="E69" s="798"/>
      <c r="F69" s="791"/>
      <c r="G69" s="798"/>
      <c r="H69" s="791"/>
      <c r="I69" s="798"/>
      <c r="J69" s="791"/>
      <c r="K69" s="798"/>
      <c r="L69" s="33"/>
      <c r="M69" s="27"/>
      <c r="N69" s="27"/>
    </row>
    <row r="70" spans="1:14" s="722" customFormat="1" ht="15.6">
      <c r="A70" s="27"/>
      <c r="B70" s="805" t="s">
        <v>2934</v>
      </c>
      <c r="C70" s="806">
        <f>C64-C66-C68</f>
        <v>882302.8</v>
      </c>
      <c r="D70" s="807"/>
      <c r="E70" s="806">
        <f>E64-E66-E68</f>
        <v>822082</v>
      </c>
      <c r="F70" s="807"/>
      <c r="G70" s="806">
        <f>G64-G66-G68</f>
        <v>868302.8</v>
      </c>
      <c r="H70" s="807"/>
      <c r="I70" s="806">
        <f>I64-I66-I68</f>
        <v>878966.8</v>
      </c>
      <c r="J70" s="807"/>
      <c r="K70" s="806">
        <f>K64-K66-K68</f>
        <v>799546</v>
      </c>
      <c r="L70" s="33"/>
      <c r="M70" s="27"/>
      <c r="N70" s="27"/>
    </row>
    <row r="71" spans="1:14" s="722" customFormat="1" ht="30" customHeight="1">
      <c r="A71" s="27"/>
      <c r="B71" s="790"/>
      <c r="C71" s="791"/>
      <c r="D71" s="791"/>
      <c r="E71" s="791"/>
      <c r="F71" s="791"/>
      <c r="G71" s="791"/>
      <c r="H71" s="791"/>
      <c r="I71" s="791"/>
      <c r="J71" s="791"/>
      <c r="K71" s="791"/>
      <c r="L71" s="33"/>
      <c r="M71" s="27"/>
      <c r="N71" s="27"/>
    </row>
    <row r="72" spans="1:14" s="725" customFormat="1" ht="18.75" customHeight="1">
      <c r="A72" s="271"/>
      <c r="B72" s="808" t="s">
        <v>2935</v>
      </c>
      <c r="C72" s="1532">
        <f>-C70/C75</f>
        <v>1.2120848041768142</v>
      </c>
      <c r="D72" s="809"/>
      <c r="E72" s="1532">
        <f>-E70/E75</f>
        <v>1.1293550241337595</v>
      </c>
      <c r="F72" s="809"/>
      <c r="G72" s="1532">
        <f>-G70/G75</f>
        <v>1.1928519656791063</v>
      </c>
      <c r="H72" s="809"/>
      <c r="I72" s="1532">
        <f>-I70/I75</f>
        <v>1.207501893517646</v>
      </c>
      <c r="J72" s="809"/>
      <c r="K72" s="1532">
        <f>-K70/K75</f>
        <v>1.0983956492491638</v>
      </c>
      <c r="L72" s="810"/>
      <c r="M72" s="271"/>
      <c r="N72" s="271"/>
    </row>
    <row r="73" spans="1:14" s="722" customFormat="1" ht="18.75" customHeight="1">
      <c r="A73" s="27"/>
      <c r="B73" s="790" t="s">
        <v>2936</v>
      </c>
      <c r="C73" s="1533">
        <f>C76/C62</f>
        <v>0.18352487605947454</v>
      </c>
      <c r="D73" s="811"/>
      <c r="E73" s="1533">
        <f>E76/E62</f>
        <v>0.11193571771425337</v>
      </c>
      <c r="F73" s="811"/>
      <c r="G73" s="1533">
        <f>G76/G62</f>
        <v>0.16415005348600326</v>
      </c>
      <c r="H73" s="811"/>
      <c r="I73" s="1533">
        <f>I76/I62</f>
        <v>0.17884983676389163</v>
      </c>
      <c r="J73" s="811"/>
      <c r="K73" s="1533">
        <f>K76/K62</f>
        <v>8.2923863010491553E-2</v>
      </c>
      <c r="L73" s="33"/>
      <c r="M73" s="27"/>
      <c r="N73" s="27"/>
    </row>
    <row r="74" spans="1:14" s="722" customFormat="1" ht="24" customHeight="1">
      <c r="A74" s="27"/>
      <c r="B74" s="790"/>
      <c r="C74" s="791"/>
      <c r="D74" s="791"/>
      <c r="E74" s="791"/>
      <c r="F74" s="791"/>
      <c r="G74" s="791"/>
      <c r="H74" s="791"/>
      <c r="I74" s="791"/>
      <c r="J74" s="791"/>
      <c r="K74" s="791"/>
      <c r="L74" s="33"/>
      <c r="M74" s="27"/>
      <c r="N74" s="27"/>
    </row>
    <row r="75" spans="1:14" s="722" customFormat="1" ht="18.75" customHeight="1">
      <c r="A75" s="27"/>
      <c r="B75" s="790" t="s">
        <v>2937</v>
      </c>
      <c r="C75" s="791">
        <f>+SUM('Part VII-Pro Forma'!B25:B28)</f>
        <v>-727921.67425877007</v>
      </c>
      <c r="D75" s="791"/>
      <c r="E75" s="791">
        <f>$C$75</f>
        <v>-727921.67425877007</v>
      </c>
      <c r="F75" s="791"/>
      <c r="G75" s="791">
        <f>$C$75</f>
        <v>-727921.67425877007</v>
      </c>
      <c r="H75" s="791"/>
      <c r="I75" s="791">
        <f>$C$75</f>
        <v>-727921.67425877007</v>
      </c>
      <c r="J75" s="791"/>
      <c r="K75" s="791">
        <f>$C$75</f>
        <v>-727921.67425877007</v>
      </c>
      <c r="L75" s="33"/>
      <c r="M75" s="27"/>
      <c r="N75" s="27"/>
    </row>
    <row r="76" spans="1:14" s="722" customFormat="1" ht="18.75" customHeight="1">
      <c r="A76" s="27"/>
      <c r="B76" s="790" t="s">
        <v>1142</v>
      </c>
      <c r="C76" s="791">
        <f>C70+C75</f>
        <v>154381.12574122997</v>
      </c>
      <c r="D76" s="791"/>
      <c r="E76" s="791">
        <f>E70+E75</f>
        <v>94160.325741229928</v>
      </c>
      <c r="F76" s="791"/>
      <c r="G76" s="791">
        <f>G70+G75</f>
        <v>140381.12574122997</v>
      </c>
      <c r="H76" s="791"/>
      <c r="I76" s="791">
        <f>I70+I75</f>
        <v>151045.12574122997</v>
      </c>
      <c r="J76" s="791"/>
      <c r="K76" s="791">
        <f>K70+K75</f>
        <v>71624.325741229928</v>
      </c>
      <c r="L76" s="33"/>
      <c r="M76" s="27"/>
      <c r="N76" s="27"/>
    </row>
    <row r="77" spans="1:14" s="722" customFormat="1" ht="15" hidden="1">
      <c r="A77" s="27"/>
      <c r="B77" s="790" t="s">
        <v>2938</v>
      </c>
      <c r="C77" s="812" t="e">
        <f>PV(intrate/12,30*12,C75/12,0)</f>
        <v>#NAME?</v>
      </c>
      <c r="D77" s="790"/>
      <c r="E77" s="812" t="e">
        <f>PV(intrate/12,30*12,E75/12,0)</f>
        <v>#NAME?</v>
      </c>
      <c r="F77" s="790"/>
      <c r="G77" s="812" t="e">
        <f>PV(intrate/12,30*12,G75/12,0)</f>
        <v>#NAME?</v>
      </c>
      <c r="H77" s="790"/>
      <c r="I77" s="812" t="e">
        <f>PV(intrate/12,30*12,I75/12,0)</f>
        <v>#NAME?</v>
      </c>
      <c r="J77" s="790"/>
      <c r="K77" s="812" t="e">
        <f>PV(intrate/12,30*12,K75/12,0)</f>
        <v>#NAME?</v>
      </c>
      <c r="L77" s="33"/>
      <c r="M77" s="27"/>
      <c r="N77" s="27"/>
    </row>
    <row r="78" spans="1:14" s="722" customFormat="1" ht="15.6" hidden="1">
      <c r="A78" s="27"/>
      <c r="B78" s="813" t="s">
        <v>2939</v>
      </c>
      <c r="C78" s="800"/>
      <c r="D78" s="800"/>
      <c r="E78" s="800"/>
      <c r="F78" s="800"/>
      <c r="G78" s="800"/>
      <c r="H78" s="800"/>
      <c r="I78" s="800"/>
      <c r="J78" s="800"/>
      <c r="K78" s="800"/>
      <c r="L78" s="33"/>
      <c r="M78" s="27"/>
      <c r="N78" s="27"/>
    </row>
    <row r="79" spans="1:14" s="722" customFormat="1" ht="15" hidden="1">
      <c r="A79" s="27"/>
      <c r="B79" s="800"/>
      <c r="C79" s="800"/>
      <c r="D79" s="800"/>
      <c r="E79" s="800"/>
      <c r="F79" s="800"/>
      <c r="G79" s="800"/>
      <c r="H79" s="800"/>
      <c r="I79" s="800"/>
      <c r="J79" s="800"/>
      <c r="K79" s="800"/>
      <c r="L79" s="33"/>
      <c r="M79" s="27"/>
      <c r="N79" s="27"/>
    </row>
    <row r="80" spans="1:14" s="722" customFormat="1" ht="15.6" hidden="1" thickBot="1">
      <c r="A80" s="27"/>
      <c r="B80" s="800" t="s">
        <v>2940</v>
      </c>
      <c r="C80" s="814" t="e">
        <f>MIN(C77,E77,G77,I77,K77)</f>
        <v>#NAME?</v>
      </c>
      <c r="D80" s="800"/>
      <c r="E80" s="800" t="s">
        <v>2941</v>
      </c>
      <c r="F80" s="815">
        <v>0.06</v>
      </c>
      <c r="G80" s="33"/>
      <c r="H80" s="33"/>
      <c r="I80" s="33"/>
      <c r="J80" s="33"/>
      <c r="K80" s="33"/>
      <c r="L80" s="33"/>
      <c r="M80" s="27"/>
      <c r="N80" s="27"/>
    </row>
    <row r="81" spans="1:14" s="722" customFormat="1" ht="15" hidden="1">
      <c r="A81" s="27"/>
      <c r="B81" s="800" t="s">
        <v>1687</v>
      </c>
      <c r="C81" s="814" t="e">
        <f>MAX(C77,E77,G77,I77,K77)</f>
        <v>#NAME?</v>
      </c>
      <c r="D81" s="800"/>
      <c r="E81" s="800"/>
      <c r="F81" s="800"/>
      <c r="G81" s="33"/>
      <c r="H81" s="33"/>
      <c r="I81" s="33"/>
      <c r="J81" s="33"/>
      <c r="K81" s="33"/>
      <c r="L81" s="33"/>
      <c r="M81" s="27"/>
      <c r="N81" s="27"/>
    </row>
    <row r="82" spans="1:14" s="722" customFormat="1" ht="15">
      <c r="A82" s="27"/>
      <c r="B82" s="800"/>
      <c r="C82" s="800"/>
      <c r="D82" s="800"/>
      <c r="E82" s="800" t="s">
        <v>238</v>
      </c>
      <c r="F82" s="800"/>
      <c r="G82" s="33"/>
      <c r="H82" s="33"/>
      <c r="I82" s="33"/>
      <c r="J82" s="33"/>
      <c r="K82" s="33"/>
      <c r="L82" s="33"/>
      <c r="M82" s="27"/>
      <c r="N82" s="27"/>
    </row>
    <row r="83" spans="1:14" s="722"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464" customWidth="1"/>
    <col min="2" max="11" width="10.5546875" style="1464" customWidth="1"/>
    <col min="12" max="12" width="9.88671875" style="1464" customWidth="1"/>
    <col min="13" max="21" width="10.5546875" style="1464" customWidth="1"/>
    <col min="22" max="16384" width="9.109375" style="1464"/>
  </cols>
  <sheetData>
    <row r="1" spans="1:7" ht="3" customHeight="1"/>
    <row r="2" spans="1:7">
      <c r="A2" s="1463" t="s">
        <v>3852</v>
      </c>
    </row>
    <row r="3" spans="1:7" ht="3" customHeight="1"/>
    <row r="4" spans="1:7">
      <c r="A4" s="1464" t="s">
        <v>3853</v>
      </c>
      <c r="B4" s="1465">
        <f>+'Part IV-A-Uses of Funds'!$G$132</f>
        <v>43012994</v>
      </c>
    </row>
    <row r="5" spans="1:7">
      <c r="A5" s="1464" t="s">
        <v>3884</v>
      </c>
      <c r="B5" s="1465">
        <f>+B18+B26+B38</f>
        <v>9307777.6390203275</v>
      </c>
    </row>
    <row r="6" spans="1:7">
      <c r="A6" s="1464" t="s">
        <v>3854</v>
      </c>
      <c r="B6" s="1466">
        <f>+B5-B4</f>
        <v>-33705216.360979676</v>
      </c>
    </row>
    <row r="7" spans="1:7">
      <c r="A7" s="1464" t="s">
        <v>3855</v>
      </c>
      <c r="B7" s="1467">
        <f>+B6/B4</f>
        <v>-0.78360544632116691</v>
      </c>
    </row>
    <row r="8" spans="1:7" ht="9" customHeight="1"/>
    <row r="9" spans="1:7">
      <c r="A9" s="1464" t="s">
        <v>3856</v>
      </c>
      <c r="B9" s="1465">
        <f>+B18+B26+B33</f>
        <v>9307777.6390203275</v>
      </c>
    </row>
    <row r="10" spans="1:7">
      <c r="A10" s="1464" t="s">
        <v>3854</v>
      </c>
      <c r="B10" s="1466">
        <f>+B9-B4</f>
        <v>-33705216.360979676</v>
      </c>
    </row>
    <row r="11" spans="1:7">
      <c r="A11" s="1464" t="s">
        <v>3855</v>
      </c>
      <c r="B11" s="1467">
        <f>+B10/B4</f>
        <v>-0.78360544632116691</v>
      </c>
    </row>
    <row r="12" spans="1:7" ht="24" customHeight="1"/>
    <row r="13" spans="1:7">
      <c r="A13" s="1463" t="s">
        <v>3857</v>
      </c>
      <c r="D13" s="1538" t="s">
        <v>4113</v>
      </c>
      <c r="E13" s="1539"/>
    </row>
    <row r="14" spans="1:7">
      <c r="A14" s="1464" t="s">
        <v>3858</v>
      </c>
      <c r="B14" s="1468">
        <f>+SUM('Part III-Sources of Funds'!L49:M50)</f>
        <v>28415762</v>
      </c>
      <c r="D14" s="1539"/>
      <c r="E14" s="1539"/>
    </row>
    <row r="15" spans="1:7">
      <c r="A15" s="1464" t="s">
        <v>3859</v>
      </c>
      <c r="B15" s="1469">
        <f>+'Part IV-A-Uses of Funds'!J173</f>
        <v>2931299.4</v>
      </c>
      <c r="D15" s="1539" t="s">
        <v>1997</v>
      </c>
      <c r="G15" s="1540">
        <f>'Part IV-A-Uses of Funds'!J155</f>
        <v>50027775.200000003</v>
      </c>
    </row>
    <row r="16" spans="1:7" ht="12.75" customHeight="1">
      <c r="D16" s="1539" t="s">
        <v>4114</v>
      </c>
      <c r="G16" s="1544">
        <v>3.2800000000000003E-2</v>
      </c>
    </row>
    <row r="17" spans="1:7" ht="12.75" customHeight="1">
      <c r="A17" s="1464" t="s">
        <v>3860</v>
      </c>
      <c r="B17" s="1543">
        <v>1.45</v>
      </c>
      <c r="D17" s="1539" t="s">
        <v>4115</v>
      </c>
      <c r="G17" s="1545">
        <v>1.45</v>
      </c>
    </row>
    <row r="18" spans="1:7" ht="12.75" customHeight="1">
      <c r="A18" s="1464" t="s">
        <v>3861</v>
      </c>
      <c r="B18" s="1470">
        <f>+'Part IV-A-Uses of Funds'!J183*B17*10</f>
        <v>0</v>
      </c>
      <c r="D18" s="1539" t="s">
        <v>4116</v>
      </c>
      <c r="G18" s="1545">
        <v>3.28</v>
      </c>
    </row>
    <row r="19" spans="1:7" ht="12.75" customHeight="1">
      <c r="D19" s="1539" t="s">
        <v>4117</v>
      </c>
      <c r="G19" s="1541">
        <f>+G15*G16*G17*10</f>
        <v>23793209.885120001</v>
      </c>
    </row>
    <row r="20" spans="1:7">
      <c r="A20" s="1464" t="s">
        <v>3862</v>
      </c>
      <c r="B20" s="1468">
        <f>+B18-B14</f>
        <v>-28415762</v>
      </c>
      <c r="D20" s="1539" t="s">
        <v>4118</v>
      </c>
      <c r="G20" s="1542">
        <f>+B14-G19</f>
        <v>4622552.1148799993</v>
      </c>
    </row>
    <row r="21" spans="1:7">
      <c r="A21" s="1464" t="s">
        <v>3863</v>
      </c>
      <c r="B21" s="1467">
        <f>+B20/B14</f>
        <v>-1</v>
      </c>
      <c r="D21" s="1539" t="s">
        <v>4119</v>
      </c>
      <c r="G21" s="1539" t="str">
        <f>+IF(G20&gt;(B28+B35),"No","Yes")</f>
        <v>No</v>
      </c>
    </row>
    <row r="22" spans="1:7" ht="24" customHeight="1"/>
    <row r="23" spans="1:7">
      <c r="A23" s="1463" t="s">
        <v>3864</v>
      </c>
    </row>
    <row r="24" spans="1:7">
      <c r="A24" s="1464" t="s">
        <v>3865</v>
      </c>
      <c r="B24" s="1471">
        <f>+SUM('Part III-Sources of Funds'!I38:J41)</f>
        <v>13700000</v>
      </c>
    </row>
    <row r="25" spans="1:7">
      <c r="A25" s="1464" t="s">
        <v>3866</v>
      </c>
      <c r="B25" s="1472">
        <f>IF('Part III-Sources of Funds'!E5="Yes","N/A",MAX(B46:P46))</f>
        <v>-7330.6590745633002</v>
      </c>
    </row>
    <row r="26" spans="1:7">
      <c r="A26" s="1464" t="s">
        <v>3867</v>
      </c>
      <c r="B26" s="1462">
        <f>IFERROR(PV('Part III-Sources of Funds'!K38,'Part III-Sources of Funds'!L38,B25+B45),B24)</f>
        <v>9307777.6390203275</v>
      </c>
    </row>
    <row r="27" spans="1:7" ht="9" customHeight="1">
      <c r="B27" s="1462"/>
    </row>
    <row r="28" spans="1:7">
      <c r="A28" s="1464" t="s">
        <v>3868</v>
      </c>
      <c r="B28" s="1473">
        <f>+B26-B24</f>
        <v>-4392222.3609796725</v>
      </c>
      <c r="C28" s="1474"/>
    </row>
    <row r="29" spans="1:7">
      <c r="A29" s="1464" t="s">
        <v>3863</v>
      </c>
      <c r="B29" s="1475">
        <f>+B28/B24</f>
        <v>-0.32060017233428267</v>
      </c>
    </row>
    <row r="30" spans="1:7" ht="24" customHeight="1"/>
    <row r="31" spans="1:7">
      <c r="A31" s="1463" t="s">
        <v>3776</v>
      </c>
    </row>
    <row r="32" spans="1:7">
      <c r="A32" s="1464" t="s">
        <v>3869</v>
      </c>
      <c r="B32" s="1476">
        <f>+'Part III-Sources of Funds'!I43</f>
        <v>900082</v>
      </c>
    </row>
    <row r="33" spans="1:11">
      <c r="A33" s="1464" t="s">
        <v>3870</v>
      </c>
      <c r="B33" s="1462"/>
    </row>
    <row r="34" spans="1:11" ht="9" customHeight="1">
      <c r="B34" s="1462"/>
    </row>
    <row r="35" spans="1:11">
      <c r="A35" s="1464" t="s">
        <v>3871</v>
      </c>
      <c r="B35" s="1476">
        <f>+B33-B32</f>
        <v>-900082</v>
      </c>
    </row>
    <row r="36" spans="1:11">
      <c r="A36" s="1464" t="s">
        <v>3872</v>
      </c>
      <c r="B36" s="1461">
        <f>+B35/B32</f>
        <v>-1</v>
      </c>
    </row>
    <row r="37" spans="1:11" ht="24" customHeight="1">
      <c r="B37" s="1462"/>
    </row>
    <row r="38" spans="1:11">
      <c r="A38" s="1463" t="s">
        <v>3873</v>
      </c>
      <c r="B38" s="1462">
        <f>+SUM('Part III-Sources of Funds'!I42,'Part III-Sources of Funds'!I47,'Part III-Sources of Funds'!I48,'Part III-Sources of Funds'!I51:I57)</f>
        <v>0</v>
      </c>
    </row>
    <row r="39" spans="1:11">
      <c r="B39" s="1462"/>
    </row>
    <row r="40" spans="1:11">
      <c r="B40" s="1462"/>
    </row>
    <row r="41" spans="1:11">
      <c r="B41" s="1462"/>
    </row>
    <row r="42" spans="1:11">
      <c r="A42" s="1463" t="s">
        <v>3874</v>
      </c>
      <c r="B42" s="1462"/>
    </row>
    <row r="43" spans="1:11">
      <c r="A43" s="1464" t="s">
        <v>2416</v>
      </c>
      <c r="B43" s="1546">
        <v>1</v>
      </c>
      <c r="C43" s="1546">
        <v>2</v>
      </c>
      <c r="D43" s="1546">
        <v>3</v>
      </c>
      <c r="E43" s="1546">
        <v>4</v>
      </c>
      <c r="F43" s="1546">
        <v>5</v>
      </c>
      <c r="G43" s="1546">
        <v>6</v>
      </c>
      <c r="H43" s="1546">
        <v>7</v>
      </c>
      <c r="I43" s="1546">
        <v>8</v>
      </c>
      <c r="J43" s="1546">
        <v>9</v>
      </c>
      <c r="K43" s="1546">
        <v>10</v>
      </c>
    </row>
    <row r="44" spans="1:11">
      <c r="A44" s="1464" t="s">
        <v>1177</v>
      </c>
      <c r="B44" s="1465">
        <f>+'Part VII-Pro Forma'!B24</f>
        <v>882302.8</v>
      </c>
      <c r="C44" s="1465">
        <f>+'Part VII-Pro Forma'!C24</f>
        <v>891036.696</v>
      </c>
      <c r="D44" s="1465">
        <f>+'Part VII-Pro Forma'!D24</f>
        <v>899678.24991999986</v>
      </c>
      <c r="E44" s="1465">
        <f>+'Part VII-Pro Forma'!E24</f>
        <v>908216.33411839989</v>
      </c>
      <c r="F44" s="1465">
        <f>+'Part VII-Pro Forma'!F24</f>
        <v>916642.39777676784</v>
      </c>
      <c r="G44" s="1465">
        <f>+'Part VII-Pro Forma'!G24</f>
        <v>924945.45121758373</v>
      </c>
      <c r="H44" s="1465">
        <f>+'Part VII-Pro Forma'!H24</f>
        <v>933112.0496917736</v>
      </c>
      <c r="I44" s="1465">
        <f>+'Part VII-Pro Forma'!I24</f>
        <v>941133.27661894262</v>
      </c>
      <c r="J44" s="1465">
        <f>+'Part VII-Pro Forma'!J24</f>
        <v>948995.72626265499</v>
      </c>
      <c r="K44" s="1465">
        <f>+'Part VII-Pro Forma'!K24</f>
        <v>956685.48582258122</v>
      </c>
    </row>
    <row r="45" spans="1:11">
      <c r="A45" s="1464" t="s">
        <v>3875</v>
      </c>
      <c r="B45" s="1465">
        <f>SUM('Part VII-Pro Forma'!B25:B28)</f>
        <v>-727921.67425877007</v>
      </c>
      <c r="C45" s="1465">
        <f>SUM('Part VII-Pro Forma'!C25:C28)</f>
        <v>-727921.67425877007</v>
      </c>
      <c r="D45" s="1465">
        <f>SUM('Part VII-Pro Forma'!D25:D28)</f>
        <v>-727921.67425877007</v>
      </c>
      <c r="E45" s="1465">
        <f>SUM('Part VII-Pro Forma'!E25:E28)</f>
        <v>-727921.67425877007</v>
      </c>
      <c r="F45" s="1465">
        <f>SUM('Part VII-Pro Forma'!F25:F28)</f>
        <v>-727921.67425877007</v>
      </c>
      <c r="G45" s="1465">
        <f>SUM('Part VII-Pro Forma'!G25:G28)</f>
        <v>-727921.67425877007</v>
      </c>
      <c r="H45" s="1465">
        <f>SUM('Part VII-Pro Forma'!H25:H28)</f>
        <v>-727921.67425877007</v>
      </c>
      <c r="I45" s="1465">
        <f>SUM('Part VII-Pro Forma'!I25:I28)</f>
        <v>-727921.67425877007</v>
      </c>
      <c r="J45" s="1465">
        <f>SUM('Part VII-Pro Forma'!J25:J28)</f>
        <v>-727921.67425877007</v>
      </c>
      <c r="K45" s="1465">
        <f>SUM('Part VII-Pro Forma'!K25:K28)</f>
        <v>-727921.67425877007</v>
      </c>
    </row>
    <row r="46" spans="1:11">
      <c r="A46" s="1464" t="s">
        <v>3876</v>
      </c>
      <c r="B46" s="1466">
        <f t="shared" ref="B46:K46" si="0">-B44/B48-B45</f>
        <v>-7330.6590745633002</v>
      </c>
      <c r="C46" s="1466">
        <f t="shared" si="0"/>
        <v>-14608.905741230003</v>
      </c>
      <c r="D46" s="1466">
        <f t="shared" si="0"/>
        <v>-21810.200674563181</v>
      </c>
      <c r="E46" s="1466">
        <f t="shared" si="0"/>
        <v>-28925.270839896519</v>
      </c>
      <c r="F46" s="1466">
        <f t="shared" si="0"/>
        <v>-35946.990555203171</v>
      </c>
      <c r="G46" s="1466">
        <f t="shared" si="0"/>
        <v>-42866.201755883056</v>
      </c>
      <c r="H46" s="1466">
        <f t="shared" si="0"/>
        <v>-49671.700484374654</v>
      </c>
      <c r="I46" s="1466">
        <f t="shared" si="0"/>
        <v>-56356.056257015443</v>
      </c>
      <c r="J46" s="1466">
        <f t="shared" si="0"/>
        <v>-62908.097626775736</v>
      </c>
      <c r="K46" s="1466">
        <f t="shared" si="0"/>
        <v>-69316.230593380984</v>
      </c>
    </row>
    <row r="48" spans="1:11">
      <c r="A48" s="1464" t="s">
        <v>3877</v>
      </c>
      <c r="B48" s="1464">
        <f>IF(B82="NC",1.2,1.25)</f>
        <v>1.2</v>
      </c>
      <c r="C48" s="1464">
        <f>+B48</f>
        <v>1.2</v>
      </c>
      <c r="D48" s="1464">
        <f t="shared" ref="D48:K48" si="1">+C48</f>
        <v>1.2</v>
      </c>
      <c r="E48" s="1464">
        <f t="shared" si="1"/>
        <v>1.2</v>
      </c>
      <c r="F48" s="1464">
        <f t="shared" si="1"/>
        <v>1.2</v>
      </c>
      <c r="G48" s="1464">
        <f t="shared" si="1"/>
        <v>1.2</v>
      </c>
      <c r="H48" s="1464">
        <f t="shared" si="1"/>
        <v>1.2</v>
      </c>
      <c r="I48" s="1464">
        <f t="shared" si="1"/>
        <v>1.2</v>
      </c>
      <c r="J48" s="1464">
        <f t="shared" si="1"/>
        <v>1.2</v>
      </c>
      <c r="K48" s="1464">
        <f t="shared" si="1"/>
        <v>1.2</v>
      </c>
    </row>
    <row r="50" spans="1:17">
      <c r="A50" s="1463" t="s">
        <v>1142</v>
      </c>
    </row>
    <row r="51" spans="1:17">
      <c r="A51" s="1464" t="s">
        <v>1177</v>
      </c>
      <c r="B51" s="1466">
        <f>+B44</f>
        <v>882302.8</v>
      </c>
      <c r="C51" s="1466">
        <f t="shared" ref="C51:K51" si="2">+C44</f>
        <v>891036.696</v>
      </c>
      <c r="D51" s="1466">
        <f t="shared" si="2"/>
        <v>899678.24991999986</v>
      </c>
      <c r="E51" s="1466">
        <f t="shared" si="2"/>
        <v>908216.33411839989</v>
      </c>
      <c r="F51" s="1466">
        <f t="shared" si="2"/>
        <v>916642.39777676784</v>
      </c>
      <c r="G51" s="1466">
        <f t="shared" si="2"/>
        <v>924945.45121758373</v>
      </c>
      <c r="H51" s="1466">
        <f t="shared" si="2"/>
        <v>933112.0496917736</v>
      </c>
      <c r="I51" s="1466">
        <f t="shared" si="2"/>
        <v>941133.27661894262</v>
      </c>
      <c r="J51" s="1466">
        <f t="shared" si="2"/>
        <v>948995.72626265499</v>
      </c>
      <c r="K51" s="1466">
        <f t="shared" si="2"/>
        <v>956685.48582258122</v>
      </c>
    </row>
    <row r="52" spans="1:17">
      <c r="A52" s="1464" t="s">
        <v>3878</v>
      </c>
      <c r="B52" s="1466">
        <f>IF($B$25="N/A",B45,B45+$B$25)</f>
        <v>-735252.33333333337</v>
      </c>
      <c r="C52" s="1466">
        <f t="shared" ref="C52:K52" si="3">IF($B$25="N/A",C45,C45+$B$25)</f>
        <v>-735252.33333333337</v>
      </c>
      <c r="D52" s="1466">
        <f t="shared" si="3"/>
        <v>-735252.33333333337</v>
      </c>
      <c r="E52" s="1466">
        <f t="shared" si="3"/>
        <v>-735252.33333333337</v>
      </c>
      <c r="F52" s="1466">
        <f t="shared" si="3"/>
        <v>-735252.33333333337</v>
      </c>
      <c r="G52" s="1466">
        <f t="shared" si="3"/>
        <v>-735252.33333333337</v>
      </c>
      <c r="H52" s="1466">
        <f t="shared" si="3"/>
        <v>-735252.33333333337</v>
      </c>
      <c r="I52" s="1466">
        <f t="shared" si="3"/>
        <v>-735252.33333333337</v>
      </c>
      <c r="J52" s="1466">
        <f t="shared" si="3"/>
        <v>-735252.33333333337</v>
      </c>
      <c r="K52" s="1466">
        <f t="shared" si="3"/>
        <v>-735252.33333333337</v>
      </c>
    </row>
    <row r="53" spans="1:17">
      <c r="A53" s="1464" t="s">
        <v>3879</v>
      </c>
      <c r="B53" s="1465">
        <f>+'Part VII-Pro Forma'!B30</f>
        <v>-5000</v>
      </c>
      <c r="C53" s="1465">
        <f>+'Part VII-Pro Forma'!C30</f>
        <v>-5000</v>
      </c>
      <c r="D53" s="1465">
        <f>+'Part VII-Pro Forma'!D30</f>
        <v>-5000</v>
      </c>
      <c r="E53" s="1465">
        <f>+'Part VII-Pro Forma'!E30</f>
        <v>-5000</v>
      </c>
      <c r="F53" s="1465">
        <f>+'Part VII-Pro Forma'!F30</f>
        <v>-5000</v>
      </c>
      <c r="G53" s="1465">
        <f>+'Part VII-Pro Forma'!G30</f>
        <v>-5000</v>
      </c>
      <c r="H53" s="1465">
        <f>+'Part VII-Pro Forma'!H30</f>
        <v>-5000</v>
      </c>
      <c r="I53" s="1465">
        <f>+'Part VII-Pro Forma'!I30</f>
        <v>-5000</v>
      </c>
      <c r="J53" s="1465">
        <f>+'Part VII-Pro Forma'!J30</f>
        <v>-5000</v>
      </c>
      <c r="K53" s="1465">
        <f>+'Part VII-Pro Forma'!K30</f>
        <v>-5000</v>
      </c>
    </row>
    <row r="54" spans="1:17">
      <c r="A54" s="1464" t="s">
        <v>3880</v>
      </c>
      <c r="B54" s="1466">
        <f>+SUM(B51:B53)</f>
        <v>142050.46666666667</v>
      </c>
      <c r="C54" s="1466">
        <f t="shared" ref="C54:K54" si="4">+SUM(C51:C53)</f>
        <v>150784.36266666662</v>
      </c>
      <c r="D54" s="1466">
        <f t="shared" si="4"/>
        <v>159425.91658666648</v>
      </c>
      <c r="E54" s="1466">
        <f t="shared" si="4"/>
        <v>167964.00078506651</v>
      </c>
      <c r="F54" s="1466">
        <f t="shared" si="4"/>
        <v>176390.06444343447</v>
      </c>
      <c r="G54" s="1466">
        <f t="shared" si="4"/>
        <v>184693.11788425036</v>
      </c>
      <c r="H54" s="1466">
        <f t="shared" si="4"/>
        <v>192859.71635844023</v>
      </c>
      <c r="I54" s="1466">
        <f t="shared" si="4"/>
        <v>200880.94328560925</v>
      </c>
      <c r="J54" s="1466">
        <f t="shared" si="4"/>
        <v>208743.39292932162</v>
      </c>
      <c r="K54" s="1466">
        <f t="shared" si="4"/>
        <v>216433.15248924785</v>
      </c>
    </row>
    <row r="55" spans="1:17">
      <c r="A55" s="1464" t="s">
        <v>3776</v>
      </c>
      <c r="B55" s="1466">
        <f>-B54</f>
        <v>-142050.46666666667</v>
      </c>
      <c r="C55" s="1466">
        <f t="shared" ref="C55:K55" si="5">-C54</f>
        <v>-150784.36266666662</v>
      </c>
      <c r="D55" s="1466">
        <f t="shared" si="5"/>
        <v>-159425.91658666648</v>
      </c>
      <c r="E55" s="1466">
        <f t="shared" si="5"/>
        <v>-167964.00078506651</v>
      </c>
      <c r="F55" s="1466">
        <f t="shared" si="5"/>
        <v>-176390.06444343447</v>
      </c>
      <c r="G55" s="1466">
        <f t="shared" si="5"/>
        <v>-184693.11788425036</v>
      </c>
      <c r="H55" s="1466">
        <f t="shared" si="5"/>
        <v>-192859.71635844023</v>
      </c>
      <c r="I55" s="1466">
        <f t="shared" si="5"/>
        <v>-200880.94328560925</v>
      </c>
      <c r="J55" s="1466">
        <f t="shared" si="5"/>
        <v>-208743.39292932162</v>
      </c>
      <c r="K55" s="1466">
        <f t="shared" si="5"/>
        <v>-216433.15248924785</v>
      </c>
    </row>
    <row r="56" spans="1:17">
      <c r="A56" s="1464" t="s">
        <v>3881</v>
      </c>
      <c r="B56" s="1466">
        <f>+B54+B55</f>
        <v>0</v>
      </c>
      <c r="C56" s="1466">
        <f t="shared" ref="C56:K56" si="6">+C54+C55</f>
        <v>0</v>
      </c>
      <c r="D56" s="1466">
        <f t="shared" si="6"/>
        <v>0</v>
      </c>
      <c r="E56" s="1466">
        <f t="shared" si="6"/>
        <v>0</v>
      </c>
      <c r="F56" s="1466">
        <f t="shared" si="6"/>
        <v>0</v>
      </c>
      <c r="G56" s="1466">
        <f t="shared" si="6"/>
        <v>0</v>
      </c>
      <c r="H56" s="1466">
        <f t="shared" si="6"/>
        <v>0</v>
      </c>
      <c r="I56" s="1466">
        <f t="shared" si="6"/>
        <v>0</v>
      </c>
      <c r="J56" s="1466">
        <f t="shared" si="6"/>
        <v>0</v>
      </c>
      <c r="K56" s="1466">
        <f t="shared" si="6"/>
        <v>0</v>
      </c>
    </row>
    <row r="58" spans="1:17">
      <c r="A58" s="1464" t="s">
        <v>3882</v>
      </c>
      <c r="B58" s="1465">
        <f>IF($B$26="","",-FV('Part III-Sources of Funds'!$K$38/12,12,B52/12,B26))</f>
        <v>8938107.9988039341</v>
      </c>
      <c r="C58" s="1465">
        <f>IF($B$26="","",-FV('Part III-Sources of Funds'!$K$38/12,12,C52/12,B58))</f>
        <v>8553377.4470745213</v>
      </c>
      <c r="D58" s="1465">
        <f>IF($B$26="","",-FV('Part III-Sources of Funds'!$K$38/12,12,D52/12,C58))</f>
        <v>8152972.37905927</v>
      </c>
      <c r="E58" s="1465">
        <f>IF($B$26="","",-FV('Part III-Sources of Funds'!$K$38/12,12,E52/12,D58))</f>
        <v>7736254.190780174</v>
      </c>
      <c r="F58" s="1465">
        <f>IF($B$26="","",-FV('Part III-Sources of Funds'!$K$38/12,12,F52/12,E58))</f>
        <v>7302558.2605478475</v>
      </c>
      <c r="G58" s="1465">
        <f>IF($B$26="","",-FV('Part III-Sources of Funds'!$K$38/12,12,G52/12,F58))</f>
        <v>6851192.8889598222</v>
      </c>
      <c r="H58" s="1465">
        <f>IF($B$26="","",-FV('Part III-Sources of Funds'!$K$38/12,12,H52/12,G58))</f>
        <v>6381438.1957127359</v>
      </c>
      <c r="I58" s="1465">
        <f>IF($B$26="","",-FV('Part III-Sources of Funds'!$K$38/12,12,I52/12,H58))</f>
        <v>5892544.9714689497</v>
      </c>
      <c r="J58" s="1465">
        <f>IF($B$26="","",-FV('Part III-Sources of Funds'!$K$38/12,12,J52/12,I58))</f>
        <v>5383733.4829464406</v>
      </c>
      <c r="K58" s="1465">
        <f>IF($B$26="","",-FV('Part III-Sources of Funds'!$K$38/12,12,K52/12,J58))</f>
        <v>4854192.2293262091</v>
      </c>
    </row>
    <row r="59" spans="1:17">
      <c r="A59" s="1464" t="s">
        <v>3777</v>
      </c>
      <c r="B59" s="1465" t="str">
        <f>IF(B33="","",-FV('Part III-Sources of Funds'!$K$43/12,12,B55/12,B33))</f>
        <v/>
      </c>
      <c r="C59" s="1465" t="str">
        <f>IF($B$33="","",-FV('Part III-Sources of Funds'!$K$43/12,12,C55/12,B59))</f>
        <v/>
      </c>
      <c r="D59" s="1465" t="str">
        <f>IF($B$33="","",-FV('Part III-Sources of Funds'!$K$43/12,12,D55/12,C59))</f>
        <v/>
      </c>
      <c r="E59" s="1465" t="str">
        <f>IF($B$33="","",-FV('Part III-Sources of Funds'!$K$43/12,12,E55/12,D59))</f>
        <v/>
      </c>
      <c r="F59" s="1465" t="str">
        <f>IF($B$33="","",-FV('Part III-Sources of Funds'!$K$43/12,12,F55/12,E59))</f>
        <v/>
      </c>
      <c r="G59" s="1465" t="str">
        <f>IF($B$33="","",-FV('Part III-Sources of Funds'!$K$43/12,12,G55/12,F59))</f>
        <v/>
      </c>
      <c r="H59" s="1465" t="str">
        <f>IF($B$33="","",-FV('Part III-Sources of Funds'!$K$43/12,12,H55/12,G59))</f>
        <v/>
      </c>
      <c r="I59" s="1465" t="str">
        <f>IF($B$33="","",-FV('Part III-Sources of Funds'!$K$43/12,12,I55/12,H59))</f>
        <v/>
      </c>
      <c r="J59" s="1465" t="str">
        <f>IF($B$33="","",-FV('Part III-Sources of Funds'!$K$43/12,12,J55/12,I59))</f>
        <v/>
      </c>
      <c r="K59" s="1465" t="str">
        <f>IF($B$33="","",-FV('Part III-Sources of Funds'!$K$43/12,12,K55/12,J59))</f>
        <v/>
      </c>
      <c r="L59" s="1465" t="str">
        <f>IF($B$33="","",-FV('Part III-Sources of Funds'!$K$43/12,12,B75/12,K59))</f>
        <v/>
      </c>
      <c r="M59" s="1465" t="str">
        <f>IF($B$33="","",-FV('Part III-Sources of Funds'!$K$43/12,12,C75/12,L59))</f>
        <v/>
      </c>
      <c r="N59" s="1465" t="str">
        <f>IF($B$33="","",-FV('Part III-Sources of Funds'!$K$43/12,12,D75/12,M59))</f>
        <v/>
      </c>
      <c r="O59" s="1465" t="str">
        <f>IF($B$33="","",-FV('Part III-Sources of Funds'!$K$43/12,12,E75/12,N59))</f>
        <v/>
      </c>
      <c r="P59" s="1465" t="str">
        <f>IF($B$33="","",-FV('Part III-Sources of Funds'!$K$43/12,12,F75/12,O59))</f>
        <v/>
      </c>
      <c r="Q59" s="1465"/>
    </row>
    <row r="60" spans="1:17" ht="18.75" customHeight="1"/>
    <row r="61" spans="1:17" ht="18.75" customHeight="1"/>
    <row r="62" spans="1:17">
      <c r="A62" s="1463" t="s">
        <v>3874</v>
      </c>
    </row>
    <row r="63" spans="1:17">
      <c r="A63" s="1464" t="s">
        <v>2416</v>
      </c>
      <c r="B63" s="1546">
        <v>11</v>
      </c>
      <c r="C63" s="1546">
        <v>12</v>
      </c>
      <c r="D63" s="1546">
        <v>13</v>
      </c>
      <c r="E63" s="1546">
        <v>14</v>
      </c>
      <c r="F63" s="1546">
        <v>15</v>
      </c>
      <c r="G63" s="1546">
        <v>16</v>
      </c>
      <c r="H63" s="1546">
        <v>17</v>
      </c>
      <c r="I63" s="1546">
        <v>18</v>
      </c>
      <c r="J63" s="1546">
        <v>19</v>
      </c>
      <c r="K63" s="1546">
        <v>20</v>
      </c>
    </row>
    <row r="64" spans="1:17">
      <c r="A64" s="1464" t="s">
        <v>1177</v>
      </c>
      <c r="B64" s="1465">
        <f>+'Part VII-Pro Forma'!B56</f>
        <v>964191.11692474724</v>
      </c>
      <c r="C64" s="1465">
        <f>+'Part VII-Pro Forma'!C56</f>
        <v>971498.63649052684</v>
      </c>
      <c r="D64" s="1465">
        <f>+'Part VII-Pro Forma'!D56</f>
        <v>978591.49696444126</v>
      </c>
      <c r="E64" s="1465">
        <f>+'Part VII-Pro Forma'!E56</f>
        <v>985457.56588015705</v>
      </c>
      <c r="F64" s="1465">
        <f>+'Part VII-Pro Forma'!F56</f>
        <v>992079.10474347998</v>
      </c>
      <c r="G64" s="1465">
        <f>+'Part VII-Pro Forma'!G56</f>
        <v>998440.74721043988</v>
      </c>
      <c r="H64" s="1465">
        <f>+'Part VII-Pro Forma'!H56</f>
        <v>1004524.4765379037</v>
      </c>
      <c r="I64" s="1465">
        <f>+'Part VII-Pro Forma'!I56</f>
        <v>1010313.6022834133</v>
      </c>
      <c r="J64" s="1465">
        <f>+'Part VII-Pro Forma'!J56</f>
        <v>1015789.7362302755</v>
      </c>
      <c r="K64" s="1465">
        <f>+'Part VII-Pro Forma'!K56</f>
        <v>1020933.7675131111</v>
      </c>
    </row>
    <row r="65" spans="1:11">
      <c r="A65" s="1464" t="s">
        <v>3875</v>
      </c>
      <c r="B65" s="1465">
        <f>SUM('Part VII-Pro Forma'!B57:B60)</f>
        <v>-727921.67425877007</v>
      </c>
      <c r="C65" s="1465">
        <f>SUM('Part VII-Pro Forma'!C57:C60)</f>
        <v>-727921.67425877007</v>
      </c>
      <c r="D65" s="1465">
        <f>SUM('Part VII-Pro Forma'!D57:D60)</f>
        <v>-727921.67425877007</v>
      </c>
      <c r="E65" s="1465">
        <f>SUM('Part VII-Pro Forma'!E57:E60)</f>
        <v>-727921.67425877007</v>
      </c>
      <c r="F65" s="1465">
        <f>SUM('Part VII-Pro Forma'!F57:F60)</f>
        <v>-727921.67425877007</v>
      </c>
      <c r="G65" s="1465">
        <f>SUM('Part VII-Pro Forma'!G57:G60)</f>
        <v>-727921.67425877007</v>
      </c>
      <c r="H65" s="1465">
        <f>SUM('Part VII-Pro Forma'!H57:H60)</f>
        <v>-727921.67425877007</v>
      </c>
      <c r="I65" s="1465">
        <f>SUM('Part VII-Pro Forma'!I57:I60)</f>
        <v>-727921.67425877007</v>
      </c>
      <c r="J65" s="1465">
        <f>SUM('Part VII-Pro Forma'!J57:J60)</f>
        <v>-727921.67425877007</v>
      </c>
      <c r="K65" s="1465">
        <f>SUM('Part VII-Pro Forma'!K57:K60)</f>
        <v>-727921.67425877007</v>
      </c>
    </row>
    <row r="66" spans="1:11">
      <c r="A66" s="1464" t="s">
        <v>3876</v>
      </c>
      <c r="B66" s="1466">
        <f t="shared" ref="B66:K66" si="7">-B64/B68-B65</f>
        <v>-75570.923178519355</v>
      </c>
      <c r="C66" s="1466">
        <f t="shared" si="7"/>
        <v>-81660.522816668963</v>
      </c>
      <c r="D66" s="1466">
        <f t="shared" si="7"/>
        <v>-87571.239878264372</v>
      </c>
      <c r="E66" s="1466">
        <f t="shared" si="7"/>
        <v>-93292.963974694139</v>
      </c>
      <c r="F66" s="1466">
        <f t="shared" si="7"/>
        <v>-98810.913027463248</v>
      </c>
      <c r="G66" s="1466">
        <f t="shared" si="7"/>
        <v>-104112.28174992988</v>
      </c>
      <c r="H66" s="1466">
        <f t="shared" si="7"/>
        <v>-109182.05618948303</v>
      </c>
      <c r="I66" s="1466">
        <f t="shared" si="7"/>
        <v>-114006.32764407434</v>
      </c>
      <c r="J66" s="1466">
        <f t="shared" si="7"/>
        <v>-118569.77259979281</v>
      </c>
      <c r="K66" s="1466">
        <f t="shared" si="7"/>
        <v>-122856.46533548925</v>
      </c>
    </row>
    <row r="68" spans="1:11">
      <c r="A68" s="1464" t="s">
        <v>3877</v>
      </c>
      <c r="B68" s="1464">
        <f>+K48</f>
        <v>1.2</v>
      </c>
      <c r="C68" s="1464">
        <f t="shared" ref="C68:K68" si="8">+B68</f>
        <v>1.2</v>
      </c>
      <c r="D68" s="1464">
        <f t="shared" si="8"/>
        <v>1.2</v>
      </c>
      <c r="E68" s="1464">
        <f t="shared" si="8"/>
        <v>1.2</v>
      </c>
      <c r="F68" s="1464">
        <f t="shared" si="8"/>
        <v>1.2</v>
      </c>
      <c r="G68" s="1464">
        <f t="shared" si="8"/>
        <v>1.2</v>
      </c>
      <c r="H68" s="1464">
        <f t="shared" si="8"/>
        <v>1.2</v>
      </c>
      <c r="I68" s="1464">
        <f t="shared" si="8"/>
        <v>1.2</v>
      </c>
      <c r="J68" s="1464">
        <f t="shared" si="8"/>
        <v>1.2</v>
      </c>
      <c r="K68" s="1464">
        <f t="shared" si="8"/>
        <v>1.2</v>
      </c>
    </row>
    <row r="70" spans="1:11">
      <c r="A70" s="1463" t="s">
        <v>1142</v>
      </c>
    </row>
    <row r="71" spans="1:11">
      <c r="A71" s="1464" t="s">
        <v>1177</v>
      </c>
      <c r="B71" s="1466">
        <f t="shared" ref="B71:G71" si="9">+B64</f>
        <v>964191.11692474724</v>
      </c>
      <c r="C71" s="1466">
        <f t="shared" si="9"/>
        <v>971498.63649052684</v>
      </c>
      <c r="D71" s="1466">
        <f t="shared" si="9"/>
        <v>978591.49696444126</v>
      </c>
      <c r="E71" s="1466">
        <f t="shared" si="9"/>
        <v>985457.56588015705</v>
      </c>
      <c r="F71" s="1466">
        <f t="shared" si="9"/>
        <v>992079.10474347998</v>
      </c>
      <c r="G71" s="1466">
        <f t="shared" si="9"/>
        <v>998440.74721043988</v>
      </c>
      <c r="H71" s="1466">
        <f>+H64</f>
        <v>1004524.4765379037</v>
      </c>
      <c r="I71" s="1466">
        <f>+I64</f>
        <v>1010313.6022834133</v>
      </c>
      <c r="J71" s="1466">
        <f>+J64</f>
        <v>1015789.7362302755</v>
      </c>
      <c r="K71" s="1466">
        <f>+K64</f>
        <v>1020933.7675131111</v>
      </c>
    </row>
    <row r="72" spans="1:11">
      <c r="A72" s="1464" t="s">
        <v>3878</v>
      </c>
      <c r="B72" s="1466">
        <f t="shared" ref="B72:G72" si="10">IF($B$25="N/A",B65,B65+$B$25)</f>
        <v>-735252.33333333337</v>
      </c>
      <c r="C72" s="1466">
        <f t="shared" si="10"/>
        <v>-735252.33333333337</v>
      </c>
      <c r="D72" s="1466">
        <f t="shared" si="10"/>
        <v>-735252.33333333337</v>
      </c>
      <c r="E72" s="1466">
        <f t="shared" si="10"/>
        <v>-735252.33333333337</v>
      </c>
      <c r="F72" s="1466">
        <f t="shared" si="10"/>
        <v>-735252.33333333337</v>
      </c>
      <c r="G72" s="1466">
        <f t="shared" si="10"/>
        <v>-735252.33333333337</v>
      </c>
      <c r="H72" s="1466">
        <f>IF($B$25="N/A",H65,H65+$B$25)</f>
        <v>-735252.33333333337</v>
      </c>
      <c r="I72" s="1466">
        <f>IF($B$25="N/A",I65,I65+$B$25)</f>
        <v>-735252.33333333337</v>
      </c>
      <c r="J72" s="1466">
        <f>IF($B$25="N/A",J65,J65+$B$25)</f>
        <v>-735252.33333333337</v>
      </c>
      <c r="K72" s="1466">
        <f>IF($B$25="N/A",K65,K65+$B$25)</f>
        <v>-735252.33333333337</v>
      </c>
    </row>
    <row r="73" spans="1:11">
      <c r="A73" s="1464" t="s">
        <v>3879</v>
      </c>
      <c r="B73" s="1465">
        <f>+'Part VII-Pro Forma'!B62</f>
        <v>-5000</v>
      </c>
      <c r="C73" s="1465">
        <f>+'Part VII-Pro Forma'!C62</f>
        <v>-5000</v>
      </c>
      <c r="D73" s="1465">
        <f>+'Part VII-Pro Forma'!D62</f>
        <v>-5000</v>
      </c>
      <c r="E73" s="1465">
        <f>+'Part VII-Pro Forma'!E62</f>
        <v>-5000</v>
      </c>
      <c r="F73" s="1465">
        <f>+'Part VII-Pro Forma'!F62</f>
        <v>-5000</v>
      </c>
      <c r="G73" s="1465">
        <f>+'Part VII-Pro Forma'!G62</f>
        <v>-5000</v>
      </c>
      <c r="H73" s="1465">
        <f>+'Part VII-Pro Forma'!H62</f>
        <v>-5000</v>
      </c>
      <c r="I73" s="1465">
        <f>+'Part VII-Pro Forma'!I62</f>
        <v>-5000</v>
      </c>
      <c r="J73" s="1465">
        <f>+'Part VII-Pro Forma'!J62</f>
        <v>-5000</v>
      </c>
      <c r="K73" s="1465">
        <f>+'Part VII-Pro Forma'!K62</f>
        <v>-5000</v>
      </c>
    </row>
    <row r="74" spans="1:11">
      <c r="A74" s="1464" t="s">
        <v>3880</v>
      </c>
      <c r="B74" s="1466">
        <f t="shared" ref="B74:G74" si="11">+SUM(B71:B73)</f>
        <v>223938.78359141387</v>
      </c>
      <c r="C74" s="1466">
        <f t="shared" si="11"/>
        <v>231246.30315719347</v>
      </c>
      <c r="D74" s="1466">
        <f t="shared" si="11"/>
        <v>238339.16363110789</v>
      </c>
      <c r="E74" s="1466">
        <f t="shared" si="11"/>
        <v>245205.23254682368</v>
      </c>
      <c r="F74" s="1466">
        <f t="shared" si="11"/>
        <v>251826.77141014661</v>
      </c>
      <c r="G74" s="1466">
        <f t="shared" si="11"/>
        <v>258188.4138771065</v>
      </c>
      <c r="H74" s="1466">
        <f>+SUM(H71:H73)</f>
        <v>264272.14320457028</v>
      </c>
      <c r="I74" s="1466">
        <f>+SUM(I71:I73)</f>
        <v>270061.26895007992</v>
      </c>
      <c r="J74" s="1466">
        <f>+SUM(J71:J73)</f>
        <v>275537.40289694211</v>
      </c>
      <c r="K74" s="1466">
        <f>+SUM(K71:K73)</f>
        <v>280681.43417977775</v>
      </c>
    </row>
    <row r="75" spans="1:11">
      <c r="A75" s="1464" t="s">
        <v>3776</v>
      </c>
      <c r="B75" s="1466">
        <f t="shared" ref="B75:G75" si="12">-B74</f>
        <v>-223938.78359141387</v>
      </c>
      <c r="C75" s="1466">
        <f t="shared" si="12"/>
        <v>-231246.30315719347</v>
      </c>
      <c r="D75" s="1466">
        <f t="shared" si="12"/>
        <v>-238339.16363110789</v>
      </c>
      <c r="E75" s="1466">
        <f t="shared" si="12"/>
        <v>-245205.23254682368</v>
      </c>
      <c r="F75" s="1466">
        <f t="shared" si="12"/>
        <v>-251826.77141014661</v>
      </c>
      <c r="G75" s="1466">
        <f t="shared" si="12"/>
        <v>-258188.4138771065</v>
      </c>
      <c r="H75" s="1466">
        <f>-H74</f>
        <v>-264272.14320457028</v>
      </c>
      <c r="I75" s="1466">
        <f>-I74</f>
        <v>-270061.26895007992</v>
      </c>
      <c r="J75" s="1466">
        <f>-J74</f>
        <v>-275537.40289694211</v>
      </c>
      <c r="K75" s="1466">
        <f>-K74</f>
        <v>-280681.43417977775</v>
      </c>
    </row>
    <row r="76" spans="1:11">
      <c r="A76" s="1464" t="s">
        <v>3881</v>
      </c>
      <c r="B76" s="1466">
        <f t="shared" ref="B76:G76" si="13">+B74+B75</f>
        <v>0</v>
      </c>
      <c r="C76" s="1466">
        <f t="shared" si="13"/>
        <v>0</v>
      </c>
      <c r="D76" s="1466">
        <f t="shared" si="13"/>
        <v>0</v>
      </c>
      <c r="E76" s="1466">
        <f t="shared" si="13"/>
        <v>0</v>
      </c>
      <c r="F76" s="1466">
        <f t="shared" si="13"/>
        <v>0</v>
      </c>
      <c r="G76" s="1466">
        <f t="shared" si="13"/>
        <v>0</v>
      </c>
      <c r="H76" s="1466">
        <f>+H74+H75</f>
        <v>0</v>
      </c>
      <c r="I76" s="1466">
        <f>+I74+I75</f>
        <v>0</v>
      </c>
      <c r="J76" s="1466">
        <f>+J74+J75</f>
        <v>0</v>
      </c>
      <c r="K76" s="1466">
        <f>+K74+K75</f>
        <v>0</v>
      </c>
    </row>
    <row r="78" spans="1:11">
      <c r="A78" s="1464" t="s">
        <v>3882</v>
      </c>
      <c r="B78" s="1465">
        <f>IF($B$26="","",-FV('Part III-Sources of Funds'!$K$38/12,12,B72/12,K58))</f>
        <v>4303076.6479938095</v>
      </c>
      <c r="C78" s="1465">
        <f>IF($B$26="","",-FV('Part III-Sources of Funds'!$K$38/12,12,C72/12,B78))</f>
        <v>3729507.7675507907</v>
      </c>
      <c r="D78" s="1465">
        <f>IF($B$26="","",-FV('Part III-Sources of Funds'!$K$38/12,12,D72/12,C78))</f>
        <v>3132570.8059477457</v>
      </c>
      <c r="E78" s="1465">
        <f>IF($B$26="","",-FV('Part III-Sources of Funds'!$K$38/12,12,E72/12,D78))</f>
        <v>2511313.7115031406</v>
      </c>
      <c r="F78" s="1465">
        <f>IF($B$26="","",-FV('Part III-Sources of Funds'!$K$38/12,12,F72/12,E78))</f>
        <v>1864745.6444809963</v>
      </c>
      <c r="G78" s="1465">
        <f>IF($B$26="","",-FV('Part III-Sources of Funds'!$K$38/12,12,G72/12,F78))</f>
        <v>1191835.3968057032</v>
      </c>
      <c r="H78" s="1465">
        <f>IF($B$26="","",-FV('Part III-Sources of Funds'!$K$38/12,12,H72/12,G78))</f>
        <v>491509.74739358004</v>
      </c>
      <c r="I78" s="1465">
        <f>IF($B$26="","",-FV('Part III-Sources of Funds'!$K$38/12,12,I72/12,H78))</f>
        <v>-237348.24952189747</v>
      </c>
      <c r="J78" s="1465">
        <f>IF($B$26="","",-FV('Part III-Sources of Funds'!$K$38/12,12,J72/12,I78))</f>
        <v>-995901.04580113967</v>
      </c>
      <c r="K78" s="1465">
        <f>IF($B$26="","",-FV('Part III-Sources of Funds'!$K$38/12,12,K72/12,J78))</f>
        <v>-1785358.45338692</v>
      </c>
    </row>
    <row r="79" spans="1:11">
      <c r="A79" s="1464" t="s">
        <v>3777</v>
      </c>
    </row>
    <row r="82" spans="1:2">
      <c r="A82" s="1464" t="s">
        <v>3883</v>
      </c>
      <c r="B82" s="1543"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731" customWidth="1"/>
    <col min="2" max="2" width="1.88671875" style="731" customWidth="1"/>
    <col min="3" max="3" width="13" style="731" customWidth="1"/>
    <col min="4" max="4" width="11.109375" style="731" customWidth="1"/>
    <col min="5" max="5" width="14.88671875" style="731" customWidth="1"/>
    <col min="6" max="6" width="15.109375" style="731" customWidth="1"/>
    <col min="7" max="7" width="11.88671875" style="731" customWidth="1"/>
    <col min="8" max="8" width="11.44140625" style="731" customWidth="1"/>
    <col min="9" max="9" width="10.5546875" style="731" customWidth="1"/>
    <col min="10" max="10" width="6" style="731" customWidth="1"/>
    <col min="11" max="11" width="12.88671875" style="731" customWidth="1"/>
    <col min="12" max="12" width="10.88671875" style="731" customWidth="1"/>
    <col min="13" max="13" width="26.109375" style="731" customWidth="1"/>
    <col min="14" max="14" width="9.109375" style="731"/>
    <col min="15" max="15" width="12.44140625" style="731" customWidth="1"/>
    <col min="16" max="16" width="9.109375" style="731"/>
    <col min="17" max="17" width="11.88671875" style="731" bestFit="1" customWidth="1"/>
    <col min="18" max="16384" width="9.109375" style="731"/>
  </cols>
  <sheetData>
    <row r="1" spans="1:15" ht="13.5" customHeight="1">
      <c r="A1" s="732" t="s">
        <v>2942</v>
      </c>
      <c r="B1" s="816"/>
      <c r="C1" s="731" t="str">
        <f>'Sensitivity Analysis'!C8</f>
        <v>Lakeview Terrace</v>
      </c>
    </row>
    <row r="2" spans="1:15" ht="13.5" customHeight="1"/>
    <row r="3" spans="1:15" ht="13.5" customHeight="1">
      <c r="A3" s="732" t="s">
        <v>2943</v>
      </c>
      <c r="C3" s="731" t="s">
        <v>2944</v>
      </c>
      <c r="E3" s="817">
        <f>SUM('Part IV-A-Uses of Funds'!J149,'Part IV-A-Uses of Funds'!M149,'Part IV-A-Uses of Funds'!P149)</f>
        <v>38482904</v>
      </c>
      <c r="F3" s="1559" t="s">
        <v>2945</v>
      </c>
      <c r="H3" s="1534">
        <v>27.5</v>
      </c>
      <c r="I3" s="731" t="s">
        <v>2405</v>
      </c>
      <c r="K3" s="736" t="s">
        <v>2966</v>
      </c>
      <c r="M3" s="1559"/>
      <c r="O3" s="818"/>
    </row>
    <row r="4" spans="1:15" ht="13.5" customHeight="1">
      <c r="C4" s="731" t="s">
        <v>3426</v>
      </c>
      <c r="E4" s="817">
        <f>SUM('Part IV-A-Uses of Funds'!G85:H89)</f>
        <v>602000</v>
      </c>
      <c r="F4" s="1559" t="s">
        <v>4105</v>
      </c>
      <c r="H4" s="732">
        <f>'Part III-Sources of Funds'!M38</f>
        <v>35</v>
      </c>
      <c r="I4" s="731" t="s">
        <v>2405</v>
      </c>
      <c r="K4" s="819" t="s">
        <v>3209</v>
      </c>
      <c r="M4" s="1559"/>
    </row>
    <row r="5" spans="1:15" ht="13.5" customHeight="1">
      <c r="C5" s="731" t="s">
        <v>3427</v>
      </c>
      <c r="E5" s="817">
        <f>SUM('Part IV-A-Uses of Funds'!G96:H102)</f>
        <v>326089</v>
      </c>
      <c r="F5" s="1559" t="s">
        <v>4104</v>
      </c>
      <c r="H5" s="1534">
        <v>15</v>
      </c>
      <c r="I5" s="731" t="s">
        <v>2405</v>
      </c>
      <c r="K5" s="818">
        <f>-E6</f>
        <v>-28412912</v>
      </c>
    </row>
    <row r="6" spans="1:15" ht="13.5" customHeight="1">
      <c r="C6" s="731" t="s">
        <v>2946</v>
      </c>
      <c r="E6" s="820">
        <f>'Part III-Sources of Funds'!$I$49+'Part III-Sources of Funds'!$I$50</f>
        <v>28412912</v>
      </c>
      <c r="F6" s="1559" t="s">
        <v>2947</v>
      </c>
      <c r="H6" s="821">
        <v>0.35</v>
      </c>
      <c r="K6" s="818" t="e">
        <f>C24</f>
        <v>#VALUE!</v>
      </c>
      <c r="M6" s="731" t="s">
        <v>2948</v>
      </c>
      <c r="O6" s="822">
        <f>'Sensitivity Analysis'!K32</f>
        <v>0</v>
      </c>
    </row>
    <row r="7" spans="1:15" ht="13.5" customHeight="1">
      <c r="K7" s="818" t="e">
        <f>D24</f>
        <v>#VALUE!</v>
      </c>
      <c r="O7" s="823"/>
    </row>
    <row r="8" spans="1:15" ht="13.5" customHeight="1">
      <c r="A8" s="732" t="s">
        <v>2416</v>
      </c>
      <c r="C8" s="824">
        <v>1</v>
      </c>
      <c r="D8" s="824">
        <v>2</v>
      </c>
      <c r="E8" s="824">
        <v>3</v>
      </c>
      <c r="F8" s="824">
        <v>4</v>
      </c>
      <c r="G8" s="824">
        <v>5</v>
      </c>
      <c r="H8" s="824">
        <v>6</v>
      </c>
      <c r="I8" s="824">
        <v>7</v>
      </c>
      <c r="K8" s="818" t="e">
        <f>E24</f>
        <v>#VALUE!</v>
      </c>
      <c r="M8" s="731" t="s">
        <v>2949</v>
      </c>
      <c r="O8" s="1495" t="e">
        <f>'Part VII-Pro Forma'!$K$71+'Part VII-Pro Forma'!$K$72+'Part VII-Pro Forma'!$K$73</f>
        <v>#VALUE!</v>
      </c>
    </row>
    <row r="9" spans="1:15" ht="13.5" customHeight="1">
      <c r="A9" s="731" t="s">
        <v>2950</v>
      </c>
      <c r="C9" s="825">
        <f>'Part VII-Pro Forma'!B32</f>
        <v>0.12574122997466475</v>
      </c>
      <c r="D9" s="825">
        <f>'Part VII-Pro Forma'!C32</f>
        <v>2.1741229924373329E-2</v>
      </c>
      <c r="E9" s="825">
        <f>'Part VII-Pro Forma'!D32</f>
        <v>-0.42433877021539956</v>
      </c>
      <c r="F9" s="825">
        <f>'Part VII-Pro Forma'!E32</f>
        <v>-0.34014037018641829</v>
      </c>
      <c r="G9" s="825">
        <f>'Part VII-Pro Forma'!F32</f>
        <v>-0.27648200222756714</v>
      </c>
      <c r="H9" s="825">
        <f>'Part VII-Pro Forma'!G32</f>
        <v>125210.77695881366</v>
      </c>
      <c r="I9" s="825">
        <f>'Part VII-Pro Forma'!H32</f>
        <v>200190.37543300353</v>
      </c>
      <c r="K9" s="818" t="e">
        <f>F24</f>
        <v>#VALUE!</v>
      </c>
      <c r="N9" s="826" t="s">
        <v>2952</v>
      </c>
    </row>
    <row r="10" spans="1:15" ht="13.5" customHeight="1">
      <c r="A10" s="731" t="s">
        <v>2951</v>
      </c>
      <c r="C10" s="1492">
        <f>'Part III-Sources of Funds'!I38-'Part VII-Pro Forma'!B39</f>
        <v>183257.16535035707</v>
      </c>
      <c r="D10" s="827">
        <f>'Part VII-Pro Forma'!B39-'Part VII-Pro Forma'!C39</f>
        <v>190723.34501783736</v>
      </c>
      <c r="E10" s="827">
        <f>'Part VII-Pro Forma'!C39-'Part VII-Pro Forma'!D39</f>
        <v>198493.70836468786</v>
      </c>
      <c r="F10" s="827">
        <f>'Part VII-Pro Forma'!D39-'Part VII-Pro Forma'!E39</f>
        <v>206580.6483033374</v>
      </c>
      <c r="G10" s="827">
        <f>'Part VII-Pro Forma'!E39-'Part VII-Pro Forma'!F39</f>
        <v>214997.06265258603</v>
      </c>
      <c r="H10" s="827">
        <f>'Part VII-Pro Forma'!F39-'Part VII-Pro Forma'!G39</f>
        <v>223756.37470827438</v>
      </c>
      <c r="I10" s="827">
        <f>'Part VII-Pro Forma'!G39-'Part VII-Pro Forma'!H39</f>
        <v>232872.55465202965</v>
      </c>
      <c r="K10" s="818" t="e">
        <f>G24</f>
        <v>#VALUE!</v>
      </c>
      <c r="N10" s="826" t="s">
        <v>2953</v>
      </c>
      <c r="O10" s="823"/>
    </row>
    <row r="11" spans="1:15" ht="13.5" customHeight="1">
      <c r="A11" s="731" t="s">
        <v>2951</v>
      </c>
      <c r="C11" s="1492" t="e">
        <f>'Part III-Sources of Funds'!I39-'Part VII-Pro Forma'!B40</f>
        <v>#VALUE!</v>
      </c>
      <c r="D11" s="827" t="e">
        <f>'Part VII-Pro Forma'!B40-'Part VII-Pro Forma'!C40</f>
        <v>#VALUE!</v>
      </c>
      <c r="E11" s="827" t="e">
        <f>'Part VII-Pro Forma'!C40-'Part VII-Pro Forma'!D40</f>
        <v>#VALUE!</v>
      </c>
      <c r="F11" s="827" t="e">
        <f>'Part VII-Pro Forma'!D40-'Part VII-Pro Forma'!E40</f>
        <v>#VALUE!</v>
      </c>
      <c r="G11" s="827" t="e">
        <f>'Part VII-Pro Forma'!E40-'Part VII-Pro Forma'!F40</f>
        <v>#VALUE!</v>
      </c>
      <c r="H11" s="827" t="e">
        <f>'Part VII-Pro Forma'!F40-'Part VII-Pro Forma'!G40</f>
        <v>#VALUE!</v>
      </c>
      <c r="I11" s="827" t="e">
        <f>'Part VII-Pro Forma'!G40-'Part VII-Pro Forma'!H40</f>
        <v>#VALUE!</v>
      </c>
      <c r="K11" s="818" t="e">
        <f>H24</f>
        <v>#VALUE!</v>
      </c>
      <c r="O11" s="823"/>
    </row>
    <row r="12" spans="1:15" ht="13.5" customHeight="1">
      <c r="A12" s="731" t="s">
        <v>2951</v>
      </c>
      <c r="C12" s="1492" t="e">
        <f>'Part III-Sources of Funds'!I40-'Part VII-Pro Forma'!B41</f>
        <v>#VALUE!</v>
      </c>
      <c r="D12" s="827" t="e">
        <f>'Part VII-Pro Forma'!B41-'Part VII-Pro Forma'!C41</f>
        <v>#VALUE!</v>
      </c>
      <c r="E12" s="827" t="e">
        <f>'Part VII-Pro Forma'!C41-'Part VII-Pro Forma'!D41</f>
        <v>#VALUE!</v>
      </c>
      <c r="F12" s="827" t="e">
        <f>'Part VII-Pro Forma'!D41-'Part VII-Pro Forma'!E41</f>
        <v>#VALUE!</v>
      </c>
      <c r="G12" s="827" t="e">
        <f>'Part VII-Pro Forma'!E41-'Part VII-Pro Forma'!F41</f>
        <v>#VALUE!</v>
      </c>
      <c r="H12" s="827" t="e">
        <f>'Part VII-Pro Forma'!F41-'Part VII-Pro Forma'!G41</f>
        <v>#VALUE!</v>
      </c>
      <c r="I12" s="827" t="e">
        <f>'Part VII-Pro Forma'!G41-'Part VII-Pro Forma'!H41</f>
        <v>#VALUE!</v>
      </c>
      <c r="K12" s="818" t="e">
        <f>I24</f>
        <v>#VALUE!</v>
      </c>
      <c r="M12" s="731" t="s">
        <v>2955</v>
      </c>
      <c r="N12" s="828">
        <v>0.06</v>
      </c>
      <c r="O12" s="823">
        <f>N12*O6</f>
        <v>0</v>
      </c>
    </row>
    <row r="13" spans="1:15" ht="13.5" customHeight="1">
      <c r="A13" s="829" t="s">
        <v>3428</v>
      </c>
      <c r="B13" s="830"/>
      <c r="C13" s="1493">
        <f>'Part VII-Pro Forma'!B22</f>
        <v>-50000</v>
      </c>
      <c r="D13" s="1493">
        <f>'Part VII-Pro Forma'!C22</f>
        <v>-51500</v>
      </c>
      <c r="E13" s="1493">
        <f>'Part VII-Pro Forma'!D22</f>
        <v>-53045</v>
      </c>
      <c r="F13" s="1493">
        <f>'Part VII-Pro Forma'!E22</f>
        <v>-54636.35</v>
      </c>
      <c r="G13" s="1493">
        <f>'Part VII-Pro Forma'!F22</f>
        <v>-56275.440499999997</v>
      </c>
      <c r="H13" s="1493">
        <f>'Part VII-Pro Forma'!G22</f>
        <v>-57963.703714999989</v>
      </c>
      <c r="I13" s="1493">
        <f>'Part VII-Pro Forma'!H22</f>
        <v>-59702.614826449993</v>
      </c>
      <c r="K13" s="818" t="e">
        <f>C44</f>
        <v>#VALUE!</v>
      </c>
      <c r="O13" s="823"/>
    </row>
    <row r="14" spans="1:15" ht="13.5" customHeight="1">
      <c r="A14" s="829" t="s">
        <v>3429</v>
      </c>
      <c r="B14" s="830"/>
      <c r="C14" s="1493">
        <f>'Part VII-Pro Forma'!B31</f>
        <v>-149381</v>
      </c>
      <c r="D14" s="1493">
        <f>'Part VII-Pro Forma'!C31</f>
        <v>-158115</v>
      </c>
      <c r="E14" s="1493">
        <f>'Part VII-Pro Forma'!D31</f>
        <v>-166757</v>
      </c>
      <c r="F14" s="1493">
        <f>'Part VII-Pro Forma'!E31</f>
        <v>-175295</v>
      </c>
      <c r="G14" s="1493">
        <f>'Part VII-Pro Forma'!F31</f>
        <v>-183721</v>
      </c>
      <c r="H14" s="1493">
        <f>'Part VII-Pro Forma'!G31</f>
        <v>-66813</v>
      </c>
      <c r="I14" s="1493">
        <f>'Part VII-Pro Forma'!H31</f>
        <v>0</v>
      </c>
      <c r="K14" s="818" t="e">
        <f>D44</f>
        <v>#VALUE!</v>
      </c>
      <c r="M14" s="731" t="s">
        <v>2958</v>
      </c>
      <c r="O14" s="823" t="e">
        <f>O6-O8-O12</f>
        <v>#VALUE!</v>
      </c>
    </row>
    <row r="15" spans="1:15" ht="13.5" customHeight="1">
      <c r="A15" s="831" t="s">
        <v>2954</v>
      </c>
      <c r="C15" s="832">
        <f t="shared" ref="C15:I15" si="0">$E$3/$H$3</f>
        <v>1399378.3272727274</v>
      </c>
      <c r="D15" s="832">
        <f t="shared" si="0"/>
        <v>1399378.3272727274</v>
      </c>
      <c r="E15" s="832">
        <f t="shared" si="0"/>
        <v>1399378.3272727274</v>
      </c>
      <c r="F15" s="832">
        <f t="shared" si="0"/>
        <v>1399378.3272727274</v>
      </c>
      <c r="G15" s="832">
        <f t="shared" si="0"/>
        <v>1399378.3272727274</v>
      </c>
      <c r="H15" s="832">
        <f t="shared" si="0"/>
        <v>1399378.3272727274</v>
      </c>
      <c r="I15" s="832">
        <f t="shared" si="0"/>
        <v>1399378.3272727274</v>
      </c>
      <c r="K15" s="818" t="e">
        <f>E44</f>
        <v>#VALUE!</v>
      </c>
      <c r="O15" s="823"/>
    </row>
    <row r="16" spans="1:15" ht="13.5" customHeight="1">
      <c r="A16" s="831" t="s">
        <v>2956</v>
      </c>
      <c r="C16" s="832">
        <f>IF(C$8&lt;=$H$4,($E$4/$H$4),0)+IF(C$8&lt;=$H$5,($E$5/$H$5),0)</f>
        <v>38939.266666666663</v>
      </c>
      <c r="D16" s="832">
        <f t="shared" ref="D16:I16" si="1">IF(D$8&lt;=$H$4,($E$4/$H$4),0)+IF(D$8&lt;=$H$5,($E$5/$H$5),0)</f>
        <v>38939.266666666663</v>
      </c>
      <c r="E16" s="832">
        <f t="shared" si="1"/>
        <v>38939.266666666663</v>
      </c>
      <c r="F16" s="832">
        <f t="shared" si="1"/>
        <v>38939.266666666663</v>
      </c>
      <c r="G16" s="832">
        <f t="shared" si="1"/>
        <v>38939.266666666663</v>
      </c>
      <c r="H16" s="832">
        <f t="shared" si="1"/>
        <v>38939.266666666663</v>
      </c>
      <c r="I16" s="832">
        <f t="shared" si="1"/>
        <v>38939.266666666663</v>
      </c>
      <c r="K16" s="818" t="e">
        <f>F44</f>
        <v>#VALUE!</v>
      </c>
      <c r="M16" s="731" t="s">
        <v>2960</v>
      </c>
      <c r="O16" s="823">
        <f>E3</f>
        <v>38482904</v>
      </c>
    </row>
    <row r="17" spans="1:17" ht="13.5" customHeight="1">
      <c r="A17" s="831" t="s">
        <v>2957</v>
      </c>
      <c r="C17" s="827" t="e">
        <f t="shared" ref="C17:I17" si="2">C9+C10+C11+C12+C13+C14-C15-C16</f>
        <v>#VALUE!</v>
      </c>
      <c r="D17" s="827" t="e">
        <f t="shared" si="2"/>
        <v>#VALUE!</v>
      </c>
      <c r="E17" s="827" t="e">
        <f t="shared" si="2"/>
        <v>#VALUE!</v>
      </c>
      <c r="F17" s="827" t="e">
        <f t="shared" si="2"/>
        <v>#VALUE!</v>
      </c>
      <c r="G17" s="827" t="e">
        <f t="shared" si="2"/>
        <v>#VALUE!</v>
      </c>
      <c r="H17" s="827" t="e">
        <f t="shared" si="2"/>
        <v>#VALUE!</v>
      </c>
      <c r="I17" s="827" t="e">
        <f t="shared" si="2"/>
        <v>#VALUE!</v>
      </c>
      <c r="K17" s="818" t="e">
        <f>G44</f>
        <v>#VALUE!</v>
      </c>
      <c r="M17" s="731" t="s">
        <v>2954</v>
      </c>
      <c r="O17" s="823">
        <f>20*(E3/H3)</f>
        <v>27987566.545454547</v>
      </c>
    </row>
    <row r="18" spans="1:17" ht="13.5" customHeight="1">
      <c r="A18" s="831" t="s">
        <v>2959</v>
      </c>
      <c r="C18" s="833" t="e">
        <f t="shared" ref="C18:I18" si="3">C17*$H$6</f>
        <v>#VALUE!</v>
      </c>
      <c r="D18" s="833" t="e">
        <f t="shared" si="3"/>
        <v>#VALUE!</v>
      </c>
      <c r="E18" s="833" t="e">
        <f t="shared" si="3"/>
        <v>#VALUE!</v>
      </c>
      <c r="F18" s="833" t="e">
        <f t="shared" si="3"/>
        <v>#VALUE!</v>
      </c>
      <c r="G18" s="833" t="e">
        <f t="shared" si="3"/>
        <v>#VALUE!</v>
      </c>
      <c r="H18" s="833" t="e">
        <f t="shared" si="3"/>
        <v>#VALUE!</v>
      </c>
      <c r="I18" s="833" t="e">
        <f t="shared" si="3"/>
        <v>#VALUE!</v>
      </c>
      <c r="K18" s="818" t="e">
        <f>H44</f>
        <v>#VALUE!</v>
      </c>
      <c r="O18" s="823"/>
    </row>
    <row r="19" spans="1:17" ht="13.5" customHeight="1">
      <c r="A19" s="831"/>
      <c r="C19" s="825"/>
      <c r="D19" s="825"/>
      <c r="E19" s="825"/>
      <c r="F19" s="825"/>
      <c r="G19" s="825"/>
      <c r="H19" s="825"/>
      <c r="I19" s="825"/>
      <c r="K19" s="818" t="e">
        <f>I44</f>
        <v>#VALUE!</v>
      </c>
      <c r="M19" s="731" t="s">
        <v>2964</v>
      </c>
      <c r="O19" s="823">
        <f>O16-O17</f>
        <v>10495337.454545453</v>
      </c>
    </row>
    <row r="20" spans="1:17" ht="13.5" customHeight="1">
      <c r="A20" s="731" t="s">
        <v>2961</v>
      </c>
      <c r="C20" s="827" t="e">
        <f t="shared" ref="C20:I20" si="4">C9-C18</f>
        <v>#VALUE!</v>
      </c>
      <c r="D20" s="827" t="e">
        <f t="shared" si="4"/>
        <v>#VALUE!</v>
      </c>
      <c r="E20" s="827" t="e">
        <f t="shared" si="4"/>
        <v>#VALUE!</v>
      </c>
      <c r="F20" s="827" t="e">
        <f t="shared" si="4"/>
        <v>#VALUE!</v>
      </c>
      <c r="G20" s="827" t="e">
        <f t="shared" si="4"/>
        <v>#VALUE!</v>
      </c>
      <c r="H20" s="827" t="e">
        <f t="shared" si="4"/>
        <v>#VALUE!</v>
      </c>
      <c r="I20" s="827" t="e">
        <f t="shared" si="4"/>
        <v>#VALUE!</v>
      </c>
      <c r="K20" s="818" t="e">
        <f>C64</f>
        <v>#VALUE!</v>
      </c>
      <c r="O20" s="823"/>
    </row>
    <row r="21" spans="1:17" ht="13.5" customHeight="1">
      <c r="A21" s="731" t="s">
        <v>2962</v>
      </c>
      <c r="C21" s="833">
        <f>'Part IV-A-Uses of Funds'!$J$184</f>
        <v>2001110</v>
      </c>
      <c r="D21" s="833">
        <f t="shared" ref="D21:I21" si="5">C21</f>
        <v>2001110</v>
      </c>
      <c r="E21" s="833">
        <f t="shared" si="5"/>
        <v>2001110</v>
      </c>
      <c r="F21" s="833">
        <f t="shared" si="5"/>
        <v>2001110</v>
      </c>
      <c r="G21" s="833">
        <f t="shared" si="5"/>
        <v>2001110</v>
      </c>
      <c r="H21" s="833">
        <f t="shared" si="5"/>
        <v>2001110</v>
      </c>
      <c r="I21" s="833">
        <f t="shared" si="5"/>
        <v>2001110</v>
      </c>
      <c r="J21" s="731" t="s">
        <v>238</v>
      </c>
      <c r="K21" s="818" t="e">
        <f>D64</f>
        <v>#VALUE!</v>
      </c>
      <c r="O21" s="823"/>
    </row>
    <row r="22" spans="1:17" ht="13.5" customHeight="1">
      <c r="A22" s="731" t="s">
        <v>2963</v>
      </c>
      <c r="C22" s="833">
        <f>C21</f>
        <v>2001110</v>
      </c>
      <c r="D22" s="833">
        <f t="shared" ref="D22:I22" si="6">D21</f>
        <v>2001110</v>
      </c>
      <c r="E22" s="833">
        <f t="shared" si="6"/>
        <v>2001110</v>
      </c>
      <c r="F22" s="833">
        <f t="shared" si="6"/>
        <v>2001110</v>
      </c>
      <c r="G22" s="833">
        <f t="shared" si="6"/>
        <v>2001110</v>
      </c>
      <c r="H22" s="833">
        <f t="shared" si="6"/>
        <v>2001110</v>
      </c>
      <c r="I22" s="833">
        <f t="shared" si="6"/>
        <v>2001110</v>
      </c>
      <c r="K22" s="818" t="e">
        <f>E64</f>
        <v>#VALUE!</v>
      </c>
      <c r="M22" s="731" t="s">
        <v>2948</v>
      </c>
      <c r="O22" s="823">
        <f>O6</f>
        <v>0</v>
      </c>
    </row>
    <row r="23" spans="1:17" ht="13.5" customHeight="1">
      <c r="A23" s="731" t="s">
        <v>2965</v>
      </c>
      <c r="C23" s="825">
        <v>0</v>
      </c>
      <c r="D23" s="825">
        <v>0</v>
      </c>
      <c r="E23" s="825">
        <v>0</v>
      </c>
      <c r="F23" s="825">
        <v>0</v>
      </c>
      <c r="G23" s="825">
        <v>0</v>
      </c>
      <c r="H23" s="825">
        <v>0</v>
      </c>
      <c r="I23" s="825">
        <v>0</v>
      </c>
      <c r="K23" s="818" t="e">
        <f>F64</f>
        <v>#VALUE!</v>
      </c>
      <c r="M23" s="731" t="s">
        <v>2967</v>
      </c>
      <c r="O23" s="823">
        <f>O19</f>
        <v>10495337.454545453</v>
      </c>
    </row>
    <row r="24" spans="1:17" ht="13.5" customHeight="1">
      <c r="A24" s="731" t="s">
        <v>2966</v>
      </c>
      <c r="C24" s="827" t="e">
        <f t="shared" ref="C24:I24" si="7">SUM(C20:C23)</f>
        <v>#VALUE!</v>
      </c>
      <c r="D24" s="827" t="e">
        <f t="shared" si="7"/>
        <v>#VALUE!</v>
      </c>
      <c r="E24" s="827" t="e">
        <f t="shared" si="7"/>
        <v>#VALUE!</v>
      </c>
      <c r="F24" s="827" t="e">
        <f t="shared" si="7"/>
        <v>#VALUE!</v>
      </c>
      <c r="G24" s="827" t="e">
        <f t="shared" si="7"/>
        <v>#VALUE!</v>
      </c>
      <c r="H24" s="827" t="e">
        <f t="shared" si="7"/>
        <v>#VALUE!</v>
      </c>
      <c r="I24" s="827" t="e">
        <f t="shared" si="7"/>
        <v>#VALUE!</v>
      </c>
      <c r="K24" s="818" t="e">
        <f>G64</f>
        <v>#VALUE!</v>
      </c>
      <c r="O24" s="823"/>
    </row>
    <row r="25" spans="1:17" ht="13.5" customHeight="1">
      <c r="K25" s="818" t="e">
        <f>H64</f>
        <v>#VALUE!</v>
      </c>
      <c r="M25" s="731" t="s">
        <v>2968</v>
      </c>
      <c r="O25" s="823">
        <f>O22-O23</f>
        <v>-10495337.454545453</v>
      </c>
      <c r="Q25" s="834"/>
    </row>
    <row r="26" spans="1:17" ht="13.5" customHeight="1">
      <c r="A26" s="835"/>
      <c r="B26" s="835"/>
      <c r="C26" s="835"/>
      <c r="D26" s="835"/>
      <c r="E26" s="835"/>
      <c r="F26" s="835"/>
      <c r="G26" s="835"/>
      <c r="H26" s="835"/>
      <c r="I26" s="835"/>
      <c r="K26" s="818"/>
      <c r="O26" s="823"/>
    </row>
    <row r="27" spans="1:17" ht="13.5" customHeight="1">
      <c r="K27" s="818"/>
      <c r="M27" s="731" t="s">
        <v>2969</v>
      </c>
      <c r="N27" s="836"/>
      <c r="O27" s="828">
        <v>0.2</v>
      </c>
    </row>
    <row r="28" spans="1:17" ht="13.5" customHeight="1">
      <c r="A28" s="732" t="s">
        <v>2416</v>
      </c>
      <c r="B28" s="732"/>
      <c r="C28" s="824">
        <v>8</v>
      </c>
      <c r="D28" s="824">
        <v>9</v>
      </c>
      <c r="E28" s="824">
        <v>10</v>
      </c>
      <c r="F28" s="824">
        <v>11</v>
      </c>
      <c r="G28" s="824">
        <v>12</v>
      </c>
      <c r="H28" s="824">
        <v>13</v>
      </c>
      <c r="I28" s="824">
        <v>14</v>
      </c>
      <c r="N28" s="836"/>
      <c r="O28" s="836"/>
    </row>
    <row r="29" spans="1:17" ht="13.5" customHeight="1">
      <c r="A29" s="731" t="s">
        <v>2950</v>
      </c>
      <c r="C29" s="825">
        <f>'Part VII-Pro Forma'!I32</f>
        <v>208211.60236017255</v>
      </c>
      <c r="D29" s="825">
        <f>'Part VII-Pro Forma'!J32</f>
        <v>216074.05200388492</v>
      </c>
      <c r="E29" s="825">
        <f>'Part VII-Pro Forma'!K32</f>
        <v>223763.81156381115</v>
      </c>
      <c r="F29" s="825">
        <f>'Part VII-Pro Forma'!B64</f>
        <v>231269.44266597717</v>
      </c>
      <c r="G29" s="825">
        <f>'Part VII-Pro Forma'!C64</f>
        <v>238576.96223175677</v>
      </c>
      <c r="H29" s="825">
        <f>'Part VII-Pro Forma'!D64</f>
        <v>245669.82270567119</v>
      </c>
      <c r="I29" s="825">
        <f>'Part VII-Pro Forma'!E64</f>
        <v>252535.89162138698</v>
      </c>
      <c r="N29" s="836"/>
      <c r="O29" s="836"/>
    </row>
    <row r="30" spans="1:17" ht="13.5" customHeight="1">
      <c r="A30" s="731" t="s">
        <v>2951</v>
      </c>
      <c r="C30" s="827">
        <f>'Part VII-Pro Forma'!H39-'Part VII-Pro Forma'!I39</f>
        <v>242360.14183222502</v>
      </c>
      <c r="D30" s="827">
        <f>'Part VII-Pro Forma'!I39-'Part VII-Pro Forma'!J39</f>
        <v>252234.26795273088</v>
      </c>
      <c r="E30" s="827">
        <f>'Part VII-Pro Forma'!J39-'Part VII-Pro Forma'!K39</f>
        <v>262510.68120636791</v>
      </c>
      <c r="F30" s="1490">
        <f>'Part VII-Pro Forma'!K39-'Part VII-Pro Forma'!B71</f>
        <v>273205.77139164135</v>
      </c>
      <c r="G30" s="1490">
        <f>'Part VII-Pro Forma'!B71-'Part VII-Pro Forma'!C71</f>
        <v>284336.59605272859</v>
      </c>
      <c r="H30" s="1490">
        <f>'Part VII-Pro Forma'!C71-'Part VII-Pro Forma'!D71</f>
        <v>295920.90768447705</v>
      </c>
      <c r="I30" s="1490">
        <f>'Part VII-Pro Forma'!D71-'Part VII-Pro Forma'!E71</f>
        <v>307977.18204576895</v>
      </c>
    </row>
    <row r="31" spans="1:17" ht="13.5" customHeight="1">
      <c r="A31" s="731" t="s">
        <v>2951</v>
      </c>
      <c r="C31" s="827" t="e">
        <f>'Part VII-Pro Forma'!H40-'Part VII-Pro Forma'!I40</f>
        <v>#VALUE!</v>
      </c>
      <c r="D31" s="827" t="e">
        <f>'Part VII-Pro Forma'!I40-'Part VII-Pro Forma'!J40</f>
        <v>#VALUE!</v>
      </c>
      <c r="E31" s="827" t="e">
        <f>'Part VII-Pro Forma'!J40-'Part VII-Pro Forma'!K40</f>
        <v>#VALUE!</v>
      </c>
      <c r="F31" s="1490" t="e">
        <f>'Part VII-Pro Forma'!K40-'Part VII-Pro Forma'!B72</f>
        <v>#VALUE!</v>
      </c>
      <c r="G31" s="1490" t="e">
        <f>'Part VII-Pro Forma'!B72-'Part VII-Pro Forma'!C72</f>
        <v>#VALUE!</v>
      </c>
      <c r="H31" s="1490" t="e">
        <f>'Part VII-Pro Forma'!C72-'Part VII-Pro Forma'!D72</f>
        <v>#VALUE!</v>
      </c>
      <c r="I31" s="1490" t="e">
        <f>'Part VII-Pro Forma'!D72-'Part VII-Pro Forma'!E72</f>
        <v>#VALUE!</v>
      </c>
      <c r="K31" s="731" t="s">
        <v>238</v>
      </c>
      <c r="M31" s="731" t="s">
        <v>2970</v>
      </c>
      <c r="O31" s="825">
        <f>O25*O27</f>
        <v>-2099067.4909090907</v>
      </c>
    </row>
    <row r="32" spans="1:17" ht="13.5" customHeight="1">
      <c r="A32" s="731" t="s">
        <v>2951</v>
      </c>
      <c r="C32" s="827" t="e">
        <f>'Part VII-Pro Forma'!H41-'Part VII-Pro Forma'!I41</f>
        <v>#VALUE!</v>
      </c>
      <c r="D32" s="827" t="e">
        <f>'Part VII-Pro Forma'!I41-'Part VII-Pro Forma'!J41</f>
        <v>#VALUE!</v>
      </c>
      <c r="E32" s="827" t="e">
        <f>'Part VII-Pro Forma'!J41-'Part VII-Pro Forma'!K41</f>
        <v>#VALUE!</v>
      </c>
      <c r="F32" s="1490" t="e">
        <f>'Part VII-Pro Forma'!K41-'Part VII-Pro Forma'!B73</f>
        <v>#VALUE!</v>
      </c>
      <c r="G32" s="1490" t="e">
        <f>'Part VII-Pro Forma'!B73-'Part VII-Pro Forma'!C73</f>
        <v>#VALUE!</v>
      </c>
      <c r="H32" s="1490" t="e">
        <f>'Part VII-Pro Forma'!C73-'Part VII-Pro Forma'!D73</f>
        <v>#VALUE!</v>
      </c>
      <c r="I32" s="1490" t="e">
        <f>'Part VII-Pro Forma'!D73-'Part VII-Pro Forma'!E73</f>
        <v>#VALUE!</v>
      </c>
    </row>
    <row r="33" spans="1:15" ht="13.5" customHeight="1">
      <c r="A33" s="829" t="s">
        <v>3428</v>
      </c>
      <c r="B33" s="830"/>
      <c r="C33" s="1493">
        <f>'Part VII-Pro Forma'!I22</f>
        <v>-61493.693271243501</v>
      </c>
      <c r="D33" s="1493">
        <f>'Part VII-Pro Forma'!J22</f>
        <v>-63338.504069380797</v>
      </c>
      <c r="E33" s="1493">
        <f>'Part VII-Pro Forma'!K22</f>
        <v>-65238.659191462226</v>
      </c>
      <c r="F33" s="1493">
        <f>'Part VII-Pro Forma'!B54</f>
        <v>-67195.818967206083</v>
      </c>
      <c r="G33" s="1493">
        <f>'Part VII-Pro Forma'!C54</f>
        <v>-69211.693536222272</v>
      </c>
      <c r="H33" s="1493">
        <f>'Part VII-Pro Forma'!D54</f>
        <v>-71288.044342308931</v>
      </c>
      <c r="I33" s="1493">
        <f>'Part VII-Pro Forma'!E54</f>
        <v>-73426.685672578198</v>
      </c>
      <c r="K33" s="731" t="s">
        <v>238</v>
      </c>
      <c r="M33" s="731" t="s">
        <v>2971</v>
      </c>
      <c r="O33" s="825" t="e">
        <f>O14-O31</f>
        <v>#VALUE!</v>
      </c>
    </row>
    <row r="34" spans="1:15" ht="13.5" customHeight="1">
      <c r="A34" s="829" t="s">
        <v>3429</v>
      </c>
      <c r="B34" s="830"/>
      <c r="C34" s="1493">
        <f>'Part VII-Pro Forma'!I31</f>
        <v>0</v>
      </c>
      <c r="D34" s="1493">
        <f>'Part VII-Pro Forma'!J31</f>
        <v>0</v>
      </c>
      <c r="E34" s="1493">
        <f>'Part VII-Pro Forma'!K31</f>
        <v>0</v>
      </c>
      <c r="F34" s="1493">
        <f>'Part VII-Pro Forma'!B63</f>
        <v>0</v>
      </c>
      <c r="G34" s="1493">
        <f>'Part VII-Pro Forma'!C63</f>
        <v>0</v>
      </c>
      <c r="H34" s="1493">
        <f>'Part VII-Pro Forma'!D63</f>
        <v>0</v>
      </c>
      <c r="I34" s="1493">
        <f>'Part VII-Pro Forma'!E63</f>
        <v>0</v>
      </c>
    </row>
    <row r="35" spans="1:15" ht="13.5" customHeight="1">
      <c r="A35" s="831" t="s">
        <v>2954</v>
      </c>
      <c r="C35" s="832">
        <f t="shared" ref="C35:I35" si="8">$E$3/$H$3</f>
        <v>1399378.3272727274</v>
      </c>
      <c r="D35" s="832">
        <f t="shared" si="8"/>
        <v>1399378.3272727274</v>
      </c>
      <c r="E35" s="832">
        <f t="shared" si="8"/>
        <v>1399378.3272727274</v>
      </c>
      <c r="F35" s="832">
        <f t="shared" si="8"/>
        <v>1399378.3272727274</v>
      </c>
      <c r="G35" s="832">
        <f t="shared" si="8"/>
        <v>1399378.3272727274</v>
      </c>
      <c r="H35" s="832">
        <f t="shared" si="8"/>
        <v>1399378.3272727274</v>
      </c>
      <c r="I35" s="832">
        <f t="shared" si="8"/>
        <v>1399378.3272727274</v>
      </c>
    </row>
    <row r="36" spans="1:15" ht="13.5" customHeight="1">
      <c r="A36" s="831" t="s">
        <v>2956</v>
      </c>
      <c r="C36" s="825">
        <f>IF(C$28&lt;=$H$4,($E$4/$H$4),0)+IF(C$28&lt;=$H$5,($E$5/$H$5),0)</f>
        <v>38939.266666666663</v>
      </c>
      <c r="D36" s="825">
        <f t="shared" ref="D36:I36" si="9">IF(D$28&lt;=$H$4,($E$4/$H$4),0)+IF(D$28&lt;=$H$5,($E$5/$H$5),0)</f>
        <v>38939.266666666663</v>
      </c>
      <c r="E36" s="825">
        <f t="shared" si="9"/>
        <v>38939.266666666663</v>
      </c>
      <c r="F36" s="825">
        <f t="shared" si="9"/>
        <v>38939.266666666663</v>
      </c>
      <c r="G36" s="825">
        <f t="shared" si="9"/>
        <v>38939.266666666663</v>
      </c>
      <c r="H36" s="825">
        <f t="shared" si="9"/>
        <v>38939.266666666663</v>
      </c>
      <c r="I36" s="825">
        <f t="shared" si="9"/>
        <v>38939.266666666663</v>
      </c>
    </row>
    <row r="37" spans="1:15" ht="13.5" customHeight="1">
      <c r="A37" s="831" t="s">
        <v>2957</v>
      </c>
      <c r="C37" s="827" t="e">
        <f t="shared" ref="C37:I37" si="10">C29+C30+C31+C32+C33+C34-C35-C36</f>
        <v>#VALUE!</v>
      </c>
      <c r="D37" s="827" t="e">
        <f t="shared" si="10"/>
        <v>#VALUE!</v>
      </c>
      <c r="E37" s="827" t="e">
        <f t="shared" si="10"/>
        <v>#VALUE!</v>
      </c>
      <c r="F37" s="827" t="e">
        <f t="shared" si="10"/>
        <v>#VALUE!</v>
      </c>
      <c r="G37" s="827" t="e">
        <f t="shared" si="10"/>
        <v>#VALUE!</v>
      </c>
      <c r="H37" s="827" t="e">
        <f t="shared" si="10"/>
        <v>#VALUE!</v>
      </c>
      <c r="I37" s="827" t="e">
        <f t="shared" si="10"/>
        <v>#VALUE!</v>
      </c>
    </row>
    <row r="38" spans="1:15" ht="13.5" customHeight="1">
      <c r="A38" s="731" t="s">
        <v>2959</v>
      </c>
      <c r="C38" s="833" t="e">
        <f t="shared" ref="C38:I38" si="11">C37*$H$6</f>
        <v>#VALUE!</v>
      </c>
      <c r="D38" s="833" t="e">
        <f t="shared" si="11"/>
        <v>#VALUE!</v>
      </c>
      <c r="E38" s="833" t="e">
        <f t="shared" si="11"/>
        <v>#VALUE!</v>
      </c>
      <c r="F38" s="833" t="e">
        <f t="shared" si="11"/>
        <v>#VALUE!</v>
      </c>
      <c r="G38" s="833" t="e">
        <f t="shared" si="11"/>
        <v>#VALUE!</v>
      </c>
      <c r="H38" s="833" t="e">
        <f t="shared" si="11"/>
        <v>#VALUE!</v>
      </c>
      <c r="I38" s="833" t="e">
        <f t="shared" si="11"/>
        <v>#VALUE!</v>
      </c>
    </row>
    <row r="39" spans="1:15" ht="13.5" customHeight="1">
      <c r="C39" s="827"/>
      <c r="D39" s="827"/>
      <c r="E39" s="827"/>
      <c r="F39" s="827"/>
      <c r="G39" s="827"/>
      <c r="H39" s="827"/>
      <c r="I39" s="827"/>
    </row>
    <row r="40" spans="1:15" ht="13.5" customHeight="1">
      <c r="A40" s="731" t="s">
        <v>2961</v>
      </c>
      <c r="C40" s="827" t="e">
        <f t="shared" ref="C40:I40" si="12">C29-C38</f>
        <v>#VALUE!</v>
      </c>
      <c r="D40" s="827" t="e">
        <f t="shared" si="12"/>
        <v>#VALUE!</v>
      </c>
      <c r="E40" s="827" t="e">
        <f t="shared" si="12"/>
        <v>#VALUE!</v>
      </c>
      <c r="F40" s="827" t="e">
        <f t="shared" si="12"/>
        <v>#VALUE!</v>
      </c>
      <c r="G40" s="827" t="e">
        <f t="shared" si="12"/>
        <v>#VALUE!</v>
      </c>
      <c r="H40" s="827" t="e">
        <f t="shared" si="12"/>
        <v>#VALUE!</v>
      </c>
      <c r="I40" s="827" t="e">
        <f t="shared" si="12"/>
        <v>#VALUE!</v>
      </c>
    </row>
    <row r="41" spans="1:15" ht="13.5" customHeight="1">
      <c r="A41" s="731" t="s">
        <v>2962</v>
      </c>
      <c r="C41" s="833">
        <f>C21</f>
        <v>2001110</v>
      </c>
      <c r="D41" s="833">
        <f>C41</f>
        <v>2001110</v>
      </c>
      <c r="E41" s="833">
        <f>D41</f>
        <v>2001110</v>
      </c>
      <c r="F41" s="833">
        <v>0</v>
      </c>
      <c r="G41" s="833">
        <v>0</v>
      </c>
      <c r="H41" s="833">
        <v>0</v>
      </c>
      <c r="I41" s="833">
        <v>0</v>
      </c>
    </row>
    <row r="42" spans="1:15" ht="13.5" customHeight="1">
      <c r="A42" s="731" t="s">
        <v>2963</v>
      </c>
      <c r="C42" s="833">
        <f>C22</f>
        <v>2001110</v>
      </c>
      <c r="D42" s="833">
        <f>C42</f>
        <v>2001110</v>
      </c>
      <c r="E42" s="833">
        <f>D42</f>
        <v>2001110</v>
      </c>
      <c r="F42" s="833">
        <v>0</v>
      </c>
      <c r="G42" s="833">
        <v>0</v>
      </c>
      <c r="H42" s="833">
        <v>0</v>
      </c>
      <c r="I42" s="833">
        <v>0</v>
      </c>
    </row>
    <row r="43" spans="1:15" ht="13.5" customHeight="1">
      <c r="A43" s="731" t="s">
        <v>2965</v>
      </c>
      <c r="C43" s="827">
        <v>0</v>
      </c>
      <c r="D43" s="827">
        <v>0</v>
      </c>
      <c r="E43" s="827">
        <v>0</v>
      </c>
      <c r="F43" s="827">
        <v>0</v>
      </c>
      <c r="G43" s="827">
        <v>0</v>
      </c>
      <c r="H43" s="827">
        <v>0</v>
      </c>
      <c r="I43" s="827">
        <v>0</v>
      </c>
    </row>
    <row r="44" spans="1:15" ht="13.5" customHeight="1">
      <c r="A44" s="731" t="s">
        <v>2966</v>
      </c>
      <c r="C44" s="827" t="e">
        <f t="shared" ref="C44:I44" si="13">SUM(C40:C43)</f>
        <v>#VALUE!</v>
      </c>
      <c r="D44" s="827" t="e">
        <f t="shared" si="13"/>
        <v>#VALUE!</v>
      </c>
      <c r="E44" s="827" t="e">
        <f t="shared" si="13"/>
        <v>#VALUE!</v>
      </c>
      <c r="F44" s="827" t="e">
        <f t="shared" si="13"/>
        <v>#VALUE!</v>
      </c>
      <c r="G44" s="827" t="e">
        <f t="shared" si="13"/>
        <v>#VALUE!</v>
      </c>
      <c r="H44" s="827" t="e">
        <f t="shared" si="13"/>
        <v>#VALUE!</v>
      </c>
      <c r="I44" s="827" t="e">
        <f t="shared" si="13"/>
        <v>#VALUE!</v>
      </c>
    </row>
    <row r="45" spans="1:15" ht="13.5" customHeight="1"/>
    <row r="46" spans="1:15" ht="13.5" customHeight="1">
      <c r="A46" s="835"/>
      <c r="B46" s="835"/>
      <c r="C46" s="835"/>
      <c r="D46" s="835"/>
      <c r="E46" s="835"/>
      <c r="F46" s="835"/>
      <c r="G46" s="835"/>
      <c r="H46" s="835"/>
      <c r="I46" s="835"/>
    </row>
    <row r="47" spans="1:15" ht="13.5" customHeight="1">
      <c r="I47" s="736"/>
    </row>
    <row r="48" spans="1:15" ht="13.5" customHeight="1">
      <c r="A48" s="732" t="s">
        <v>2416</v>
      </c>
      <c r="B48" s="732"/>
      <c r="C48" s="824">
        <v>15</v>
      </c>
      <c r="D48" s="732">
        <v>16</v>
      </c>
      <c r="E48" s="732">
        <v>17</v>
      </c>
      <c r="F48" s="732">
        <v>18</v>
      </c>
      <c r="G48" s="732">
        <v>19</v>
      </c>
      <c r="H48" s="732">
        <v>20</v>
      </c>
    </row>
    <row r="49" spans="1:10" ht="13.5" customHeight="1">
      <c r="A49" s="731" t="s">
        <v>2950</v>
      </c>
      <c r="C49" s="825">
        <f>'Part VII-Pro Forma'!F64</f>
        <v>259157.43048470991</v>
      </c>
      <c r="D49" s="825">
        <f>'Part VII-Pro Forma'!G61</f>
        <v>0</v>
      </c>
      <c r="E49" s="825">
        <f>'Part VII-Pro Forma'!H61</f>
        <v>0</v>
      </c>
      <c r="F49" s="825">
        <f>'Part VII-Pro Forma'!I61</f>
        <v>0</v>
      </c>
      <c r="G49" s="825">
        <f>'Part VII-Pro Forma'!J61</f>
        <v>0</v>
      </c>
      <c r="H49" s="825">
        <f>'Part VII-Pro Forma'!K61</f>
        <v>0</v>
      </c>
    </row>
    <row r="50" spans="1:10" ht="13.5" customHeight="1">
      <c r="A50" s="731" t="s">
        <v>2951</v>
      </c>
      <c r="C50" s="1491">
        <f>'Part VII-Pro Forma'!E71-'Part VII-Pro Forma'!F71</f>
        <v>320524.64762640186</v>
      </c>
      <c r="D50" s="1491">
        <f>'Part VII-Pro Forma'!F71-'Part VII-Pro Forma'!G71</f>
        <v>333583.31631452404</v>
      </c>
      <c r="E50" s="1491">
        <f>'Part VII-Pro Forma'!G71-'Part VII-Pro Forma'!H71</f>
        <v>347174.01531347819</v>
      </c>
      <c r="F50" s="1491">
        <f>'Part VII-Pro Forma'!H71-'Part VII-Pro Forma'!I71</f>
        <v>361318.42035900801</v>
      </c>
      <c r="G50" s="1491">
        <f>'Part VII-Pro Forma'!I71-'Part VII-Pro Forma'!J71</f>
        <v>376039.09028977528</v>
      </c>
      <c r="H50" s="1491">
        <f>'Part VII-Pro Forma'!J71-'Part VII-Pro Forma'!K71</f>
        <v>391359.50302633643</v>
      </c>
    </row>
    <row r="51" spans="1:10" ht="13.5" customHeight="1">
      <c r="A51" s="731" t="s">
        <v>2951</v>
      </c>
      <c r="C51" s="1491" t="e">
        <f>'Part VII-Pro Forma'!E72-'Part VII-Pro Forma'!F72</f>
        <v>#VALUE!</v>
      </c>
      <c r="D51" s="1491" t="e">
        <f>'Part VII-Pro Forma'!F72-'Part VII-Pro Forma'!G72</f>
        <v>#VALUE!</v>
      </c>
      <c r="E51" s="1491" t="e">
        <f>'Part VII-Pro Forma'!G72-'Part VII-Pro Forma'!H72</f>
        <v>#VALUE!</v>
      </c>
      <c r="F51" s="1491" t="e">
        <f>'Part VII-Pro Forma'!H72-'Part VII-Pro Forma'!I72</f>
        <v>#VALUE!</v>
      </c>
      <c r="G51" s="1491" t="e">
        <f>'Part VII-Pro Forma'!I72-'Part VII-Pro Forma'!J72</f>
        <v>#VALUE!</v>
      </c>
      <c r="H51" s="1491" t="e">
        <f>'Part VII-Pro Forma'!J72-'Part VII-Pro Forma'!K72</f>
        <v>#VALUE!</v>
      </c>
    </row>
    <row r="52" spans="1:10" ht="13.5" customHeight="1">
      <c r="A52" s="731" t="s">
        <v>2951</v>
      </c>
      <c r="C52" s="837" t="e">
        <f>'Part VII-Pro Forma'!E73-'Part VII-Pro Forma'!F73</f>
        <v>#VALUE!</v>
      </c>
      <c r="D52" s="837" t="e">
        <f>'Part VII-Pro Forma'!F73-'Part VII-Pro Forma'!G73</f>
        <v>#VALUE!</v>
      </c>
      <c r="E52" s="837" t="e">
        <f>'Part VII-Pro Forma'!G73-'Part VII-Pro Forma'!H73</f>
        <v>#VALUE!</v>
      </c>
      <c r="F52" s="837" t="e">
        <f>'Part VII-Pro Forma'!H73-'Part VII-Pro Forma'!I73</f>
        <v>#VALUE!</v>
      </c>
      <c r="G52" s="837" t="e">
        <f>'Part VII-Pro Forma'!I73-'Part VII-Pro Forma'!J73</f>
        <v>#VALUE!</v>
      </c>
      <c r="H52" s="837" t="e">
        <f>'Part VII-Pro Forma'!J73-'Part VII-Pro Forma'!K73</f>
        <v>#VALUE!</v>
      </c>
    </row>
    <row r="53" spans="1:10" ht="13.5" customHeight="1">
      <c r="A53" s="829" t="s">
        <v>3428</v>
      </c>
      <c r="B53" s="830"/>
      <c r="C53" s="1493">
        <f>'Part VII-Pro Forma'!F54</f>
        <v>-75629.486242755549</v>
      </c>
      <c r="D53" s="1493">
        <f>'Part VII-Pro Forma'!G54</f>
        <v>-77898.370830038228</v>
      </c>
      <c r="E53" s="1493">
        <f>'Part VII-Pro Forma'!H54</f>
        <v>-80235.321954939354</v>
      </c>
      <c r="F53" s="1493">
        <f>'Part VII-Pro Forma'!I54</f>
        <v>-82642.381613587539</v>
      </c>
      <c r="G53" s="1493">
        <f>'Part VII-Pro Forma'!J54</f>
        <v>-85121.653061995166</v>
      </c>
      <c r="H53" s="1493">
        <f>'Part VII-Pro Forma'!K54</f>
        <v>-87675.302653855018</v>
      </c>
    </row>
    <row r="54" spans="1:10" ht="13.5" customHeight="1">
      <c r="A54" s="829" t="s">
        <v>3429</v>
      </c>
      <c r="C54" s="1494">
        <f>'Part VII-Pro Forma'!F63</f>
        <v>0</v>
      </c>
      <c r="D54" s="1494">
        <f>'Part VII-Pro Forma'!G63</f>
        <v>0</v>
      </c>
      <c r="E54" s="1494">
        <f>'Part VII-Pro Forma'!H63</f>
        <v>0</v>
      </c>
      <c r="F54" s="1494">
        <f>'Part VII-Pro Forma'!I63</f>
        <v>0</v>
      </c>
      <c r="G54" s="1494">
        <f>'Part VII-Pro Forma'!J63</f>
        <v>0</v>
      </c>
      <c r="H54" s="1494">
        <f>'Part VII-Pro Forma'!K63</f>
        <v>0</v>
      </c>
    </row>
    <row r="55" spans="1:10" ht="13.5" customHeight="1">
      <c r="A55" s="831" t="s">
        <v>2954</v>
      </c>
      <c r="C55" s="832">
        <f t="shared" ref="C55:H55" si="14">$E$3/$H$3</f>
        <v>1399378.3272727274</v>
      </c>
      <c r="D55" s="832">
        <f t="shared" si="14"/>
        <v>1399378.3272727274</v>
      </c>
      <c r="E55" s="832">
        <f t="shared" si="14"/>
        <v>1399378.3272727274</v>
      </c>
      <c r="F55" s="832">
        <f t="shared" si="14"/>
        <v>1399378.3272727274</v>
      </c>
      <c r="G55" s="832">
        <f t="shared" si="14"/>
        <v>1399378.3272727274</v>
      </c>
      <c r="H55" s="832">
        <f t="shared" si="14"/>
        <v>1399378.3272727274</v>
      </c>
    </row>
    <row r="56" spans="1:10" ht="13.5" customHeight="1">
      <c r="A56" s="831" t="s">
        <v>2956</v>
      </c>
      <c r="C56" s="825">
        <f t="shared" ref="C56:H56" si="15">IF(C$48&lt;=$H$4,($E$4/$H$4),0)+IF(C$48&lt;=$H$5,($E$5/$H$5),0)</f>
        <v>38939.266666666663</v>
      </c>
      <c r="D56" s="825">
        <f t="shared" si="15"/>
        <v>17200</v>
      </c>
      <c r="E56" s="825">
        <f t="shared" si="15"/>
        <v>17200</v>
      </c>
      <c r="F56" s="825">
        <f t="shared" si="15"/>
        <v>17200</v>
      </c>
      <c r="G56" s="825">
        <f t="shared" si="15"/>
        <v>17200</v>
      </c>
      <c r="H56" s="825">
        <f t="shared" si="15"/>
        <v>17200</v>
      </c>
    </row>
    <row r="57" spans="1:10" ht="13.5" customHeight="1">
      <c r="A57" s="831" t="s">
        <v>2957</v>
      </c>
      <c r="C57" s="825" t="e">
        <f t="shared" ref="C57:H57" si="16">C49+C50+C51+C52+C53+C54-C55-C56</f>
        <v>#VALUE!</v>
      </c>
      <c r="D57" s="825" t="e">
        <f t="shared" si="16"/>
        <v>#VALUE!</v>
      </c>
      <c r="E57" s="825" t="e">
        <f t="shared" si="16"/>
        <v>#VALUE!</v>
      </c>
      <c r="F57" s="825" t="e">
        <f t="shared" si="16"/>
        <v>#VALUE!</v>
      </c>
      <c r="G57" s="825" t="e">
        <f t="shared" si="16"/>
        <v>#VALUE!</v>
      </c>
      <c r="H57" s="825" t="e">
        <f t="shared" si="16"/>
        <v>#VALUE!</v>
      </c>
    </row>
    <row r="58" spans="1:10" ht="13.5" customHeight="1">
      <c r="A58" s="731" t="s">
        <v>2959</v>
      </c>
      <c r="C58" s="832" t="e">
        <f t="shared" ref="C58:H58" si="17">C57*$H$6</f>
        <v>#VALUE!</v>
      </c>
      <c r="D58" s="832" t="e">
        <f t="shared" si="17"/>
        <v>#VALUE!</v>
      </c>
      <c r="E58" s="832" t="e">
        <f t="shared" si="17"/>
        <v>#VALUE!</v>
      </c>
      <c r="F58" s="832" t="e">
        <f t="shared" si="17"/>
        <v>#VALUE!</v>
      </c>
      <c r="G58" s="832" t="e">
        <f t="shared" si="17"/>
        <v>#VALUE!</v>
      </c>
      <c r="H58" s="832" t="e">
        <f t="shared" si="17"/>
        <v>#VALUE!</v>
      </c>
      <c r="J58" s="731" t="s">
        <v>238</v>
      </c>
    </row>
    <row r="59" spans="1:10" s="838" customFormat="1" ht="16.5" customHeight="1">
      <c r="A59" s="731"/>
      <c r="B59" s="731"/>
      <c r="C59" s="825"/>
      <c r="D59" s="825"/>
      <c r="E59" s="825"/>
      <c r="F59" s="825"/>
      <c r="G59" s="825"/>
      <c r="H59" s="825"/>
      <c r="I59" s="731"/>
      <c r="J59" s="731"/>
    </row>
    <row r="60" spans="1:10">
      <c r="A60" s="731" t="s">
        <v>2961</v>
      </c>
      <c r="C60" s="825" t="e">
        <f t="shared" ref="C60:H60" si="18">C49-C58</f>
        <v>#VALUE!</v>
      </c>
      <c r="D60" s="825" t="e">
        <f t="shared" si="18"/>
        <v>#VALUE!</v>
      </c>
      <c r="E60" s="825" t="e">
        <f t="shared" si="18"/>
        <v>#VALUE!</v>
      </c>
      <c r="F60" s="825" t="e">
        <f t="shared" si="18"/>
        <v>#VALUE!</v>
      </c>
      <c r="G60" s="825" t="e">
        <f t="shared" si="18"/>
        <v>#VALUE!</v>
      </c>
      <c r="H60" s="825" t="e">
        <f t="shared" si="18"/>
        <v>#VALUE!</v>
      </c>
    </row>
    <row r="61" spans="1:10">
      <c r="A61" s="731" t="s">
        <v>2962</v>
      </c>
      <c r="C61" s="832">
        <v>0</v>
      </c>
      <c r="D61" s="832">
        <v>0</v>
      </c>
      <c r="E61" s="832">
        <v>0</v>
      </c>
      <c r="F61" s="832">
        <v>0</v>
      </c>
      <c r="G61" s="832">
        <v>0</v>
      </c>
      <c r="H61" s="825">
        <v>0</v>
      </c>
    </row>
    <row r="62" spans="1:10">
      <c r="A62" s="731" t="s">
        <v>2963</v>
      </c>
      <c r="C62" s="832">
        <v>0</v>
      </c>
      <c r="D62" s="825">
        <v>0</v>
      </c>
      <c r="E62" s="825">
        <v>0</v>
      </c>
      <c r="F62" s="825">
        <v>0</v>
      </c>
      <c r="G62" s="825">
        <v>0</v>
      </c>
      <c r="H62" s="825">
        <v>0</v>
      </c>
    </row>
    <row r="63" spans="1:10">
      <c r="A63" s="731" t="s">
        <v>2965</v>
      </c>
      <c r="C63" s="825">
        <v>0</v>
      </c>
      <c r="D63" s="825">
        <v>0</v>
      </c>
      <c r="E63" s="825">
        <v>0</v>
      </c>
      <c r="F63" s="825">
        <v>0</v>
      </c>
      <c r="G63" s="825">
        <v>0</v>
      </c>
      <c r="H63" s="825" t="e">
        <f>O33</f>
        <v>#VALUE!</v>
      </c>
    </row>
    <row r="64" spans="1:10">
      <c r="A64" s="731" t="s">
        <v>2966</v>
      </c>
      <c r="C64" s="825" t="e">
        <f t="shared" ref="C64:H64" si="19">SUM(C60:C63)</f>
        <v>#VALUE!</v>
      </c>
      <c r="D64" s="825" t="e">
        <f t="shared" si="19"/>
        <v>#VALUE!</v>
      </c>
      <c r="E64" s="825" t="e">
        <f t="shared" si="19"/>
        <v>#VALUE!</v>
      </c>
      <c r="F64" s="825" t="e">
        <f t="shared" si="19"/>
        <v>#VALUE!</v>
      </c>
      <c r="G64" s="825" t="e">
        <f t="shared" si="19"/>
        <v>#VALUE!</v>
      </c>
      <c r="H64" s="825" t="e">
        <f t="shared" si="19"/>
        <v>#VALUE!</v>
      </c>
    </row>
    <row r="66" spans="1:10">
      <c r="A66" s="839"/>
      <c r="B66" s="840"/>
      <c r="C66" s="840"/>
      <c r="D66" s="840"/>
      <c r="E66" s="840"/>
      <c r="F66" s="841" t="s">
        <v>2972</v>
      </c>
      <c r="G66" s="4225" t="e">
        <f>IRR(K5:K25)</f>
        <v>#VALUE!</v>
      </c>
      <c r="H66" s="4226"/>
      <c r="I66" s="838"/>
      <c r="J66" s="838"/>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621" customWidth="1"/>
    <col min="2" max="2" width="16.77734375" style="621" customWidth="1"/>
    <col min="3" max="3" width="7.77734375" style="621" customWidth="1"/>
    <col min="4" max="4" width="8.44140625" style="621" customWidth="1"/>
    <col min="5" max="5" width="16.77734375" style="621" customWidth="1"/>
    <col min="6" max="6" width="7.77734375" style="621" customWidth="1"/>
    <col min="7" max="7" width="8.44140625" style="621" customWidth="1"/>
    <col min="8" max="8" width="16.77734375" style="621" customWidth="1"/>
    <col min="9" max="16384" width="9.109375" style="621"/>
  </cols>
  <sheetData>
    <row r="1" spans="1:8" s="2418" customFormat="1" ht="17.399999999999999" customHeight="1">
      <c r="A1" s="4228" t="str">
        <f>'Sensitivity Analysis'!C8</f>
        <v>Lakeview Terrace</v>
      </c>
      <c r="B1" s="4228"/>
      <c r="C1" s="4228"/>
      <c r="D1" s="4228"/>
      <c r="E1" s="4228"/>
      <c r="F1" s="4228"/>
      <c r="G1" s="4228"/>
      <c r="H1" s="4228"/>
    </row>
    <row r="2" spans="1:8" s="2418" customFormat="1" ht="17.399999999999999" customHeight="1">
      <c r="A2" s="4227" t="s">
        <v>2973</v>
      </c>
      <c r="B2" s="4227"/>
      <c r="C2" s="4227"/>
      <c r="D2" s="4227"/>
      <c r="E2" s="4227"/>
      <c r="F2" s="4227"/>
      <c r="G2" s="4227"/>
      <c r="H2" s="4227"/>
    </row>
    <row r="3" spans="1:8" ht="9" customHeight="1">
      <c r="A3" s="2417"/>
      <c r="B3" s="2417"/>
      <c r="C3" s="2417"/>
      <c r="D3" s="2417"/>
      <c r="E3" s="2417"/>
      <c r="G3" s="2417"/>
      <c r="H3" s="2417"/>
    </row>
    <row r="4" spans="1:8" ht="12.6" customHeight="1">
      <c r="A4" s="4229" t="s">
        <v>6824</v>
      </c>
      <c r="B4" s="4229"/>
      <c r="C4" s="2419"/>
      <c r="D4" s="4229" t="s">
        <v>6825</v>
      </c>
      <c r="E4" s="4229"/>
      <c r="F4" s="2420"/>
      <c r="G4" s="4229" t="s">
        <v>6826</v>
      </c>
      <c r="H4" s="4229"/>
    </row>
    <row r="5" spans="1:8" ht="25.8" customHeight="1">
      <c r="A5" s="4230" t="str">
        <f>'Part III-Sources of Funds'!E38</f>
        <v>Bellwether Enterprise/Freddie Mac</v>
      </c>
      <c r="B5" s="4231"/>
      <c r="C5" s="2418"/>
      <c r="D5" s="4230">
        <f>'Part III-Sources of Funds'!E39</f>
        <v>0</v>
      </c>
      <c r="E5" s="4231"/>
      <c r="F5" s="2421"/>
      <c r="G5" s="4230">
        <f>'Part III-Sources of Funds'!E40</f>
        <v>0</v>
      </c>
      <c r="H5" s="4231"/>
    </row>
    <row r="6" spans="1:8" ht="9" customHeight="1"/>
    <row r="7" spans="1:8" ht="15.6">
      <c r="A7" s="1496"/>
      <c r="B7" s="1496" t="s">
        <v>2974</v>
      </c>
      <c r="D7" s="1496"/>
      <c r="E7" s="1496" t="s">
        <v>2974</v>
      </c>
      <c r="G7" s="1496"/>
      <c r="H7" s="1496" t="s">
        <v>2974</v>
      </c>
    </row>
    <row r="8" spans="1:8" ht="15.6">
      <c r="A8" s="1535" t="s">
        <v>2416</v>
      </c>
      <c r="B8" s="1535" t="s">
        <v>2975</v>
      </c>
      <c r="D8" s="1535" t="s">
        <v>2416</v>
      </c>
      <c r="E8" s="1535" t="s">
        <v>2975</v>
      </c>
      <c r="G8" s="1535" t="s">
        <v>2416</v>
      </c>
      <c r="H8" s="1535" t="s">
        <v>2975</v>
      </c>
    </row>
    <row r="9" spans="1:8" ht="6" customHeight="1">
      <c r="A9" s="1497"/>
      <c r="B9" s="1497"/>
      <c r="D9" s="1497"/>
      <c r="E9" s="1497"/>
      <c r="G9" s="1497"/>
      <c r="H9" s="1497"/>
    </row>
    <row r="10" spans="1:8" ht="18" customHeight="1">
      <c r="A10" s="1498">
        <v>1</v>
      </c>
      <c r="B10" s="1499">
        <f>-'Part VII-Pro Forma'!$B25/12</f>
        <v>60660.139521564175</v>
      </c>
      <c r="D10" s="1498">
        <v>1</v>
      </c>
      <c r="E10" s="1499">
        <f>-'Part VII-Pro Forma'!$B26/12</f>
        <v>0</v>
      </c>
      <c r="G10" s="1498">
        <v>1</v>
      </c>
      <c r="H10" s="1499">
        <f>-'Part VII-Pro Forma'!$B27/12</f>
        <v>0</v>
      </c>
    </row>
    <row r="11" spans="1:8" ht="18" customHeight="1">
      <c r="A11" s="1498">
        <v>2</v>
      </c>
      <c r="B11" s="1499">
        <f>-'Part VII-Pro Forma'!$C25/12</f>
        <v>60660.139521564175</v>
      </c>
      <c r="D11" s="1498">
        <v>2</v>
      </c>
      <c r="E11" s="1499">
        <f>-'Part VII-Pro Forma'!$C26/12</f>
        <v>0</v>
      </c>
      <c r="G11" s="1498">
        <v>2</v>
      </c>
      <c r="H11" s="1499">
        <f>-'Part VII-Pro Forma'!$C27/12</f>
        <v>0</v>
      </c>
    </row>
    <row r="12" spans="1:8" ht="18" customHeight="1">
      <c r="A12" s="1498">
        <v>3</v>
      </c>
      <c r="B12" s="1499">
        <f>-'Part VII-Pro Forma'!$D25/12</f>
        <v>60660.139521564175</v>
      </c>
      <c r="D12" s="1498">
        <v>3</v>
      </c>
      <c r="E12" s="1499">
        <f>-'Part VII-Pro Forma'!$D26/12</f>
        <v>0</v>
      </c>
      <c r="G12" s="1498">
        <v>3</v>
      </c>
      <c r="H12" s="1499">
        <f>-'Part VII-Pro Forma'!$D27/12</f>
        <v>0</v>
      </c>
    </row>
    <row r="13" spans="1:8" ht="18" customHeight="1">
      <c r="A13" s="1500">
        <v>4</v>
      </c>
      <c r="B13" s="1499">
        <f>-'Part VII-Pro Forma'!$E25/12</f>
        <v>60660.139521564175</v>
      </c>
      <c r="D13" s="1500">
        <v>4</v>
      </c>
      <c r="E13" s="1499">
        <f>-'Part VII-Pro Forma'!$E26/12</f>
        <v>0</v>
      </c>
      <c r="G13" s="1500">
        <v>4</v>
      </c>
      <c r="H13" s="1499">
        <f>-'Part VII-Pro Forma'!$E27/12</f>
        <v>0</v>
      </c>
    </row>
    <row r="14" spans="1:8" ht="18" customHeight="1">
      <c r="A14" s="2424">
        <v>5</v>
      </c>
      <c r="B14" s="2423">
        <f>-'Part VII-Pro Forma'!$F25/12</f>
        <v>60660.139521564175</v>
      </c>
      <c r="D14" s="2424">
        <v>5</v>
      </c>
      <c r="E14" s="2423">
        <f>-'Part VII-Pro Forma'!$F26/12</f>
        <v>0</v>
      </c>
      <c r="G14" s="2424">
        <v>5</v>
      </c>
      <c r="H14" s="2423">
        <f>-'Part VII-Pro Forma'!$F27/12</f>
        <v>0</v>
      </c>
    </row>
    <row r="15" spans="1:8" ht="18" customHeight="1">
      <c r="A15" s="1498">
        <v>6</v>
      </c>
      <c r="B15" s="1499">
        <f>-'Part VII-Pro Forma'!$G25/12</f>
        <v>60660.139521564175</v>
      </c>
      <c r="D15" s="1498">
        <v>6</v>
      </c>
      <c r="E15" s="1499">
        <f>-'Part VII-Pro Forma'!$G26/12</f>
        <v>0</v>
      </c>
      <c r="G15" s="1498">
        <v>6</v>
      </c>
      <c r="H15" s="1499">
        <f>-'Part VII-Pro Forma'!$G27/12</f>
        <v>0</v>
      </c>
    </row>
    <row r="16" spans="1:8" ht="18" customHeight="1">
      <c r="A16" s="1498">
        <v>7</v>
      </c>
      <c r="B16" s="1499">
        <f>-'Part VII-Pro Forma'!$H25/12</f>
        <v>60660.139521564175</v>
      </c>
      <c r="D16" s="1498">
        <v>7</v>
      </c>
      <c r="E16" s="1499">
        <f>-'Part VII-Pro Forma'!$H26/12</f>
        <v>0</v>
      </c>
      <c r="G16" s="1498">
        <v>7</v>
      </c>
      <c r="H16" s="1499">
        <f>-'Part VII-Pro Forma'!$H27/12</f>
        <v>0</v>
      </c>
    </row>
    <row r="17" spans="1:8" ht="18" customHeight="1">
      <c r="A17" s="1500">
        <v>8</v>
      </c>
      <c r="B17" s="1499">
        <f>-'Part VII-Pro Forma'!$I25/12</f>
        <v>60660.139521564175</v>
      </c>
      <c r="D17" s="1500">
        <v>8</v>
      </c>
      <c r="E17" s="1499">
        <f>-'Part VII-Pro Forma'!$I26/12</f>
        <v>0</v>
      </c>
      <c r="G17" s="1500">
        <v>8</v>
      </c>
      <c r="H17" s="1499">
        <f>-'Part VII-Pro Forma'!$I27/12</f>
        <v>0</v>
      </c>
    </row>
    <row r="18" spans="1:8" ht="18" customHeight="1">
      <c r="A18" s="1498">
        <v>9</v>
      </c>
      <c r="B18" s="1499">
        <f>-'Part VII-Pro Forma'!$J25/12</f>
        <v>60660.139521564175</v>
      </c>
      <c r="D18" s="1498">
        <v>9</v>
      </c>
      <c r="E18" s="1499">
        <f>-'Part VII-Pro Forma'!$J26/12</f>
        <v>0</v>
      </c>
      <c r="G18" s="1498">
        <v>9</v>
      </c>
      <c r="H18" s="1499">
        <f>-'Part VII-Pro Forma'!$J27/12</f>
        <v>0</v>
      </c>
    </row>
    <row r="19" spans="1:8" ht="18" customHeight="1">
      <c r="A19" s="2422">
        <v>10</v>
      </c>
      <c r="B19" s="2423">
        <f>-'Part VII-Pro Forma'!$K25/12</f>
        <v>60660.139521564175</v>
      </c>
      <c r="D19" s="2422">
        <v>10</v>
      </c>
      <c r="E19" s="2423">
        <f>-'Part VII-Pro Forma'!$K26/12</f>
        <v>0</v>
      </c>
      <c r="G19" s="2422">
        <v>10</v>
      </c>
      <c r="H19" s="2423">
        <f>-'Part VII-Pro Forma'!$K27/12</f>
        <v>0</v>
      </c>
    </row>
    <row r="20" spans="1:8" ht="18" customHeight="1">
      <c r="A20" s="1500">
        <v>11</v>
      </c>
      <c r="B20" s="1499">
        <f>-'Part VII-Pro Forma'!$B57/12</f>
        <v>60660.139521564175</v>
      </c>
      <c r="D20" s="1500">
        <v>11</v>
      </c>
      <c r="E20" s="1499">
        <f>-'Part VII-Pro Forma'!$B58/12</f>
        <v>0</v>
      </c>
      <c r="G20" s="1500">
        <v>11</v>
      </c>
      <c r="H20" s="1499">
        <f>-'Part VII-Pro Forma'!$B59/12</f>
        <v>0</v>
      </c>
    </row>
    <row r="21" spans="1:8" ht="18" customHeight="1">
      <c r="A21" s="1498">
        <v>12</v>
      </c>
      <c r="B21" s="1499">
        <f>-'Part VII-Pro Forma'!$C57/12</f>
        <v>60660.139521564175</v>
      </c>
      <c r="D21" s="1498">
        <v>12</v>
      </c>
      <c r="E21" s="1499">
        <f>-'Part VII-Pro Forma'!$C58/12</f>
        <v>0</v>
      </c>
      <c r="G21" s="1498">
        <v>12</v>
      </c>
      <c r="H21" s="1499">
        <f>-'Part VII-Pro Forma'!$C59/12</f>
        <v>0</v>
      </c>
    </row>
    <row r="22" spans="1:8" ht="18" customHeight="1">
      <c r="A22" s="1498">
        <v>13</v>
      </c>
      <c r="B22" s="1499">
        <f>-'Part VII-Pro Forma'!$D57/12</f>
        <v>60660.139521564175</v>
      </c>
      <c r="D22" s="1498">
        <v>13</v>
      </c>
      <c r="E22" s="1499">
        <f>-'Part VII-Pro Forma'!$D58/12</f>
        <v>0</v>
      </c>
      <c r="G22" s="1498">
        <v>13</v>
      </c>
      <c r="H22" s="1499">
        <f>-'Part VII-Pro Forma'!$D59/12</f>
        <v>0</v>
      </c>
    </row>
    <row r="23" spans="1:8" ht="18" customHeight="1">
      <c r="A23" s="1498">
        <v>14</v>
      </c>
      <c r="B23" s="1499">
        <f>-'Part VII-Pro Forma'!$E57/12</f>
        <v>60660.139521564175</v>
      </c>
      <c r="D23" s="1498">
        <v>14</v>
      </c>
      <c r="E23" s="1499">
        <f>-'Part VII-Pro Forma'!$E58/12</f>
        <v>0</v>
      </c>
      <c r="G23" s="1498">
        <v>14</v>
      </c>
      <c r="H23" s="1499">
        <f>-'Part VII-Pro Forma'!$E59/12</f>
        <v>0</v>
      </c>
    </row>
    <row r="24" spans="1:8" ht="18" customHeight="1">
      <c r="A24" s="2422">
        <v>15</v>
      </c>
      <c r="B24" s="2423">
        <f>-'Part VII-Pro Forma'!$F57/12</f>
        <v>60660.139521564175</v>
      </c>
      <c r="D24" s="2422">
        <v>15</v>
      </c>
      <c r="E24" s="2423">
        <f>-'Part VII-Pro Forma'!$F58/12</f>
        <v>0</v>
      </c>
      <c r="G24" s="2422">
        <v>15</v>
      </c>
      <c r="H24" s="2423">
        <f>-'Part VII-Pro Forma'!$F59/12</f>
        <v>0</v>
      </c>
    </row>
    <row r="25" spans="1:8" ht="18" customHeight="1">
      <c r="A25" s="1498">
        <v>16</v>
      </c>
      <c r="B25" s="1499">
        <f>-'Part VII-Pro Forma'!$G57/12</f>
        <v>60660.139521564175</v>
      </c>
      <c r="D25" s="1498">
        <v>16</v>
      </c>
      <c r="E25" s="1499">
        <f>-'Part VII-Pro Forma'!$G58/12</f>
        <v>0</v>
      </c>
      <c r="G25" s="1498">
        <v>16</v>
      </c>
      <c r="H25" s="1499">
        <f>-'Part VII-Pro Forma'!$G59/12</f>
        <v>0</v>
      </c>
    </row>
    <row r="26" spans="1:8" ht="18" customHeight="1">
      <c r="A26" s="1498">
        <v>17</v>
      </c>
      <c r="B26" s="1499">
        <f>-'Part VII-Pro Forma'!$H57/12</f>
        <v>60660.139521564175</v>
      </c>
      <c r="D26" s="1498">
        <v>17</v>
      </c>
      <c r="E26" s="1499">
        <f>-'Part VII-Pro Forma'!$H58/12</f>
        <v>0</v>
      </c>
      <c r="G26" s="1498">
        <v>17</v>
      </c>
      <c r="H26" s="1499">
        <f>-'Part VII-Pro Forma'!$H59/12</f>
        <v>0</v>
      </c>
    </row>
    <row r="27" spans="1:8" ht="18" customHeight="1">
      <c r="A27" s="1498">
        <v>18</v>
      </c>
      <c r="B27" s="1499">
        <f>-'Part VII-Pro Forma'!$I57/12</f>
        <v>60660.139521564175</v>
      </c>
      <c r="D27" s="1498">
        <v>18</v>
      </c>
      <c r="E27" s="1499">
        <f>-'Part VII-Pro Forma'!$I58/12</f>
        <v>0</v>
      </c>
      <c r="G27" s="1498">
        <v>18</v>
      </c>
      <c r="H27" s="1499">
        <f>-'Part VII-Pro Forma'!$I59/12</f>
        <v>0</v>
      </c>
    </row>
    <row r="28" spans="1:8" ht="18" customHeight="1">
      <c r="A28" s="1498">
        <v>19</v>
      </c>
      <c r="B28" s="1499">
        <f>-'Part VII-Pro Forma'!$J57/12</f>
        <v>60660.139521564175</v>
      </c>
      <c r="D28" s="1498">
        <v>19</v>
      </c>
      <c r="E28" s="1499">
        <f>-'Part VII-Pro Forma'!$J58/12</f>
        <v>0</v>
      </c>
      <c r="G28" s="1498">
        <v>19</v>
      </c>
      <c r="H28" s="1499">
        <f>-'Part VII-Pro Forma'!$J59/12</f>
        <v>0</v>
      </c>
    </row>
    <row r="29" spans="1:8" ht="18" customHeight="1">
      <c r="A29" s="2422">
        <v>20</v>
      </c>
      <c r="B29" s="2423">
        <f>-'Part VII-Pro Forma'!$K57/12</f>
        <v>60660.139521564175</v>
      </c>
      <c r="D29" s="2422">
        <v>20</v>
      </c>
      <c r="E29" s="2423">
        <f>-'Part VII-Pro Forma'!$K58/12</f>
        <v>0</v>
      </c>
      <c r="G29" s="2422">
        <v>20</v>
      </c>
      <c r="H29" s="2423">
        <f>-'Part VII-Pro Forma'!$K59/12</f>
        <v>0</v>
      </c>
    </row>
    <row r="30" spans="1:8" ht="18" customHeight="1">
      <c r="A30" s="1498">
        <v>21</v>
      </c>
      <c r="B30" s="1499">
        <f>-'Part VII-Pro Forma'!$B89/12</f>
        <v>60660.139521564175</v>
      </c>
      <c r="D30" s="1498">
        <v>21</v>
      </c>
      <c r="E30" s="1499">
        <f>-'Part VII-Pro Forma'!$B90/12</f>
        <v>0</v>
      </c>
      <c r="G30" s="1498">
        <v>21</v>
      </c>
      <c r="H30" s="1499">
        <f>-'Part VII-Pro Forma'!$B91/12</f>
        <v>0</v>
      </c>
    </row>
    <row r="31" spans="1:8" ht="18" customHeight="1">
      <c r="A31" s="1498">
        <v>22</v>
      </c>
      <c r="B31" s="1499">
        <f>-'Part VII-Pro Forma'!$C89/12</f>
        <v>60660.139521564175</v>
      </c>
      <c r="D31" s="1498">
        <v>22</v>
      </c>
      <c r="E31" s="1499">
        <f>-'Part VII-Pro Forma'!$C90/12</f>
        <v>0</v>
      </c>
      <c r="G31" s="1498">
        <v>22</v>
      </c>
      <c r="H31" s="1499">
        <f>-'Part VII-Pro Forma'!$C91/12</f>
        <v>0</v>
      </c>
    </row>
    <row r="32" spans="1:8" ht="18" customHeight="1">
      <c r="A32" s="1498">
        <v>23</v>
      </c>
      <c r="B32" s="1499">
        <f>-'Part VII-Pro Forma'!$D89/12</f>
        <v>60660.139521564175</v>
      </c>
      <c r="D32" s="1498">
        <v>23</v>
      </c>
      <c r="E32" s="1499">
        <f>-'Part VII-Pro Forma'!$D90/12</f>
        <v>0</v>
      </c>
      <c r="G32" s="1498">
        <v>23</v>
      </c>
      <c r="H32" s="1499">
        <f>-'Part VII-Pro Forma'!$D91/12</f>
        <v>0</v>
      </c>
    </row>
    <row r="33" spans="1:8" ht="18" customHeight="1">
      <c r="A33" s="1498">
        <v>24</v>
      </c>
      <c r="B33" s="1499">
        <f>-'Part VII-Pro Forma'!$E89/12</f>
        <v>60660.139521564175</v>
      </c>
      <c r="D33" s="1498">
        <v>24</v>
      </c>
      <c r="E33" s="1499">
        <f>-'Part VII-Pro Forma'!$E90/12</f>
        <v>0</v>
      </c>
      <c r="G33" s="1498">
        <v>24</v>
      </c>
      <c r="H33" s="1499">
        <f>-'Part VII-Pro Forma'!$E91/12</f>
        <v>0</v>
      </c>
    </row>
    <row r="34" spans="1:8" ht="18" customHeight="1">
      <c r="A34" s="2422">
        <v>25</v>
      </c>
      <c r="B34" s="2423">
        <f>-'Part VII-Pro Forma'!$F89/12</f>
        <v>60660.139521564175</v>
      </c>
      <c r="D34" s="2422">
        <v>25</v>
      </c>
      <c r="E34" s="2423">
        <f>-'Part VII-Pro Forma'!$F90/12</f>
        <v>0</v>
      </c>
      <c r="G34" s="2422">
        <v>25</v>
      </c>
      <c r="H34" s="2423">
        <f>-'Part VII-Pro Forma'!$F91/12</f>
        <v>0</v>
      </c>
    </row>
    <row r="35" spans="1:8" ht="18" customHeight="1">
      <c r="A35" s="1498">
        <v>26</v>
      </c>
      <c r="B35" s="1499">
        <f>-'Part VII-Pro Forma'!$G89/12</f>
        <v>60660.139521564175</v>
      </c>
      <c r="D35" s="1498">
        <v>26</v>
      </c>
      <c r="E35" s="1499">
        <f>-'Part VII-Pro Forma'!$G90/12</f>
        <v>0</v>
      </c>
      <c r="G35" s="1498">
        <v>26</v>
      </c>
      <c r="H35" s="1499">
        <f>-'Part VII-Pro Forma'!$G91/12</f>
        <v>0</v>
      </c>
    </row>
    <row r="36" spans="1:8" ht="18" customHeight="1">
      <c r="A36" s="1498">
        <v>27</v>
      </c>
      <c r="B36" s="1499">
        <f>-'Part VII-Pro Forma'!$H89/12</f>
        <v>60660.139521564175</v>
      </c>
      <c r="D36" s="1498">
        <v>27</v>
      </c>
      <c r="E36" s="1499">
        <f>-'Part VII-Pro Forma'!$H90/12</f>
        <v>0</v>
      </c>
      <c r="G36" s="1498">
        <v>27</v>
      </c>
      <c r="H36" s="1499">
        <f>-'Part VII-Pro Forma'!$H91/12</f>
        <v>0</v>
      </c>
    </row>
    <row r="37" spans="1:8" ht="18" customHeight="1">
      <c r="A37" s="1498">
        <v>28</v>
      </c>
      <c r="B37" s="1499">
        <f>-'Part VII-Pro Forma'!$I89/12</f>
        <v>60660.139521564175</v>
      </c>
      <c r="D37" s="1498">
        <v>28</v>
      </c>
      <c r="E37" s="1499">
        <f>-'Part VII-Pro Forma'!$I90/12</f>
        <v>0</v>
      </c>
      <c r="G37" s="1498">
        <v>28</v>
      </c>
      <c r="H37" s="1499">
        <f>-'Part VII-Pro Forma'!$I91/12</f>
        <v>0</v>
      </c>
    </row>
    <row r="38" spans="1:8" ht="18" customHeight="1">
      <c r="A38" s="1498">
        <v>29</v>
      </c>
      <c r="B38" s="1499">
        <f>-'Part VII-Pro Forma'!$J89/12</f>
        <v>60660.139521564175</v>
      </c>
      <c r="D38" s="1498">
        <v>29</v>
      </c>
      <c r="E38" s="1499">
        <f>-'Part VII-Pro Forma'!$J90/12</f>
        <v>0</v>
      </c>
      <c r="G38" s="1498">
        <v>29</v>
      </c>
      <c r="H38" s="1499">
        <f>-'Part VII-Pro Forma'!$J91/12</f>
        <v>0</v>
      </c>
    </row>
    <row r="39" spans="1:8" ht="18" customHeight="1">
      <c r="A39" s="2422">
        <v>30</v>
      </c>
      <c r="B39" s="2423">
        <f>-'Part VII-Pro Forma'!$K89/12</f>
        <v>60660.139521564175</v>
      </c>
      <c r="D39" s="2422">
        <v>30</v>
      </c>
      <c r="E39" s="2423">
        <f>-'Part VII-Pro Forma'!$K90/12</f>
        <v>0</v>
      </c>
      <c r="G39" s="2422">
        <v>30</v>
      </c>
      <c r="H39" s="2423">
        <f>-'Part VII-Pro Forma'!$K91/12</f>
        <v>0</v>
      </c>
    </row>
    <row r="40" spans="1:8" ht="18" customHeight="1">
      <c r="A40" s="1500">
        <v>31</v>
      </c>
      <c r="B40" s="1499">
        <f>-'Part VII-Pro Forma'!$B119/12</f>
        <v>60660.139521564175</v>
      </c>
      <c r="D40" s="1500">
        <v>31</v>
      </c>
      <c r="E40" s="1499">
        <f>-'Part VII-Pro Forma'!$B120/12</f>
        <v>0</v>
      </c>
      <c r="G40" s="1500">
        <v>31</v>
      </c>
      <c r="H40" s="1499">
        <f>-'Part VII-Pro Forma'!$B121/12</f>
        <v>0</v>
      </c>
    </row>
    <row r="41" spans="1:8" ht="18" customHeight="1">
      <c r="A41" s="1500">
        <v>32</v>
      </c>
      <c r="B41" s="1499">
        <f>-'Part VII-Pro Forma'!$C119/12</f>
        <v>60660.139521564175</v>
      </c>
      <c r="D41" s="1500">
        <v>32</v>
      </c>
      <c r="E41" s="1499">
        <f>-'Part VII-Pro Forma'!$C120/12</f>
        <v>0</v>
      </c>
      <c r="G41" s="1500">
        <v>32</v>
      </c>
      <c r="H41" s="1499">
        <f>-'Part VII-Pro Forma'!$C121/12</f>
        <v>0</v>
      </c>
    </row>
    <row r="42" spans="1:8" ht="18" customHeight="1">
      <c r="A42" s="1498">
        <v>33</v>
      </c>
      <c r="B42" s="1499">
        <f>-'Part VII-Pro Forma'!$D119/12</f>
        <v>60660.139521564175</v>
      </c>
      <c r="D42" s="1498">
        <v>33</v>
      </c>
      <c r="E42" s="1499">
        <f>-'Part VII-Pro Forma'!$D120/12</f>
        <v>0</v>
      </c>
      <c r="G42" s="1498">
        <v>33</v>
      </c>
      <c r="H42" s="1499">
        <f>-'Part VII-Pro Forma'!$D121/12</f>
        <v>0</v>
      </c>
    </row>
    <row r="43" spans="1:8" ht="18" customHeight="1">
      <c r="A43" s="1498">
        <v>34</v>
      </c>
      <c r="B43" s="1499">
        <f>-'Part VII-Pro Forma'!$E119/12</f>
        <v>60660.139521564175</v>
      </c>
      <c r="D43" s="1498">
        <v>34</v>
      </c>
      <c r="E43" s="1499">
        <f>-'Part VII-Pro Forma'!$E120/12</f>
        <v>0</v>
      </c>
      <c r="G43" s="1498">
        <v>34</v>
      </c>
      <c r="H43" s="1499">
        <f>-'Part VII-Pro Forma'!$E121/12</f>
        <v>0</v>
      </c>
    </row>
    <row r="44" spans="1:8" ht="18" customHeight="1">
      <c r="A44" s="1498">
        <v>35</v>
      </c>
      <c r="B44" s="1499">
        <f>-'Part VII-Pro Forma'!$F119/12</f>
        <v>60660.139521564175</v>
      </c>
      <c r="D44" s="1498">
        <v>35</v>
      </c>
      <c r="E44" s="1499">
        <f>-'Part VII-Pro Forma'!$F120/12</f>
        <v>0</v>
      </c>
      <c r="G44" s="1498">
        <v>35</v>
      </c>
      <c r="H44" s="1499">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activeCell="P75" sqref="P75"/>
    </sheetView>
  </sheetViews>
  <sheetFormatPr defaultColWidth="9.109375" defaultRowHeight="13.8"/>
  <cols>
    <col min="1" max="1" width="3.109375" style="344" customWidth="1"/>
    <col min="2" max="2" width="2.109375" style="368" customWidth="1"/>
    <col min="3" max="16" width="8.88671875" style="344" customWidth="1"/>
    <col min="17" max="17" width="9.109375" style="344"/>
    <col min="18" max="18" width="10.33203125" style="344" bestFit="1" customWidth="1"/>
    <col min="19" max="19" width="9.109375" style="344"/>
    <col min="20" max="20" width="10.33203125" style="344" bestFit="1" customWidth="1"/>
    <col min="21" max="16384" width="9.109375" style="344"/>
  </cols>
  <sheetData>
    <row r="1" spans="1:16" s="323" customFormat="1" ht="14.1" customHeight="1">
      <c r="A1" s="3009" t="str">
        <f>CONCATENATE("PART ONE - PROJECT INFORMATION"," - ",$O$6," ",$F$34,", ",'Part I-Project Information'!F38,", ",'Part I-Project Information'!J39," County")</f>
        <v>PART ONE - PROJECT INFORMATION - 2020-5 Lakeview Terrace, Augusta, Richmond County</v>
      </c>
      <c r="B1" s="3010"/>
      <c r="C1" s="3010"/>
      <c r="D1" s="3010"/>
      <c r="E1" s="3010"/>
      <c r="F1" s="3010"/>
      <c r="G1" s="3010"/>
      <c r="H1" s="3010"/>
      <c r="I1" s="3010"/>
      <c r="J1" s="3010"/>
      <c r="K1" s="3010"/>
      <c r="L1" s="3010"/>
      <c r="M1" s="3010"/>
      <c r="N1" s="3010"/>
      <c r="O1" s="3010"/>
      <c r="P1" s="3011"/>
    </row>
    <row r="2" spans="1:16" s="323" customFormat="1" ht="6" customHeight="1">
      <c r="A2" s="975"/>
      <c r="B2" s="975"/>
      <c r="C2" s="975"/>
      <c r="D2" s="975"/>
      <c r="E2" s="975"/>
      <c r="F2" s="975"/>
      <c r="G2" s="975"/>
      <c r="H2" s="975"/>
      <c r="I2" s="975"/>
      <c r="J2" s="975"/>
      <c r="K2" s="975"/>
      <c r="L2" s="975"/>
      <c r="M2" s="975"/>
      <c r="N2" s="975"/>
      <c r="O2" s="975"/>
      <c r="P2" s="975"/>
    </row>
    <row r="3" spans="1:16" s="323" customFormat="1" ht="37.5" customHeight="1">
      <c r="A3" s="3025" t="s">
        <v>6955</v>
      </c>
      <c r="B3" s="3025"/>
      <c r="C3" s="3025"/>
      <c r="D3" s="3025"/>
      <c r="E3" s="3025"/>
      <c r="F3" s="3025"/>
      <c r="G3" s="3025"/>
      <c r="H3" s="3025"/>
      <c r="I3" s="3025"/>
      <c r="J3" s="3025"/>
      <c r="K3" s="3025"/>
      <c r="L3" s="3025"/>
      <c r="M3" s="3025"/>
      <c r="N3" s="3025"/>
      <c r="O3" s="3025"/>
      <c r="P3" s="3025"/>
    </row>
    <row r="4" spans="1:16" s="323" customFormat="1" ht="6" customHeight="1">
      <c r="A4" s="975"/>
      <c r="B4" s="975"/>
      <c r="C4" s="975"/>
      <c r="D4" s="975"/>
      <c r="E4" s="975"/>
      <c r="F4" s="975"/>
      <c r="G4" s="975"/>
      <c r="H4" s="975"/>
      <c r="I4" s="975"/>
      <c r="J4" s="975"/>
      <c r="K4" s="975"/>
      <c r="L4" s="975"/>
      <c r="M4" s="975"/>
      <c r="N4" s="975"/>
      <c r="O4" s="975"/>
      <c r="P4" s="975"/>
    </row>
    <row r="5" spans="1:16" s="323" customFormat="1" ht="12" customHeight="1" thickBot="1">
      <c r="B5" s="297" t="s">
        <v>2304</v>
      </c>
      <c r="F5" s="324"/>
      <c r="G5" s="299" t="s">
        <v>4331</v>
      </c>
      <c r="L5" s="975"/>
      <c r="P5" s="1263" t="s">
        <v>3654</v>
      </c>
    </row>
    <row r="6" spans="1:16" s="323" customFormat="1" ht="12" customHeight="1" thickBot="1">
      <c r="B6" s="3026" t="s">
        <v>6963</v>
      </c>
      <c r="C6" s="3026"/>
      <c r="D6" s="3026"/>
      <c r="E6" s="1526"/>
      <c r="F6" s="326"/>
      <c r="G6" s="299" t="s">
        <v>4330</v>
      </c>
      <c r="H6" s="1203"/>
      <c r="I6" s="1203"/>
      <c r="J6" s="1203"/>
      <c r="O6" s="3012" t="s">
        <v>6962</v>
      </c>
      <c r="P6" s="3013"/>
    </row>
    <row r="7" spans="1:16" s="323" customFormat="1" ht="12" customHeight="1">
      <c r="B7" s="3026"/>
      <c r="C7" s="3026"/>
      <c r="D7" s="3026"/>
      <c r="E7" s="1526"/>
      <c r="F7" s="590"/>
      <c r="G7" s="191" t="s">
        <v>3213</v>
      </c>
      <c r="H7" s="1203"/>
      <c r="I7" s="1203"/>
      <c r="J7" s="1203"/>
    </row>
    <row r="8" spans="1:16" s="323" customFormat="1" ht="6" customHeight="1">
      <c r="A8" s="535"/>
      <c r="B8" s="3026"/>
      <c r="C8" s="3026"/>
      <c r="D8" s="3026"/>
      <c r="E8" s="1203"/>
      <c r="H8" s="1203"/>
      <c r="I8" s="1203"/>
      <c r="M8" s="1203"/>
    </row>
    <row r="9" spans="1:16" s="323" customFormat="1" ht="13.35" customHeight="1">
      <c r="A9" s="325" t="s">
        <v>598</v>
      </c>
      <c r="B9" s="325" t="s">
        <v>2315</v>
      </c>
      <c r="D9" s="300"/>
      <c r="E9" s="327"/>
      <c r="F9" s="328" t="s">
        <v>3609</v>
      </c>
      <c r="I9" s="3014">
        <f>'Part IV-A-Uses of Funds'!$J$184</f>
        <v>2001110</v>
      </c>
      <c r="J9" s="3015"/>
      <c r="L9" s="323" t="s">
        <v>3610</v>
      </c>
      <c r="O9" s="3016">
        <f>'Part III-Sources of Funds'!$H$5</f>
        <v>0</v>
      </c>
      <c r="P9" s="3017"/>
    </row>
    <row r="10" spans="1:16" s="323" customFormat="1" ht="6" customHeight="1">
      <c r="A10" s="325"/>
      <c r="B10" s="325"/>
      <c r="D10" s="300"/>
      <c r="E10" s="327"/>
      <c r="F10" s="327"/>
      <c r="I10" s="329"/>
      <c r="N10" s="330"/>
    </row>
    <row r="11" spans="1:16" s="323" customFormat="1" ht="13.35" customHeight="1">
      <c r="A11" s="329" t="s">
        <v>722</v>
      </c>
      <c r="B11" s="325" t="s">
        <v>1992</v>
      </c>
      <c r="F11" s="3018" t="s">
        <v>7000</v>
      </c>
      <c r="G11" s="3019"/>
      <c r="H11" s="3020"/>
      <c r="I11" s="1074" t="s">
        <v>3538</v>
      </c>
      <c r="J11" s="561" t="s">
        <v>4800</v>
      </c>
      <c r="K11" s="335"/>
      <c r="L11" s="1203"/>
      <c r="O11" s="3021" t="s">
        <v>7010</v>
      </c>
      <c r="P11" s="3022"/>
    </row>
    <row r="12" spans="1:16" s="323" customFormat="1" ht="12.75" customHeight="1">
      <c r="A12" s="535"/>
      <c r="B12" s="1953"/>
      <c r="C12" s="1953"/>
      <c r="D12" s="1953"/>
      <c r="E12" s="1953"/>
      <c r="H12" s="1203"/>
      <c r="J12" s="1452" t="s">
        <v>4468</v>
      </c>
      <c r="K12" s="297"/>
      <c r="M12" s="1203"/>
      <c r="O12" s="3027" t="s">
        <v>7011</v>
      </c>
      <c r="P12" s="3028"/>
    </row>
    <row r="13" spans="1:16" s="323" customFormat="1" ht="3" customHeight="1">
      <c r="A13" s="535"/>
      <c r="B13" s="1953"/>
      <c r="C13" s="1953"/>
      <c r="D13" s="1953"/>
      <c r="E13" s="1953"/>
      <c r="H13" s="1203"/>
      <c r="J13" s="562"/>
      <c r="K13" s="297"/>
      <c r="M13" s="1203"/>
    </row>
    <row r="14" spans="1:16" s="323" customFormat="1" ht="12.75" customHeight="1">
      <c r="A14" s="535"/>
      <c r="B14" s="1953" t="s">
        <v>4825</v>
      </c>
      <c r="C14" s="1953"/>
      <c r="D14" s="1953"/>
      <c r="E14" s="1953"/>
      <c r="F14" s="340" t="s">
        <v>2889</v>
      </c>
      <c r="G14" s="1937" t="s">
        <v>4826</v>
      </c>
      <c r="N14" s="3018" t="s">
        <v>4469</v>
      </c>
      <c r="O14" s="3019"/>
      <c r="P14" s="3020"/>
    </row>
    <row r="15" spans="1:16" s="323" customFormat="1" ht="12.75" customHeight="1">
      <c r="A15" s="535"/>
      <c r="B15" s="323" t="s">
        <v>4808</v>
      </c>
      <c r="D15" s="335"/>
      <c r="F15" s="2958"/>
      <c r="G15" s="3029"/>
      <c r="H15" s="3029"/>
      <c r="I15" s="3030"/>
      <c r="J15" s="323" t="s">
        <v>4522</v>
      </c>
      <c r="L15" s="2986"/>
      <c r="M15" s="2988"/>
      <c r="N15" s="323" t="s">
        <v>4521</v>
      </c>
      <c r="P15" s="1308"/>
    </row>
    <row r="16" spans="1:16" s="323" customFormat="1" ht="12.75" customHeight="1">
      <c r="A16" s="535"/>
      <c r="B16" s="323" t="s">
        <v>3608</v>
      </c>
      <c r="F16" s="340"/>
      <c r="G16" s="323" t="s">
        <v>4459</v>
      </c>
      <c r="H16" s="1203"/>
      <c r="I16" s="191"/>
      <c r="J16" s="562"/>
      <c r="N16" s="3031" t="s">
        <v>2783</v>
      </c>
      <c r="O16" s="3032"/>
      <c r="P16" s="3033"/>
    </row>
    <row r="17" spans="1:16" s="323" customFormat="1" ht="6" customHeight="1">
      <c r="I17" s="187"/>
      <c r="J17" s="187"/>
      <c r="K17" s="187"/>
      <c r="L17" s="187"/>
      <c r="M17" s="187"/>
      <c r="N17" s="187"/>
      <c r="O17" s="187"/>
      <c r="P17" s="187"/>
    </row>
    <row r="18" spans="1:16" s="323" customFormat="1" ht="13.35" customHeight="1">
      <c r="A18" s="329" t="s">
        <v>724</v>
      </c>
      <c r="B18" s="325" t="s">
        <v>4121</v>
      </c>
      <c r="D18" s="328"/>
      <c r="E18" s="327"/>
      <c r="G18" s="331"/>
      <c r="H18" s="331"/>
      <c r="I18" s="331"/>
      <c r="L18" s="330"/>
    </row>
    <row r="19" spans="1:16" s="323" customFormat="1" ht="1.5" customHeight="1">
      <c r="A19" s="329"/>
      <c r="B19" s="327"/>
      <c r="C19" s="325"/>
      <c r="D19" s="328"/>
      <c r="E19" s="327"/>
      <c r="G19" s="331"/>
      <c r="H19" s="331"/>
      <c r="I19" s="331"/>
      <c r="K19" s="330"/>
      <c r="L19" s="330"/>
      <c r="O19" s="975"/>
    </row>
    <row r="20" spans="1:16" s="323" customFormat="1" ht="13.35" customHeight="1">
      <c r="B20" s="323" t="s">
        <v>3661</v>
      </c>
      <c r="F20" s="3060" t="s">
        <v>7013</v>
      </c>
      <c r="G20" s="3061"/>
      <c r="H20" s="3062"/>
      <c r="I20" s="1754" t="s">
        <v>1753</v>
      </c>
      <c r="J20" s="3060" t="s">
        <v>7017</v>
      </c>
      <c r="K20" s="3061"/>
      <c r="L20" s="3062"/>
      <c r="M20" s="362" t="s">
        <v>1933</v>
      </c>
      <c r="N20" s="3065" t="s">
        <v>7018</v>
      </c>
      <c r="O20" s="3066"/>
      <c r="P20" s="3067"/>
    </row>
    <row r="21" spans="1:16" s="323" customFormat="1" ht="13.35" customHeight="1">
      <c r="B21" s="328" t="s">
        <v>1934</v>
      </c>
      <c r="F21" s="2967" t="s">
        <v>7014</v>
      </c>
      <c r="G21" s="2914"/>
      <c r="H21" s="2914"/>
      <c r="I21" s="2912"/>
      <c r="J21" s="2914"/>
      <c r="K21" s="2968"/>
      <c r="L21" s="2937"/>
      <c r="M21" s="3023" t="s">
        <v>3660</v>
      </c>
      <c r="N21" s="3024"/>
      <c r="O21" s="3024"/>
      <c r="P21" s="3024"/>
    </row>
    <row r="22" spans="1:16" s="323" customFormat="1" ht="13.35" customHeight="1">
      <c r="B22" s="328" t="s">
        <v>600</v>
      </c>
      <c r="F22" s="2967" t="s">
        <v>7015</v>
      </c>
      <c r="G22" s="2914"/>
      <c r="H22" s="2969"/>
      <c r="I22" s="328" t="s">
        <v>1754</v>
      </c>
      <c r="J22" s="2860" t="s">
        <v>827</v>
      </c>
      <c r="M22" s="3023"/>
      <c r="N22" s="3023"/>
      <c r="O22" s="3023"/>
      <c r="P22" s="3023"/>
    </row>
    <row r="23" spans="1:16" s="323" customFormat="1" ht="13.35" customHeight="1">
      <c r="B23" s="1287" t="s">
        <v>2173</v>
      </c>
      <c r="F23" s="3036">
        <v>347870000</v>
      </c>
      <c r="G23" s="3063"/>
      <c r="H23" s="3037"/>
      <c r="I23" s="328" t="s">
        <v>1678</v>
      </c>
      <c r="J23" s="3057">
        <v>4074614651</v>
      </c>
      <c r="K23" s="3058"/>
      <c r="L23" s="1191" t="s">
        <v>1677</v>
      </c>
      <c r="M23" s="941"/>
      <c r="N23" s="1188" t="s">
        <v>1679</v>
      </c>
      <c r="O23" s="3059">
        <v>4074614651</v>
      </c>
      <c r="P23" s="3058"/>
    </row>
    <row r="24" spans="1:16" s="323" customFormat="1" ht="13.35" customHeight="1">
      <c r="B24" s="1287" t="s">
        <v>1937</v>
      </c>
      <c r="F24" s="2911" t="s">
        <v>7016</v>
      </c>
      <c r="G24" s="2912"/>
      <c r="H24" s="2912"/>
      <c r="I24" s="3064"/>
      <c r="J24" s="2912"/>
      <c r="K24" s="2913"/>
      <c r="N24" s="1188" t="s">
        <v>1932</v>
      </c>
      <c r="O24" s="2954">
        <v>4074614651</v>
      </c>
      <c r="P24" s="2956"/>
    </row>
    <row r="25" spans="1:16" s="323" customFormat="1" ht="13.5" customHeight="1">
      <c r="A25" s="535"/>
      <c r="B25" s="325" t="s">
        <v>4120</v>
      </c>
      <c r="C25" s="333"/>
      <c r="D25" s="1198"/>
      <c r="E25" s="1198"/>
      <c r="F25" s="1198"/>
      <c r="H25" s="1203"/>
      <c r="I25" s="1198"/>
      <c r="J25" s="333"/>
      <c r="K25" s="1198"/>
      <c r="P25" s="334"/>
    </row>
    <row r="26" spans="1:16" s="323" customFormat="1" ht="13.35" customHeight="1">
      <c r="B26" s="323" t="s">
        <v>3661</v>
      </c>
      <c r="F26" s="3060" t="s">
        <v>7019</v>
      </c>
      <c r="G26" s="3061"/>
      <c r="H26" s="3062"/>
      <c r="I26" s="1754" t="s">
        <v>1753</v>
      </c>
      <c r="J26" s="2853" t="s">
        <v>7022</v>
      </c>
      <c r="K26" s="2854"/>
      <c r="L26" s="2855"/>
      <c r="M26" s="362" t="s">
        <v>1933</v>
      </c>
      <c r="N26" s="2986" t="s">
        <v>7023</v>
      </c>
      <c r="O26" s="2987"/>
      <c r="P26" s="2988"/>
    </row>
    <row r="27" spans="1:16" s="323" customFormat="1" ht="13.35" customHeight="1">
      <c r="B27" s="328" t="s">
        <v>1934</v>
      </c>
      <c r="F27" s="2967" t="s">
        <v>7020</v>
      </c>
      <c r="G27" s="2914"/>
      <c r="H27" s="2914"/>
      <c r="I27" s="2912"/>
      <c r="J27" s="2914"/>
      <c r="K27" s="2968"/>
      <c r="L27" s="2937"/>
      <c r="M27" s="3023" t="s">
        <v>3660</v>
      </c>
      <c r="N27" s="3024"/>
      <c r="O27" s="3024"/>
      <c r="P27" s="3024"/>
    </row>
    <row r="28" spans="1:16" s="323" customFormat="1" ht="13.35" customHeight="1">
      <c r="B28" s="328" t="s">
        <v>600</v>
      </c>
      <c r="F28" s="2967" t="s">
        <v>1124</v>
      </c>
      <c r="G28" s="2914"/>
      <c r="H28" s="2969"/>
      <c r="I28" s="328" t="s">
        <v>1754</v>
      </c>
      <c r="J28" s="2862" t="s">
        <v>827</v>
      </c>
      <c r="M28" s="3023"/>
      <c r="N28" s="3023"/>
      <c r="O28" s="3023"/>
      <c r="P28" s="3023"/>
    </row>
    <row r="29" spans="1:16" s="323" customFormat="1" ht="13.35" customHeight="1">
      <c r="B29" s="1361" t="s">
        <v>2173</v>
      </c>
      <c r="F29" s="3036">
        <v>322160927</v>
      </c>
      <c r="G29" s="3063"/>
      <c r="H29" s="3037"/>
      <c r="I29" s="328" t="s">
        <v>1678</v>
      </c>
      <c r="J29" s="3057">
        <v>9042790131</v>
      </c>
      <c r="K29" s="3058"/>
      <c r="L29" s="1362" t="s">
        <v>1677</v>
      </c>
      <c r="M29" s="941"/>
      <c r="N29" s="1361" t="s">
        <v>1679</v>
      </c>
      <c r="O29" s="3059">
        <v>9042790131</v>
      </c>
      <c r="P29" s="3058"/>
    </row>
    <row r="30" spans="1:16" s="323" customFormat="1" ht="13.35" customHeight="1">
      <c r="B30" s="1361" t="s">
        <v>1937</v>
      </c>
      <c r="F30" s="2864" t="s">
        <v>7021</v>
      </c>
      <c r="G30" s="2865"/>
      <c r="H30" s="2865"/>
      <c r="I30" s="2859"/>
      <c r="J30" s="2865"/>
      <c r="K30" s="2866"/>
      <c r="N30" s="1361" t="s">
        <v>1932</v>
      </c>
      <c r="O30" s="2954">
        <v>9046730639</v>
      </c>
      <c r="P30" s="2956"/>
    </row>
    <row r="31" spans="1:16" s="323" customFormat="1" ht="6" customHeight="1">
      <c r="A31" s="535"/>
      <c r="B31" s="535"/>
      <c r="C31" s="333"/>
      <c r="D31" s="1364"/>
      <c r="E31" s="1364"/>
      <c r="F31" s="1364"/>
      <c r="H31" s="1365"/>
      <c r="I31" s="1364"/>
      <c r="J31" s="333"/>
      <c r="K31" s="1364"/>
      <c r="P31" s="334"/>
    </row>
    <row r="32" spans="1:16" s="323" customFormat="1" ht="13.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599</v>
      </c>
      <c r="D34" s="335"/>
      <c r="F34" s="3040" t="s">
        <v>7024</v>
      </c>
      <c r="G34" s="3041"/>
      <c r="H34" s="3041"/>
      <c r="I34" s="3041"/>
      <c r="J34" s="3041"/>
      <c r="K34" s="3042"/>
      <c r="L34" s="1188" t="s">
        <v>2142</v>
      </c>
      <c r="O34" s="2906" t="s">
        <v>2889</v>
      </c>
      <c r="P34" s="2908"/>
    </row>
    <row r="35" spans="1:16" s="323" customFormat="1" ht="13.35" customHeight="1">
      <c r="A35" s="336"/>
      <c r="B35" s="323" t="s">
        <v>2620</v>
      </c>
      <c r="D35" s="337"/>
      <c r="F35" s="2900" t="s">
        <v>7025</v>
      </c>
      <c r="G35" s="2901"/>
      <c r="H35" s="2901"/>
      <c r="I35" s="2901"/>
      <c r="J35" s="2901"/>
      <c r="K35" s="2902"/>
      <c r="L35" s="323" t="s">
        <v>3510</v>
      </c>
      <c r="O35" s="2936"/>
      <c r="P35" s="2969"/>
    </row>
    <row r="36" spans="1:16" s="323" customFormat="1" ht="13.35" customHeight="1">
      <c r="A36" s="336"/>
      <c r="B36" s="323" t="s">
        <v>2649</v>
      </c>
      <c r="D36" s="337"/>
      <c r="F36" s="2936"/>
      <c r="G36" s="2914"/>
      <c r="H36" s="2914"/>
      <c r="I36" s="2968"/>
      <c r="J36" s="2914"/>
      <c r="K36" s="2969"/>
      <c r="L36" s="1188" t="s">
        <v>2002</v>
      </c>
      <c r="N36" s="941" t="s">
        <v>2889</v>
      </c>
      <c r="O36" s="1203" t="s">
        <v>3509</v>
      </c>
      <c r="P36" s="1307"/>
    </row>
    <row r="37" spans="1:16" s="323" customFormat="1" ht="13.35" customHeight="1">
      <c r="A37" s="336"/>
      <c r="B37" s="323" t="s">
        <v>3556</v>
      </c>
      <c r="D37" s="337"/>
      <c r="F37" s="323" t="s">
        <v>3539</v>
      </c>
      <c r="G37" s="3034">
        <v>33.438645000000001</v>
      </c>
      <c r="H37" s="3035"/>
      <c r="I37" s="1191" t="s">
        <v>3540</v>
      </c>
      <c r="J37" s="3034">
        <v>-82.109924000000007</v>
      </c>
      <c r="K37" s="3035"/>
      <c r="L37" s="1188" t="s">
        <v>2225</v>
      </c>
      <c r="O37" s="2964">
        <v>32.26</v>
      </c>
      <c r="P37" s="2965"/>
    </row>
    <row r="38" spans="1:16" s="323" customFormat="1" ht="13.35" customHeight="1">
      <c r="A38" s="535"/>
      <c r="B38" s="323" t="s">
        <v>600</v>
      </c>
      <c r="F38" s="2906" t="s">
        <v>1303</v>
      </c>
      <c r="G38" s="3007"/>
      <c r="H38" s="3008"/>
      <c r="I38" s="342" t="s">
        <v>2621</v>
      </c>
      <c r="J38" s="3036">
        <v>309090000</v>
      </c>
      <c r="K38" s="3037"/>
      <c r="L38" s="418" t="str">
        <f>IF(AND(NOT(F34=""),NOT(F38="Select from list"),J38=""),"Enter Zip!","")</f>
        <v/>
      </c>
      <c r="M38" s="339" t="s">
        <v>2803</v>
      </c>
      <c r="O38" s="3038" t="s">
        <v>7027</v>
      </c>
      <c r="P38" s="3039"/>
    </row>
    <row r="39" spans="1:16" s="323" customFormat="1" ht="13.35" customHeight="1">
      <c r="A39" s="535"/>
      <c r="B39" s="1198" t="s">
        <v>4497</v>
      </c>
      <c r="D39" s="1198"/>
      <c r="F39" s="2936" t="s">
        <v>7026</v>
      </c>
      <c r="G39" s="2968"/>
      <c r="H39" s="2937"/>
      <c r="I39" s="338" t="s">
        <v>601</v>
      </c>
      <c r="J39" s="3049" t="str">
        <f>IF(F38="","",VLOOKUP(F38,'DCA Underwriting Assumptions'!$T$173:$U$801,2,FALSE))</f>
        <v>Richmond</v>
      </c>
      <c r="K39" s="3050"/>
      <c r="M39" s="1188" t="s">
        <v>442</v>
      </c>
      <c r="N39" s="1529" t="s">
        <v>2886</v>
      </c>
      <c r="O39" s="1203" t="s">
        <v>443</v>
      </c>
      <c r="P39" s="1308" t="s">
        <v>2889</v>
      </c>
    </row>
    <row r="40" spans="1:16" s="323" customFormat="1" ht="13.35" customHeight="1">
      <c r="A40" s="535"/>
      <c r="B40" s="325"/>
      <c r="C40" s="323" t="s">
        <v>1525</v>
      </c>
      <c r="F40" s="563" t="s">
        <v>2889</v>
      </c>
      <c r="G40" s="3051" t="s">
        <v>2690</v>
      </c>
      <c r="H40" s="3052"/>
      <c r="I40" s="570" t="str">
        <f>IF($J$39="","",IF(VLOOKUP($J$39,'DCA Underwriting Assumptions'!G173:M332,7,FALSE)="Rural","Yes",IF(VLOOKUP($J$39,'DCA Underwriting Assumptions'!G173:M332,7,FALSE)="Urban","No","")))</f>
        <v>No</v>
      </c>
      <c r="J40" s="1191" t="s">
        <v>2708</v>
      </c>
      <c r="K40" s="2017" t="str">
        <f>IF(OR(F40="Yes",I40="Yes"),"Rural","Urban")</f>
        <v>Urban</v>
      </c>
      <c r="M40" s="1188" t="s">
        <v>2544</v>
      </c>
      <c r="N40" s="2018" t="str">
        <f>VLOOKUP($J$39,'DCA Underwriting Assumptions'!$G$173:$J$332,4)</f>
        <v>MSA</v>
      </c>
      <c r="O40" s="3053" t="str">
        <f>IF($F$38="","",VLOOKUP($J$39,'DCA Underwriting Assumptions'!$G$173:$L$332,3,FALSE))</f>
        <v>Augusta-Richmond Co.</v>
      </c>
      <c r="P40" s="3054"/>
    </row>
    <row r="41" spans="1:16" s="323" customFormat="1" ht="6" customHeight="1">
      <c r="A41" s="535"/>
      <c r="B41" s="325"/>
      <c r="C41" s="325"/>
      <c r="I41" s="328"/>
      <c r="J41" s="1198"/>
      <c r="L41" s="1207"/>
      <c r="M41" s="1207"/>
      <c r="N41" s="1207"/>
      <c r="O41" s="1207"/>
      <c r="P41" s="1207"/>
    </row>
    <row r="42" spans="1:16" s="323" customFormat="1" ht="13.35" customHeight="1">
      <c r="A42" s="535"/>
      <c r="C42" s="323" t="s">
        <v>2658</v>
      </c>
      <c r="F42" s="3055" t="s">
        <v>2673</v>
      </c>
      <c r="G42" s="3055"/>
      <c r="H42" s="3056" t="s">
        <v>718</v>
      </c>
      <c r="I42" s="3056"/>
      <c r="J42" s="3056" t="s">
        <v>719</v>
      </c>
      <c r="K42" s="3056"/>
      <c r="L42" s="554" t="s">
        <v>4386</v>
      </c>
    </row>
    <row r="43" spans="1:16" s="323" customFormat="1" ht="13.35" customHeight="1">
      <c r="A43" s="535"/>
      <c r="B43" s="323" t="s">
        <v>2672</v>
      </c>
      <c r="D43" s="325"/>
      <c r="F43" s="3043">
        <v>12</v>
      </c>
      <c r="G43" s="3044"/>
      <c r="H43" s="3043">
        <v>22</v>
      </c>
      <c r="I43" s="3044"/>
      <c r="J43" s="3043">
        <v>127</v>
      </c>
      <c r="K43" s="3044"/>
      <c r="L43" s="550" t="s">
        <v>1257</v>
      </c>
      <c r="N43" s="3045" t="s">
        <v>1258</v>
      </c>
      <c r="O43" s="3045"/>
      <c r="P43" s="3045"/>
    </row>
    <row r="44" spans="1:16" s="323" customFormat="1" ht="12.75" customHeight="1">
      <c r="A44" s="535"/>
      <c r="B44" s="328" t="s">
        <v>720</v>
      </c>
      <c r="F44" s="3046"/>
      <c r="G44" s="3047"/>
      <c r="H44" s="3046"/>
      <c r="I44" s="3047"/>
      <c r="J44" s="3046"/>
      <c r="K44" s="3047"/>
      <c r="L44" s="550" t="s">
        <v>2671</v>
      </c>
      <c r="N44" s="3048" t="s">
        <v>2670</v>
      </c>
      <c r="O44" s="3048"/>
    </row>
    <row r="45" spans="1:16" s="323" customFormat="1" ht="3" customHeight="1">
      <c r="A45" s="535"/>
      <c r="I45" s="1207"/>
      <c r="J45" s="1207"/>
      <c r="K45" s="1207"/>
      <c r="L45" s="1198"/>
      <c r="M45" s="1198"/>
      <c r="N45" s="1198"/>
      <c r="O45" s="1198"/>
      <c r="P45" s="1198"/>
    </row>
    <row r="46" spans="1:16" s="323" customFormat="1" ht="13.35" customHeight="1">
      <c r="A46" s="535"/>
      <c r="B46" s="325" t="s">
        <v>619</v>
      </c>
      <c r="F46" s="2982" t="s">
        <v>7028</v>
      </c>
      <c r="G46" s="2983"/>
      <c r="H46" s="2983"/>
      <c r="I46" s="2984"/>
      <c r="J46" s="2983"/>
      <c r="K46" s="2985"/>
      <c r="L46" s="971" t="s">
        <v>2625</v>
      </c>
      <c r="M46" s="2986" t="s">
        <v>7032</v>
      </c>
      <c r="N46" s="2987"/>
      <c r="O46" s="2987"/>
      <c r="P46" s="2988"/>
    </row>
    <row r="47" spans="1:16" s="323" customFormat="1" ht="13.35" customHeight="1">
      <c r="A47" s="535"/>
      <c r="B47" s="323" t="s">
        <v>620</v>
      </c>
      <c r="F47" s="2989" t="s">
        <v>7029</v>
      </c>
      <c r="G47" s="2990"/>
      <c r="H47" s="2991"/>
      <c r="I47" s="1192" t="s">
        <v>1933</v>
      </c>
      <c r="J47" s="2900" t="s">
        <v>7030</v>
      </c>
      <c r="K47" s="2902"/>
      <c r="L47" s="971"/>
    </row>
    <row r="48" spans="1:16" s="323" customFormat="1" ht="13.35" customHeight="1">
      <c r="A48" s="535"/>
      <c r="B48" s="323" t="s">
        <v>1934</v>
      </c>
      <c r="F48" s="2992" t="s">
        <v>7031</v>
      </c>
      <c r="G48" s="2993"/>
      <c r="H48" s="2994"/>
      <c r="I48" s="2983"/>
      <c r="J48" s="2993"/>
      <c r="K48" s="2995"/>
      <c r="L48" s="363" t="s">
        <v>600</v>
      </c>
      <c r="M48" s="2996" t="s">
        <v>1303</v>
      </c>
      <c r="N48" s="2997"/>
      <c r="O48" s="2997"/>
      <c r="P48" s="2998"/>
    </row>
    <row r="49" spans="1:19" s="323" customFormat="1" ht="13.35" customHeight="1">
      <c r="A49" s="535"/>
      <c r="B49" s="1188" t="s">
        <v>2173</v>
      </c>
      <c r="F49" s="2999">
        <v>309010000</v>
      </c>
      <c r="G49" s="3000"/>
      <c r="H49" s="1191" t="s">
        <v>1935</v>
      </c>
      <c r="I49" s="3001">
        <v>7068212300</v>
      </c>
      <c r="J49" s="3002"/>
      <c r="K49" s="3003"/>
      <c r="L49" s="328" t="s">
        <v>1755</v>
      </c>
      <c r="M49" s="3004" t="s">
        <v>7033</v>
      </c>
      <c r="N49" s="3005"/>
      <c r="O49" s="3005"/>
      <c r="P49" s="3006"/>
    </row>
    <row r="50" spans="1:19" s="323" customFormat="1" ht="6" customHeight="1">
      <c r="A50" s="535"/>
      <c r="B50" s="535"/>
      <c r="C50" s="341"/>
      <c r="D50" s="342"/>
      <c r="E50" s="342"/>
      <c r="F50" s="1203"/>
      <c r="G50" s="1203"/>
      <c r="H50" s="1203"/>
      <c r="I50" s="1203"/>
      <c r="J50" s="342"/>
      <c r="K50" s="1203"/>
      <c r="L50" s="1203"/>
      <c r="N50" s="1198"/>
      <c r="O50" s="1198"/>
      <c r="P50" s="334"/>
    </row>
    <row r="51" spans="1:19" s="323" customFormat="1" ht="12" customHeight="1">
      <c r="A51" s="329" t="s">
        <v>1750</v>
      </c>
      <c r="B51" s="325" t="s">
        <v>1444</v>
      </c>
      <c r="F51" s="343"/>
      <c r="I51" s="1188"/>
      <c r="J51" s="1198"/>
      <c r="K51" s="1198"/>
      <c r="L51" s="1198"/>
      <c r="M51" s="1198"/>
    </row>
    <row r="52" spans="1:19" s="323" customFormat="1" ht="1.5" customHeight="1">
      <c r="A52" s="535"/>
      <c r="B52" s="325"/>
      <c r="C52" s="325"/>
      <c r="I52" s="1188"/>
      <c r="J52" s="1198"/>
      <c r="K52" s="1198"/>
      <c r="L52" s="1198"/>
      <c r="M52" s="1198"/>
      <c r="N52" s="1198"/>
      <c r="O52" s="1198"/>
      <c r="P52" s="1198"/>
      <c r="Q52" s="1198"/>
    </row>
    <row r="53" spans="1:19" s="323" customFormat="1">
      <c r="A53" s="535"/>
      <c r="B53" s="535" t="s">
        <v>1936</v>
      </c>
      <c r="C53" s="325" t="s">
        <v>700</v>
      </c>
      <c r="I53" s="1198"/>
      <c r="J53" s="1198"/>
      <c r="K53" s="551"/>
      <c r="L53" s="1198"/>
      <c r="M53" s="553"/>
      <c r="N53" s="553"/>
      <c r="O53" s="553"/>
      <c r="P53" s="553"/>
      <c r="Q53" s="1203"/>
    </row>
    <row r="54" spans="1:19" ht="13.35" customHeight="1">
      <c r="B54" s="535"/>
      <c r="C54" s="323" t="s">
        <v>2237</v>
      </c>
      <c r="D54" s="323"/>
      <c r="E54" s="323"/>
      <c r="H54" s="1247">
        <f>'Part VI-Revenues &amp; Expenses'!$P$115</f>
        <v>200</v>
      </c>
      <c r="K54" s="328" t="s">
        <v>3502</v>
      </c>
      <c r="L54" s="323"/>
      <c r="M54" s="1032" t="s">
        <v>3501</v>
      </c>
      <c r="N54" s="345">
        <f>'Part VI-Revenues &amp; Expenses'!$P$122</f>
        <v>0</v>
      </c>
      <c r="O54" s="1033" t="s">
        <v>3251</v>
      </c>
      <c r="P54" s="345">
        <f>'Part VI-Revenues &amp; Expenses'!$P$123</f>
        <v>0</v>
      </c>
      <c r="Q54" s="1203"/>
    </row>
    <row r="55" spans="1:19" s="323" customFormat="1">
      <c r="A55" s="535"/>
      <c r="B55" s="535"/>
      <c r="C55" s="346" t="s">
        <v>342</v>
      </c>
      <c r="H55" s="1248">
        <f>'Part VI-Revenues &amp; Expenses'!$P$121</f>
        <v>0</v>
      </c>
      <c r="K55" s="346" t="s">
        <v>360</v>
      </c>
      <c r="P55" s="345">
        <f>'Part VI-Revenues &amp; Expenses'!$P$125</f>
        <v>0</v>
      </c>
    </row>
    <row r="56" spans="1:19" s="323" customFormat="1" ht="13.35" customHeight="1">
      <c r="B56" s="535"/>
      <c r="C56" s="328" t="s">
        <v>341</v>
      </c>
      <c r="D56" s="1198"/>
      <c r="H56" s="1249">
        <f>'Part VI-Revenues &amp; Expenses'!$P$118</f>
        <v>0</v>
      </c>
      <c r="I56" s="537" t="s">
        <v>2807</v>
      </c>
      <c r="K56" s="323" t="s">
        <v>343</v>
      </c>
      <c r="P56" s="442"/>
      <c r="Q56" s="1203"/>
    </row>
    <row r="57" spans="1:19" s="323" customFormat="1" ht="3.6" customHeight="1">
      <c r="A57" s="535"/>
      <c r="P57" s="1198"/>
    </row>
    <row r="58" spans="1:19" s="323" customFormat="1">
      <c r="A58" s="535"/>
      <c r="B58" s="535" t="s">
        <v>1938</v>
      </c>
      <c r="C58" s="325" t="s">
        <v>2238</v>
      </c>
      <c r="H58" s="332" t="s">
        <v>2889</v>
      </c>
      <c r="K58" s="1198"/>
      <c r="L58" s="1198"/>
      <c r="M58" s="1198"/>
      <c r="N58" s="1198"/>
      <c r="O58" s="553"/>
      <c r="P58" s="551"/>
      <c r="Q58" s="1198"/>
    </row>
    <row r="59" spans="1:19" s="323" customFormat="1" ht="3" customHeight="1">
      <c r="A59" s="535"/>
      <c r="I59" s="1198"/>
      <c r="J59" s="551"/>
      <c r="K59" s="552"/>
      <c r="L59" s="551"/>
      <c r="M59" s="552"/>
      <c r="N59" s="552"/>
      <c r="O59" s="552"/>
      <c r="P59" s="552"/>
      <c r="Q59" s="1198"/>
    </row>
    <row r="60" spans="1:19" s="323" customFormat="1" ht="13.35" customHeight="1">
      <c r="A60" s="535"/>
      <c r="B60" s="336" t="s">
        <v>731</v>
      </c>
      <c r="C60" s="335" t="s">
        <v>2218</v>
      </c>
      <c r="D60" s="1198"/>
      <c r="I60" s="1195" t="s">
        <v>3434</v>
      </c>
      <c r="J60" s="336" t="s">
        <v>2065</v>
      </c>
      <c r="K60" s="347" t="s">
        <v>2243</v>
      </c>
      <c r="M60" s="1198"/>
      <c r="N60" s="1198"/>
      <c r="O60" s="1198"/>
      <c r="P60" s="1203"/>
      <c r="Q60" s="1203"/>
      <c r="R60" s="1203"/>
      <c r="S60" s="1198"/>
    </row>
    <row r="61" spans="1:19" s="323" customFormat="1" ht="13.35" customHeight="1">
      <c r="A61" s="535"/>
      <c r="B61" s="1193"/>
      <c r="C61" s="333" t="s">
        <v>2219</v>
      </c>
      <c r="D61" s="1198"/>
      <c r="E61" s="1198"/>
      <c r="H61" s="717">
        <f>SUM(H62:H68)</f>
        <v>200</v>
      </c>
      <c r="I61" s="717">
        <f>SUM(I62:I68)</f>
        <v>0</v>
      </c>
      <c r="J61" s="535"/>
      <c r="K61" s="333" t="s">
        <v>2682</v>
      </c>
      <c r="M61" s="1198"/>
      <c r="N61" s="1198"/>
      <c r="O61" s="1198"/>
      <c r="P61" s="1697">
        <f>SUM(P62:P68)</f>
        <v>222230</v>
      </c>
    </row>
    <row r="62" spans="1:19" s="323" customFormat="1" ht="13.35" customHeight="1">
      <c r="A62" s="535"/>
      <c r="B62" s="1692"/>
      <c r="C62" s="333"/>
      <c r="D62" s="349" t="s">
        <v>4222</v>
      </c>
      <c r="E62" s="1693"/>
      <c r="H62" s="933">
        <f>'Part VI-Revenues &amp; Expenses'!$P$56</f>
        <v>0</v>
      </c>
      <c r="I62" s="933">
        <f>'Part VI-Revenues &amp; Expenses'!$P$93</f>
        <v>0</v>
      </c>
      <c r="J62" s="535"/>
      <c r="K62" s="333"/>
      <c r="L62" s="349" t="s">
        <v>4222</v>
      </c>
      <c r="M62" s="1693"/>
      <c r="N62" s="1693"/>
      <c r="O62" s="1693"/>
      <c r="P62" s="933">
        <f>'Part VI-Revenues &amp; Expenses'!$P$159</f>
        <v>0</v>
      </c>
    </row>
    <row r="63" spans="1:19" s="323" customFormat="1" ht="13.35" customHeight="1">
      <c r="A63" s="535"/>
      <c r="B63" s="1692"/>
      <c r="C63" s="333"/>
      <c r="D63" s="349" t="s">
        <v>4223</v>
      </c>
      <c r="E63" s="1693"/>
      <c r="H63" s="1699">
        <f>'Part VI-Revenues &amp; Expenses'!$P$57</f>
        <v>0</v>
      </c>
      <c r="I63" s="1699">
        <f>'Part VI-Revenues &amp; Expenses'!$P$94</f>
        <v>0</v>
      </c>
      <c r="J63" s="535"/>
      <c r="K63" s="333"/>
      <c r="L63" s="349" t="s">
        <v>4223</v>
      </c>
      <c r="M63" s="1693"/>
      <c r="N63" s="1693"/>
      <c r="O63" s="1693"/>
      <c r="P63" s="1699">
        <f>'Part VI-Revenues &amp; Expenses'!$P$160</f>
        <v>0</v>
      </c>
    </row>
    <row r="64" spans="1:19" s="323" customFormat="1" ht="13.35" customHeight="1">
      <c r="A64" s="535"/>
      <c r="B64" s="344"/>
      <c r="D64" s="349" t="s">
        <v>4220</v>
      </c>
      <c r="E64" s="349"/>
      <c r="H64" s="1699">
        <f>'Part VI-Revenues &amp; Expenses'!$P$58</f>
        <v>200</v>
      </c>
      <c r="I64" s="1699">
        <f>'Part VI-Revenues &amp; Expenses'!$P$95</f>
        <v>0</v>
      </c>
      <c r="L64" s="349" t="s">
        <v>4220</v>
      </c>
      <c r="O64" s="1693"/>
      <c r="P64" s="1699">
        <f>'Part VI-Revenues &amp; Expenses'!$P$161</f>
        <v>222230</v>
      </c>
    </row>
    <row r="65" spans="1:16" s="323" customFormat="1" ht="13.35" customHeight="1">
      <c r="A65" s="535"/>
      <c r="D65" s="349" t="s">
        <v>4221</v>
      </c>
      <c r="E65" s="1198"/>
      <c r="H65" s="1699">
        <f>'Part VI-Revenues &amp; Expenses'!$P$59</f>
        <v>0</v>
      </c>
      <c r="I65" s="1699">
        <f>'Part VI-Revenues &amp; Expenses'!$P$96</f>
        <v>0</v>
      </c>
      <c r="L65" s="349" t="s">
        <v>4221</v>
      </c>
      <c r="O65" s="1693"/>
      <c r="P65" s="1699">
        <f>'Part VI-Revenues &amp; Expenses'!$P$162</f>
        <v>0</v>
      </c>
    </row>
    <row r="66" spans="1:16" s="323" customFormat="1" ht="13.35" customHeight="1">
      <c r="A66" s="535"/>
      <c r="D66" s="349" t="s">
        <v>4224</v>
      </c>
      <c r="E66" s="349"/>
      <c r="H66" s="1699">
        <f>'Part VI-Revenues &amp; Expenses'!$P$60</f>
        <v>0</v>
      </c>
      <c r="I66" s="1699">
        <f>'Part VI-Revenues &amp; Expenses'!$P$97</f>
        <v>0</v>
      </c>
      <c r="L66" s="349" t="s">
        <v>4224</v>
      </c>
      <c r="O66" s="1693"/>
      <c r="P66" s="1699">
        <f>'Part VI-Revenues &amp; Expenses'!$P$163</f>
        <v>0</v>
      </c>
    </row>
    <row r="67" spans="1:16" s="323" customFormat="1" ht="13.35" customHeight="1">
      <c r="A67" s="535"/>
      <c r="D67" s="349" t="s">
        <v>4225</v>
      </c>
      <c r="E67" s="349"/>
      <c r="H67" s="1699">
        <f>'Part VI-Revenues &amp; Expenses'!$P$61</f>
        <v>0</v>
      </c>
      <c r="I67" s="1699">
        <f>'Part VI-Revenues &amp; Expenses'!$P$98</f>
        <v>0</v>
      </c>
      <c r="L67" s="349" t="s">
        <v>4225</v>
      </c>
      <c r="O67" s="1693"/>
      <c r="P67" s="1699">
        <f>'Part VI-Revenues &amp; Expenses'!$P$164</f>
        <v>0</v>
      </c>
    </row>
    <row r="68" spans="1:16" s="323" customFormat="1" ht="13.35" customHeight="1">
      <c r="A68" s="535"/>
      <c r="D68" s="349" t="s">
        <v>4226</v>
      </c>
      <c r="E68" s="349"/>
      <c r="H68" s="934">
        <f>'Part VI-Revenues &amp; Expenses'!$P$62</f>
        <v>0</v>
      </c>
      <c r="I68" s="934">
        <f>'Part VI-Revenues &amp; Expenses'!$P$99</f>
        <v>0</v>
      </c>
      <c r="L68" s="349" t="s">
        <v>4226</v>
      </c>
      <c r="O68" s="1693"/>
      <c r="P68" s="934">
        <f>'Part VI-Revenues &amp; Expenses'!$P$165</f>
        <v>0</v>
      </c>
    </row>
    <row r="69" spans="1:16" s="323" customFormat="1" ht="13.35" customHeight="1">
      <c r="A69" s="535"/>
      <c r="C69" s="333" t="s">
        <v>248</v>
      </c>
      <c r="D69" s="1198"/>
      <c r="E69" s="1198"/>
      <c r="H69" s="1698">
        <f>'Part VI-Revenues &amp; Expenses'!$P$64</f>
        <v>0</v>
      </c>
      <c r="J69" s="535"/>
      <c r="K69" s="333" t="s">
        <v>2683</v>
      </c>
      <c r="M69" s="1198"/>
      <c r="N69" s="1198"/>
      <c r="O69" s="1198"/>
      <c r="P69" s="1700">
        <f>'Part VI-Revenues &amp; Expenses'!$P$167</f>
        <v>0</v>
      </c>
    </row>
    <row r="70" spans="1:16" s="323" customFormat="1" ht="13.35" customHeight="1">
      <c r="A70" s="535"/>
      <c r="C70" s="333" t="s">
        <v>2345</v>
      </c>
      <c r="D70" s="1198"/>
      <c r="E70" s="1198"/>
      <c r="H70" s="933">
        <f>H61+H69</f>
        <v>200</v>
      </c>
      <c r="J70" s="535"/>
      <c r="K70" s="333" t="s">
        <v>2684</v>
      </c>
      <c r="M70" s="1198"/>
      <c r="N70" s="1198"/>
      <c r="O70" s="1198"/>
      <c r="P70" s="933">
        <f>P61+P69</f>
        <v>222230</v>
      </c>
    </row>
    <row r="71" spans="1:16" s="323" customFormat="1" ht="13.35" customHeight="1">
      <c r="A71" s="535"/>
      <c r="C71" s="333" t="s">
        <v>2346</v>
      </c>
      <c r="D71" s="1198"/>
      <c r="E71" s="1198"/>
      <c r="H71" s="934">
        <f>'Part VI-Revenues &amp; Expenses'!$P$66</f>
        <v>0</v>
      </c>
      <c r="J71" s="535"/>
      <c r="K71" s="333" t="s">
        <v>2685</v>
      </c>
      <c r="M71" s="1198"/>
      <c r="N71" s="1198"/>
      <c r="O71" s="1198"/>
      <c r="P71" s="934">
        <f>'Part VI-Revenues &amp; Expenses'!$P$169</f>
        <v>0</v>
      </c>
    </row>
    <row r="72" spans="1:16" s="323" customFormat="1" ht="13.35" customHeight="1">
      <c r="A72" s="535"/>
      <c r="C72" s="333" t="s">
        <v>1749</v>
      </c>
      <c r="D72" s="1198"/>
      <c r="E72" s="1198"/>
      <c r="H72" s="348">
        <f>+H70+H71</f>
        <v>200</v>
      </c>
      <c r="J72" s="1198"/>
      <c r="K72" s="333" t="s">
        <v>1392</v>
      </c>
      <c r="M72" s="1198"/>
      <c r="N72" s="1198"/>
      <c r="O72" s="1198"/>
      <c r="P72" s="348">
        <f>+P70+P71</f>
        <v>222230</v>
      </c>
    </row>
    <row r="73" spans="1:16" s="323" customFormat="1" ht="3" customHeight="1">
      <c r="A73" s="535"/>
      <c r="I73" s="1203"/>
      <c r="L73" s="1203"/>
      <c r="M73" s="1203"/>
      <c r="N73" s="1198"/>
      <c r="P73" s="334"/>
    </row>
    <row r="74" spans="1:16" s="323" customFormat="1" ht="13.35" customHeight="1">
      <c r="A74" s="535"/>
      <c r="B74" s="535" t="s">
        <v>1692</v>
      </c>
      <c r="C74" s="335" t="s">
        <v>2239</v>
      </c>
      <c r="D74" s="349" t="s">
        <v>1949</v>
      </c>
      <c r="G74" s="1198"/>
      <c r="H74" s="1245">
        <v>9</v>
      </c>
      <c r="K74" s="333" t="s">
        <v>4451</v>
      </c>
      <c r="O74" s="1198"/>
      <c r="P74" s="350">
        <v>2500</v>
      </c>
    </row>
    <row r="75" spans="1:16" s="323" customFormat="1" ht="13.35" customHeight="1">
      <c r="A75" s="535"/>
      <c r="B75" s="535"/>
      <c r="D75" s="1193" t="s">
        <v>1950</v>
      </c>
      <c r="H75" s="1246">
        <v>1</v>
      </c>
      <c r="I75" s="1198"/>
      <c r="K75" s="333" t="s">
        <v>247</v>
      </c>
      <c r="O75" s="1198"/>
      <c r="P75" s="348">
        <f>+P72+P74</f>
        <v>224730</v>
      </c>
    </row>
    <row r="76" spans="1:16" s="323" customFormat="1" ht="13.35" customHeight="1">
      <c r="A76" s="535"/>
      <c r="B76" s="535"/>
      <c r="D76" s="1193" t="s">
        <v>1951</v>
      </c>
      <c r="H76" s="348">
        <f>+H74+H75</f>
        <v>10</v>
      </c>
      <c r="I76" s="1198"/>
    </row>
    <row r="77" spans="1:16" s="323" customFormat="1" ht="3" customHeight="1">
      <c r="A77" s="535"/>
      <c r="B77" s="535"/>
      <c r="C77" s="1198"/>
      <c r="D77" s="1198"/>
      <c r="E77" s="1198"/>
      <c r="F77" s="1198"/>
      <c r="G77" s="1203"/>
      <c r="I77" s="333"/>
      <c r="J77" s="1198"/>
      <c r="P77" s="334"/>
    </row>
    <row r="78" spans="1:16" s="323" customFormat="1" ht="13.35" customHeight="1">
      <c r="A78" s="535"/>
      <c r="B78" s="535" t="s">
        <v>1693</v>
      </c>
      <c r="C78" s="335" t="s">
        <v>2743</v>
      </c>
      <c r="D78" s="1198"/>
      <c r="E78" s="1198"/>
      <c r="F78" s="1198"/>
      <c r="G78" s="1198"/>
      <c r="H78" s="350">
        <v>441</v>
      </c>
      <c r="K78" s="2879" t="s">
        <v>3641</v>
      </c>
      <c r="L78" s="2879"/>
      <c r="M78" s="2879"/>
      <c r="N78" s="2879"/>
      <c r="O78" s="2879"/>
      <c r="P78" s="2879"/>
    </row>
    <row r="79" spans="1:16" s="323" customFormat="1" ht="6" customHeight="1">
      <c r="A79" s="535"/>
      <c r="B79" s="535"/>
      <c r="C79" s="333"/>
      <c r="D79" s="1198"/>
      <c r="E79" s="1198"/>
      <c r="F79" s="1198"/>
      <c r="G79" s="1203"/>
      <c r="H79" s="1198"/>
      <c r="I79" s="333"/>
      <c r="J79" s="333"/>
      <c r="K79" s="2879"/>
      <c r="L79" s="2879"/>
      <c r="M79" s="2879"/>
      <c r="N79" s="2879"/>
      <c r="O79" s="2879"/>
      <c r="P79" s="2879"/>
    </row>
    <row r="80" spans="1:16" s="323" customFormat="1" ht="13.35" customHeight="1">
      <c r="A80" s="535" t="s">
        <v>516</v>
      </c>
      <c r="B80" s="351" t="s">
        <v>1166</v>
      </c>
      <c r="D80" s="351"/>
      <c r="E80" s="351"/>
      <c r="F80" s="1198"/>
      <c r="G80" s="1203"/>
      <c r="H80" s="568"/>
      <c r="K80" s="2879"/>
      <c r="L80" s="2879"/>
      <c r="M80" s="2879"/>
      <c r="N80" s="2879"/>
      <c r="O80" s="2879"/>
      <c r="P80" s="2879"/>
    </row>
    <row r="81" spans="1:16" s="323" customFormat="1" ht="3" customHeight="1">
      <c r="A81" s="535"/>
      <c r="C81" s="1189"/>
      <c r="D81" s="1189"/>
      <c r="E81" s="1189"/>
      <c r="F81" s="1198"/>
      <c r="G81" s="1203"/>
      <c r="K81" s="1198"/>
      <c r="P81" s="334"/>
    </row>
    <row r="82" spans="1:16" s="323" customFormat="1" ht="13.35" customHeight="1">
      <c r="A82" s="535"/>
      <c r="B82" s="535" t="s">
        <v>1936</v>
      </c>
      <c r="C82" s="297" t="s">
        <v>2613</v>
      </c>
      <c r="D82" s="1189"/>
      <c r="E82" s="1189"/>
      <c r="F82" s="1198"/>
      <c r="G82" s="1203"/>
      <c r="H82" s="2980" t="s">
        <v>2808</v>
      </c>
      <c r="I82" s="2981"/>
      <c r="K82" s="2915" t="s">
        <v>1728</v>
      </c>
      <c r="L82" s="2915"/>
      <c r="M82" s="2986"/>
      <c r="N82" s="2987"/>
      <c r="O82" s="2987"/>
      <c r="P82" s="2988"/>
    </row>
    <row r="83" spans="1:16" s="323" customFormat="1" ht="3" customHeight="1">
      <c r="A83" s="535"/>
      <c r="B83" s="535"/>
      <c r="D83" s="1193"/>
      <c r="E83" s="1193"/>
      <c r="F83" s="1193"/>
      <c r="G83" s="1193"/>
      <c r="I83" s="1203"/>
      <c r="K83" s="1188"/>
      <c r="L83" s="1188"/>
      <c r="M83" s="1203"/>
      <c r="N83" s="1198"/>
      <c r="P83" s="334"/>
    </row>
    <row r="84" spans="1:16" s="323" customFormat="1">
      <c r="A84" s="535"/>
      <c r="B84" s="535"/>
      <c r="E84" s="1889"/>
      <c r="K84" s="2979" t="s">
        <v>4398</v>
      </c>
      <c r="L84" s="352" t="s">
        <v>2808</v>
      </c>
      <c r="M84" s="2020">
        <v>200</v>
      </c>
      <c r="N84" s="352" t="s">
        <v>2809</v>
      </c>
      <c r="O84" s="2020"/>
      <c r="P84" s="2013" t="s">
        <v>4397</v>
      </c>
    </row>
    <row r="85" spans="1:16" s="323" customFormat="1">
      <c r="A85" s="535"/>
      <c r="B85" s="535"/>
      <c r="D85" s="2011"/>
      <c r="E85" s="1889"/>
      <c r="J85" s="1886"/>
      <c r="K85" s="2979"/>
      <c r="L85" s="337" t="s">
        <v>2810</v>
      </c>
      <c r="M85" s="1246"/>
      <c r="N85" s="337" t="s">
        <v>3657</v>
      </c>
      <c r="O85" s="1246"/>
      <c r="P85" s="1286"/>
    </row>
    <row r="86" spans="1:16" s="323" customFormat="1" ht="9" customHeight="1">
      <c r="A86" s="535"/>
      <c r="B86" s="535"/>
      <c r="D86" s="2012"/>
      <c r="E86" s="2012"/>
      <c r="F86" s="2012"/>
      <c r="G86" s="2012"/>
      <c r="I86" s="2016"/>
      <c r="K86" s="2011"/>
      <c r="L86" s="2011"/>
      <c r="M86" s="2016"/>
      <c r="N86" s="2015"/>
      <c r="P86" s="334"/>
    </row>
    <row r="87" spans="1:16" s="323" customFormat="1">
      <c r="A87" s="535"/>
      <c r="B87" s="535" t="s">
        <v>1938</v>
      </c>
      <c r="C87" s="335" t="s">
        <v>1384</v>
      </c>
      <c r="D87" s="2015"/>
      <c r="E87" s="349"/>
      <c r="F87" s="2012" t="s">
        <v>776</v>
      </c>
      <c r="H87" s="717">
        <f>'Part VIII-Threshold Criteria'!K305</f>
        <v>10</v>
      </c>
      <c r="K87" s="2915" t="s">
        <v>506</v>
      </c>
      <c r="L87" s="2915"/>
      <c r="N87" s="2019">
        <f>IF('Part VI-Revenues &amp; Expenses'!$P$67=0,0,H87/'Part VI-Revenues &amp; Expenses'!$P$67)</f>
        <v>0.05</v>
      </c>
      <c r="O87" s="337" t="s">
        <v>3521</v>
      </c>
      <c r="P87" s="1044">
        <f>'DCA Underwriting Assumptions'!$Q$154</f>
        <v>0.05</v>
      </c>
    </row>
    <row r="88" spans="1:16" s="323" customFormat="1">
      <c r="A88" s="535"/>
      <c r="B88" s="535"/>
      <c r="D88" s="2012" t="s">
        <v>2741</v>
      </c>
      <c r="E88" s="2012"/>
      <c r="F88" s="2012" t="s">
        <v>776</v>
      </c>
      <c r="H88" s="717">
        <f>'Part VIII-Threshold Criteria'!K306</f>
        <v>4</v>
      </c>
      <c r="K88" s="2015" t="s">
        <v>2742</v>
      </c>
      <c r="L88" s="2015"/>
      <c r="N88" s="2019">
        <f>IF(H87=0,0,H88/H87)</f>
        <v>0.4</v>
      </c>
      <c r="O88" s="337" t="s">
        <v>3521</v>
      </c>
      <c r="P88" s="1044">
        <f>'DCA Underwriting Assumptions'!$Q$155</f>
        <v>0.4</v>
      </c>
    </row>
    <row r="89" spans="1:16" s="323" customFormat="1" ht="9" customHeight="1">
      <c r="A89" s="535"/>
      <c r="B89" s="535"/>
      <c r="D89" s="2012"/>
      <c r="E89" s="2012"/>
      <c r="F89" s="2012"/>
      <c r="I89" s="2016"/>
      <c r="K89" s="2011"/>
      <c r="L89" s="2011"/>
      <c r="M89" s="2016"/>
      <c r="N89" s="2016"/>
      <c r="P89" s="2014"/>
    </row>
    <row r="90" spans="1:16" s="323" customFormat="1">
      <c r="A90" s="535"/>
      <c r="B90" s="535" t="s">
        <v>731</v>
      </c>
      <c r="C90" s="335" t="s">
        <v>1798</v>
      </c>
      <c r="D90" s="349"/>
      <c r="E90" s="349"/>
      <c r="F90" s="2012" t="s">
        <v>776</v>
      </c>
      <c r="H90" s="717">
        <f>'Part VIII-Threshold Criteria'!K308</f>
        <v>4</v>
      </c>
      <c r="K90" s="2915" t="s">
        <v>506</v>
      </c>
      <c r="L90" s="2915"/>
      <c r="N90" s="2019">
        <f>IF('Part VI-Revenues &amp; Expenses'!$P$67=0,0,H90/'Part VI-Revenues &amp; Expenses'!$P$67)</f>
        <v>0.02</v>
      </c>
      <c r="O90" s="337" t="s">
        <v>3521</v>
      </c>
      <c r="P90" s="1044">
        <f>'DCA Underwriting Assumptions'!$Q$156</f>
        <v>0.02</v>
      </c>
    </row>
    <row r="91" spans="1:16" s="323" customFormat="1">
      <c r="A91" s="535"/>
      <c r="B91" s="535"/>
      <c r="D91" s="2012"/>
      <c r="E91" s="2012"/>
      <c r="F91" s="2012"/>
      <c r="G91" s="2012"/>
      <c r="I91" s="2016"/>
      <c r="J91" s="2016"/>
      <c r="K91" s="2016"/>
      <c r="L91" s="2016"/>
      <c r="M91" s="2016"/>
      <c r="N91" s="2015"/>
      <c r="P91" s="334"/>
    </row>
    <row r="92" spans="1:16" s="323" customFormat="1" ht="13.35" customHeight="1">
      <c r="A92" s="353" t="s">
        <v>754</v>
      </c>
      <c r="B92" s="1189" t="s">
        <v>4332</v>
      </c>
      <c r="D92" s="1193"/>
      <c r="E92" s="1193"/>
      <c r="F92" s="1193"/>
      <c r="G92" s="1193"/>
      <c r="H92" s="1193"/>
      <c r="I92" s="1203"/>
      <c r="M92" s="1203"/>
      <c r="N92" s="1198"/>
      <c r="P92" s="334"/>
    </row>
    <row r="93" spans="1:16" s="323" customFormat="1" ht="1.5" customHeight="1">
      <c r="A93" s="535"/>
      <c r="B93" s="535"/>
      <c r="C93" s="1189"/>
      <c r="D93" s="1193"/>
      <c r="E93" s="1193"/>
      <c r="F93" s="1193"/>
      <c r="L93" s="1203"/>
      <c r="M93" s="1203"/>
      <c r="N93" s="1884"/>
    </row>
    <row r="94" spans="1:16" s="323" customFormat="1" ht="13.35" customHeight="1">
      <c r="A94" s="535"/>
      <c r="B94" s="535" t="s">
        <v>1936</v>
      </c>
      <c r="C94" s="297" t="s">
        <v>2316</v>
      </c>
      <c r="D94" s="1193"/>
      <c r="F94" s="1808"/>
      <c r="K94" s="2976" t="s">
        <v>7002</v>
      </c>
      <c r="L94" s="2978"/>
      <c r="M94" s="2977"/>
      <c r="N94" s="1884"/>
    </row>
    <row r="95" spans="1:16" s="323" customFormat="1" ht="1.5" customHeight="1">
      <c r="A95" s="535"/>
      <c r="B95" s="535"/>
      <c r="D95" s="1193"/>
      <c r="F95" s="1193"/>
      <c r="G95" s="1193"/>
      <c r="H95" s="537" t="s">
        <v>4493</v>
      </c>
      <c r="L95" s="1934"/>
      <c r="M95" s="1934"/>
    </row>
    <row r="96" spans="1:16" s="323" customFormat="1" ht="13.35" customHeight="1">
      <c r="B96" s="535" t="s">
        <v>1938</v>
      </c>
      <c r="C96" s="325" t="s">
        <v>1502</v>
      </c>
      <c r="K96" s="328" t="s">
        <v>4381</v>
      </c>
      <c r="N96" s="355"/>
      <c r="P96" s="1879" t="s">
        <v>7004</v>
      </c>
    </row>
    <row r="97" spans="1:16" s="323" customFormat="1" ht="4.5" customHeight="1">
      <c r="A97" s="535"/>
      <c r="B97" s="535"/>
      <c r="C97" s="325"/>
      <c r="D97" s="1193"/>
      <c r="E97" s="1193"/>
      <c r="F97" s="1193"/>
      <c r="G97" s="1193"/>
      <c r="I97" s="1203"/>
      <c r="J97" s="1203"/>
      <c r="K97" s="1203"/>
      <c r="L97" s="1203"/>
      <c r="M97" s="1203"/>
      <c r="N97" s="1198"/>
      <c r="P97" s="334"/>
    </row>
    <row r="98" spans="1:16" s="323" customFormat="1" ht="13.35" customHeight="1">
      <c r="A98" s="353" t="s">
        <v>287</v>
      </c>
      <c r="B98" s="1189" t="s">
        <v>1993</v>
      </c>
      <c r="D98" s="1193"/>
    </row>
    <row r="99" spans="1:16" s="323" customFormat="1" ht="1.5" customHeight="1">
      <c r="A99" s="535"/>
      <c r="B99" s="535"/>
      <c r="D99" s="1193"/>
      <c r="N99" s="1198"/>
      <c r="P99" s="334"/>
    </row>
    <row r="100" spans="1:16" s="323" customFormat="1" ht="13.35" customHeight="1">
      <c r="A100" s="353"/>
      <c r="B100" s="535" t="s">
        <v>1936</v>
      </c>
      <c r="C100" s="325" t="s">
        <v>2628</v>
      </c>
      <c r="F100" s="349" t="s">
        <v>2533</v>
      </c>
      <c r="H100" s="1833" t="s">
        <v>2889</v>
      </c>
      <c r="K100" s="1832" t="s">
        <v>3671</v>
      </c>
      <c r="P100" s="1833" t="s">
        <v>2889</v>
      </c>
    </row>
    <row r="101" spans="1:16" s="323" customFormat="1" ht="13.35" customHeight="1">
      <c r="A101" s="353"/>
      <c r="B101" s="535"/>
      <c r="C101" s="325"/>
      <c r="F101" s="1756" t="s">
        <v>3675</v>
      </c>
      <c r="H101" s="1834" t="s">
        <v>2889</v>
      </c>
      <c r="K101" s="1832" t="s">
        <v>4234</v>
      </c>
      <c r="P101" s="1834" t="s">
        <v>2889</v>
      </c>
    </row>
    <row r="102" spans="1:16" s="323" customFormat="1" ht="1.5" customHeight="1">
      <c r="A102" s="535"/>
      <c r="B102" s="535"/>
      <c r="C102" s="1189"/>
      <c r="F102" s="1193"/>
      <c r="H102" s="1193"/>
      <c r="J102" s="1203"/>
      <c r="K102" s="1203"/>
      <c r="L102" s="1203"/>
      <c r="M102" s="1203"/>
      <c r="N102" s="1203"/>
      <c r="P102" s="334"/>
    </row>
    <row r="103" spans="1:16" s="323" customFormat="1" ht="13.35" customHeight="1">
      <c r="A103" s="353"/>
      <c r="B103" s="535" t="s">
        <v>1938</v>
      </c>
      <c r="C103" s="325" t="s">
        <v>2629</v>
      </c>
      <c r="F103" s="1188" t="s">
        <v>2603</v>
      </c>
      <c r="H103" s="332" t="s">
        <v>2889</v>
      </c>
      <c r="J103" s="1203"/>
      <c r="K103" s="529" t="s">
        <v>2630</v>
      </c>
      <c r="L103" s="1203"/>
    </row>
    <row r="104" spans="1:16" s="323" customFormat="1" ht="4.5" customHeight="1">
      <c r="A104" s="535"/>
      <c r="B104" s="535"/>
      <c r="C104" s="325"/>
      <c r="D104" s="1193"/>
      <c r="E104" s="1193"/>
      <c r="F104" s="1193"/>
      <c r="G104" s="1193"/>
      <c r="I104" s="1203"/>
      <c r="J104" s="1203"/>
      <c r="K104" s="1203"/>
      <c r="L104" s="1203"/>
      <c r="M104" s="1203"/>
      <c r="N104" s="1198"/>
      <c r="P104" s="334"/>
    </row>
    <row r="105" spans="1:16" s="323" customFormat="1" ht="13.35" customHeight="1">
      <c r="A105" s="353" t="s">
        <v>418</v>
      </c>
      <c r="B105" s="1189" t="s">
        <v>2692</v>
      </c>
      <c r="D105" s="1193"/>
      <c r="H105" s="2976" t="s">
        <v>7003</v>
      </c>
      <c r="I105" s="2977"/>
      <c r="J105" s="1203"/>
    </row>
    <row r="106" spans="1:16" s="323" customFormat="1" ht="4.5" customHeight="1">
      <c r="A106" s="535"/>
      <c r="D106" s="342"/>
      <c r="E106" s="1198"/>
      <c r="I106" s="342"/>
      <c r="J106" s="333"/>
      <c r="K106" s="1198"/>
      <c r="P106" s="334"/>
    </row>
    <row r="107" spans="1:16" s="323" customFormat="1" ht="13.35" customHeight="1">
      <c r="A107" s="353" t="s">
        <v>356</v>
      </c>
      <c r="B107" s="347" t="s">
        <v>1164</v>
      </c>
      <c r="D107" s="1198"/>
      <c r="E107" s="1198"/>
      <c r="F107" s="1198"/>
      <c r="G107" s="1198"/>
      <c r="H107" s="1198"/>
      <c r="I107" s="342"/>
      <c r="J107" s="333"/>
      <c r="K107" s="1198"/>
      <c r="P107" s="334"/>
    </row>
    <row r="108" spans="1:16" s="323" customFormat="1" ht="3" customHeight="1">
      <c r="A108" s="353"/>
      <c r="B108" s="535"/>
      <c r="C108" s="347"/>
      <c r="D108" s="1198"/>
      <c r="E108" s="1198"/>
      <c r="F108" s="1198"/>
      <c r="G108" s="1198"/>
      <c r="H108" s="1198"/>
      <c r="I108" s="342"/>
      <c r="J108" s="333"/>
      <c r="K108" s="1198"/>
    </row>
    <row r="109" spans="1:16" s="323" customFormat="1" ht="13.35" customHeight="1">
      <c r="A109" s="535"/>
      <c r="B109" s="535"/>
      <c r="C109" s="333" t="s">
        <v>536</v>
      </c>
      <c r="D109" s="1198"/>
      <c r="E109" s="2906" t="s">
        <v>944</v>
      </c>
      <c r="F109" s="2907"/>
      <c r="G109" s="2907"/>
      <c r="H109" s="2907"/>
      <c r="I109" s="2907"/>
      <c r="J109" s="2907"/>
      <c r="K109" s="2907"/>
      <c r="L109" s="2908"/>
      <c r="M109" s="2966" t="s">
        <v>537</v>
      </c>
      <c r="N109" s="2966"/>
      <c r="O109" s="2922">
        <v>44399</v>
      </c>
      <c r="P109" s="2923"/>
    </row>
    <row r="110" spans="1:16" s="323" customFormat="1" ht="13.35" customHeight="1">
      <c r="C110" s="328" t="s">
        <v>999</v>
      </c>
      <c r="D110" s="337"/>
      <c r="E110" s="2967" t="s">
        <v>7035</v>
      </c>
      <c r="F110" s="2914"/>
      <c r="G110" s="2914"/>
      <c r="H110" s="2968"/>
      <c r="I110" s="2914"/>
      <c r="J110" s="2968"/>
      <c r="K110" s="2914"/>
      <c r="L110" s="2969"/>
      <c r="M110" s="2966" t="s">
        <v>788</v>
      </c>
      <c r="N110" s="2966"/>
      <c r="O110" s="2970">
        <v>2020</v>
      </c>
      <c r="P110" s="2971"/>
    </row>
    <row r="111" spans="1:16" s="323" customFormat="1" ht="13.35" customHeight="1">
      <c r="C111" s="328" t="s">
        <v>600</v>
      </c>
      <c r="E111" s="2900" t="s">
        <v>1303</v>
      </c>
      <c r="F111" s="2946"/>
      <c r="G111" s="2947"/>
      <c r="H111" s="1191" t="s">
        <v>1754</v>
      </c>
      <c r="I111" s="1524" t="s">
        <v>828</v>
      </c>
      <c r="J111" s="356" t="s">
        <v>2173</v>
      </c>
      <c r="K111" s="2972">
        <v>309010000</v>
      </c>
      <c r="L111" s="2973"/>
      <c r="M111" s="300" t="s">
        <v>3492</v>
      </c>
      <c r="N111" s="300"/>
      <c r="O111" s="2974">
        <v>42300000</v>
      </c>
      <c r="P111" s="2975"/>
    </row>
    <row r="112" spans="1:16" s="323" customFormat="1" ht="13.35" customHeight="1">
      <c r="C112" s="323" t="s">
        <v>2144</v>
      </c>
      <c r="E112" s="2900" t="s">
        <v>7036</v>
      </c>
      <c r="F112" s="2946"/>
      <c r="G112" s="2947"/>
      <c r="H112" s="1090" t="s">
        <v>1933</v>
      </c>
      <c r="I112" s="2948" t="s">
        <v>7037</v>
      </c>
      <c r="J112" s="2949"/>
      <c r="K112" s="2950"/>
      <c r="L112" s="1211" t="s">
        <v>1937</v>
      </c>
      <c r="M112" s="2906" t="s">
        <v>7038</v>
      </c>
      <c r="N112" s="2951"/>
      <c r="O112" s="2952"/>
      <c r="P112" s="2953"/>
    </row>
    <row r="113" spans="1:16" s="323" customFormat="1" ht="13.35" customHeight="1">
      <c r="C113" s="328" t="s">
        <v>2143</v>
      </c>
      <c r="E113" s="2954">
        <v>7063123158</v>
      </c>
      <c r="F113" s="2955"/>
      <c r="G113" s="2956"/>
      <c r="H113" s="1090" t="s">
        <v>1756</v>
      </c>
      <c r="I113" s="2954"/>
      <c r="J113" s="2957"/>
      <c r="K113" s="1191" t="s">
        <v>2625</v>
      </c>
      <c r="L113" s="2958" t="s">
        <v>7039</v>
      </c>
      <c r="M113" s="2895"/>
      <c r="N113" s="2895"/>
      <c r="O113" s="2895"/>
      <c r="P113" s="2896"/>
    </row>
    <row r="114" spans="1:16" s="323" customFormat="1" ht="3" customHeight="1">
      <c r="A114" s="535"/>
      <c r="B114" s="535"/>
      <c r="G114" s="342"/>
      <c r="H114" s="1203"/>
      <c r="I114" s="1203"/>
      <c r="M114" s="334"/>
    </row>
    <row r="115" spans="1:16" s="323" customFormat="1" ht="13.35" customHeight="1">
      <c r="A115" s="353" t="s">
        <v>357</v>
      </c>
      <c r="B115" s="1189" t="s">
        <v>1630</v>
      </c>
      <c r="D115" s="342"/>
      <c r="E115" s="342"/>
      <c r="F115" s="1203"/>
      <c r="G115" s="1203"/>
      <c r="H115" s="1203"/>
      <c r="N115" s="1198"/>
      <c r="O115" s="1198"/>
      <c r="P115" s="334"/>
    </row>
    <row r="116" spans="1:16" s="323" customFormat="1" ht="1.5" customHeight="1">
      <c r="A116" s="353"/>
      <c r="B116" s="1189"/>
      <c r="D116" s="342"/>
      <c r="E116" s="342"/>
      <c r="F116" s="1203"/>
      <c r="G116" s="1203"/>
      <c r="H116" s="1203"/>
      <c r="I116" s="1203"/>
      <c r="J116" s="342"/>
      <c r="K116" s="1203"/>
      <c r="L116" s="1203"/>
      <c r="N116" s="1198"/>
      <c r="O116" s="1198"/>
      <c r="P116" s="334"/>
    </row>
    <row r="117" spans="1:16" s="323" customFormat="1" ht="13.35" customHeight="1">
      <c r="B117" s="349" t="s">
        <v>2103</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1936</v>
      </c>
      <c r="C119" s="1189" t="s">
        <v>1385</v>
      </c>
      <c r="D119" s="1193"/>
      <c r="E119" s="1193"/>
      <c r="F119" s="1203"/>
      <c r="G119" s="1203"/>
      <c r="H119" s="359">
        <v>2</v>
      </c>
      <c r="N119" s="1198"/>
      <c r="O119" s="1198"/>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1938</v>
      </c>
      <c r="C121" s="1189" t="s">
        <v>408</v>
      </c>
      <c r="D121" s="1193"/>
      <c r="E121" s="1193"/>
      <c r="F121" s="1203"/>
      <c r="G121" s="1203"/>
      <c r="H121" s="360">
        <v>1728000</v>
      </c>
      <c r="J121" s="342"/>
      <c r="K121" s="1188"/>
      <c r="N121" s="1198"/>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731</v>
      </c>
      <c r="C123" s="1189" t="s">
        <v>297</v>
      </c>
      <c r="D123" s="1193"/>
      <c r="E123" s="1193"/>
      <c r="F123" s="1203"/>
      <c r="G123" s="1203"/>
      <c r="H123" s="1203"/>
      <c r="I123" s="1203"/>
      <c r="J123" s="342"/>
      <c r="K123" s="1203"/>
      <c r="L123" s="1203"/>
      <c r="N123" s="1198"/>
      <c r="O123" s="1198"/>
    </row>
    <row r="124" spans="1:16" s="323" customFormat="1" ht="13.35" customHeight="1">
      <c r="B124" s="535"/>
      <c r="C124" s="1193" t="s">
        <v>2085</v>
      </c>
      <c r="D124" s="1193"/>
      <c r="F124" s="1193" t="s">
        <v>1112</v>
      </c>
      <c r="G124" s="1203"/>
      <c r="H124" s="1203"/>
      <c r="I124" s="1203" t="s">
        <v>1268</v>
      </c>
      <c r="J124" s="1193" t="s">
        <v>2085</v>
      </c>
      <c r="K124" s="1193"/>
      <c r="M124" s="1193" t="s">
        <v>1112</v>
      </c>
      <c r="N124" s="1203"/>
      <c r="O124" s="1203"/>
      <c r="P124" s="1203" t="s">
        <v>1268</v>
      </c>
    </row>
    <row r="125" spans="1:16" s="323" customFormat="1" ht="13.35" customHeight="1">
      <c r="A125" s="535"/>
      <c r="B125" s="535"/>
      <c r="C125" s="2945" t="s">
        <v>7022</v>
      </c>
      <c r="D125" s="2945"/>
      <c r="E125" s="2945"/>
      <c r="F125" s="2857" t="s">
        <v>7040</v>
      </c>
      <c r="G125" s="2857"/>
      <c r="H125" s="2857"/>
      <c r="I125" s="2858" t="s">
        <v>7046</v>
      </c>
      <c r="J125" s="2856" t="s">
        <v>7045</v>
      </c>
      <c r="K125" s="2856"/>
      <c r="L125" s="2856"/>
      <c r="M125" s="2857" t="s">
        <v>7041</v>
      </c>
      <c r="N125" s="2857"/>
      <c r="O125" s="2857"/>
      <c r="P125" s="2857" t="s">
        <v>7047</v>
      </c>
    </row>
    <row r="126" spans="1:16" s="323" customFormat="1" ht="13.35" customHeight="1">
      <c r="A126" s="535"/>
      <c r="B126" s="535"/>
      <c r="C126" s="2867" t="s">
        <v>7042</v>
      </c>
      <c r="D126" s="2867"/>
      <c r="E126" s="2867"/>
      <c r="F126" s="2868" t="s">
        <v>7040</v>
      </c>
      <c r="G126" s="2869"/>
      <c r="H126" s="2869"/>
      <c r="I126" s="2870" t="s">
        <v>7046</v>
      </c>
      <c r="J126" s="2867">
        <v>8</v>
      </c>
      <c r="K126" s="2867"/>
      <c r="L126" s="2867"/>
      <c r="M126" s="2868"/>
      <c r="N126" s="2869"/>
      <c r="O126" s="2869"/>
      <c r="P126" s="2870"/>
    </row>
    <row r="127" spans="1:16" s="323" customFormat="1" ht="13.35" customHeight="1">
      <c r="A127" s="535"/>
      <c r="B127" s="535"/>
      <c r="C127" s="2867" t="s">
        <v>7044</v>
      </c>
      <c r="D127" s="2867"/>
      <c r="E127" s="2867"/>
      <c r="F127" s="2868" t="s">
        <v>7040</v>
      </c>
      <c r="G127" s="2869"/>
      <c r="H127" s="2869"/>
      <c r="I127" s="2870" t="s">
        <v>7047</v>
      </c>
      <c r="J127" s="2867">
        <v>9</v>
      </c>
      <c r="K127" s="2867"/>
      <c r="L127" s="2867"/>
      <c r="M127" s="2868"/>
      <c r="N127" s="2869"/>
      <c r="O127" s="2869"/>
      <c r="P127" s="2870"/>
    </row>
    <row r="128" spans="1:16" s="323" customFormat="1" ht="13.35" customHeight="1">
      <c r="A128" s="535"/>
      <c r="B128" s="535"/>
      <c r="C128" s="2867" t="s">
        <v>7022</v>
      </c>
      <c r="D128" s="2867"/>
      <c r="E128" s="2867"/>
      <c r="F128" s="2868" t="s">
        <v>7041</v>
      </c>
      <c r="G128" s="2869"/>
      <c r="H128" s="2869"/>
      <c r="I128" s="2870" t="s">
        <v>7046</v>
      </c>
      <c r="J128" s="2867">
        <v>10</v>
      </c>
      <c r="K128" s="2867"/>
      <c r="L128" s="2867"/>
      <c r="M128" s="2868"/>
      <c r="N128" s="2869"/>
      <c r="O128" s="2869"/>
      <c r="P128" s="2870"/>
    </row>
    <row r="129" spans="1:16" s="323" customFormat="1" ht="13.35" customHeight="1">
      <c r="A129" s="535"/>
      <c r="B129" s="535"/>
      <c r="C129" s="2867" t="s">
        <v>7042</v>
      </c>
      <c r="D129" s="2867"/>
      <c r="E129" s="2867"/>
      <c r="F129" s="2868" t="s">
        <v>7041</v>
      </c>
      <c r="G129" s="2869"/>
      <c r="H129" s="2869"/>
      <c r="I129" s="2870" t="s">
        <v>7046</v>
      </c>
      <c r="J129" s="2867">
        <v>11</v>
      </c>
      <c r="K129" s="2867"/>
      <c r="L129" s="2867"/>
      <c r="M129" s="2868"/>
      <c r="N129" s="2869"/>
      <c r="O129" s="2869"/>
      <c r="P129" s="2870"/>
    </row>
    <row r="130" spans="1:16" s="323" customFormat="1" ht="13.35" customHeight="1">
      <c r="A130" s="535"/>
      <c r="B130" s="535"/>
      <c r="C130" s="2871" t="s">
        <v>7044</v>
      </c>
      <c r="D130" s="2871"/>
      <c r="E130" s="2871"/>
      <c r="F130" s="2872" t="s">
        <v>7041</v>
      </c>
      <c r="G130" s="2873"/>
      <c r="H130" s="2873"/>
      <c r="I130" s="2874" t="s">
        <v>7047</v>
      </c>
      <c r="J130" s="2871">
        <v>12</v>
      </c>
      <c r="K130" s="2871"/>
      <c r="L130" s="2871"/>
      <c r="M130" s="2872"/>
      <c r="N130" s="2873"/>
      <c r="O130" s="2873"/>
      <c r="P130" s="2874"/>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2065</v>
      </c>
      <c r="C132" s="2959" t="s">
        <v>1801</v>
      </c>
      <c r="D132" s="2959"/>
      <c r="E132" s="2959"/>
      <c r="F132" s="2959"/>
      <c r="G132" s="2959"/>
      <c r="H132" s="2959"/>
      <c r="I132" s="2959"/>
      <c r="J132" s="2959"/>
      <c r="K132" s="2959"/>
      <c r="L132" s="2959"/>
      <c r="M132" s="2959"/>
      <c r="N132" s="2959"/>
      <c r="O132" s="2959"/>
      <c r="P132" s="2959"/>
    </row>
    <row r="133" spans="1:16" s="323" customFormat="1" ht="13.35" customHeight="1">
      <c r="A133" s="535"/>
      <c r="B133" s="535"/>
      <c r="C133" s="2959"/>
      <c r="D133" s="2959"/>
      <c r="E133" s="2959"/>
      <c r="F133" s="2959"/>
      <c r="G133" s="2959"/>
      <c r="H133" s="2959"/>
      <c r="I133" s="2959"/>
      <c r="J133" s="2959"/>
      <c r="K133" s="2959"/>
      <c r="L133" s="2959"/>
      <c r="M133" s="2959"/>
      <c r="N133" s="2959"/>
      <c r="O133" s="2959"/>
      <c r="P133" s="2959"/>
    </row>
    <row r="134" spans="1:16" s="323" customFormat="1" ht="13.35" customHeight="1">
      <c r="B134" s="535"/>
      <c r="C134" s="1193" t="s">
        <v>2085</v>
      </c>
      <c r="D134" s="1193"/>
      <c r="F134" s="1193" t="s">
        <v>1112</v>
      </c>
      <c r="G134" s="1203"/>
      <c r="H134" s="1203"/>
      <c r="I134" s="1203"/>
      <c r="J134" s="1193" t="s">
        <v>2085</v>
      </c>
      <c r="K134" s="1193"/>
      <c r="M134" s="1193" t="s">
        <v>1112</v>
      </c>
      <c r="N134" s="1203"/>
      <c r="O134" s="1203"/>
      <c r="P134" s="1203"/>
    </row>
    <row r="135" spans="1:16" s="323" customFormat="1" ht="13.35" customHeight="1">
      <c r="A135" s="535"/>
      <c r="B135" s="535"/>
      <c r="C135" s="2945">
        <v>1</v>
      </c>
      <c r="D135" s="2960"/>
      <c r="E135" s="2960"/>
      <c r="F135" s="2961"/>
      <c r="G135" s="2962"/>
      <c r="H135" s="2962"/>
      <c r="I135" s="2963"/>
      <c r="J135" s="2945">
        <v>7</v>
      </c>
      <c r="K135" s="2960"/>
      <c r="L135" s="2960"/>
      <c r="M135" s="2961"/>
      <c r="N135" s="2962"/>
      <c r="O135" s="2962"/>
      <c r="P135" s="2963"/>
    </row>
    <row r="136" spans="1:16" s="323" customFormat="1" ht="13.35" customHeight="1">
      <c r="A136" s="535"/>
      <c r="B136" s="535"/>
      <c r="C136" s="2885">
        <v>2</v>
      </c>
      <c r="D136" s="2886"/>
      <c r="E136" s="2886"/>
      <c r="F136" s="2887"/>
      <c r="G136" s="2888"/>
      <c r="H136" s="2888"/>
      <c r="I136" s="2889"/>
      <c r="J136" s="2885">
        <v>8</v>
      </c>
      <c r="K136" s="2886"/>
      <c r="L136" s="2886"/>
      <c r="M136" s="2887"/>
      <c r="N136" s="2888"/>
      <c r="O136" s="2888"/>
      <c r="P136" s="2889"/>
    </row>
    <row r="137" spans="1:16" s="323" customFormat="1" ht="13.35" customHeight="1">
      <c r="A137" s="535"/>
      <c r="B137" s="535"/>
      <c r="C137" s="2885">
        <v>3</v>
      </c>
      <c r="D137" s="2886"/>
      <c r="E137" s="2886"/>
      <c r="F137" s="2887"/>
      <c r="G137" s="2888"/>
      <c r="H137" s="2888"/>
      <c r="I137" s="2889"/>
      <c r="J137" s="2885">
        <v>9</v>
      </c>
      <c r="K137" s="2886"/>
      <c r="L137" s="2886"/>
      <c r="M137" s="2887"/>
      <c r="N137" s="2888"/>
      <c r="O137" s="2888"/>
      <c r="P137" s="2889"/>
    </row>
    <row r="138" spans="1:16" s="323" customFormat="1" ht="13.35" customHeight="1">
      <c r="A138" s="535"/>
      <c r="B138" s="535"/>
      <c r="C138" s="2885">
        <v>4</v>
      </c>
      <c r="D138" s="2886"/>
      <c r="E138" s="2886"/>
      <c r="F138" s="2887"/>
      <c r="G138" s="2888"/>
      <c r="H138" s="2888"/>
      <c r="I138" s="2889"/>
      <c r="J138" s="2885">
        <v>10</v>
      </c>
      <c r="K138" s="2886"/>
      <c r="L138" s="2886"/>
      <c r="M138" s="2887"/>
      <c r="N138" s="2888"/>
      <c r="O138" s="2888"/>
      <c r="P138" s="2889"/>
    </row>
    <row r="139" spans="1:16" s="323" customFormat="1" ht="13.35" customHeight="1">
      <c r="A139" s="535"/>
      <c r="B139" s="535"/>
      <c r="C139" s="2885">
        <v>5</v>
      </c>
      <c r="D139" s="2886"/>
      <c r="E139" s="2886"/>
      <c r="F139" s="2887"/>
      <c r="G139" s="2888"/>
      <c r="H139" s="2888"/>
      <c r="I139" s="2889"/>
      <c r="J139" s="2885">
        <v>11</v>
      </c>
      <c r="K139" s="2886"/>
      <c r="L139" s="2886"/>
      <c r="M139" s="2887"/>
      <c r="N139" s="2888"/>
      <c r="O139" s="2888"/>
      <c r="P139" s="2889"/>
    </row>
    <row r="140" spans="1:16" s="323" customFormat="1" ht="13.35" customHeight="1">
      <c r="A140" s="535"/>
      <c r="B140" s="535"/>
      <c r="C140" s="2940">
        <v>6</v>
      </c>
      <c r="D140" s="2941"/>
      <c r="E140" s="2941"/>
      <c r="F140" s="2942"/>
      <c r="G140" s="2943"/>
      <c r="H140" s="2943"/>
      <c r="I140" s="2944"/>
      <c r="J140" s="2940">
        <v>12</v>
      </c>
      <c r="K140" s="2941"/>
      <c r="L140" s="2941"/>
      <c r="M140" s="2942"/>
      <c r="N140" s="2943"/>
      <c r="O140" s="2943"/>
      <c r="P140" s="2944"/>
    </row>
    <row r="141" spans="1:16" s="323" customFormat="1" ht="3" customHeight="1" thickBot="1">
      <c r="A141" s="535"/>
      <c r="B141" s="535"/>
      <c r="C141" s="1363"/>
      <c r="D141" s="1363"/>
      <c r="E141" s="1363"/>
      <c r="F141" s="1365"/>
      <c r="G141" s="1365"/>
      <c r="H141" s="1365"/>
      <c r="I141" s="1365"/>
      <c r="J141" s="342"/>
      <c r="K141" s="1365"/>
      <c r="L141" s="1365"/>
      <c r="N141" s="1364"/>
      <c r="O141" s="1364"/>
      <c r="P141" s="334"/>
    </row>
    <row r="142" spans="1:16" s="323" customFormat="1" ht="14.4" customHeight="1" thickBot="1">
      <c r="A142" s="325" t="s">
        <v>358</v>
      </c>
      <c r="B142" s="335" t="s">
        <v>4402</v>
      </c>
      <c r="D142" s="335"/>
      <c r="E142" s="335"/>
      <c r="F142" s="335"/>
      <c r="I142" s="1903" t="s">
        <v>2889</v>
      </c>
      <c r="M142" s="1952"/>
      <c r="N142" s="1951"/>
      <c r="O142" s="1951"/>
      <c r="P142" s="334"/>
    </row>
    <row r="143" spans="1:16" s="323" customFormat="1" ht="1.5" customHeight="1">
      <c r="A143" s="353"/>
      <c r="B143" s="535"/>
      <c r="C143" s="1189"/>
      <c r="D143" s="1189"/>
      <c r="E143" s="1189"/>
      <c r="F143" s="1189"/>
      <c r="G143" s="1203"/>
      <c r="M143" s="1203"/>
      <c r="N143" s="1198"/>
      <c r="O143" s="1198"/>
    </row>
    <row r="144" spans="1:16" s="323" customFormat="1" ht="13.35" customHeight="1">
      <c r="A144" s="535"/>
      <c r="B144" s="535" t="s">
        <v>1936</v>
      </c>
      <c r="C144" s="329" t="s">
        <v>1671</v>
      </c>
      <c r="I144" s="1262"/>
      <c r="M144" s="1203"/>
      <c r="N144" s="1198"/>
      <c r="O144" s="1198"/>
      <c r="P144" s="334"/>
    </row>
    <row r="145" spans="1:16" s="323" customFormat="1" ht="13.35" customHeight="1">
      <c r="A145" s="535"/>
      <c r="B145" s="535"/>
      <c r="C145" s="1193" t="s">
        <v>2357</v>
      </c>
      <c r="D145" s="1193"/>
      <c r="E145" s="1193"/>
      <c r="F145" s="1203"/>
      <c r="I145" s="1272"/>
      <c r="N145" s="1198"/>
      <c r="O145" s="1198"/>
      <c r="P145" s="334"/>
    </row>
    <row r="146" spans="1:16" s="323" customFormat="1" ht="13.35" customHeight="1">
      <c r="A146" s="535"/>
      <c r="B146" s="535"/>
      <c r="C146" s="361" t="s">
        <v>1670</v>
      </c>
      <c r="D146" s="328"/>
      <c r="I146" s="1307"/>
      <c r="P146" s="334"/>
    </row>
    <row r="147" spans="1:16" s="323" customFormat="1" ht="13.35" customHeight="1">
      <c r="A147" s="535"/>
      <c r="B147" s="535"/>
      <c r="C147" s="1193" t="s">
        <v>2358</v>
      </c>
      <c r="D147" s="1193"/>
      <c r="E147" s="1889"/>
      <c r="F147" s="1203"/>
      <c r="I147" s="1272"/>
      <c r="K147" s="300" t="s">
        <v>2188</v>
      </c>
      <c r="O147" s="2906" t="s">
        <v>475</v>
      </c>
      <c r="P147" s="2908"/>
    </row>
    <row r="148" spans="1:16" s="323" customFormat="1" ht="13.35" customHeight="1">
      <c r="A148" s="535"/>
      <c r="B148" s="535"/>
      <c r="C148" s="1193" t="s">
        <v>2356</v>
      </c>
      <c r="F148" s="1203"/>
      <c r="I148" s="1275"/>
      <c r="K148" s="300" t="s">
        <v>2189</v>
      </c>
      <c r="O148" s="2936" t="s">
        <v>475</v>
      </c>
      <c r="P148" s="2937"/>
    </row>
    <row r="149" spans="1:16" s="323" customFormat="1" ht="13.35" customHeight="1">
      <c r="A149" s="535"/>
      <c r="B149" s="535"/>
      <c r="C149" s="1193" t="s">
        <v>2116</v>
      </c>
      <c r="D149" s="1193"/>
      <c r="E149" s="1193"/>
      <c r="F149" s="1203"/>
      <c r="I149" s="2938"/>
      <c r="J149" s="2939"/>
      <c r="N149" s="1198"/>
      <c r="O149" s="1198"/>
      <c r="P149" s="334"/>
    </row>
    <row r="150" spans="1:16" s="323" customFormat="1" ht="1.5" customHeight="1">
      <c r="A150" s="535"/>
      <c r="B150" s="535"/>
      <c r="C150" s="1193"/>
      <c r="D150" s="1193"/>
      <c r="E150" s="1193"/>
      <c r="F150" s="1203"/>
      <c r="G150" s="1203"/>
      <c r="M150" s="1203"/>
      <c r="N150" s="1198"/>
      <c r="O150" s="1198"/>
      <c r="P150" s="334"/>
    </row>
    <row r="151" spans="1:16" s="323" customFormat="1" ht="13.35" customHeight="1">
      <c r="A151" s="535"/>
      <c r="B151" s="535" t="s">
        <v>1938</v>
      </c>
      <c r="C151" s="1955" t="s">
        <v>2622</v>
      </c>
      <c r="D151" s="1193"/>
      <c r="E151" s="349" t="s">
        <v>4471</v>
      </c>
      <c r="F151" s="349"/>
      <c r="G151" s="349"/>
      <c r="I151" s="1954" t="s">
        <v>2889</v>
      </c>
      <c r="K151" s="349" t="s">
        <v>4473</v>
      </c>
      <c r="L151" s="349"/>
      <c r="M151" s="349"/>
      <c r="O151" s="1786" t="s">
        <v>2889</v>
      </c>
      <c r="P151" s="334"/>
    </row>
    <row r="152" spans="1:16" s="323" customFormat="1" ht="13.35" customHeight="1">
      <c r="A152" s="535"/>
      <c r="C152" s="1889"/>
      <c r="D152" s="1950"/>
      <c r="E152" s="349" t="s">
        <v>4472</v>
      </c>
      <c r="F152" s="349"/>
      <c r="G152" s="349"/>
      <c r="I152" s="1276" t="s">
        <v>2889</v>
      </c>
      <c r="K152" s="349"/>
      <c r="L152" s="349"/>
      <c r="M152" s="349"/>
      <c r="P152" s="334"/>
    </row>
    <row r="153" spans="1:16" s="323" customFormat="1" ht="1.5" customHeight="1">
      <c r="A153" s="535"/>
      <c r="B153" s="535"/>
      <c r="C153" s="1193"/>
      <c r="D153" s="1193"/>
      <c r="E153" s="1193"/>
      <c r="F153" s="1203"/>
      <c r="N153" s="1198"/>
      <c r="O153" s="1198"/>
      <c r="P153" s="334"/>
    </row>
    <row r="154" spans="1:16" s="323" customFormat="1" ht="13.35" customHeight="1">
      <c r="A154" s="535"/>
      <c r="B154" s="535" t="s">
        <v>731</v>
      </c>
      <c r="C154" s="1889" t="s">
        <v>4470</v>
      </c>
      <c r="D154" s="1193"/>
      <c r="E154" s="1193"/>
      <c r="F154" s="1203"/>
      <c r="I154" s="359" t="s">
        <v>2889</v>
      </c>
      <c r="N154" s="1198"/>
      <c r="O154" s="1198"/>
      <c r="P154" s="334"/>
    </row>
    <row r="155" spans="1:16" s="323" customFormat="1" ht="3" customHeight="1">
      <c r="A155" s="535"/>
      <c r="B155" s="535"/>
      <c r="C155" s="1193"/>
      <c r="D155" s="1193"/>
      <c r="E155" s="1193"/>
      <c r="F155" s="1203"/>
      <c r="G155" s="1203"/>
      <c r="H155" s="1203"/>
      <c r="I155" s="1203"/>
      <c r="J155" s="342"/>
      <c r="K155" s="1203"/>
      <c r="L155" s="1203"/>
      <c r="N155" s="1198"/>
      <c r="O155" s="1198"/>
      <c r="P155" s="334"/>
    </row>
    <row r="156" spans="1:16" s="323" customFormat="1" ht="13.35" customHeight="1">
      <c r="A156" s="353" t="s">
        <v>1683</v>
      </c>
      <c r="B156" s="351" t="s">
        <v>1165</v>
      </c>
      <c r="D156" s="351"/>
      <c r="E156" s="351"/>
      <c r="F156" s="351"/>
      <c r="G156" s="1203"/>
      <c r="H156" s="1203"/>
      <c r="I156" s="1203"/>
      <c r="J156" s="342"/>
      <c r="K156" s="1203"/>
      <c r="L156" s="1203"/>
      <c r="N156" s="1198"/>
      <c r="O156" s="1198"/>
      <c r="P156" s="334"/>
    </row>
    <row r="157" spans="1:16" s="323" customFormat="1" ht="2.1" customHeight="1">
      <c r="A157" s="353"/>
      <c r="B157" s="535"/>
      <c r="C157" s="1189"/>
      <c r="D157" s="1189"/>
      <c r="E157" s="1189"/>
      <c r="F157" s="1189"/>
      <c r="G157" s="1203"/>
      <c r="H157" s="1203"/>
      <c r="I157" s="1203"/>
      <c r="J157" s="342"/>
      <c r="K157" s="1203"/>
      <c r="L157" s="1203"/>
      <c r="N157" s="1198"/>
      <c r="O157" s="1198"/>
    </row>
    <row r="158" spans="1:16" s="323" customFormat="1" ht="13.35" customHeight="1">
      <c r="A158" s="535"/>
      <c r="B158" s="535" t="s">
        <v>1936</v>
      </c>
      <c r="C158" s="341" t="s">
        <v>1775</v>
      </c>
      <c r="F158" s="1203"/>
      <c r="G158" s="1203"/>
      <c r="H158" s="1203"/>
      <c r="I158" s="1203"/>
      <c r="J158" s="342"/>
      <c r="K158" s="1203"/>
      <c r="L158" s="1203"/>
      <c r="N158" s="1198"/>
      <c r="O158" s="1198"/>
      <c r="P158" s="334"/>
    </row>
    <row r="159" spans="1:16" s="323" customFormat="1" ht="12.6" customHeight="1">
      <c r="A159" s="535"/>
      <c r="B159" s="535"/>
      <c r="C159" s="349" t="s">
        <v>1495</v>
      </c>
      <c r="D159" s="342"/>
      <c r="E159" s="342"/>
      <c r="F159" s="1203"/>
      <c r="G159" s="1203"/>
      <c r="H159" s="1203"/>
      <c r="I159" s="1273" t="s">
        <v>2889</v>
      </c>
      <c r="N159" s="1198"/>
      <c r="O159" s="1198"/>
      <c r="P159" s="334"/>
    </row>
    <row r="160" spans="1:16" s="323" customFormat="1" ht="12.6" customHeight="1">
      <c r="A160" s="535"/>
      <c r="B160" s="535"/>
      <c r="C160" s="2879" t="s">
        <v>4531</v>
      </c>
      <c r="D160" s="2879"/>
      <c r="E160" s="2879"/>
      <c r="F160" s="2879"/>
      <c r="G160" s="323" t="s">
        <v>4278</v>
      </c>
      <c r="I160" s="1274"/>
      <c r="K160" s="1774" t="s">
        <v>1751</v>
      </c>
      <c r="P160" s="1783">
        <f>IF('Part VI-Revenues &amp; Expenses'!$P$65=0,0,I160/'Part VI-Revenues &amp; Expenses'!$P$65)</f>
        <v>0</v>
      </c>
    </row>
    <row r="161" spans="1:16" s="323" customFormat="1" ht="12.6" customHeight="1">
      <c r="A161" s="535"/>
      <c r="B161" s="535"/>
      <c r="C161" s="2879"/>
      <c r="D161" s="2879"/>
      <c r="E161" s="2879"/>
      <c r="F161" s="2879"/>
      <c r="G161" s="323" t="s">
        <v>4277</v>
      </c>
      <c r="I161" s="1274"/>
      <c r="K161" s="1774" t="s">
        <v>1751</v>
      </c>
      <c r="O161" s="1775"/>
      <c r="P161" s="1784">
        <f>IF('Part VI-Revenues &amp; Expenses'!$P$65=0,0,I161/'Part VI-Revenues &amp; Expenses'!$P$65)</f>
        <v>0</v>
      </c>
    </row>
    <row r="162" spans="1:16" s="323" customFormat="1" ht="12" customHeight="1">
      <c r="A162" s="535"/>
      <c r="B162" s="535"/>
      <c r="C162" s="1774" t="s">
        <v>4279</v>
      </c>
      <c r="I162" s="1246"/>
      <c r="K162" s="328" t="s">
        <v>1751</v>
      </c>
      <c r="O162" s="1782"/>
      <c r="P162" s="1785">
        <f>IF('Part VI-Revenues &amp; Expenses'!$P$65=0,0,I162/'Part VI-Revenues &amp; Expenses'!$P$65)</f>
        <v>0</v>
      </c>
    </row>
    <row r="163" spans="1:16" s="323" customFormat="1" ht="3" customHeight="1">
      <c r="A163" s="535"/>
      <c r="B163" s="535"/>
    </row>
    <row r="164" spans="1:16" s="323" customFormat="1" ht="12.6" customHeight="1">
      <c r="A164" s="535"/>
      <c r="B164" s="535"/>
      <c r="C164" s="323" t="s">
        <v>1752</v>
      </c>
      <c r="D164" s="2906"/>
      <c r="E164" s="2907"/>
      <c r="F164" s="2907"/>
      <c r="G164" s="2907"/>
      <c r="H164" s="2908"/>
      <c r="I164" s="328" t="s">
        <v>4232</v>
      </c>
      <c r="N164" s="2903"/>
      <c r="O164" s="2904"/>
      <c r="P164" s="2905"/>
    </row>
    <row r="165" spans="1:16" s="323" customFormat="1" ht="12.6" customHeight="1">
      <c r="A165" s="535"/>
      <c r="B165" s="535"/>
      <c r="C165" s="328" t="s">
        <v>4233</v>
      </c>
      <c r="D165" s="2900"/>
      <c r="E165" s="2901"/>
      <c r="F165" s="2914"/>
      <c r="G165" s="2901"/>
      <c r="H165" s="2902"/>
      <c r="I165" s="1752" t="s">
        <v>1753</v>
      </c>
      <c r="J165" s="2906"/>
      <c r="K165" s="2907"/>
      <c r="L165" s="2908"/>
      <c r="M165" s="1755" t="s">
        <v>1933</v>
      </c>
      <c r="N165" s="2900"/>
      <c r="O165" s="2901"/>
      <c r="P165" s="2902"/>
    </row>
    <row r="166" spans="1:16" s="323" customFormat="1" ht="12.6" customHeight="1">
      <c r="A166" s="535"/>
      <c r="B166" s="535"/>
      <c r="C166" s="328" t="s">
        <v>600</v>
      </c>
      <c r="D166" s="2900"/>
      <c r="E166" s="2902"/>
      <c r="F166" s="1753" t="s">
        <v>2173</v>
      </c>
      <c r="G166" s="2909"/>
      <c r="H166" s="2910"/>
      <c r="I166" s="362" t="s">
        <v>1756</v>
      </c>
      <c r="J166" s="2897"/>
      <c r="K166" s="2898"/>
      <c r="L166" s="2899"/>
      <c r="M166" s="1754" t="s">
        <v>1932</v>
      </c>
      <c r="N166" s="2897"/>
      <c r="O166" s="2898"/>
      <c r="P166" s="2899"/>
    </row>
    <row r="167" spans="1:16" s="323" customFormat="1" ht="12.6" customHeight="1">
      <c r="A167" s="535"/>
      <c r="B167" s="535"/>
      <c r="C167" s="323" t="s">
        <v>2625</v>
      </c>
      <c r="D167" s="2911"/>
      <c r="E167" s="2912"/>
      <c r="F167" s="2912"/>
      <c r="G167" s="2912"/>
      <c r="H167" s="2913"/>
      <c r="I167" s="362" t="s">
        <v>1755</v>
      </c>
      <c r="J167" s="2894"/>
      <c r="K167" s="2895"/>
      <c r="L167" s="2895"/>
      <c r="M167" s="2895"/>
      <c r="N167" s="2895"/>
      <c r="O167" s="2895"/>
      <c r="P167" s="2896"/>
    </row>
    <row r="168" spans="1:16" s="323" customFormat="1" ht="12" customHeight="1">
      <c r="A168" s="535"/>
      <c r="B168" s="535"/>
      <c r="C168" s="323" t="s">
        <v>4280</v>
      </c>
      <c r="E168" s="364"/>
      <c r="F168" s="364"/>
      <c r="G168" s="364"/>
      <c r="H168" s="1203"/>
      <c r="I168" s="1786"/>
      <c r="J168" s="2880" t="s">
        <v>743</v>
      </c>
      <c r="K168" s="2881"/>
      <c r="L168" s="359"/>
      <c r="M168" s="364"/>
      <c r="N168" s="1203"/>
      <c r="O168" s="364"/>
      <c r="P168" s="364"/>
    </row>
    <row r="169" spans="1:16" s="323" customFormat="1" ht="3" customHeight="1">
      <c r="A169" s="535"/>
      <c r="B169" s="535"/>
    </row>
    <row r="170" spans="1:16" s="323" customFormat="1" ht="12.6" customHeight="1">
      <c r="A170" s="535"/>
      <c r="B170" s="535" t="s">
        <v>1938</v>
      </c>
      <c r="C170" s="297" t="s">
        <v>2623</v>
      </c>
      <c r="D170" s="297"/>
      <c r="E170" s="297"/>
      <c r="F170" s="297"/>
      <c r="G170" s="297"/>
      <c r="I170" s="1919" t="s">
        <v>2889</v>
      </c>
      <c r="J170" s="2890" t="s">
        <v>743</v>
      </c>
      <c r="K170" s="2891"/>
      <c r="L170" s="1919"/>
      <c r="M170" s="2882" t="s">
        <v>2267</v>
      </c>
      <c r="N170" s="2883"/>
      <c r="O170" s="2884"/>
      <c r="P170" s="1974"/>
    </row>
    <row r="171" spans="1:16" s="323" customFormat="1" ht="12.6" customHeight="1">
      <c r="A171" s="535"/>
      <c r="B171" s="535"/>
      <c r="C171" s="297" t="s">
        <v>2624</v>
      </c>
      <c r="D171" s="297"/>
      <c r="E171" s="297"/>
      <c r="F171" s="297"/>
      <c r="G171" s="297"/>
      <c r="I171" s="1956" t="s">
        <v>2889</v>
      </c>
      <c r="J171" s="2890" t="s">
        <v>743</v>
      </c>
      <c r="K171" s="2891"/>
      <c r="L171" s="1956"/>
      <c r="M171" s="2882" t="s">
        <v>2267</v>
      </c>
      <c r="N171" s="2883"/>
      <c r="O171" s="2884"/>
      <c r="P171" s="1975"/>
    </row>
    <row r="172" spans="1:16" s="323" customFormat="1" ht="1.5" customHeight="1">
      <c r="A172" s="535"/>
      <c r="B172" s="535"/>
      <c r="C172" s="297"/>
      <c r="D172" s="297"/>
      <c r="E172" s="325"/>
      <c r="F172" s="297"/>
      <c r="G172" s="297"/>
      <c r="J172" s="1890"/>
      <c r="K172" s="424"/>
      <c r="M172" s="1890"/>
      <c r="O172" s="1891"/>
      <c r="P172" s="334"/>
    </row>
    <row r="173" spans="1:16" s="323" customFormat="1" ht="12.6" customHeight="1">
      <c r="A173" s="535"/>
      <c r="B173" s="535" t="s">
        <v>731</v>
      </c>
      <c r="C173" s="297" t="s">
        <v>1713</v>
      </c>
      <c r="D173" s="297"/>
      <c r="E173" s="297"/>
      <c r="F173" s="297"/>
      <c r="G173" s="297"/>
      <c r="I173" s="332" t="s">
        <v>2889</v>
      </c>
      <c r="L173" s="186"/>
      <c r="M173" s="186"/>
      <c r="P173" s="334"/>
    </row>
    <row r="174" spans="1:16" s="323" customFormat="1" ht="1.5" customHeight="1">
      <c r="A174" s="535"/>
      <c r="B174" s="535"/>
      <c r="C174" s="1888"/>
      <c r="E174" s="364"/>
      <c r="F174" s="364"/>
      <c r="G174" s="364"/>
      <c r="I174" s="364"/>
      <c r="J174" s="364"/>
      <c r="K174" s="1891"/>
      <c r="L174" s="364"/>
      <c r="M174" s="364"/>
      <c r="N174" s="1891"/>
      <c r="O174" s="364"/>
      <c r="P174" s="364"/>
    </row>
    <row r="175" spans="1:16" s="323" customFormat="1" ht="12.6" customHeight="1">
      <c r="A175" s="535"/>
      <c r="B175" s="535" t="s">
        <v>2065</v>
      </c>
      <c r="C175" s="2892" t="s">
        <v>1931</v>
      </c>
      <c r="D175" s="2892"/>
      <c r="E175" s="2892"/>
      <c r="F175" s="2892"/>
      <c r="G175" s="297"/>
      <c r="I175" s="332" t="s">
        <v>2889</v>
      </c>
      <c r="J175" s="366" t="s">
        <v>2665</v>
      </c>
      <c r="L175" s="2893" t="s">
        <v>3526</v>
      </c>
      <c r="M175" s="2893"/>
      <c r="N175" s="297"/>
      <c r="O175" s="297"/>
      <c r="P175" s="1245"/>
    </row>
    <row r="176" spans="1:16" s="323" customFormat="1" ht="12.6" customHeight="1">
      <c r="B176" s="535"/>
      <c r="L176" s="2915" t="s">
        <v>777</v>
      </c>
      <c r="M176" s="2915"/>
      <c r="N176" s="1189"/>
      <c r="O176" s="1189"/>
      <c r="P176" s="1246"/>
    </row>
    <row r="177" spans="1:16" s="323" customFormat="1" ht="12.6" customHeight="1">
      <c r="A177" s="535"/>
      <c r="B177" s="535"/>
      <c r="L177" s="2915" t="s">
        <v>1747</v>
      </c>
      <c r="M177" s="2915"/>
      <c r="N177" s="1189"/>
      <c r="O177" s="1189"/>
      <c r="P177" s="365" t="str">
        <f>IF(P175="","",P176/P175)</f>
        <v/>
      </c>
    </row>
    <row r="178" spans="1:16" s="323" customFormat="1" ht="13.35" customHeight="1">
      <c r="A178" s="535"/>
      <c r="B178" s="535" t="s">
        <v>1692</v>
      </c>
      <c r="C178" s="297" t="s">
        <v>1576</v>
      </c>
      <c r="D178" s="1193"/>
      <c r="E178" s="1193"/>
      <c r="F178" s="1193"/>
      <c r="G178" s="1193"/>
      <c r="H178" s="1203"/>
      <c r="J178" s="333"/>
      <c r="K178" s="342"/>
      <c r="M178" s="1198"/>
      <c r="O178" s="1203"/>
      <c r="P178" s="334"/>
    </row>
    <row r="179" spans="1:16" s="323" customFormat="1" ht="12.6" customHeight="1">
      <c r="A179" s="535"/>
      <c r="B179" s="535"/>
      <c r="C179" s="1198" t="s">
        <v>2156</v>
      </c>
      <c r="D179" s="335"/>
      <c r="E179" s="1198"/>
      <c r="F179" s="1198"/>
      <c r="I179" s="1273" t="s">
        <v>2889</v>
      </c>
      <c r="L179" s="1198" t="s">
        <v>1577</v>
      </c>
      <c r="M179" s="1198"/>
      <c r="N179" s="1198"/>
      <c r="P179" s="1273" t="s">
        <v>2886</v>
      </c>
    </row>
    <row r="180" spans="1:16" s="323" customFormat="1" ht="12.6" customHeight="1">
      <c r="A180" s="535"/>
      <c r="B180" s="535"/>
      <c r="C180" s="1198" t="s">
        <v>2157</v>
      </c>
      <c r="I180" s="1275" t="s">
        <v>2889</v>
      </c>
      <c r="L180" s="1198" t="s">
        <v>2746</v>
      </c>
      <c r="M180" s="1198"/>
      <c r="N180" s="1198"/>
      <c r="P180" s="1275" t="s">
        <v>2889</v>
      </c>
    </row>
    <row r="181" spans="1:16" s="323" customFormat="1" ht="12.6" customHeight="1">
      <c r="A181" s="535"/>
      <c r="C181" s="1198" t="s">
        <v>2641</v>
      </c>
      <c r="I181" s="1275" t="s">
        <v>2889</v>
      </c>
      <c r="L181" s="1198" t="s">
        <v>2612</v>
      </c>
      <c r="N181" s="2916"/>
      <c r="O181" s="2917"/>
      <c r="P181" s="1275" t="s">
        <v>2889</v>
      </c>
    </row>
    <row r="182" spans="1:16" s="323" customFormat="1" ht="12.6" customHeight="1">
      <c r="A182" s="535"/>
      <c r="B182" s="535"/>
      <c r="C182" s="1198" t="s">
        <v>1259</v>
      </c>
      <c r="D182" s="367"/>
      <c r="I182" s="1275" t="s">
        <v>2889</v>
      </c>
      <c r="K182" s="335"/>
      <c r="L182" s="1198" t="s">
        <v>3362</v>
      </c>
      <c r="M182" s="1198"/>
      <c r="N182" s="1198"/>
      <c r="P182" s="1275" t="s">
        <v>2889</v>
      </c>
    </row>
    <row r="183" spans="1:16" s="323" customFormat="1" ht="12.6" customHeight="1">
      <c r="A183" s="535"/>
      <c r="B183" s="325"/>
      <c r="C183" s="1198" t="s">
        <v>4530</v>
      </c>
      <c r="I183" s="1275" t="s">
        <v>2889</v>
      </c>
      <c r="J183" s="366" t="s">
        <v>2666</v>
      </c>
      <c r="O183" s="2918"/>
      <c r="P183" s="2919"/>
    </row>
    <row r="184" spans="1:16" s="323" customFormat="1" ht="12.6" customHeight="1">
      <c r="A184" s="535"/>
      <c r="B184" s="325"/>
      <c r="C184" s="2064" t="s">
        <v>1761</v>
      </c>
      <c r="I184" s="1275" t="s">
        <v>2889</v>
      </c>
      <c r="J184" s="366" t="s">
        <v>2666</v>
      </c>
      <c r="O184" s="2934"/>
      <c r="P184" s="2935"/>
    </row>
    <row r="185" spans="1:16" s="323" customFormat="1" ht="12.6" customHeight="1">
      <c r="A185" s="535"/>
      <c r="B185" s="535"/>
      <c r="C185" s="1198" t="s">
        <v>2800</v>
      </c>
      <c r="I185" s="1276" t="s">
        <v>2889</v>
      </c>
      <c r="J185" s="366" t="s">
        <v>2666</v>
      </c>
      <c r="O185" s="2920"/>
      <c r="P185" s="2921"/>
    </row>
    <row r="186" spans="1:16" s="323" customFormat="1" ht="1.5" customHeight="1">
      <c r="A186" s="535"/>
      <c r="B186" s="535"/>
      <c r="P186" s="333"/>
    </row>
    <row r="187" spans="1:16" s="323" customFormat="1" ht="13.35" customHeight="1">
      <c r="B187" s="535" t="s">
        <v>1693</v>
      </c>
      <c r="C187" s="329" t="s">
        <v>721</v>
      </c>
    </row>
    <row r="188" spans="1:16" s="323" customFormat="1" ht="12.6" customHeight="1">
      <c r="A188" s="535"/>
      <c r="B188" s="535"/>
      <c r="C188" s="328" t="s">
        <v>621</v>
      </c>
      <c r="D188" s="1193"/>
      <c r="E188" s="1193"/>
      <c r="F188" s="1203"/>
      <c r="G188" s="1203"/>
      <c r="H188" s="2922"/>
      <c r="I188" s="2923"/>
      <c r="N188" s="1198"/>
      <c r="O188" s="1198"/>
      <c r="P188" s="334"/>
    </row>
    <row r="189" spans="1:16" s="323" customFormat="1" ht="12.6" customHeight="1">
      <c r="A189" s="535"/>
      <c r="B189" s="535"/>
      <c r="C189" s="328" t="s">
        <v>271</v>
      </c>
      <c r="D189" s="1193"/>
      <c r="E189" s="1193"/>
      <c r="F189" s="1203"/>
      <c r="G189" s="1203"/>
      <c r="H189" s="2930"/>
      <c r="I189" s="2931"/>
      <c r="N189" s="1198"/>
      <c r="O189" s="1198"/>
      <c r="P189" s="334"/>
    </row>
    <row r="190" spans="1:16" s="323" customFormat="1" ht="12.6" customHeight="1">
      <c r="A190" s="535"/>
      <c r="B190" s="535"/>
      <c r="C190" s="328" t="s">
        <v>2237</v>
      </c>
      <c r="D190" s="1193"/>
      <c r="E190" s="1193"/>
      <c r="F190" s="1203"/>
      <c r="G190" s="1203"/>
      <c r="H190" s="2932">
        <v>45231</v>
      </c>
      <c r="I190" s="2933"/>
      <c r="N190" s="1198"/>
      <c r="O190" s="1198"/>
      <c r="P190" s="334"/>
    </row>
    <row r="191" spans="1:16" s="323" customFormat="1" ht="2.25" customHeight="1">
      <c r="B191" s="325"/>
      <c r="C191" s="1198"/>
      <c r="H191" s="1198"/>
      <c r="L191" s="344"/>
      <c r="M191" s="344"/>
      <c r="N191" s="344"/>
      <c r="O191" s="344"/>
      <c r="P191" s="330"/>
    </row>
    <row r="192" spans="1:16" ht="12" customHeight="1">
      <c r="A192" s="353" t="s">
        <v>2691</v>
      </c>
      <c r="C192" s="353" t="s">
        <v>555</v>
      </c>
      <c r="M192" s="353" t="s">
        <v>2194</v>
      </c>
      <c r="N192" s="353" t="s">
        <v>77</v>
      </c>
    </row>
    <row r="193" spans="1:44" ht="409.5" customHeight="1">
      <c r="A193" s="2924" t="s">
        <v>7012</v>
      </c>
      <c r="B193" s="2925"/>
      <c r="C193" s="2925"/>
      <c r="D193" s="2925"/>
      <c r="E193" s="2925"/>
      <c r="F193" s="2925"/>
      <c r="G193" s="2925"/>
      <c r="H193" s="2925"/>
      <c r="I193" s="2925"/>
      <c r="J193" s="2925"/>
      <c r="K193" s="2925"/>
      <c r="L193" s="2926"/>
      <c r="M193" s="2927"/>
      <c r="N193" s="2928"/>
      <c r="O193" s="2928"/>
      <c r="P193" s="2929"/>
      <c r="Q193" s="2878" t="s">
        <v>2614</v>
      </c>
      <c r="R193" s="2878"/>
      <c r="S193" s="2878"/>
      <c r="T193" s="2878"/>
      <c r="U193" s="2878"/>
    </row>
    <row r="194" spans="1:44" ht="12" customHeight="1">
      <c r="Q194" s="2878"/>
      <c r="R194" s="2878"/>
      <c r="S194" s="2878"/>
      <c r="T194" s="2878"/>
      <c r="U194" s="2878"/>
    </row>
    <row r="197" spans="1:44">
      <c r="P197" s="1264"/>
      <c r="Q197" s="1264"/>
      <c r="R197" s="1264"/>
    </row>
    <row r="198" spans="1:44">
      <c r="P198" s="1264"/>
      <c r="Q198" s="1264"/>
      <c r="R198" s="1264"/>
    </row>
    <row r="199" spans="1:44">
      <c r="P199" s="1264"/>
      <c r="Q199" s="1264"/>
      <c r="R199" s="1264"/>
    </row>
    <row r="200" spans="1:44">
      <c r="P200" s="1264"/>
      <c r="Q200" s="1264"/>
      <c r="R200" s="1264"/>
    </row>
    <row r="201" spans="1:44" s="540" customFormat="1" ht="12" customHeight="1">
      <c r="A201" s="344"/>
      <c r="B201" s="368"/>
      <c r="C201" s="344"/>
      <c r="D201" s="344"/>
      <c r="E201" s="344"/>
      <c r="F201" s="344"/>
      <c r="G201" s="344"/>
      <c r="H201" s="344"/>
      <c r="I201" s="344"/>
      <c r="J201" s="344"/>
      <c r="K201" s="344"/>
      <c r="L201" s="344"/>
      <c r="M201" s="344"/>
      <c r="N201" s="344"/>
      <c r="O201" s="344"/>
      <c r="P201" s="1264"/>
      <c r="Q201" s="1264"/>
      <c r="R201" s="1264"/>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5"/>
      <c r="Q202" s="1264"/>
      <c r="R202" s="1264"/>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6"/>
      <c r="Q203" s="1264"/>
      <c r="R203" s="1264"/>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6"/>
      <c r="Q204" s="1264"/>
      <c r="R204" s="1264"/>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6"/>
      <c r="Q205" s="1264"/>
      <c r="R205" s="1264"/>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6"/>
      <c r="Q206" s="1264"/>
      <c r="R206" s="1264"/>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6"/>
      <c r="Q207" s="1264"/>
      <c r="R207" s="1264"/>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6"/>
      <c r="Q208" s="1264"/>
      <c r="R208" s="1264"/>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6"/>
      <c r="Q209" s="1264"/>
      <c r="R209" s="1264"/>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6"/>
      <c r="Q210" s="1267"/>
      <c r="R210" s="1264"/>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6"/>
      <c r="Q211" s="1267"/>
      <c r="R211" s="126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6"/>
      <c r="Q212" s="1267"/>
      <c r="R212" s="1264"/>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6"/>
      <c r="Q213" s="1267"/>
      <c r="R213" s="1264"/>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0" t="s">
        <v>2783</v>
      </c>
      <c r="K214" s="344"/>
      <c r="L214" s="344"/>
      <c r="M214" s="344"/>
      <c r="N214" s="344"/>
      <c r="O214" s="344"/>
      <c r="P214" s="1266"/>
      <c r="Q214" s="1267"/>
      <c r="R214" s="1264"/>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0" t="s">
        <v>2784</v>
      </c>
      <c r="K215" s="344"/>
      <c r="L215" s="344"/>
      <c r="M215" s="344"/>
      <c r="N215" s="344"/>
      <c r="O215" s="344"/>
      <c r="P215" s="1266"/>
      <c r="Q215" s="1267"/>
      <c r="R215" s="1264"/>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0" t="s">
        <v>2785</v>
      </c>
      <c r="K216" s="344"/>
      <c r="L216" s="344"/>
      <c r="M216" s="344"/>
      <c r="N216" s="344"/>
      <c r="O216" s="344"/>
      <c r="P216" s="1266"/>
      <c r="Q216" s="1267"/>
      <c r="R216" s="1264"/>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0" t="s">
        <v>2786</v>
      </c>
      <c r="K217" s="344"/>
      <c r="L217" s="344"/>
      <c r="M217" s="344"/>
      <c r="N217" s="344"/>
      <c r="O217" s="344"/>
      <c r="P217" s="1266"/>
      <c r="Q217" s="1267"/>
      <c r="R217" s="1264"/>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0" t="s">
        <v>2787</v>
      </c>
      <c r="K218" s="344"/>
      <c r="L218" s="344"/>
      <c r="M218" s="344"/>
      <c r="N218" s="344"/>
      <c r="O218" s="344"/>
      <c r="P218" s="1266"/>
      <c r="Q218" s="1267"/>
      <c r="R218" s="1264"/>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0" t="s">
        <v>2788</v>
      </c>
      <c r="K219" s="344"/>
      <c r="L219" s="344"/>
      <c r="M219" s="344"/>
      <c r="N219" s="344"/>
      <c r="O219" s="344"/>
      <c r="P219" s="1266"/>
      <c r="Q219" s="1267"/>
      <c r="R219" s="1264"/>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0" t="s">
        <v>2789</v>
      </c>
      <c r="K220" s="344"/>
      <c r="L220" s="344"/>
      <c r="M220" s="344"/>
      <c r="N220" s="344"/>
      <c r="O220" s="344"/>
      <c r="P220" s="1266"/>
      <c r="Q220" s="1267"/>
      <c r="R220" s="1264"/>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0" t="s">
        <v>2790</v>
      </c>
      <c r="K221" s="344"/>
      <c r="L221" s="344"/>
      <c r="M221" s="344"/>
      <c r="N221" s="344"/>
      <c r="O221" s="344"/>
      <c r="P221" s="1266"/>
      <c r="Q221" s="1267"/>
      <c r="R221" s="1264"/>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0" t="s">
        <v>2791</v>
      </c>
      <c r="K222" s="344"/>
      <c r="L222" s="344"/>
      <c r="M222" s="344"/>
      <c r="N222" s="344"/>
      <c r="O222" s="344"/>
      <c r="P222" s="1266"/>
      <c r="Q222" s="1267"/>
      <c r="R222" s="1264"/>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0" t="s">
        <v>3655</v>
      </c>
      <c r="K223" s="344"/>
      <c r="L223" s="344"/>
      <c r="M223" s="344"/>
      <c r="N223" s="344"/>
      <c r="O223" s="344"/>
      <c r="P223" s="1266"/>
      <c r="Q223" s="1267"/>
      <c r="R223" s="1264"/>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6"/>
      <c r="Q224" s="1267"/>
      <c r="R224" s="1264"/>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6"/>
      <c r="Q225" s="1267"/>
      <c r="R225" s="1264"/>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6"/>
      <c r="Q226" s="1267"/>
      <c r="R226" s="1264"/>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6"/>
      <c r="Q227" s="1267"/>
      <c r="R227" s="1264"/>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6"/>
      <c r="Q228" s="1267"/>
      <c r="R228" s="1264"/>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8"/>
      <c r="Q229" s="1264"/>
      <c r="R229" s="1264"/>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6"/>
      <c r="Q230" s="1267"/>
      <c r="R230" s="1264"/>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6"/>
      <c r="Q231" s="1267"/>
      <c r="R231" s="1264"/>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6"/>
      <c r="Q232" s="1267"/>
      <c r="R232" s="1264"/>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8"/>
      <c r="Q233" s="1264"/>
      <c r="R233" s="1264"/>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6"/>
      <c r="Q234" s="1267"/>
      <c r="R234" s="1264"/>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6"/>
      <c r="Q235" s="1267"/>
      <c r="R235" s="1264"/>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6"/>
      <c r="Q236" s="1267"/>
      <c r="R236" s="1264"/>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6"/>
      <c r="Q237" s="1267"/>
      <c r="R237" s="1264"/>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6"/>
      <c r="Q238" s="1267"/>
      <c r="R238" s="1264"/>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6"/>
      <c r="Q239" s="1267"/>
      <c r="R239" s="1264"/>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6"/>
      <c r="Q240" s="1267"/>
      <c r="R240" s="1264"/>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6"/>
      <c r="Q241" s="1267"/>
      <c r="R241" s="1264"/>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6"/>
      <c r="Q242" s="1267"/>
      <c r="R242" s="1264"/>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6"/>
      <c r="Q243" s="1267"/>
      <c r="R243" s="1264"/>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6"/>
      <c r="Q244" s="1267"/>
      <c r="R244" s="1264"/>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6"/>
      <c r="Q245" s="1267"/>
      <c r="R245" s="1264"/>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6"/>
      <c r="Q246" s="1267"/>
      <c r="R246" s="1264"/>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69"/>
      <c r="Q247" s="1267"/>
      <c r="R247" s="1270"/>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6"/>
      <c r="Q248" s="1267"/>
      <c r="R248" s="1270"/>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6"/>
      <c r="Q249" s="1267"/>
      <c r="R249" s="1270"/>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6"/>
      <c r="Q250" s="1267"/>
      <c r="R250" s="1270"/>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6"/>
      <c r="Q251" s="1264"/>
      <c r="R251" s="1264"/>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8"/>
      <c r="Q252" s="1264"/>
      <c r="R252" s="1264"/>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6"/>
      <c r="Q253" s="1267"/>
      <c r="R253" s="1264"/>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6"/>
      <c r="Q254" s="1267"/>
      <c r="R254" s="1264"/>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69"/>
      <c r="Q255" s="1267"/>
      <c r="R255" s="1264"/>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6"/>
      <c r="Q256" s="1267"/>
      <c r="R256" s="1264"/>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6"/>
      <c r="Q257" s="1267"/>
      <c r="R257" s="1264"/>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6"/>
      <c r="Q258" s="1267"/>
      <c r="R258" s="1264"/>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6"/>
      <c r="Q259" s="1267"/>
      <c r="R259" s="1264"/>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6"/>
      <c r="Q260" s="1267"/>
      <c r="R260" s="1264"/>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6"/>
      <c r="Q261" s="1267"/>
      <c r="R261" s="1264"/>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6"/>
      <c r="Q262" s="1267"/>
      <c r="R262" s="1264"/>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69"/>
      <c r="Q263" s="1267"/>
      <c r="R263" s="1264"/>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6"/>
      <c r="Q264" s="1267"/>
      <c r="R264" s="1264"/>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6"/>
      <c r="Q265" s="1267"/>
      <c r="R265" s="1264"/>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6"/>
      <c r="Q266" s="1267"/>
      <c r="R266" s="1264"/>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6"/>
      <c r="Q267" s="1267"/>
      <c r="R267" s="1264"/>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6"/>
      <c r="Q268" s="1267"/>
      <c r="R268" s="1264"/>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6"/>
      <c r="Q269" s="1267"/>
      <c r="R269" s="1264"/>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6"/>
      <c r="Q270" s="1267"/>
      <c r="R270" s="1264"/>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6"/>
      <c r="Q271" s="1267"/>
      <c r="R271" s="1264"/>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6"/>
      <c r="Q272" s="1267"/>
      <c r="R272" s="1264"/>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6"/>
      <c r="Q273" s="1267"/>
      <c r="R273" s="1264"/>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6"/>
      <c r="Q274" s="1267"/>
      <c r="R274" s="1264"/>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6"/>
      <c r="Q275" s="1267"/>
      <c r="R275" s="1264"/>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6"/>
      <c r="Q276" s="1267"/>
      <c r="R276" s="1264"/>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6"/>
      <c r="Q277" s="1267"/>
      <c r="R277" s="1264"/>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1"/>
      <c r="Q278" s="1267"/>
      <c r="R278" s="1264"/>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6"/>
      <c r="Q279" s="1267"/>
      <c r="R279" s="1264"/>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6"/>
      <c r="Q280" s="1267"/>
      <c r="R280" s="1264"/>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6"/>
      <c r="Q281" s="1267"/>
      <c r="R281" s="1264"/>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6"/>
      <c r="Q282" s="1267"/>
      <c r="R282" s="1264"/>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6"/>
      <c r="Q283" s="1267"/>
      <c r="R283" s="1264"/>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6"/>
      <c r="Q284" s="1267"/>
      <c r="R284" s="1264"/>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6"/>
      <c r="Q285" s="1267"/>
      <c r="R285" s="1264"/>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6"/>
      <c r="Q286" s="1267"/>
      <c r="R286" s="1264"/>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6"/>
      <c r="Q287" s="1267"/>
      <c r="R287" s="1264"/>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6"/>
      <c r="Q288" s="1267"/>
      <c r="R288" s="1264"/>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6"/>
      <c r="Q289" s="1267"/>
      <c r="R289" s="1264"/>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6"/>
      <c r="Q290" s="1267"/>
      <c r="R290" s="1264"/>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6"/>
      <c r="Q291" s="1267"/>
      <c r="R291" s="1264"/>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6"/>
      <c r="Q292" s="1267"/>
      <c r="R292" s="1264"/>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6"/>
      <c r="Q293" s="1267"/>
      <c r="R293" s="1264"/>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6"/>
      <c r="Q294" s="1267"/>
      <c r="R294" s="1264"/>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6"/>
      <c r="Q295" s="1267"/>
      <c r="R295" s="1264"/>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6"/>
      <c r="Q296" s="1267"/>
      <c r="R296" s="1264"/>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6"/>
      <c r="Q297" s="1267"/>
      <c r="R297" s="1264"/>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6"/>
      <c r="Q298" s="1267"/>
      <c r="R298" s="1264"/>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6"/>
      <c r="Q299" s="1267"/>
      <c r="R299" s="1264"/>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6"/>
      <c r="Q300" s="1267"/>
      <c r="R300" s="1264"/>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6"/>
      <c r="Q301" s="1267"/>
      <c r="R301" s="1264"/>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6"/>
      <c r="Q302" s="1267"/>
      <c r="R302" s="1264"/>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6"/>
      <c r="Q303" s="1267"/>
      <c r="R303" s="1264"/>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6"/>
      <c r="Q304" s="1267"/>
      <c r="R304" s="1264"/>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69"/>
      <c r="Q305" s="1267"/>
      <c r="R305" s="1264"/>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6"/>
      <c r="Q306" s="1267"/>
      <c r="R306" s="1264"/>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6"/>
      <c r="Q307" s="1267"/>
      <c r="R307" s="1264"/>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6"/>
      <c r="Q308" s="1267"/>
      <c r="R308" s="1264"/>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6"/>
      <c r="Q309" s="1267"/>
      <c r="R309" s="1264"/>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6"/>
      <c r="Q310" s="1267"/>
      <c r="R310" s="126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6"/>
      <c r="Q311" s="1267"/>
      <c r="R311" s="1264"/>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6"/>
      <c r="Q312" s="1267"/>
      <c r="R312" s="1264"/>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6"/>
      <c r="Q313" s="1267"/>
      <c r="R313" s="1264"/>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6"/>
      <c r="Q314" s="1267"/>
      <c r="R314" s="1264"/>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6"/>
      <c r="Q315" s="1267"/>
      <c r="R315" s="1264"/>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6"/>
      <c r="Q316" s="1264"/>
      <c r="R316" s="1264"/>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6"/>
      <c r="Q317" s="1267"/>
      <c r="R317" s="1264"/>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6"/>
      <c r="Q318" s="1267"/>
      <c r="R318" s="1264"/>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6"/>
      <c r="Q319" s="1267"/>
      <c r="R319" s="1264"/>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8"/>
      <c r="Q320" s="1264"/>
      <c r="R320" s="1264"/>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6"/>
      <c r="Q321" s="1267"/>
      <c r="R321" s="126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6"/>
      <c r="Q322" s="1267"/>
      <c r="R322" s="1264"/>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6"/>
      <c r="Q323" s="1267"/>
      <c r="R323" s="1264"/>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8"/>
      <c r="Q324" s="1264"/>
      <c r="R324" s="1264"/>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6"/>
      <c r="Q325" s="1267"/>
      <c r="R325" s="1264"/>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6"/>
      <c r="Q326" s="1267"/>
      <c r="R326" s="1264"/>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6"/>
      <c r="Q327" s="1264"/>
      <c r="R327" s="1264"/>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69"/>
      <c r="Q328" s="1264"/>
      <c r="R328" s="1264"/>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6"/>
      <c r="Q329" s="1267"/>
      <c r="R329" s="1264"/>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6"/>
      <c r="Q330" s="1267"/>
      <c r="R330" s="1264"/>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6"/>
      <c r="Q331" s="1267"/>
      <c r="R331" s="1264"/>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8"/>
      <c r="Q332" s="1264"/>
      <c r="R332" s="1264"/>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6"/>
      <c r="Q333" s="1267"/>
      <c r="R333" s="1264"/>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69"/>
      <c r="Q334" s="1267"/>
      <c r="R334" s="1264"/>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6"/>
      <c r="Q335" s="1264"/>
      <c r="R335" s="1264"/>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6"/>
      <c r="Q336" s="1267"/>
      <c r="R336" s="1264"/>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6"/>
      <c r="Q337" s="1267"/>
      <c r="R337" s="1264"/>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6"/>
      <c r="Q338" s="1267"/>
      <c r="R338" s="1264"/>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6"/>
      <c r="Q339" s="1264"/>
      <c r="R339" s="1264"/>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8"/>
      <c r="Q340" s="1267"/>
      <c r="R340" s="1264"/>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6"/>
      <c r="Q341" s="1267"/>
      <c r="R341" s="1264"/>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6"/>
      <c r="Q342" s="1267"/>
      <c r="R342" s="1264"/>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6"/>
      <c r="Q343" s="1267"/>
      <c r="R343" s="1264"/>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6"/>
      <c r="Q344" s="1267"/>
      <c r="R344" s="1264"/>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6"/>
      <c r="Q345" s="1267"/>
      <c r="R345" s="1264"/>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6"/>
      <c r="Q346" s="1267"/>
      <c r="R346" s="1264"/>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6"/>
      <c r="Q347" s="1267"/>
      <c r="R347" s="1264"/>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6"/>
      <c r="Q348" s="1267"/>
      <c r="R348" s="1264"/>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6"/>
      <c r="Q349" s="1267"/>
      <c r="R349" s="1264"/>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6"/>
      <c r="Q350" s="1267"/>
      <c r="R350" s="1264"/>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6"/>
      <c r="Q351" s="1267"/>
      <c r="R351" s="1264"/>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6"/>
      <c r="Q352" s="1267"/>
      <c r="R352" s="1264"/>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6"/>
      <c r="Q353" s="1267"/>
      <c r="R353" s="1264"/>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6"/>
      <c r="Q354" s="1267"/>
      <c r="R354" s="1264"/>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6"/>
      <c r="Q355" s="1267"/>
      <c r="R355" s="1264"/>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6"/>
      <c r="Q356" s="1267"/>
      <c r="R356" s="1264"/>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6"/>
      <c r="Q357" s="1267"/>
      <c r="R357" s="1264"/>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69"/>
      <c r="Q358" s="1267"/>
      <c r="R358" s="1264"/>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6"/>
      <c r="Q359" s="1267"/>
      <c r="R359" s="1264"/>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6"/>
      <c r="Q360" s="1267"/>
      <c r="R360" s="1270"/>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6"/>
      <c r="Q361" s="1267"/>
      <c r="R361" s="1270"/>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6"/>
      <c r="Q362" s="1267"/>
      <c r="R362" s="1270"/>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6"/>
      <c r="Q363" s="1264"/>
      <c r="R363" s="1270"/>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69"/>
      <c r="Q364" s="1264"/>
      <c r="R364" s="1270"/>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6"/>
      <c r="Q365" s="1264"/>
      <c r="R365" s="1270"/>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6"/>
      <c r="Q366" s="1264"/>
      <c r="R366" s="1270"/>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6"/>
      <c r="Q367" s="1264"/>
      <c r="R367" s="1264"/>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6"/>
      <c r="Q368" s="1264"/>
      <c r="R368" s="1264"/>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6"/>
      <c r="Q369" s="1264"/>
      <c r="R369" s="1264"/>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6"/>
      <c r="Q370" s="1264"/>
      <c r="R370" s="1264"/>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69"/>
      <c r="Q371" s="1264"/>
      <c r="R371" s="1264"/>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6"/>
      <c r="Q372" s="1264"/>
      <c r="R372" s="1264"/>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6"/>
      <c r="Q373" s="1264"/>
      <c r="R373" s="1264"/>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6"/>
      <c r="Q374" s="1264"/>
      <c r="R374" s="1264"/>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6"/>
      <c r="Q375" s="1264"/>
      <c r="R375" s="1264"/>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6"/>
      <c r="Q376" s="1264"/>
      <c r="R376" s="1264"/>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6"/>
      <c r="Q377" s="1264"/>
      <c r="R377" s="1264"/>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5"/>
      <c r="Q378" s="1264"/>
      <c r="R378" s="1264"/>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69"/>
      <c r="Q379" s="1264"/>
      <c r="R379" s="1264"/>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69"/>
      <c r="Q380" s="1264"/>
      <c r="R380" s="1264"/>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5"/>
      <c r="Q381" s="1264"/>
      <c r="R381" s="1264"/>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5"/>
      <c r="Q382" s="1264"/>
      <c r="R382" s="1264"/>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5"/>
      <c r="Q383" s="1264"/>
      <c r="R383" s="1264"/>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5"/>
      <c r="Q384" s="1264"/>
      <c r="R384" s="1264"/>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5"/>
      <c r="Q385" s="1264"/>
      <c r="R385" s="1264"/>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5"/>
      <c r="Q386" s="1264"/>
      <c r="R386" s="1264"/>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5"/>
      <c r="Q387" s="1264"/>
      <c r="R387" s="1264"/>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5"/>
      <c r="Q388" s="1264"/>
      <c r="R388" s="1264"/>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4"/>
      <c r="C389" s="1264"/>
      <c r="D389" s="1264"/>
      <c r="E389" s="1264"/>
      <c r="F389" s="1264"/>
      <c r="G389" s="1264"/>
      <c r="H389" s="1264"/>
      <c r="I389" s="1264"/>
      <c r="J389" s="1264"/>
      <c r="K389" s="1264"/>
      <c r="L389" s="1264"/>
      <c r="M389" s="1264"/>
      <c r="N389" s="1264"/>
      <c r="O389" s="1264"/>
      <c r="P389" s="1265"/>
      <c r="Q389" s="1264"/>
      <c r="R389" s="1264"/>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4"/>
      <c r="C390" s="1264"/>
      <c r="D390" s="1264"/>
      <c r="E390" s="1264"/>
      <c r="F390" s="1264"/>
      <c r="G390" s="1264"/>
      <c r="H390" s="1264"/>
      <c r="I390" s="1264"/>
      <c r="J390" s="1264"/>
      <c r="K390" s="1264"/>
      <c r="L390" s="1264"/>
      <c r="M390" s="1264"/>
      <c r="N390" s="1264"/>
      <c r="O390" s="1264"/>
      <c r="P390" s="1265"/>
      <c r="Q390" s="1264"/>
      <c r="R390" s="1264"/>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4"/>
      <c r="C391" s="1264"/>
      <c r="D391" s="1264"/>
      <c r="E391" s="1264"/>
      <c r="F391" s="1264"/>
      <c r="G391" s="1264"/>
      <c r="H391" s="1264"/>
      <c r="I391" s="1264"/>
      <c r="J391" s="1264"/>
      <c r="K391" s="1264"/>
      <c r="L391" s="1264"/>
      <c r="M391" s="1264"/>
      <c r="N391" s="1264"/>
      <c r="O391" s="1264"/>
      <c r="P391" s="1265"/>
      <c r="Q391" s="1264"/>
      <c r="R391" s="1264"/>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4"/>
      <c r="C392" s="1264"/>
      <c r="D392" s="1264"/>
      <c r="E392" s="1264"/>
      <c r="F392" s="1264"/>
      <c r="G392" s="1264"/>
      <c r="H392" s="1264"/>
      <c r="I392" s="1264"/>
      <c r="J392" s="1264"/>
      <c r="K392" s="1264"/>
      <c r="L392" s="1264"/>
      <c r="M392" s="1264"/>
      <c r="N392" s="1264"/>
      <c r="O392" s="1264"/>
      <c r="P392" s="1265"/>
      <c r="Q392" s="1264"/>
      <c r="R392" s="1264"/>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4"/>
      <c r="C393" s="1264"/>
      <c r="D393" s="1264"/>
      <c r="E393" s="1264"/>
      <c r="F393" s="1264"/>
      <c r="G393" s="1264"/>
      <c r="H393" s="1264"/>
      <c r="I393" s="1264"/>
      <c r="J393" s="1264"/>
      <c r="K393" s="1264"/>
      <c r="L393" s="1264"/>
      <c r="M393" s="1264"/>
      <c r="N393" s="1264"/>
      <c r="O393" s="1264"/>
      <c r="P393" s="1265"/>
      <c r="Q393" s="1264"/>
      <c r="R393" s="1264"/>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4"/>
      <c r="C394" s="1264"/>
      <c r="D394" s="1264"/>
      <c r="E394" s="1264"/>
      <c r="F394" s="1264"/>
      <c r="G394" s="1264"/>
      <c r="H394" s="1264"/>
      <c r="I394" s="1264"/>
      <c r="J394" s="1264"/>
      <c r="K394" s="1264"/>
      <c r="L394" s="1264"/>
      <c r="M394" s="1264"/>
      <c r="N394" s="1264"/>
      <c r="O394" s="1264"/>
      <c r="P394" s="1265"/>
      <c r="Q394" s="1264"/>
      <c r="R394" s="1264"/>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4"/>
      <c r="C395" s="1264"/>
      <c r="D395" s="1264"/>
      <c r="E395" s="1264"/>
      <c r="F395" s="1264"/>
      <c r="G395" s="1264"/>
      <c r="H395" s="1264"/>
      <c r="I395" s="1264"/>
      <c r="J395" s="1264"/>
      <c r="K395" s="1264"/>
      <c r="L395" s="1264"/>
      <c r="M395" s="1264"/>
      <c r="N395" s="1264"/>
      <c r="O395" s="1264"/>
      <c r="P395" s="1269"/>
      <c r="Q395" s="1264"/>
      <c r="R395" s="1264"/>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4"/>
      <c r="C396" s="1264"/>
      <c r="D396" s="1264"/>
      <c r="E396" s="1264"/>
      <c r="F396" s="1264"/>
      <c r="G396" s="1264"/>
      <c r="H396" s="1264"/>
      <c r="I396" s="1264"/>
      <c r="J396" s="1264"/>
      <c r="K396" s="1264"/>
      <c r="L396" s="1264"/>
      <c r="M396" s="1264"/>
      <c r="N396" s="1264"/>
      <c r="O396" s="1264"/>
      <c r="P396" s="1269"/>
      <c r="Q396" s="1264"/>
      <c r="R396" s="1264"/>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4"/>
      <c r="C397" s="1264"/>
      <c r="D397" s="1264"/>
      <c r="E397" s="1264"/>
      <c r="F397" s="1264"/>
      <c r="G397" s="1264"/>
      <c r="H397" s="1264"/>
      <c r="I397" s="1264"/>
      <c r="J397" s="1264"/>
      <c r="K397" s="1264"/>
      <c r="L397" s="1264"/>
      <c r="M397" s="1264"/>
      <c r="N397" s="1264"/>
      <c r="O397" s="1264"/>
      <c r="P397" s="1269"/>
      <c r="Q397" s="1264"/>
      <c r="R397" s="1264"/>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4"/>
      <c r="C398" s="1264"/>
      <c r="D398" s="1264"/>
      <c r="E398" s="1264"/>
      <c r="F398" s="1264"/>
      <c r="G398" s="1264"/>
      <c r="H398" s="1264"/>
      <c r="I398" s="1264"/>
      <c r="J398" s="1264"/>
      <c r="K398" s="1264"/>
      <c r="L398" s="1264"/>
      <c r="M398" s="1264"/>
      <c r="N398" s="1264"/>
      <c r="O398" s="1264"/>
      <c r="P398" s="1265"/>
      <c r="Q398" s="1264"/>
      <c r="R398" s="1264"/>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4"/>
      <c r="C399" s="1264"/>
      <c r="D399" s="1264"/>
      <c r="E399" s="1264"/>
      <c r="F399" s="1264"/>
      <c r="G399" s="1264"/>
      <c r="H399" s="1264"/>
      <c r="I399" s="1264"/>
      <c r="J399" s="1264"/>
      <c r="K399" s="1264"/>
      <c r="L399" s="1264"/>
      <c r="M399" s="1264"/>
      <c r="N399" s="1264"/>
      <c r="O399" s="1264"/>
      <c r="P399" s="1265"/>
      <c r="Q399" s="1264"/>
      <c r="R399" s="1264"/>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4"/>
      <c r="C400" s="1264"/>
      <c r="D400" s="1264"/>
      <c r="E400" s="1264"/>
      <c r="F400" s="1264"/>
      <c r="G400" s="1264"/>
      <c r="H400" s="1264"/>
      <c r="I400" s="1264"/>
      <c r="J400" s="1264"/>
      <c r="K400" s="1264"/>
      <c r="L400" s="1264"/>
      <c r="M400" s="1264"/>
      <c r="N400" s="1264"/>
      <c r="O400" s="1264"/>
      <c r="P400" s="1269"/>
      <c r="Q400" s="1264"/>
      <c r="R400" s="1264"/>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4"/>
      <c r="C401" s="1264"/>
      <c r="D401" s="1264"/>
      <c r="E401" s="1264"/>
      <c r="F401" s="1264"/>
      <c r="G401" s="1264"/>
      <c r="H401" s="1264"/>
      <c r="I401" s="1264"/>
      <c r="J401" s="1264"/>
      <c r="K401" s="1264"/>
      <c r="L401" s="1264"/>
      <c r="M401" s="1264"/>
      <c r="N401" s="1264"/>
      <c r="O401" s="1264"/>
      <c r="P401" s="1265"/>
      <c r="Q401" s="1264"/>
      <c r="R401" s="1264"/>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4"/>
      <c r="C402" s="1264"/>
      <c r="D402" s="1264"/>
      <c r="E402" s="1264"/>
      <c r="F402" s="1264"/>
      <c r="G402" s="1264"/>
      <c r="H402" s="1264"/>
      <c r="I402" s="1264"/>
      <c r="J402" s="1264"/>
      <c r="K402" s="1264"/>
      <c r="L402" s="1264"/>
      <c r="M402" s="1264"/>
      <c r="N402" s="1264"/>
      <c r="O402" s="1264"/>
      <c r="P402" s="1265"/>
      <c r="Q402" s="1264"/>
      <c r="R402" s="1264"/>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4"/>
      <c r="C403" s="1264"/>
      <c r="D403" s="1264"/>
      <c r="E403" s="1264"/>
      <c r="F403" s="1264"/>
      <c r="G403" s="1264"/>
      <c r="H403" s="1264"/>
      <c r="I403" s="1264"/>
      <c r="J403" s="1264"/>
      <c r="K403" s="1264"/>
      <c r="L403" s="1264"/>
      <c r="M403" s="1264"/>
      <c r="N403" s="1264"/>
      <c r="O403" s="1264"/>
      <c r="P403" s="1265"/>
      <c r="Q403" s="1264"/>
      <c r="R403" s="1264"/>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4"/>
      <c r="C404" s="1264"/>
      <c r="D404" s="1264"/>
      <c r="E404" s="1264"/>
      <c r="F404" s="1264"/>
      <c r="G404" s="1264"/>
      <c r="H404" s="1264"/>
      <c r="I404" s="1264"/>
      <c r="J404" s="1264"/>
      <c r="K404" s="1264"/>
      <c r="L404" s="1264"/>
      <c r="M404" s="1264"/>
      <c r="N404" s="1264"/>
      <c r="O404" s="1264"/>
      <c r="P404" s="1265"/>
      <c r="Q404" s="1264"/>
      <c r="R404" s="1264"/>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4"/>
      <c r="C405" s="1264"/>
      <c r="D405" s="1264"/>
      <c r="E405" s="1264"/>
      <c r="F405" s="1264"/>
      <c r="G405" s="1264"/>
      <c r="H405" s="1264"/>
      <c r="I405" s="1264"/>
      <c r="J405" s="1264"/>
      <c r="K405" s="1264"/>
      <c r="L405" s="1264"/>
      <c r="M405" s="1264"/>
      <c r="N405" s="1264"/>
      <c r="O405" s="1264"/>
      <c r="P405" s="1265"/>
      <c r="Q405" s="1264"/>
      <c r="R405" s="1264"/>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4"/>
      <c r="C406" s="1264"/>
      <c r="D406" s="1264"/>
      <c r="E406" s="1264"/>
      <c r="F406" s="1264"/>
      <c r="G406" s="1264"/>
      <c r="H406" s="1264"/>
      <c r="I406" s="1264"/>
      <c r="J406" s="1264"/>
      <c r="K406" s="1264"/>
      <c r="L406" s="1264"/>
      <c r="M406" s="1264"/>
      <c r="N406" s="1264"/>
      <c r="O406" s="1264"/>
      <c r="P406" s="1265"/>
      <c r="Q406" s="1264"/>
      <c r="R406" s="1264"/>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4"/>
      <c r="C407" s="1264"/>
      <c r="D407" s="1264"/>
      <c r="E407" s="1264"/>
      <c r="F407" s="1264"/>
      <c r="G407" s="1264"/>
      <c r="H407" s="1264"/>
      <c r="I407" s="1264"/>
      <c r="J407" s="1264"/>
      <c r="K407" s="1264"/>
      <c r="L407" s="1264"/>
      <c r="M407" s="1264"/>
      <c r="N407" s="1264"/>
      <c r="O407" s="1264"/>
      <c r="P407" s="1265"/>
      <c r="Q407" s="1264"/>
      <c r="R407" s="1264"/>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4"/>
      <c r="C408" s="1264"/>
      <c r="D408" s="1264"/>
      <c r="E408" s="1264"/>
      <c r="F408" s="1264"/>
      <c r="G408" s="1264"/>
      <c r="H408" s="1264"/>
      <c r="I408" s="1264"/>
      <c r="J408" s="1264"/>
      <c r="K408" s="1264"/>
      <c r="L408" s="1264"/>
      <c r="M408" s="1264"/>
      <c r="N408" s="1264"/>
      <c r="O408" s="1264"/>
      <c r="P408" s="1265"/>
      <c r="Q408" s="1264"/>
      <c r="R408" s="1264"/>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4"/>
      <c r="C409" s="1264"/>
      <c r="D409" s="1264"/>
      <c r="E409" s="1264"/>
      <c r="F409" s="1264"/>
      <c r="G409" s="1264"/>
      <c r="H409" s="1264"/>
      <c r="I409" s="1264"/>
      <c r="J409" s="1264"/>
      <c r="K409" s="1264"/>
      <c r="L409" s="1264"/>
      <c r="M409" s="1264"/>
      <c r="N409" s="1264"/>
      <c r="O409" s="1264"/>
      <c r="P409" s="1265"/>
      <c r="Q409" s="1264"/>
      <c r="R409" s="1264"/>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4"/>
      <c r="C410" s="1264"/>
      <c r="D410" s="1264"/>
      <c r="E410" s="1264"/>
      <c r="F410" s="1264"/>
      <c r="G410" s="1264"/>
      <c r="H410" s="1264"/>
      <c r="I410" s="1264"/>
      <c r="J410" s="1264"/>
      <c r="K410" s="1264"/>
      <c r="L410" s="1264"/>
      <c r="M410" s="1264"/>
      <c r="N410" s="1264"/>
      <c r="O410" s="1264"/>
      <c r="P410" s="1265"/>
      <c r="Q410" s="1264"/>
      <c r="R410" s="1264"/>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4"/>
      <c r="C411" s="1264"/>
      <c r="D411" s="1264"/>
      <c r="E411" s="1264"/>
      <c r="F411" s="1264"/>
      <c r="G411" s="1264"/>
      <c r="H411" s="1264"/>
      <c r="I411" s="1264"/>
      <c r="J411" s="1264"/>
      <c r="K411" s="1264"/>
      <c r="L411" s="1264"/>
      <c r="M411" s="1264"/>
      <c r="N411" s="1264"/>
      <c r="O411" s="1264"/>
      <c r="P411" s="1265"/>
      <c r="Q411" s="1264"/>
      <c r="R411" s="1264"/>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4"/>
      <c r="C412" s="1264"/>
      <c r="D412" s="1264"/>
      <c r="E412" s="1264"/>
      <c r="F412" s="1264"/>
      <c r="G412" s="1264"/>
      <c r="H412" s="1264"/>
      <c r="I412" s="1264"/>
      <c r="J412" s="1264"/>
      <c r="K412" s="1264"/>
      <c r="L412" s="1264"/>
      <c r="M412" s="1264"/>
      <c r="N412" s="1264"/>
      <c r="O412" s="1264"/>
      <c r="P412" s="1269"/>
      <c r="Q412" s="1264"/>
      <c r="R412" s="1264"/>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4"/>
      <c r="C413" s="1264"/>
      <c r="D413" s="1264"/>
      <c r="E413" s="1264"/>
      <c r="F413" s="1264"/>
      <c r="G413" s="1264"/>
      <c r="H413" s="1264"/>
      <c r="I413" s="1264"/>
      <c r="J413" s="1264"/>
      <c r="K413" s="1264"/>
      <c r="L413" s="1264"/>
      <c r="M413" s="1264"/>
      <c r="N413" s="1264"/>
      <c r="O413" s="1264"/>
      <c r="P413" s="1265"/>
      <c r="Q413" s="1264"/>
      <c r="R413" s="1264"/>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4"/>
      <c r="C414" s="1264"/>
      <c r="D414" s="1264"/>
      <c r="E414" s="1264"/>
      <c r="F414" s="1264"/>
      <c r="G414" s="1264"/>
      <c r="H414" s="1264"/>
      <c r="I414" s="1264"/>
      <c r="J414" s="1264"/>
      <c r="K414" s="1264"/>
      <c r="L414" s="1264"/>
      <c r="M414" s="1264"/>
      <c r="N414" s="1264"/>
      <c r="O414" s="1264"/>
      <c r="P414" s="1265"/>
      <c r="Q414" s="1264"/>
      <c r="R414" s="1264"/>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4"/>
      <c r="C415" s="1264"/>
      <c r="D415" s="1264"/>
      <c r="E415" s="1264"/>
      <c r="F415" s="1264"/>
      <c r="G415" s="1264"/>
      <c r="H415" s="1264"/>
      <c r="I415" s="1264"/>
      <c r="J415" s="1264"/>
      <c r="K415" s="1264"/>
      <c r="L415" s="1264"/>
      <c r="M415" s="1264"/>
      <c r="N415" s="1264"/>
      <c r="O415" s="1264"/>
      <c r="P415" s="1265"/>
      <c r="Q415" s="1264"/>
      <c r="R415" s="1264"/>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4"/>
      <c r="C416" s="1264"/>
      <c r="D416" s="1264"/>
      <c r="E416" s="1264"/>
      <c r="F416" s="1264"/>
      <c r="G416" s="1264"/>
      <c r="H416" s="1264"/>
      <c r="I416" s="1264"/>
      <c r="J416" s="1264"/>
      <c r="K416" s="1264"/>
      <c r="L416" s="1264"/>
      <c r="M416" s="1264"/>
      <c r="N416" s="1264"/>
      <c r="O416" s="1264"/>
      <c r="P416" s="1265"/>
      <c r="Q416" s="1264"/>
      <c r="R416" s="1264"/>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4"/>
      <c r="C417" s="1264"/>
      <c r="D417" s="1264"/>
      <c r="E417" s="1264"/>
      <c r="F417" s="1264"/>
      <c r="G417" s="1264"/>
      <c r="H417" s="1264"/>
      <c r="I417" s="1264"/>
      <c r="J417" s="1264"/>
      <c r="K417" s="1264"/>
      <c r="L417" s="1264"/>
      <c r="M417" s="1264"/>
      <c r="N417" s="1264"/>
      <c r="O417" s="1264"/>
      <c r="P417" s="1265"/>
      <c r="Q417" s="1264"/>
      <c r="R417" s="1264"/>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4"/>
      <c r="C418" s="1264"/>
      <c r="D418" s="1264"/>
      <c r="E418" s="1264"/>
      <c r="F418" s="1264"/>
      <c r="G418" s="1264"/>
      <c r="H418" s="1264"/>
      <c r="I418" s="1264"/>
      <c r="J418" s="1264"/>
      <c r="K418" s="1264"/>
      <c r="L418" s="1264"/>
      <c r="M418" s="1264"/>
      <c r="N418" s="1264"/>
      <c r="O418" s="1264"/>
      <c r="P418" s="1265"/>
      <c r="Q418" s="1264"/>
      <c r="R418" s="1264"/>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2495</v>
      </c>
      <c r="S621" s="580" t="s">
        <v>610</v>
      </c>
      <c r="T621" s="581" t="s">
        <v>2091</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2496</v>
      </c>
      <c r="S622" s="580" t="s">
        <v>314</v>
      </c>
      <c r="T622" s="581" t="s">
        <v>2091</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2497</v>
      </c>
      <c r="S623" s="580" t="s">
        <v>2419</v>
      </c>
      <c r="T623" s="581" t="s">
        <v>2091</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2498</v>
      </c>
      <c r="S624" s="580"/>
      <c r="T624" s="581" t="s">
        <v>2091</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2499</v>
      </c>
      <c r="S625" s="580" t="s">
        <v>1960</v>
      </c>
      <c r="T625" s="581" t="s">
        <v>2091</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2500</v>
      </c>
      <c r="S626" s="580" t="s">
        <v>2419</v>
      </c>
      <c r="T626" s="581" t="s">
        <v>2091</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2501</v>
      </c>
      <c r="S627" s="580" t="s">
        <v>1300</v>
      </c>
      <c r="T627" s="581" t="s">
        <v>2091</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2502</v>
      </c>
      <c r="S628" s="580" t="s">
        <v>1962</v>
      </c>
      <c r="T628" s="581" t="s">
        <v>2091</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2503</v>
      </c>
      <c r="S629" s="580" t="s">
        <v>648</v>
      </c>
      <c r="T629" s="581" t="s">
        <v>2091</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2504</v>
      </c>
      <c r="S630" s="580" t="s">
        <v>610</v>
      </c>
      <c r="T630" s="581" t="s">
        <v>2091</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2505</v>
      </c>
      <c r="S631" s="580" t="s">
        <v>2122</v>
      </c>
      <c r="T631" s="581" t="s">
        <v>2091</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2506</v>
      </c>
      <c r="S632" s="580" t="s">
        <v>2465</v>
      </c>
      <c r="T632" s="581" t="s">
        <v>2091</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2187</v>
      </c>
      <c r="S633" s="580" t="s">
        <v>2462</v>
      </c>
      <c r="T633" s="581" t="s">
        <v>2091</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2507</v>
      </c>
      <c r="S634" s="580" t="s">
        <v>2122</v>
      </c>
      <c r="T634" s="581" t="s">
        <v>2091</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2508</v>
      </c>
      <c r="S635" s="580" t="s">
        <v>2422</v>
      </c>
      <c r="T635" s="581" t="s">
        <v>2091</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2509</v>
      </c>
      <c r="S636" s="580" t="s">
        <v>1960</v>
      </c>
      <c r="T636" s="581" t="s">
        <v>2091</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2091</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2091</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2091</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1864</v>
      </c>
      <c r="T640" s="581" t="s">
        <v>2091</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1958</v>
      </c>
      <c r="T641" s="581" t="s">
        <v>2091</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2091</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2091</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2419</v>
      </c>
      <c r="T644" s="581" t="s">
        <v>2091</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2091</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2091</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2091</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2091</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1958</v>
      </c>
      <c r="T649" s="581" t="s">
        <v>2091</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2091</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2422</v>
      </c>
      <c r="T651" s="581" t="s">
        <v>2091</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2462</v>
      </c>
      <c r="T652" s="581" t="s">
        <v>2091</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2091</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2091</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2091</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2227</v>
      </c>
      <c r="S656" s="580" t="s">
        <v>1180</v>
      </c>
      <c r="T656" s="581" t="s">
        <v>2091</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2091</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2091</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2091</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2091</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2091</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2091</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2091</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2091</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2091</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2091</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2091</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2091</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2091</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2091</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2091</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2091</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1864</v>
      </c>
      <c r="T673" s="581" t="s">
        <v>2091</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1958</v>
      </c>
      <c r="T674" s="581" t="s">
        <v>2091</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2091</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2091</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2422</v>
      </c>
      <c r="T677" s="581" t="s">
        <v>2091</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2091</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2091</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52">
    <mergeCell ref="F20:H20"/>
    <mergeCell ref="F21:L21"/>
    <mergeCell ref="F22:H22"/>
    <mergeCell ref="F23:H23"/>
    <mergeCell ref="F24:K24"/>
    <mergeCell ref="J20:L20"/>
    <mergeCell ref="J23:K23"/>
    <mergeCell ref="N20:P20"/>
    <mergeCell ref="O23:P23"/>
    <mergeCell ref="O24:P24"/>
    <mergeCell ref="O30:P30"/>
    <mergeCell ref="J29:K29"/>
    <mergeCell ref="O29:P29"/>
    <mergeCell ref="N26:P26"/>
    <mergeCell ref="M27:P28"/>
    <mergeCell ref="F26:H26"/>
    <mergeCell ref="F27:L27"/>
    <mergeCell ref="F28:H28"/>
    <mergeCell ref="F29:H29"/>
    <mergeCell ref="J37:K37"/>
    <mergeCell ref="J38:K38"/>
    <mergeCell ref="O38:P38"/>
    <mergeCell ref="F34:K34"/>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M82:P82"/>
    <mergeCell ref="F49:G49"/>
    <mergeCell ref="I49:K49"/>
    <mergeCell ref="M49:P49"/>
    <mergeCell ref="F38:H38"/>
    <mergeCell ref="A1:P1"/>
    <mergeCell ref="O6:P6"/>
    <mergeCell ref="I9:J9"/>
    <mergeCell ref="O9:P9"/>
    <mergeCell ref="F11:H11"/>
    <mergeCell ref="O11:P11"/>
    <mergeCell ref="M21:P22"/>
    <mergeCell ref="A3:P3"/>
    <mergeCell ref="B6:D8"/>
    <mergeCell ref="O12:P12"/>
    <mergeCell ref="O34:P34"/>
    <mergeCell ref="F35:K35"/>
    <mergeCell ref="O35:P35"/>
    <mergeCell ref="F15:I15"/>
    <mergeCell ref="N14:P14"/>
    <mergeCell ref="L15:M15"/>
    <mergeCell ref="N16:P16"/>
    <mergeCell ref="F36:K36"/>
    <mergeCell ref="G37:H37"/>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K84:K85"/>
    <mergeCell ref="H82:I82"/>
    <mergeCell ref="K82:L82"/>
    <mergeCell ref="F46:K46"/>
    <mergeCell ref="M46:P46"/>
    <mergeCell ref="F47:H47"/>
    <mergeCell ref="J47:K47"/>
    <mergeCell ref="F48:K48"/>
    <mergeCell ref="M48:P48"/>
    <mergeCell ref="K78:P80"/>
    <mergeCell ref="C125:E125"/>
    <mergeCell ref="E112:G112"/>
    <mergeCell ref="I112:K112"/>
    <mergeCell ref="M112:P112"/>
    <mergeCell ref="E113:G113"/>
    <mergeCell ref="I113:J113"/>
    <mergeCell ref="L113:P113"/>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J171:K171"/>
    <mergeCell ref="M171:O171"/>
    <mergeCell ref="O148:P148"/>
    <mergeCell ref="I149:J149"/>
    <mergeCell ref="C139:E139"/>
    <mergeCell ref="F139:I139"/>
    <mergeCell ref="J139:L139"/>
    <mergeCell ref="M139:P139"/>
    <mergeCell ref="C140:E140"/>
    <mergeCell ref="F140:I140"/>
    <mergeCell ref="J140:L140"/>
    <mergeCell ref="M140:P140"/>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842" customWidth="1"/>
    <col min="2" max="2" width="10.109375" style="842" customWidth="1"/>
    <col min="3" max="3" width="11.88671875" style="842" customWidth="1"/>
    <col min="4" max="4" width="8.5546875" style="842" customWidth="1"/>
    <col min="5" max="5" width="13.88671875" style="842" customWidth="1"/>
    <col min="6" max="6" width="2.88671875" style="842" customWidth="1"/>
    <col min="7" max="7" width="11.88671875" style="842" customWidth="1"/>
    <col min="8" max="8" width="8.5546875" style="842" customWidth="1"/>
    <col min="9" max="9" width="13.88671875" style="842" customWidth="1"/>
    <col min="10" max="10" width="4.88671875" style="842" customWidth="1"/>
    <col min="11" max="11" width="25.88671875" style="842" customWidth="1"/>
    <col min="12" max="256" width="8.88671875" style="842"/>
    <col min="257" max="257" width="11.5546875" style="842" bestFit="1" customWidth="1"/>
    <col min="258" max="258" width="12.5546875" style="842" customWidth="1"/>
    <col min="259" max="259" width="10.109375" style="842" customWidth="1"/>
    <col min="260" max="260" width="14.88671875" style="842" customWidth="1"/>
    <col min="261" max="261" width="13.109375" style="842" bestFit="1" customWidth="1"/>
    <col min="262" max="262" width="4.88671875" style="842" customWidth="1"/>
    <col min="263" max="263" width="11.88671875" style="842" customWidth="1"/>
    <col min="264" max="264" width="12" style="842" customWidth="1"/>
    <col min="265" max="265" width="9.88671875" style="842" customWidth="1"/>
    <col min="266" max="266" width="13.88671875" style="842" bestFit="1" customWidth="1"/>
    <col min="267" max="512" width="8.88671875" style="842"/>
    <col min="513" max="513" width="11.5546875" style="842" bestFit="1" customWidth="1"/>
    <col min="514" max="514" width="12.5546875" style="842" customWidth="1"/>
    <col min="515" max="515" width="10.109375" style="842" customWidth="1"/>
    <col min="516" max="516" width="14.88671875" style="842" customWidth="1"/>
    <col min="517" max="517" width="13.109375" style="842" bestFit="1" customWidth="1"/>
    <col min="518" max="518" width="4.88671875" style="842" customWidth="1"/>
    <col min="519" max="519" width="11.88671875" style="842" customWidth="1"/>
    <col min="520" max="520" width="12" style="842" customWidth="1"/>
    <col min="521" max="521" width="9.88671875" style="842" customWidth="1"/>
    <col min="522" max="522" width="13.88671875" style="842" bestFit="1" customWidth="1"/>
    <col min="523" max="768" width="8.88671875" style="842"/>
    <col min="769" max="769" width="11.5546875" style="842" bestFit="1" customWidth="1"/>
    <col min="770" max="770" width="12.5546875" style="842" customWidth="1"/>
    <col min="771" max="771" width="10.109375" style="842" customWidth="1"/>
    <col min="772" max="772" width="14.88671875" style="842" customWidth="1"/>
    <col min="773" max="773" width="13.109375" style="842" bestFit="1" customWidth="1"/>
    <col min="774" max="774" width="4.88671875" style="842" customWidth="1"/>
    <col min="775" max="775" width="11.88671875" style="842" customWidth="1"/>
    <col min="776" max="776" width="12" style="842" customWidth="1"/>
    <col min="777" max="777" width="9.88671875" style="842" customWidth="1"/>
    <col min="778" max="778" width="13.88671875" style="842" bestFit="1" customWidth="1"/>
    <col min="779" max="1024" width="8.88671875" style="842"/>
    <col min="1025" max="1025" width="11.5546875" style="842" bestFit="1" customWidth="1"/>
    <col min="1026" max="1026" width="12.5546875" style="842" customWidth="1"/>
    <col min="1027" max="1027" width="10.109375" style="842" customWidth="1"/>
    <col min="1028" max="1028" width="14.88671875" style="842" customWidth="1"/>
    <col min="1029" max="1029" width="13.109375" style="842" bestFit="1" customWidth="1"/>
    <col min="1030" max="1030" width="4.88671875" style="842" customWidth="1"/>
    <col min="1031" max="1031" width="11.88671875" style="842" customWidth="1"/>
    <col min="1032" max="1032" width="12" style="842" customWidth="1"/>
    <col min="1033" max="1033" width="9.88671875" style="842" customWidth="1"/>
    <col min="1034" max="1034" width="13.88671875" style="842" bestFit="1" customWidth="1"/>
    <col min="1035" max="1280" width="8.88671875" style="842"/>
    <col min="1281" max="1281" width="11.5546875" style="842" bestFit="1" customWidth="1"/>
    <col min="1282" max="1282" width="12.5546875" style="842" customWidth="1"/>
    <col min="1283" max="1283" width="10.109375" style="842" customWidth="1"/>
    <col min="1284" max="1284" width="14.88671875" style="842" customWidth="1"/>
    <col min="1285" max="1285" width="13.109375" style="842" bestFit="1" customWidth="1"/>
    <col min="1286" max="1286" width="4.88671875" style="842" customWidth="1"/>
    <col min="1287" max="1287" width="11.88671875" style="842" customWidth="1"/>
    <col min="1288" max="1288" width="12" style="842" customWidth="1"/>
    <col min="1289" max="1289" width="9.88671875" style="842" customWidth="1"/>
    <col min="1290" max="1290" width="13.88671875" style="842" bestFit="1" customWidth="1"/>
    <col min="1291" max="1536" width="8.88671875" style="842"/>
    <col min="1537" max="1537" width="11.5546875" style="842" bestFit="1" customWidth="1"/>
    <col min="1538" max="1538" width="12.5546875" style="842" customWidth="1"/>
    <col min="1539" max="1539" width="10.109375" style="842" customWidth="1"/>
    <col min="1540" max="1540" width="14.88671875" style="842" customWidth="1"/>
    <col min="1541" max="1541" width="13.109375" style="842" bestFit="1" customWidth="1"/>
    <col min="1542" max="1542" width="4.88671875" style="842" customWidth="1"/>
    <col min="1543" max="1543" width="11.88671875" style="842" customWidth="1"/>
    <col min="1544" max="1544" width="12" style="842" customWidth="1"/>
    <col min="1545" max="1545" width="9.88671875" style="842" customWidth="1"/>
    <col min="1546" max="1546" width="13.88671875" style="842" bestFit="1" customWidth="1"/>
    <col min="1547" max="1792" width="8.88671875" style="842"/>
    <col min="1793" max="1793" width="11.5546875" style="842" bestFit="1" customWidth="1"/>
    <col min="1794" max="1794" width="12.5546875" style="842" customWidth="1"/>
    <col min="1795" max="1795" width="10.109375" style="842" customWidth="1"/>
    <col min="1796" max="1796" width="14.88671875" style="842" customWidth="1"/>
    <col min="1797" max="1797" width="13.109375" style="842" bestFit="1" customWidth="1"/>
    <col min="1798" max="1798" width="4.88671875" style="842" customWidth="1"/>
    <col min="1799" max="1799" width="11.88671875" style="842" customWidth="1"/>
    <col min="1800" max="1800" width="12" style="842" customWidth="1"/>
    <col min="1801" max="1801" width="9.88671875" style="842" customWidth="1"/>
    <col min="1802" max="1802" width="13.88671875" style="842" bestFit="1" customWidth="1"/>
    <col min="1803" max="2048" width="8.88671875" style="842"/>
    <col min="2049" max="2049" width="11.5546875" style="842" bestFit="1" customWidth="1"/>
    <col min="2050" max="2050" width="12.5546875" style="842" customWidth="1"/>
    <col min="2051" max="2051" width="10.109375" style="842" customWidth="1"/>
    <col min="2052" max="2052" width="14.88671875" style="842" customWidth="1"/>
    <col min="2053" max="2053" width="13.109375" style="842" bestFit="1" customWidth="1"/>
    <col min="2054" max="2054" width="4.88671875" style="842" customWidth="1"/>
    <col min="2055" max="2055" width="11.88671875" style="842" customWidth="1"/>
    <col min="2056" max="2056" width="12" style="842" customWidth="1"/>
    <col min="2057" max="2057" width="9.88671875" style="842" customWidth="1"/>
    <col min="2058" max="2058" width="13.88671875" style="842" bestFit="1" customWidth="1"/>
    <col min="2059" max="2304" width="8.88671875" style="842"/>
    <col min="2305" max="2305" width="11.5546875" style="842" bestFit="1" customWidth="1"/>
    <col min="2306" max="2306" width="12.5546875" style="842" customWidth="1"/>
    <col min="2307" max="2307" width="10.109375" style="842" customWidth="1"/>
    <col min="2308" max="2308" width="14.88671875" style="842" customWidth="1"/>
    <col min="2309" max="2309" width="13.109375" style="842" bestFit="1" customWidth="1"/>
    <col min="2310" max="2310" width="4.88671875" style="842" customWidth="1"/>
    <col min="2311" max="2311" width="11.88671875" style="842" customWidth="1"/>
    <col min="2312" max="2312" width="12" style="842" customWidth="1"/>
    <col min="2313" max="2313" width="9.88671875" style="842" customWidth="1"/>
    <col min="2314" max="2314" width="13.88671875" style="842" bestFit="1" customWidth="1"/>
    <col min="2315" max="2560" width="8.88671875" style="842"/>
    <col min="2561" max="2561" width="11.5546875" style="842" bestFit="1" customWidth="1"/>
    <col min="2562" max="2562" width="12.5546875" style="842" customWidth="1"/>
    <col min="2563" max="2563" width="10.109375" style="842" customWidth="1"/>
    <col min="2564" max="2564" width="14.88671875" style="842" customWidth="1"/>
    <col min="2565" max="2565" width="13.109375" style="842" bestFit="1" customWidth="1"/>
    <col min="2566" max="2566" width="4.88671875" style="842" customWidth="1"/>
    <col min="2567" max="2567" width="11.88671875" style="842" customWidth="1"/>
    <col min="2568" max="2568" width="12" style="842" customWidth="1"/>
    <col min="2569" max="2569" width="9.88671875" style="842" customWidth="1"/>
    <col min="2570" max="2570" width="13.88671875" style="842" bestFit="1" customWidth="1"/>
    <col min="2571" max="2816" width="8.88671875" style="842"/>
    <col min="2817" max="2817" width="11.5546875" style="842" bestFit="1" customWidth="1"/>
    <col min="2818" max="2818" width="12.5546875" style="842" customWidth="1"/>
    <col min="2819" max="2819" width="10.109375" style="842" customWidth="1"/>
    <col min="2820" max="2820" width="14.88671875" style="842" customWidth="1"/>
    <col min="2821" max="2821" width="13.109375" style="842" bestFit="1" customWidth="1"/>
    <col min="2822" max="2822" width="4.88671875" style="842" customWidth="1"/>
    <col min="2823" max="2823" width="11.88671875" style="842" customWidth="1"/>
    <col min="2824" max="2824" width="12" style="842" customWidth="1"/>
    <col min="2825" max="2825" width="9.88671875" style="842" customWidth="1"/>
    <col min="2826" max="2826" width="13.88671875" style="842" bestFit="1" customWidth="1"/>
    <col min="2827" max="3072" width="8.88671875" style="842"/>
    <col min="3073" max="3073" width="11.5546875" style="842" bestFit="1" customWidth="1"/>
    <col min="3074" max="3074" width="12.5546875" style="842" customWidth="1"/>
    <col min="3075" max="3075" width="10.109375" style="842" customWidth="1"/>
    <col min="3076" max="3076" width="14.88671875" style="842" customWidth="1"/>
    <col min="3077" max="3077" width="13.109375" style="842" bestFit="1" customWidth="1"/>
    <col min="3078" max="3078" width="4.88671875" style="842" customWidth="1"/>
    <col min="3079" max="3079" width="11.88671875" style="842" customWidth="1"/>
    <col min="3080" max="3080" width="12" style="842" customWidth="1"/>
    <col min="3081" max="3081" width="9.88671875" style="842" customWidth="1"/>
    <col min="3082" max="3082" width="13.88671875" style="842" bestFit="1" customWidth="1"/>
    <col min="3083" max="3328" width="8.88671875" style="842"/>
    <col min="3329" max="3329" width="11.5546875" style="842" bestFit="1" customWidth="1"/>
    <col min="3330" max="3330" width="12.5546875" style="842" customWidth="1"/>
    <col min="3331" max="3331" width="10.109375" style="842" customWidth="1"/>
    <col min="3332" max="3332" width="14.88671875" style="842" customWidth="1"/>
    <col min="3333" max="3333" width="13.109375" style="842" bestFit="1" customWidth="1"/>
    <col min="3334" max="3334" width="4.88671875" style="842" customWidth="1"/>
    <col min="3335" max="3335" width="11.88671875" style="842" customWidth="1"/>
    <col min="3336" max="3336" width="12" style="842" customWidth="1"/>
    <col min="3337" max="3337" width="9.88671875" style="842" customWidth="1"/>
    <col min="3338" max="3338" width="13.88671875" style="842" bestFit="1" customWidth="1"/>
    <col min="3339" max="3584" width="8.88671875" style="842"/>
    <col min="3585" max="3585" width="11.5546875" style="842" bestFit="1" customWidth="1"/>
    <col min="3586" max="3586" width="12.5546875" style="842" customWidth="1"/>
    <col min="3587" max="3587" width="10.109375" style="842" customWidth="1"/>
    <col min="3588" max="3588" width="14.88671875" style="842" customWidth="1"/>
    <col min="3589" max="3589" width="13.109375" style="842" bestFit="1" customWidth="1"/>
    <col min="3590" max="3590" width="4.88671875" style="842" customWidth="1"/>
    <col min="3591" max="3591" width="11.88671875" style="842" customWidth="1"/>
    <col min="3592" max="3592" width="12" style="842" customWidth="1"/>
    <col min="3593" max="3593" width="9.88671875" style="842" customWidth="1"/>
    <col min="3594" max="3594" width="13.88671875" style="842" bestFit="1" customWidth="1"/>
    <col min="3595" max="3840" width="8.88671875" style="842"/>
    <col min="3841" max="3841" width="11.5546875" style="842" bestFit="1" customWidth="1"/>
    <col min="3842" max="3842" width="12.5546875" style="842" customWidth="1"/>
    <col min="3843" max="3843" width="10.109375" style="842" customWidth="1"/>
    <col min="3844" max="3844" width="14.88671875" style="842" customWidth="1"/>
    <col min="3845" max="3845" width="13.109375" style="842" bestFit="1" customWidth="1"/>
    <col min="3846" max="3846" width="4.88671875" style="842" customWidth="1"/>
    <col min="3847" max="3847" width="11.88671875" style="842" customWidth="1"/>
    <col min="3848" max="3848" width="12" style="842" customWidth="1"/>
    <col min="3849" max="3849" width="9.88671875" style="842" customWidth="1"/>
    <col min="3850" max="3850" width="13.88671875" style="842" bestFit="1" customWidth="1"/>
    <col min="3851" max="4096" width="8.88671875" style="842"/>
    <col min="4097" max="4097" width="11.5546875" style="842" bestFit="1" customWidth="1"/>
    <col min="4098" max="4098" width="12.5546875" style="842" customWidth="1"/>
    <col min="4099" max="4099" width="10.109375" style="842" customWidth="1"/>
    <col min="4100" max="4100" width="14.88671875" style="842" customWidth="1"/>
    <col min="4101" max="4101" width="13.109375" style="842" bestFit="1" customWidth="1"/>
    <col min="4102" max="4102" width="4.88671875" style="842" customWidth="1"/>
    <col min="4103" max="4103" width="11.88671875" style="842" customWidth="1"/>
    <col min="4104" max="4104" width="12" style="842" customWidth="1"/>
    <col min="4105" max="4105" width="9.88671875" style="842" customWidth="1"/>
    <col min="4106" max="4106" width="13.88671875" style="842" bestFit="1" customWidth="1"/>
    <col min="4107" max="4352" width="8.88671875" style="842"/>
    <col min="4353" max="4353" width="11.5546875" style="842" bestFit="1" customWidth="1"/>
    <col min="4354" max="4354" width="12.5546875" style="842" customWidth="1"/>
    <col min="4355" max="4355" width="10.109375" style="842" customWidth="1"/>
    <col min="4356" max="4356" width="14.88671875" style="842" customWidth="1"/>
    <col min="4357" max="4357" width="13.109375" style="842" bestFit="1" customWidth="1"/>
    <col min="4358" max="4358" width="4.88671875" style="842" customWidth="1"/>
    <col min="4359" max="4359" width="11.88671875" style="842" customWidth="1"/>
    <col min="4360" max="4360" width="12" style="842" customWidth="1"/>
    <col min="4361" max="4361" width="9.88671875" style="842" customWidth="1"/>
    <col min="4362" max="4362" width="13.88671875" style="842" bestFit="1" customWidth="1"/>
    <col min="4363" max="4608" width="8.88671875" style="842"/>
    <col min="4609" max="4609" width="11.5546875" style="842" bestFit="1" customWidth="1"/>
    <col min="4610" max="4610" width="12.5546875" style="842" customWidth="1"/>
    <col min="4611" max="4611" width="10.109375" style="842" customWidth="1"/>
    <col min="4612" max="4612" width="14.88671875" style="842" customWidth="1"/>
    <col min="4613" max="4613" width="13.109375" style="842" bestFit="1" customWidth="1"/>
    <col min="4614" max="4614" width="4.88671875" style="842" customWidth="1"/>
    <col min="4615" max="4615" width="11.88671875" style="842" customWidth="1"/>
    <col min="4616" max="4616" width="12" style="842" customWidth="1"/>
    <col min="4617" max="4617" width="9.88671875" style="842" customWidth="1"/>
    <col min="4618" max="4618" width="13.88671875" style="842" bestFit="1" customWidth="1"/>
    <col min="4619" max="4864" width="8.88671875" style="842"/>
    <col min="4865" max="4865" width="11.5546875" style="842" bestFit="1" customWidth="1"/>
    <col min="4866" max="4866" width="12.5546875" style="842" customWidth="1"/>
    <col min="4867" max="4867" width="10.109375" style="842" customWidth="1"/>
    <col min="4868" max="4868" width="14.88671875" style="842" customWidth="1"/>
    <col min="4869" max="4869" width="13.109375" style="842" bestFit="1" customWidth="1"/>
    <col min="4870" max="4870" width="4.88671875" style="842" customWidth="1"/>
    <col min="4871" max="4871" width="11.88671875" style="842" customWidth="1"/>
    <col min="4872" max="4872" width="12" style="842" customWidth="1"/>
    <col min="4873" max="4873" width="9.88671875" style="842" customWidth="1"/>
    <col min="4874" max="4874" width="13.88671875" style="842" bestFit="1" customWidth="1"/>
    <col min="4875" max="5120" width="8.88671875" style="842"/>
    <col min="5121" max="5121" width="11.5546875" style="842" bestFit="1" customWidth="1"/>
    <col min="5122" max="5122" width="12.5546875" style="842" customWidth="1"/>
    <col min="5123" max="5123" width="10.109375" style="842" customWidth="1"/>
    <col min="5124" max="5124" width="14.88671875" style="842" customWidth="1"/>
    <col min="5125" max="5125" width="13.109375" style="842" bestFit="1" customWidth="1"/>
    <col min="5126" max="5126" width="4.88671875" style="842" customWidth="1"/>
    <col min="5127" max="5127" width="11.88671875" style="842" customWidth="1"/>
    <col min="5128" max="5128" width="12" style="842" customWidth="1"/>
    <col min="5129" max="5129" width="9.88671875" style="842" customWidth="1"/>
    <col min="5130" max="5130" width="13.88671875" style="842" bestFit="1" customWidth="1"/>
    <col min="5131" max="5376" width="8.88671875" style="842"/>
    <col min="5377" max="5377" width="11.5546875" style="842" bestFit="1" customWidth="1"/>
    <col min="5378" max="5378" width="12.5546875" style="842" customWidth="1"/>
    <col min="5379" max="5379" width="10.109375" style="842" customWidth="1"/>
    <col min="5380" max="5380" width="14.88671875" style="842" customWidth="1"/>
    <col min="5381" max="5381" width="13.109375" style="842" bestFit="1" customWidth="1"/>
    <col min="5382" max="5382" width="4.88671875" style="842" customWidth="1"/>
    <col min="5383" max="5383" width="11.88671875" style="842" customWidth="1"/>
    <col min="5384" max="5384" width="12" style="842" customWidth="1"/>
    <col min="5385" max="5385" width="9.88671875" style="842" customWidth="1"/>
    <col min="5386" max="5386" width="13.88671875" style="842" bestFit="1" customWidth="1"/>
    <col min="5387" max="5632" width="8.88671875" style="842"/>
    <col min="5633" max="5633" width="11.5546875" style="842" bestFit="1" customWidth="1"/>
    <col min="5634" max="5634" width="12.5546875" style="842" customWidth="1"/>
    <col min="5635" max="5635" width="10.109375" style="842" customWidth="1"/>
    <col min="5636" max="5636" width="14.88671875" style="842" customWidth="1"/>
    <col min="5637" max="5637" width="13.109375" style="842" bestFit="1" customWidth="1"/>
    <col min="5638" max="5638" width="4.88671875" style="842" customWidth="1"/>
    <col min="5639" max="5639" width="11.88671875" style="842" customWidth="1"/>
    <col min="5640" max="5640" width="12" style="842" customWidth="1"/>
    <col min="5641" max="5641" width="9.88671875" style="842" customWidth="1"/>
    <col min="5642" max="5642" width="13.88671875" style="842" bestFit="1" customWidth="1"/>
    <col min="5643" max="5888" width="8.88671875" style="842"/>
    <col min="5889" max="5889" width="11.5546875" style="842" bestFit="1" customWidth="1"/>
    <col min="5890" max="5890" width="12.5546875" style="842" customWidth="1"/>
    <col min="5891" max="5891" width="10.109375" style="842" customWidth="1"/>
    <col min="5892" max="5892" width="14.88671875" style="842" customWidth="1"/>
    <col min="5893" max="5893" width="13.109375" style="842" bestFit="1" customWidth="1"/>
    <col min="5894" max="5894" width="4.88671875" style="842" customWidth="1"/>
    <col min="5895" max="5895" width="11.88671875" style="842" customWidth="1"/>
    <col min="5896" max="5896" width="12" style="842" customWidth="1"/>
    <col min="5897" max="5897" width="9.88671875" style="842" customWidth="1"/>
    <col min="5898" max="5898" width="13.88671875" style="842" bestFit="1" customWidth="1"/>
    <col min="5899" max="6144" width="8.88671875" style="842"/>
    <col min="6145" max="6145" width="11.5546875" style="842" bestFit="1" customWidth="1"/>
    <col min="6146" max="6146" width="12.5546875" style="842" customWidth="1"/>
    <col min="6147" max="6147" width="10.109375" style="842" customWidth="1"/>
    <col min="6148" max="6148" width="14.88671875" style="842" customWidth="1"/>
    <col min="6149" max="6149" width="13.109375" style="842" bestFit="1" customWidth="1"/>
    <col min="6150" max="6150" width="4.88671875" style="842" customWidth="1"/>
    <col min="6151" max="6151" width="11.88671875" style="842" customWidth="1"/>
    <col min="6152" max="6152" width="12" style="842" customWidth="1"/>
    <col min="6153" max="6153" width="9.88671875" style="842" customWidth="1"/>
    <col min="6154" max="6154" width="13.88671875" style="842" bestFit="1" customWidth="1"/>
    <col min="6155" max="6400" width="8.88671875" style="842"/>
    <col min="6401" max="6401" width="11.5546875" style="842" bestFit="1" customWidth="1"/>
    <col min="6402" max="6402" width="12.5546875" style="842" customWidth="1"/>
    <col min="6403" max="6403" width="10.109375" style="842" customWidth="1"/>
    <col min="6404" max="6404" width="14.88671875" style="842" customWidth="1"/>
    <col min="6405" max="6405" width="13.109375" style="842" bestFit="1" customWidth="1"/>
    <col min="6406" max="6406" width="4.88671875" style="842" customWidth="1"/>
    <col min="6407" max="6407" width="11.88671875" style="842" customWidth="1"/>
    <col min="6408" max="6408" width="12" style="842" customWidth="1"/>
    <col min="6409" max="6409" width="9.88671875" style="842" customWidth="1"/>
    <col min="6410" max="6410" width="13.88671875" style="842" bestFit="1" customWidth="1"/>
    <col min="6411" max="6656" width="8.88671875" style="842"/>
    <col min="6657" max="6657" width="11.5546875" style="842" bestFit="1" customWidth="1"/>
    <col min="6658" max="6658" width="12.5546875" style="842" customWidth="1"/>
    <col min="6659" max="6659" width="10.109375" style="842" customWidth="1"/>
    <col min="6660" max="6660" width="14.88671875" style="842" customWidth="1"/>
    <col min="6661" max="6661" width="13.109375" style="842" bestFit="1" customWidth="1"/>
    <col min="6662" max="6662" width="4.88671875" style="842" customWidth="1"/>
    <col min="6663" max="6663" width="11.88671875" style="842" customWidth="1"/>
    <col min="6664" max="6664" width="12" style="842" customWidth="1"/>
    <col min="6665" max="6665" width="9.88671875" style="842" customWidth="1"/>
    <col min="6666" max="6666" width="13.88671875" style="842" bestFit="1" customWidth="1"/>
    <col min="6667" max="6912" width="8.88671875" style="842"/>
    <col min="6913" max="6913" width="11.5546875" style="842" bestFit="1" customWidth="1"/>
    <col min="6914" max="6914" width="12.5546875" style="842" customWidth="1"/>
    <col min="6915" max="6915" width="10.109375" style="842" customWidth="1"/>
    <col min="6916" max="6916" width="14.88671875" style="842" customWidth="1"/>
    <col min="6917" max="6917" width="13.109375" style="842" bestFit="1" customWidth="1"/>
    <col min="6918" max="6918" width="4.88671875" style="842" customWidth="1"/>
    <col min="6919" max="6919" width="11.88671875" style="842" customWidth="1"/>
    <col min="6920" max="6920" width="12" style="842" customWidth="1"/>
    <col min="6921" max="6921" width="9.88671875" style="842" customWidth="1"/>
    <col min="6922" max="6922" width="13.88671875" style="842" bestFit="1" customWidth="1"/>
    <col min="6923" max="7168" width="8.88671875" style="842"/>
    <col min="7169" max="7169" width="11.5546875" style="842" bestFit="1" customWidth="1"/>
    <col min="7170" max="7170" width="12.5546875" style="842" customWidth="1"/>
    <col min="7171" max="7171" width="10.109375" style="842" customWidth="1"/>
    <col min="7172" max="7172" width="14.88671875" style="842" customWidth="1"/>
    <col min="7173" max="7173" width="13.109375" style="842" bestFit="1" customWidth="1"/>
    <col min="7174" max="7174" width="4.88671875" style="842" customWidth="1"/>
    <col min="7175" max="7175" width="11.88671875" style="842" customWidth="1"/>
    <col min="7176" max="7176" width="12" style="842" customWidth="1"/>
    <col min="7177" max="7177" width="9.88671875" style="842" customWidth="1"/>
    <col min="7178" max="7178" width="13.88671875" style="842" bestFit="1" customWidth="1"/>
    <col min="7179" max="7424" width="8.88671875" style="842"/>
    <col min="7425" max="7425" width="11.5546875" style="842" bestFit="1" customWidth="1"/>
    <col min="7426" max="7426" width="12.5546875" style="842" customWidth="1"/>
    <col min="7427" max="7427" width="10.109375" style="842" customWidth="1"/>
    <col min="7428" max="7428" width="14.88671875" style="842" customWidth="1"/>
    <col min="7429" max="7429" width="13.109375" style="842" bestFit="1" customWidth="1"/>
    <col min="7430" max="7430" width="4.88671875" style="842" customWidth="1"/>
    <col min="7431" max="7431" width="11.88671875" style="842" customWidth="1"/>
    <col min="7432" max="7432" width="12" style="842" customWidth="1"/>
    <col min="7433" max="7433" width="9.88671875" style="842" customWidth="1"/>
    <col min="7434" max="7434" width="13.88671875" style="842" bestFit="1" customWidth="1"/>
    <col min="7435" max="7680" width="8.88671875" style="842"/>
    <col min="7681" max="7681" width="11.5546875" style="842" bestFit="1" customWidth="1"/>
    <col min="7682" max="7682" width="12.5546875" style="842" customWidth="1"/>
    <col min="7683" max="7683" width="10.109375" style="842" customWidth="1"/>
    <col min="7684" max="7684" width="14.88671875" style="842" customWidth="1"/>
    <col min="7685" max="7685" width="13.109375" style="842" bestFit="1" customWidth="1"/>
    <col min="7686" max="7686" width="4.88671875" style="842" customWidth="1"/>
    <col min="7687" max="7687" width="11.88671875" style="842" customWidth="1"/>
    <col min="7688" max="7688" width="12" style="842" customWidth="1"/>
    <col min="7689" max="7689" width="9.88671875" style="842" customWidth="1"/>
    <col min="7690" max="7690" width="13.88671875" style="842" bestFit="1" customWidth="1"/>
    <col min="7691" max="7936" width="8.88671875" style="842"/>
    <col min="7937" max="7937" width="11.5546875" style="842" bestFit="1" customWidth="1"/>
    <col min="7938" max="7938" width="12.5546875" style="842" customWidth="1"/>
    <col min="7939" max="7939" width="10.109375" style="842" customWidth="1"/>
    <col min="7940" max="7940" width="14.88671875" style="842" customWidth="1"/>
    <col min="7941" max="7941" width="13.109375" style="842" bestFit="1" customWidth="1"/>
    <col min="7942" max="7942" width="4.88671875" style="842" customWidth="1"/>
    <col min="7943" max="7943" width="11.88671875" style="842" customWidth="1"/>
    <col min="7944" max="7944" width="12" style="842" customWidth="1"/>
    <col min="7945" max="7945" width="9.88671875" style="842" customWidth="1"/>
    <col min="7946" max="7946" width="13.88671875" style="842" bestFit="1" customWidth="1"/>
    <col min="7947" max="8192" width="8.88671875" style="842"/>
    <col min="8193" max="8193" width="11.5546875" style="842" bestFit="1" customWidth="1"/>
    <col min="8194" max="8194" width="12.5546875" style="842" customWidth="1"/>
    <col min="8195" max="8195" width="10.109375" style="842" customWidth="1"/>
    <col min="8196" max="8196" width="14.88671875" style="842" customWidth="1"/>
    <col min="8197" max="8197" width="13.109375" style="842" bestFit="1" customWidth="1"/>
    <col min="8198" max="8198" width="4.88671875" style="842" customWidth="1"/>
    <col min="8199" max="8199" width="11.88671875" style="842" customWidth="1"/>
    <col min="8200" max="8200" width="12" style="842" customWidth="1"/>
    <col min="8201" max="8201" width="9.88671875" style="842" customWidth="1"/>
    <col min="8202" max="8202" width="13.88671875" style="842" bestFit="1" customWidth="1"/>
    <col min="8203" max="8448" width="8.88671875" style="842"/>
    <col min="8449" max="8449" width="11.5546875" style="842" bestFit="1" customWidth="1"/>
    <col min="8450" max="8450" width="12.5546875" style="842" customWidth="1"/>
    <col min="8451" max="8451" width="10.109375" style="842" customWidth="1"/>
    <col min="8452" max="8452" width="14.88671875" style="842" customWidth="1"/>
    <col min="8453" max="8453" width="13.109375" style="842" bestFit="1" customWidth="1"/>
    <col min="8454" max="8454" width="4.88671875" style="842" customWidth="1"/>
    <col min="8455" max="8455" width="11.88671875" style="842" customWidth="1"/>
    <col min="8456" max="8456" width="12" style="842" customWidth="1"/>
    <col min="8457" max="8457" width="9.88671875" style="842" customWidth="1"/>
    <col min="8458" max="8458" width="13.88671875" style="842" bestFit="1" customWidth="1"/>
    <col min="8459" max="8704" width="8.88671875" style="842"/>
    <col min="8705" max="8705" width="11.5546875" style="842" bestFit="1" customWidth="1"/>
    <col min="8706" max="8706" width="12.5546875" style="842" customWidth="1"/>
    <col min="8707" max="8707" width="10.109375" style="842" customWidth="1"/>
    <col min="8708" max="8708" width="14.88671875" style="842" customWidth="1"/>
    <col min="8709" max="8709" width="13.109375" style="842" bestFit="1" customWidth="1"/>
    <col min="8710" max="8710" width="4.88671875" style="842" customWidth="1"/>
    <col min="8711" max="8711" width="11.88671875" style="842" customWidth="1"/>
    <col min="8712" max="8712" width="12" style="842" customWidth="1"/>
    <col min="8713" max="8713" width="9.88671875" style="842" customWidth="1"/>
    <col min="8714" max="8714" width="13.88671875" style="842" bestFit="1" customWidth="1"/>
    <col min="8715" max="8960" width="8.88671875" style="842"/>
    <col min="8961" max="8961" width="11.5546875" style="842" bestFit="1" customWidth="1"/>
    <col min="8962" max="8962" width="12.5546875" style="842" customWidth="1"/>
    <col min="8963" max="8963" width="10.109375" style="842" customWidth="1"/>
    <col min="8964" max="8964" width="14.88671875" style="842" customWidth="1"/>
    <col min="8965" max="8965" width="13.109375" style="842" bestFit="1" customWidth="1"/>
    <col min="8966" max="8966" width="4.88671875" style="842" customWidth="1"/>
    <col min="8967" max="8967" width="11.88671875" style="842" customWidth="1"/>
    <col min="8968" max="8968" width="12" style="842" customWidth="1"/>
    <col min="8969" max="8969" width="9.88671875" style="842" customWidth="1"/>
    <col min="8970" max="8970" width="13.88671875" style="842" bestFit="1" customWidth="1"/>
    <col min="8971" max="9216" width="8.88671875" style="842"/>
    <col min="9217" max="9217" width="11.5546875" style="842" bestFit="1" customWidth="1"/>
    <col min="9218" max="9218" width="12.5546875" style="842" customWidth="1"/>
    <col min="9219" max="9219" width="10.109375" style="842" customWidth="1"/>
    <col min="9220" max="9220" width="14.88671875" style="842" customWidth="1"/>
    <col min="9221" max="9221" width="13.109375" style="842" bestFit="1" customWidth="1"/>
    <col min="9222" max="9222" width="4.88671875" style="842" customWidth="1"/>
    <col min="9223" max="9223" width="11.88671875" style="842" customWidth="1"/>
    <col min="9224" max="9224" width="12" style="842" customWidth="1"/>
    <col min="9225" max="9225" width="9.88671875" style="842" customWidth="1"/>
    <col min="9226" max="9226" width="13.88671875" style="842" bestFit="1" customWidth="1"/>
    <col min="9227" max="9472" width="8.88671875" style="842"/>
    <col min="9473" max="9473" width="11.5546875" style="842" bestFit="1" customWidth="1"/>
    <col min="9474" max="9474" width="12.5546875" style="842" customWidth="1"/>
    <col min="9475" max="9475" width="10.109375" style="842" customWidth="1"/>
    <col min="9476" max="9476" width="14.88671875" style="842" customWidth="1"/>
    <col min="9477" max="9477" width="13.109375" style="842" bestFit="1" customWidth="1"/>
    <col min="9478" max="9478" width="4.88671875" style="842" customWidth="1"/>
    <col min="9479" max="9479" width="11.88671875" style="842" customWidth="1"/>
    <col min="9480" max="9480" width="12" style="842" customWidth="1"/>
    <col min="9481" max="9481" width="9.88671875" style="842" customWidth="1"/>
    <col min="9482" max="9482" width="13.88671875" style="842" bestFit="1" customWidth="1"/>
    <col min="9483" max="9728" width="8.88671875" style="842"/>
    <col min="9729" max="9729" width="11.5546875" style="842" bestFit="1" customWidth="1"/>
    <col min="9730" max="9730" width="12.5546875" style="842" customWidth="1"/>
    <col min="9731" max="9731" width="10.109375" style="842" customWidth="1"/>
    <col min="9732" max="9732" width="14.88671875" style="842" customWidth="1"/>
    <col min="9733" max="9733" width="13.109375" style="842" bestFit="1" customWidth="1"/>
    <col min="9734" max="9734" width="4.88671875" style="842" customWidth="1"/>
    <col min="9735" max="9735" width="11.88671875" style="842" customWidth="1"/>
    <col min="9736" max="9736" width="12" style="842" customWidth="1"/>
    <col min="9737" max="9737" width="9.88671875" style="842" customWidth="1"/>
    <col min="9738" max="9738" width="13.88671875" style="842" bestFit="1" customWidth="1"/>
    <col min="9739" max="9984" width="8.88671875" style="842"/>
    <col min="9985" max="9985" width="11.5546875" style="842" bestFit="1" customWidth="1"/>
    <col min="9986" max="9986" width="12.5546875" style="842" customWidth="1"/>
    <col min="9987" max="9987" width="10.109375" style="842" customWidth="1"/>
    <col min="9988" max="9988" width="14.88671875" style="842" customWidth="1"/>
    <col min="9989" max="9989" width="13.109375" style="842" bestFit="1" customWidth="1"/>
    <col min="9990" max="9990" width="4.88671875" style="842" customWidth="1"/>
    <col min="9991" max="9991" width="11.88671875" style="842" customWidth="1"/>
    <col min="9992" max="9992" width="12" style="842" customWidth="1"/>
    <col min="9993" max="9993" width="9.88671875" style="842" customWidth="1"/>
    <col min="9994" max="9994" width="13.88671875" style="842" bestFit="1" customWidth="1"/>
    <col min="9995" max="10240" width="8.88671875" style="842"/>
    <col min="10241" max="10241" width="11.5546875" style="842" bestFit="1" customWidth="1"/>
    <col min="10242" max="10242" width="12.5546875" style="842" customWidth="1"/>
    <col min="10243" max="10243" width="10.109375" style="842" customWidth="1"/>
    <col min="10244" max="10244" width="14.88671875" style="842" customWidth="1"/>
    <col min="10245" max="10245" width="13.109375" style="842" bestFit="1" customWidth="1"/>
    <col min="10246" max="10246" width="4.88671875" style="842" customWidth="1"/>
    <col min="10247" max="10247" width="11.88671875" style="842" customWidth="1"/>
    <col min="10248" max="10248" width="12" style="842" customWidth="1"/>
    <col min="10249" max="10249" width="9.88671875" style="842" customWidth="1"/>
    <col min="10250" max="10250" width="13.88671875" style="842" bestFit="1" customWidth="1"/>
    <col min="10251" max="10496" width="8.88671875" style="842"/>
    <col min="10497" max="10497" width="11.5546875" style="842" bestFit="1" customWidth="1"/>
    <col min="10498" max="10498" width="12.5546875" style="842" customWidth="1"/>
    <col min="10499" max="10499" width="10.109375" style="842" customWidth="1"/>
    <col min="10500" max="10500" width="14.88671875" style="842" customWidth="1"/>
    <col min="10501" max="10501" width="13.109375" style="842" bestFit="1" customWidth="1"/>
    <col min="10502" max="10502" width="4.88671875" style="842" customWidth="1"/>
    <col min="10503" max="10503" width="11.88671875" style="842" customWidth="1"/>
    <col min="10504" max="10504" width="12" style="842" customWidth="1"/>
    <col min="10505" max="10505" width="9.88671875" style="842" customWidth="1"/>
    <col min="10506" max="10506" width="13.88671875" style="842" bestFit="1" customWidth="1"/>
    <col min="10507" max="10752" width="8.88671875" style="842"/>
    <col min="10753" max="10753" width="11.5546875" style="842" bestFit="1" customWidth="1"/>
    <col min="10754" max="10754" width="12.5546875" style="842" customWidth="1"/>
    <col min="10755" max="10755" width="10.109375" style="842" customWidth="1"/>
    <col min="10756" max="10756" width="14.88671875" style="842" customWidth="1"/>
    <col min="10757" max="10757" width="13.109375" style="842" bestFit="1" customWidth="1"/>
    <col min="10758" max="10758" width="4.88671875" style="842" customWidth="1"/>
    <col min="10759" max="10759" width="11.88671875" style="842" customWidth="1"/>
    <col min="10760" max="10760" width="12" style="842" customWidth="1"/>
    <col min="10761" max="10761" width="9.88671875" style="842" customWidth="1"/>
    <col min="10762" max="10762" width="13.88671875" style="842" bestFit="1" customWidth="1"/>
    <col min="10763" max="11008" width="8.88671875" style="842"/>
    <col min="11009" max="11009" width="11.5546875" style="842" bestFit="1" customWidth="1"/>
    <col min="11010" max="11010" width="12.5546875" style="842" customWidth="1"/>
    <col min="11011" max="11011" width="10.109375" style="842" customWidth="1"/>
    <col min="11012" max="11012" width="14.88671875" style="842" customWidth="1"/>
    <col min="11013" max="11013" width="13.109375" style="842" bestFit="1" customWidth="1"/>
    <col min="11014" max="11014" width="4.88671875" style="842" customWidth="1"/>
    <col min="11015" max="11015" width="11.88671875" style="842" customWidth="1"/>
    <col min="11016" max="11016" width="12" style="842" customWidth="1"/>
    <col min="11017" max="11017" width="9.88671875" style="842" customWidth="1"/>
    <col min="11018" max="11018" width="13.88671875" style="842" bestFit="1" customWidth="1"/>
    <col min="11019" max="11264" width="8.88671875" style="842"/>
    <col min="11265" max="11265" width="11.5546875" style="842" bestFit="1" customWidth="1"/>
    <col min="11266" max="11266" width="12.5546875" style="842" customWidth="1"/>
    <col min="11267" max="11267" width="10.109375" style="842" customWidth="1"/>
    <col min="11268" max="11268" width="14.88671875" style="842" customWidth="1"/>
    <col min="11269" max="11269" width="13.109375" style="842" bestFit="1" customWidth="1"/>
    <col min="11270" max="11270" width="4.88671875" style="842" customWidth="1"/>
    <col min="11271" max="11271" width="11.88671875" style="842" customWidth="1"/>
    <col min="11272" max="11272" width="12" style="842" customWidth="1"/>
    <col min="11273" max="11273" width="9.88671875" style="842" customWidth="1"/>
    <col min="11274" max="11274" width="13.88671875" style="842" bestFit="1" customWidth="1"/>
    <col min="11275" max="11520" width="8.88671875" style="842"/>
    <col min="11521" max="11521" width="11.5546875" style="842" bestFit="1" customWidth="1"/>
    <col min="11522" max="11522" width="12.5546875" style="842" customWidth="1"/>
    <col min="11523" max="11523" width="10.109375" style="842" customWidth="1"/>
    <col min="11524" max="11524" width="14.88671875" style="842" customWidth="1"/>
    <col min="11525" max="11525" width="13.109375" style="842" bestFit="1" customWidth="1"/>
    <col min="11526" max="11526" width="4.88671875" style="842" customWidth="1"/>
    <col min="11527" max="11527" width="11.88671875" style="842" customWidth="1"/>
    <col min="11528" max="11528" width="12" style="842" customWidth="1"/>
    <col min="11529" max="11529" width="9.88671875" style="842" customWidth="1"/>
    <col min="11530" max="11530" width="13.88671875" style="842" bestFit="1" customWidth="1"/>
    <col min="11531" max="11776" width="8.88671875" style="842"/>
    <col min="11777" max="11777" width="11.5546875" style="842" bestFit="1" customWidth="1"/>
    <col min="11778" max="11778" width="12.5546875" style="842" customWidth="1"/>
    <col min="11779" max="11779" width="10.109375" style="842" customWidth="1"/>
    <col min="11780" max="11780" width="14.88671875" style="842" customWidth="1"/>
    <col min="11781" max="11781" width="13.109375" style="842" bestFit="1" customWidth="1"/>
    <col min="11782" max="11782" width="4.88671875" style="842" customWidth="1"/>
    <col min="11783" max="11783" width="11.88671875" style="842" customWidth="1"/>
    <col min="11784" max="11784" width="12" style="842" customWidth="1"/>
    <col min="11785" max="11785" width="9.88671875" style="842" customWidth="1"/>
    <col min="11786" max="11786" width="13.88671875" style="842" bestFit="1" customWidth="1"/>
    <col min="11787" max="12032" width="8.88671875" style="842"/>
    <col min="12033" max="12033" width="11.5546875" style="842" bestFit="1" customWidth="1"/>
    <col min="12034" max="12034" width="12.5546875" style="842" customWidth="1"/>
    <col min="12035" max="12035" width="10.109375" style="842" customWidth="1"/>
    <col min="12036" max="12036" width="14.88671875" style="842" customWidth="1"/>
    <col min="12037" max="12037" width="13.109375" style="842" bestFit="1" customWidth="1"/>
    <col min="12038" max="12038" width="4.88671875" style="842" customWidth="1"/>
    <col min="12039" max="12039" width="11.88671875" style="842" customWidth="1"/>
    <col min="12040" max="12040" width="12" style="842" customWidth="1"/>
    <col min="12041" max="12041" width="9.88671875" style="842" customWidth="1"/>
    <col min="12042" max="12042" width="13.88671875" style="842" bestFit="1" customWidth="1"/>
    <col min="12043" max="12288" width="8.88671875" style="842"/>
    <col min="12289" max="12289" width="11.5546875" style="842" bestFit="1" customWidth="1"/>
    <col min="12290" max="12290" width="12.5546875" style="842" customWidth="1"/>
    <col min="12291" max="12291" width="10.109375" style="842" customWidth="1"/>
    <col min="12292" max="12292" width="14.88671875" style="842" customWidth="1"/>
    <col min="12293" max="12293" width="13.109375" style="842" bestFit="1" customWidth="1"/>
    <col min="12294" max="12294" width="4.88671875" style="842" customWidth="1"/>
    <col min="12295" max="12295" width="11.88671875" style="842" customWidth="1"/>
    <col min="12296" max="12296" width="12" style="842" customWidth="1"/>
    <col min="12297" max="12297" width="9.88671875" style="842" customWidth="1"/>
    <col min="12298" max="12298" width="13.88671875" style="842" bestFit="1" customWidth="1"/>
    <col min="12299" max="12544" width="8.88671875" style="842"/>
    <col min="12545" max="12545" width="11.5546875" style="842" bestFit="1" customWidth="1"/>
    <col min="12546" max="12546" width="12.5546875" style="842" customWidth="1"/>
    <col min="12547" max="12547" width="10.109375" style="842" customWidth="1"/>
    <col min="12548" max="12548" width="14.88671875" style="842" customWidth="1"/>
    <col min="12549" max="12549" width="13.109375" style="842" bestFit="1" customWidth="1"/>
    <col min="12550" max="12550" width="4.88671875" style="842" customWidth="1"/>
    <col min="12551" max="12551" width="11.88671875" style="842" customWidth="1"/>
    <col min="12552" max="12552" width="12" style="842" customWidth="1"/>
    <col min="12553" max="12553" width="9.88671875" style="842" customWidth="1"/>
    <col min="12554" max="12554" width="13.88671875" style="842" bestFit="1" customWidth="1"/>
    <col min="12555" max="12800" width="8.88671875" style="842"/>
    <col min="12801" max="12801" width="11.5546875" style="842" bestFit="1" customWidth="1"/>
    <col min="12802" max="12802" width="12.5546875" style="842" customWidth="1"/>
    <col min="12803" max="12803" width="10.109375" style="842" customWidth="1"/>
    <col min="12804" max="12804" width="14.88671875" style="842" customWidth="1"/>
    <col min="12805" max="12805" width="13.109375" style="842" bestFit="1" customWidth="1"/>
    <col min="12806" max="12806" width="4.88671875" style="842" customWidth="1"/>
    <col min="12807" max="12807" width="11.88671875" style="842" customWidth="1"/>
    <col min="12808" max="12808" width="12" style="842" customWidth="1"/>
    <col min="12809" max="12809" width="9.88671875" style="842" customWidth="1"/>
    <col min="12810" max="12810" width="13.88671875" style="842" bestFit="1" customWidth="1"/>
    <col min="12811" max="13056" width="8.88671875" style="842"/>
    <col min="13057" max="13057" width="11.5546875" style="842" bestFit="1" customWidth="1"/>
    <col min="13058" max="13058" width="12.5546875" style="842" customWidth="1"/>
    <col min="13059" max="13059" width="10.109375" style="842" customWidth="1"/>
    <col min="13060" max="13060" width="14.88671875" style="842" customWidth="1"/>
    <col min="13061" max="13061" width="13.109375" style="842" bestFit="1" customWidth="1"/>
    <col min="13062" max="13062" width="4.88671875" style="842" customWidth="1"/>
    <col min="13063" max="13063" width="11.88671875" style="842" customWidth="1"/>
    <col min="13064" max="13064" width="12" style="842" customWidth="1"/>
    <col min="13065" max="13065" width="9.88671875" style="842" customWidth="1"/>
    <col min="13066" max="13066" width="13.88671875" style="842" bestFit="1" customWidth="1"/>
    <col min="13067" max="13312" width="8.88671875" style="842"/>
    <col min="13313" max="13313" width="11.5546875" style="842" bestFit="1" customWidth="1"/>
    <col min="13314" max="13314" width="12.5546875" style="842" customWidth="1"/>
    <col min="13315" max="13315" width="10.109375" style="842" customWidth="1"/>
    <col min="13316" max="13316" width="14.88671875" style="842" customWidth="1"/>
    <col min="13317" max="13317" width="13.109375" style="842" bestFit="1" customWidth="1"/>
    <col min="13318" max="13318" width="4.88671875" style="842" customWidth="1"/>
    <col min="13319" max="13319" width="11.88671875" style="842" customWidth="1"/>
    <col min="13320" max="13320" width="12" style="842" customWidth="1"/>
    <col min="13321" max="13321" width="9.88671875" style="842" customWidth="1"/>
    <col min="13322" max="13322" width="13.88671875" style="842" bestFit="1" customWidth="1"/>
    <col min="13323" max="13568" width="8.88671875" style="842"/>
    <col min="13569" max="13569" width="11.5546875" style="842" bestFit="1" customWidth="1"/>
    <col min="13570" max="13570" width="12.5546875" style="842" customWidth="1"/>
    <col min="13571" max="13571" width="10.109375" style="842" customWidth="1"/>
    <col min="13572" max="13572" width="14.88671875" style="842" customWidth="1"/>
    <col min="13573" max="13573" width="13.109375" style="842" bestFit="1" customWidth="1"/>
    <col min="13574" max="13574" width="4.88671875" style="842" customWidth="1"/>
    <col min="13575" max="13575" width="11.88671875" style="842" customWidth="1"/>
    <col min="13576" max="13576" width="12" style="842" customWidth="1"/>
    <col min="13577" max="13577" width="9.88671875" style="842" customWidth="1"/>
    <col min="13578" max="13578" width="13.88671875" style="842" bestFit="1" customWidth="1"/>
    <col min="13579" max="13824" width="8.88671875" style="842"/>
    <col min="13825" max="13825" width="11.5546875" style="842" bestFit="1" customWidth="1"/>
    <col min="13826" max="13826" width="12.5546875" style="842" customWidth="1"/>
    <col min="13827" max="13827" width="10.109375" style="842" customWidth="1"/>
    <col min="13828" max="13828" width="14.88671875" style="842" customWidth="1"/>
    <col min="13829" max="13829" width="13.109375" style="842" bestFit="1" customWidth="1"/>
    <col min="13830" max="13830" width="4.88671875" style="842" customWidth="1"/>
    <col min="13831" max="13831" width="11.88671875" style="842" customWidth="1"/>
    <col min="13832" max="13832" width="12" style="842" customWidth="1"/>
    <col min="13833" max="13833" width="9.88671875" style="842" customWidth="1"/>
    <col min="13834" max="13834" width="13.88671875" style="842" bestFit="1" customWidth="1"/>
    <col min="13835" max="14080" width="8.88671875" style="842"/>
    <col min="14081" max="14081" width="11.5546875" style="842" bestFit="1" customWidth="1"/>
    <col min="14082" max="14082" width="12.5546875" style="842" customWidth="1"/>
    <col min="14083" max="14083" width="10.109375" style="842" customWidth="1"/>
    <col min="14084" max="14084" width="14.88671875" style="842" customWidth="1"/>
    <col min="14085" max="14085" width="13.109375" style="842" bestFit="1" customWidth="1"/>
    <col min="14086" max="14086" width="4.88671875" style="842" customWidth="1"/>
    <col min="14087" max="14087" width="11.88671875" style="842" customWidth="1"/>
    <col min="14088" max="14088" width="12" style="842" customWidth="1"/>
    <col min="14089" max="14089" width="9.88671875" style="842" customWidth="1"/>
    <col min="14090" max="14090" width="13.88671875" style="842" bestFit="1" customWidth="1"/>
    <col min="14091" max="14336" width="8.88671875" style="842"/>
    <col min="14337" max="14337" width="11.5546875" style="842" bestFit="1" customWidth="1"/>
    <col min="14338" max="14338" width="12.5546875" style="842" customWidth="1"/>
    <col min="14339" max="14339" width="10.109375" style="842" customWidth="1"/>
    <col min="14340" max="14340" width="14.88671875" style="842" customWidth="1"/>
    <col min="14341" max="14341" width="13.109375" style="842" bestFit="1" customWidth="1"/>
    <col min="14342" max="14342" width="4.88671875" style="842" customWidth="1"/>
    <col min="14343" max="14343" width="11.88671875" style="842" customWidth="1"/>
    <col min="14344" max="14344" width="12" style="842" customWidth="1"/>
    <col min="14345" max="14345" width="9.88671875" style="842" customWidth="1"/>
    <col min="14346" max="14346" width="13.88671875" style="842" bestFit="1" customWidth="1"/>
    <col min="14347" max="14592" width="8.88671875" style="842"/>
    <col min="14593" max="14593" width="11.5546875" style="842" bestFit="1" customWidth="1"/>
    <col min="14594" max="14594" width="12.5546875" style="842" customWidth="1"/>
    <col min="14595" max="14595" width="10.109375" style="842" customWidth="1"/>
    <col min="14596" max="14596" width="14.88671875" style="842" customWidth="1"/>
    <col min="14597" max="14597" width="13.109375" style="842" bestFit="1" customWidth="1"/>
    <col min="14598" max="14598" width="4.88671875" style="842" customWidth="1"/>
    <col min="14599" max="14599" width="11.88671875" style="842" customWidth="1"/>
    <col min="14600" max="14600" width="12" style="842" customWidth="1"/>
    <col min="14601" max="14601" width="9.88671875" style="842" customWidth="1"/>
    <col min="14602" max="14602" width="13.88671875" style="842" bestFit="1" customWidth="1"/>
    <col min="14603" max="14848" width="8.88671875" style="842"/>
    <col min="14849" max="14849" width="11.5546875" style="842" bestFit="1" customWidth="1"/>
    <col min="14850" max="14850" width="12.5546875" style="842" customWidth="1"/>
    <col min="14851" max="14851" width="10.109375" style="842" customWidth="1"/>
    <col min="14852" max="14852" width="14.88671875" style="842" customWidth="1"/>
    <col min="14853" max="14853" width="13.109375" style="842" bestFit="1" customWidth="1"/>
    <col min="14854" max="14854" width="4.88671875" style="842" customWidth="1"/>
    <col min="14855" max="14855" width="11.88671875" style="842" customWidth="1"/>
    <col min="14856" max="14856" width="12" style="842" customWidth="1"/>
    <col min="14857" max="14857" width="9.88671875" style="842" customWidth="1"/>
    <col min="14858" max="14858" width="13.88671875" style="842" bestFit="1" customWidth="1"/>
    <col min="14859" max="15104" width="8.88671875" style="842"/>
    <col min="15105" max="15105" width="11.5546875" style="842" bestFit="1" customWidth="1"/>
    <col min="15106" max="15106" width="12.5546875" style="842" customWidth="1"/>
    <col min="15107" max="15107" width="10.109375" style="842" customWidth="1"/>
    <col min="15108" max="15108" width="14.88671875" style="842" customWidth="1"/>
    <col min="15109" max="15109" width="13.109375" style="842" bestFit="1" customWidth="1"/>
    <col min="15110" max="15110" width="4.88671875" style="842" customWidth="1"/>
    <col min="15111" max="15111" width="11.88671875" style="842" customWidth="1"/>
    <col min="15112" max="15112" width="12" style="842" customWidth="1"/>
    <col min="15113" max="15113" width="9.88671875" style="842" customWidth="1"/>
    <col min="15114" max="15114" width="13.88671875" style="842" bestFit="1" customWidth="1"/>
    <col min="15115" max="15360" width="8.88671875" style="842"/>
    <col min="15361" max="15361" width="11.5546875" style="842" bestFit="1" customWidth="1"/>
    <col min="15362" max="15362" width="12.5546875" style="842" customWidth="1"/>
    <col min="15363" max="15363" width="10.109375" style="842" customWidth="1"/>
    <col min="15364" max="15364" width="14.88671875" style="842" customWidth="1"/>
    <col min="15365" max="15365" width="13.109375" style="842" bestFit="1" customWidth="1"/>
    <col min="15366" max="15366" width="4.88671875" style="842" customWidth="1"/>
    <col min="15367" max="15367" width="11.88671875" style="842" customWidth="1"/>
    <col min="15368" max="15368" width="12" style="842" customWidth="1"/>
    <col min="15369" max="15369" width="9.88671875" style="842" customWidth="1"/>
    <col min="15370" max="15370" width="13.88671875" style="842" bestFit="1" customWidth="1"/>
    <col min="15371" max="15616" width="8.88671875" style="842"/>
    <col min="15617" max="15617" width="11.5546875" style="842" bestFit="1" customWidth="1"/>
    <col min="15618" max="15618" width="12.5546875" style="842" customWidth="1"/>
    <col min="15619" max="15619" width="10.109375" style="842" customWidth="1"/>
    <col min="15620" max="15620" width="14.88671875" style="842" customWidth="1"/>
    <col min="15621" max="15621" width="13.109375" style="842" bestFit="1" customWidth="1"/>
    <col min="15622" max="15622" width="4.88671875" style="842" customWidth="1"/>
    <col min="15623" max="15623" width="11.88671875" style="842" customWidth="1"/>
    <col min="15624" max="15624" width="12" style="842" customWidth="1"/>
    <col min="15625" max="15625" width="9.88671875" style="842" customWidth="1"/>
    <col min="15626" max="15626" width="13.88671875" style="842" bestFit="1" customWidth="1"/>
    <col min="15627" max="15872" width="8.88671875" style="842"/>
    <col min="15873" max="15873" width="11.5546875" style="842" bestFit="1" customWidth="1"/>
    <col min="15874" max="15874" width="12.5546875" style="842" customWidth="1"/>
    <col min="15875" max="15875" width="10.109375" style="842" customWidth="1"/>
    <col min="15876" max="15876" width="14.88671875" style="842" customWidth="1"/>
    <col min="15877" max="15877" width="13.109375" style="842" bestFit="1" customWidth="1"/>
    <col min="15878" max="15878" width="4.88671875" style="842" customWidth="1"/>
    <col min="15879" max="15879" width="11.88671875" style="842" customWidth="1"/>
    <col min="15880" max="15880" width="12" style="842" customWidth="1"/>
    <col min="15881" max="15881" width="9.88671875" style="842" customWidth="1"/>
    <col min="15882" max="15882" width="13.88671875" style="842" bestFit="1" customWidth="1"/>
    <col min="15883" max="16128" width="8.88671875" style="842"/>
    <col min="16129" max="16129" width="11.5546875" style="842" bestFit="1" customWidth="1"/>
    <col min="16130" max="16130" width="12.5546875" style="842" customWidth="1"/>
    <col min="16131" max="16131" width="10.109375" style="842" customWidth="1"/>
    <col min="16132" max="16132" width="14.88671875" style="842" customWidth="1"/>
    <col min="16133" max="16133" width="13.109375" style="842" bestFit="1" customWidth="1"/>
    <col min="16134" max="16134" width="4.88671875" style="842" customWidth="1"/>
    <col min="16135" max="16135" width="11.88671875" style="842" customWidth="1"/>
    <col min="16136" max="16136" width="12" style="842" customWidth="1"/>
    <col min="16137" max="16137" width="9.88671875" style="842" customWidth="1"/>
    <col min="16138" max="16138" width="13.88671875" style="842" bestFit="1" customWidth="1"/>
    <col min="16139" max="16384" width="8.88671875" style="842"/>
  </cols>
  <sheetData>
    <row r="1" spans="1:11" ht="22.8">
      <c r="A1" s="4232" t="s">
        <v>2976</v>
      </c>
      <c r="B1" s="4232"/>
      <c r="C1" s="4232"/>
      <c r="D1" s="4232"/>
      <c r="E1" s="4232"/>
      <c r="F1" s="4232"/>
      <c r="G1" s="4232"/>
      <c r="H1" s="4232"/>
      <c r="I1" s="4232"/>
      <c r="J1" s="4232"/>
      <c r="K1" s="4232"/>
    </row>
    <row r="2" spans="1:11" ht="15.6">
      <c r="A2" s="4246" t="str">
        <f>'Sensitivity Analysis'!C8</f>
        <v>Lakeview Terrace</v>
      </c>
      <c r="B2" s="4246"/>
      <c r="C2" s="4246"/>
      <c r="D2" s="4246"/>
      <c r="E2" s="4246"/>
      <c r="F2" s="4246"/>
      <c r="G2" s="4246"/>
      <c r="H2" s="4246"/>
      <c r="I2" s="4246"/>
      <c r="J2" s="4246"/>
      <c r="K2" s="4246"/>
    </row>
    <row r="3" spans="1:11" ht="9" customHeight="1">
      <c r="A3" s="843"/>
      <c r="B3" s="843"/>
      <c r="C3" s="843"/>
    </row>
    <row r="4" spans="1:11" ht="17.399999999999999">
      <c r="A4" s="844" t="s">
        <v>3423</v>
      </c>
      <c r="B4" s="843"/>
      <c r="C4" s="843"/>
      <c r="K4" s="845"/>
    </row>
    <row r="5" spans="1:11" s="800" customFormat="1" ht="42" customHeight="1">
      <c r="C5" s="4233" t="s">
        <v>4106</v>
      </c>
      <c r="D5" s="4234"/>
      <c r="E5" s="4235"/>
      <c r="F5" s="634"/>
      <c r="G5" s="4233" t="s">
        <v>4107</v>
      </c>
      <c r="H5" s="4234"/>
      <c r="I5" s="4235"/>
      <c r="J5" s="842"/>
      <c r="K5" s="4244" t="s">
        <v>4108</v>
      </c>
    </row>
    <row r="6" spans="1:11" s="847" customFormat="1" ht="15" customHeight="1">
      <c r="A6" s="846" t="s">
        <v>2634</v>
      </c>
      <c r="C6" s="848" t="s">
        <v>3408</v>
      </c>
      <c r="D6" s="848" t="s">
        <v>4109</v>
      </c>
      <c r="E6" s="848" t="s">
        <v>1943</v>
      </c>
      <c r="G6" s="848" t="s">
        <v>3409</v>
      </c>
      <c r="H6" s="848" t="s">
        <v>4110</v>
      </c>
      <c r="I6" s="848" t="s">
        <v>1943</v>
      </c>
      <c r="K6" s="4245"/>
    </row>
    <row r="7" spans="1:11" s="634" customFormat="1" ht="13.5" customHeight="1">
      <c r="A7" s="634" t="s">
        <v>2977</v>
      </c>
      <c r="C7" s="850"/>
      <c r="D7" s="1501">
        <f>'Part VI-Revenues &amp; Expenses'!$K$63</f>
        <v>0</v>
      </c>
      <c r="E7" s="852">
        <f>C7*D7</f>
        <v>0</v>
      </c>
      <c r="G7" s="850"/>
      <c r="H7" s="851">
        <f>'Part VI-Revenues &amp; Expenses'!$K$67</f>
        <v>0</v>
      </c>
      <c r="I7" s="852">
        <f>G7*H7</f>
        <v>0</v>
      </c>
      <c r="K7" s="1508">
        <f>'Part VIII-Threshold Criteria'!$P$50</f>
        <v>0</v>
      </c>
    </row>
    <row r="8" spans="1:11" s="634" customFormat="1" ht="13.5" customHeight="1">
      <c r="A8" s="634" t="s">
        <v>2632</v>
      </c>
      <c r="C8" s="850"/>
      <c r="D8" s="1501">
        <f>'Part VI-Revenues &amp; Expenses'!$L$63</f>
        <v>18</v>
      </c>
      <c r="E8" s="852">
        <f>C8*D8</f>
        <v>0</v>
      </c>
      <c r="G8" s="850"/>
      <c r="H8" s="851">
        <f>'Part VI-Revenues &amp; Expenses'!$L$67</f>
        <v>18</v>
      </c>
      <c r="I8" s="852">
        <f>G8*H8</f>
        <v>0</v>
      </c>
      <c r="K8" s="849" t="s">
        <v>3410</v>
      </c>
    </row>
    <row r="9" spans="1:11" s="634" customFormat="1" ht="13.5" customHeight="1">
      <c r="A9" s="634" t="s">
        <v>2633</v>
      </c>
      <c r="C9" s="850"/>
      <c r="D9" s="1501">
        <f>'Part VI-Revenues &amp; Expenses'!$M$63</f>
        <v>106</v>
      </c>
      <c r="E9" s="852">
        <f>C9*D9</f>
        <v>0</v>
      </c>
      <c r="G9" s="850"/>
      <c r="H9" s="851">
        <f>'Part VI-Revenues &amp; Expenses'!$M$67</f>
        <v>106</v>
      </c>
      <c r="I9" s="852">
        <f>G9*H9</f>
        <v>0</v>
      </c>
      <c r="K9" s="1508">
        <f>'Part IV-A-Uses of Funds'!$G$132</f>
        <v>43012994</v>
      </c>
    </row>
    <row r="10" spans="1:11" s="634" customFormat="1" ht="13.5" customHeight="1">
      <c r="A10" s="634" t="s">
        <v>2636</v>
      </c>
      <c r="C10" s="850"/>
      <c r="D10" s="1501">
        <f>'Part VI-Revenues &amp; Expenses'!$N$63</f>
        <v>76</v>
      </c>
      <c r="E10" s="852">
        <f>C10*D10</f>
        <v>0</v>
      </c>
      <c r="G10" s="850"/>
      <c r="H10" s="851">
        <f>'Part VI-Revenues &amp; Expenses'!$N$67</f>
        <v>76</v>
      </c>
      <c r="I10" s="852">
        <f>G10*H10</f>
        <v>0</v>
      </c>
      <c r="K10" s="849" t="s">
        <v>3411</v>
      </c>
    </row>
    <row r="11" spans="1:11" s="634" customFormat="1" ht="13.5" customHeight="1">
      <c r="A11" s="854" t="s">
        <v>3407</v>
      </c>
      <c r="C11" s="855"/>
      <c r="D11" s="1502">
        <f>'Part VI-Revenues &amp; Expenses'!$O$63</f>
        <v>0</v>
      </c>
      <c r="E11" s="857">
        <f>C11*D11</f>
        <v>0</v>
      </c>
      <c r="G11" s="855"/>
      <c r="H11" s="856">
        <f>'Part VI-Revenues &amp; Expenses'!$O$67</f>
        <v>0</v>
      </c>
      <c r="I11" s="857">
        <f>G11*H11</f>
        <v>0</v>
      </c>
      <c r="K11" s="4236" t="s">
        <v>3415</v>
      </c>
    </row>
    <row r="12" spans="1:11" ht="13.5" customHeight="1" thickBot="1">
      <c r="A12" s="858" t="s">
        <v>3382</v>
      </c>
      <c r="D12" s="889">
        <f>SUM(D7:D11)</f>
        <v>200</v>
      </c>
      <c r="E12" s="859"/>
      <c r="G12" s="858" t="s">
        <v>1749</v>
      </c>
      <c r="H12" s="1507">
        <f>SUM(H7:H11)</f>
        <v>200</v>
      </c>
      <c r="I12" s="859"/>
      <c r="K12" s="4237"/>
    </row>
    <row r="13" spans="1:11" s="634" customFormat="1" ht="13.5" customHeight="1" thickBot="1">
      <c r="A13" s="858" t="s">
        <v>2978</v>
      </c>
      <c r="B13" s="860"/>
      <c r="E13" s="861">
        <f>SUM(E7:E11)</f>
        <v>0</v>
      </c>
      <c r="G13" s="858" t="s">
        <v>3212</v>
      </c>
      <c r="H13" s="860"/>
      <c r="I13" s="862">
        <f>SUM(I7:I11)</f>
        <v>0</v>
      </c>
      <c r="K13" s="1508">
        <f>'Part VIII-Threshold Criteria'!$P$63</f>
        <v>47362202</v>
      </c>
    </row>
    <row r="14" spans="1:11" ht="11.25" customHeight="1">
      <c r="G14" s="863" t="s">
        <v>3412</v>
      </c>
    </row>
    <row r="15" spans="1:11" s="634" customFormat="1" ht="9" customHeight="1"/>
    <row r="16" spans="1:11" ht="16.5" customHeight="1">
      <c r="A16" s="844" t="s">
        <v>3424</v>
      </c>
    </row>
    <row r="17" spans="1:11" ht="6" customHeight="1"/>
    <row r="18" spans="1:11" s="634" customFormat="1" ht="13.5" customHeight="1">
      <c r="A18" s="634" t="s">
        <v>3414</v>
      </c>
      <c r="E18" s="1509" t="s">
        <v>3897</v>
      </c>
      <c r="F18" s="1510"/>
      <c r="G18" s="1510"/>
      <c r="H18" s="1510"/>
      <c r="I18" s="1510"/>
      <c r="K18" s="1485">
        <f>'Sensitivity Analysis'!$E$13</f>
        <v>200</v>
      </c>
    </row>
    <row r="19" spans="1:11" s="634" customFormat="1" ht="13.5" customHeight="1">
      <c r="A19" s="634" t="s">
        <v>2979</v>
      </c>
      <c r="E19" s="1504"/>
      <c r="K19" s="718">
        <f>'Sensitivity Analysis'!$C$13</f>
        <v>200</v>
      </c>
    </row>
    <row r="20" spans="1:11" ht="3" customHeight="1">
      <c r="A20" s="864"/>
      <c r="E20" s="1505"/>
    </row>
    <row r="21" spans="1:11" s="634" customFormat="1" ht="13.5" customHeight="1">
      <c r="A21" s="634" t="s">
        <v>2980</v>
      </c>
      <c r="E21" s="1503" t="s">
        <v>3413</v>
      </c>
      <c r="K21" s="865">
        <f>K18/K19</f>
        <v>1</v>
      </c>
    </row>
    <row r="22" spans="1:11" ht="6.75" customHeight="1">
      <c r="E22" s="1505"/>
    </row>
    <row r="23" spans="1:11" s="634" customFormat="1" ht="13.5" customHeight="1">
      <c r="A23" s="634" t="s">
        <v>3381</v>
      </c>
      <c r="C23" s="866"/>
      <c r="E23" s="1503" t="s">
        <v>2983</v>
      </c>
      <c r="K23" s="718">
        <f>K9</f>
        <v>43012994</v>
      </c>
    </row>
    <row r="24" spans="1:11" s="634" customFormat="1" ht="13.5" customHeight="1">
      <c r="A24" s="867" t="s">
        <v>1716</v>
      </c>
      <c r="E24" s="1504"/>
      <c r="K24" s="853">
        <f>'Part IV-A-Uses of Funds'!$G$122</f>
        <v>831271</v>
      </c>
    </row>
    <row r="25" spans="1:11" s="634" customFormat="1" ht="13.5" customHeight="1">
      <c r="A25" s="867" t="s">
        <v>2984</v>
      </c>
      <c r="E25" s="1504"/>
      <c r="K25" s="868">
        <v>0</v>
      </c>
    </row>
    <row r="26" spans="1:11" s="634" customFormat="1" ht="13.5" customHeight="1">
      <c r="A26" s="867" t="s">
        <v>2984</v>
      </c>
      <c r="E26" s="1504"/>
      <c r="K26" s="868">
        <v>0</v>
      </c>
    </row>
    <row r="27" spans="1:11" ht="3" customHeight="1">
      <c r="A27" s="869"/>
      <c r="E27" s="1505"/>
      <c r="K27" s="870">
        <v>0</v>
      </c>
    </row>
    <row r="28" spans="1:11" s="860" customFormat="1" ht="13.5" customHeight="1">
      <c r="A28" s="860" t="s">
        <v>2985</v>
      </c>
      <c r="E28" s="1506"/>
      <c r="K28" s="871">
        <f>K23-SUM(K24:K27)</f>
        <v>42181723</v>
      </c>
    </row>
    <row r="29" spans="1:11" ht="6.75" customHeight="1">
      <c r="A29" s="864"/>
      <c r="E29" s="1505"/>
      <c r="K29" s="872"/>
    </row>
    <row r="30" spans="1:11" s="634" customFormat="1" ht="15" customHeight="1">
      <c r="A30" s="860" t="s">
        <v>2986</v>
      </c>
      <c r="E30" s="1503" t="s">
        <v>3418</v>
      </c>
      <c r="F30" s="873"/>
      <c r="G30" s="873"/>
      <c r="H30" s="873"/>
      <c r="I30" s="873"/>
      <c r="K30" s="874">
        <f>K21*K28</f>
        <v>42181723</v>
      </c>
    </row>
    <row r="31" spans="1:11" ht="13.5" customHeight="1">
      <c r="E31" s="1505"/>
      <c r="K31" s="872"/>
    </row>
    <row r="32" spans="1:11" s="634" customFormat="1" ht="16.5" customHeight="1">
      <c r="A32" s="875" t="s">
        <v>3425</v>
      </c>
      <c r="B32" s="860"/>
      <c r="C32" s="860"/>
      <c r="D32" s="860"/>
      <c r="E32" s="1503"/>
    </row>
    <row r="33" spans="1:11" ht="6" customHeight="1" thickBot="1">
      <c r="E33" s="1505"/>
    </row>
    <row r="34" spans="1:11" s="634" customFormat="1" ht="18" customHeight="1" thickBot="1">
      <c r="A34" s="876" t="s">
        <v>3421</v>
      </c>
      <c r="B34" s="860"/>
      <c r="C34" s="860"/>
      <c r="D34" s="860"/>
      <c r="E34" s="1503" t="s">
        <v>3419</v>
      </c>
      <c r="K34" s="877">
        <f>MIN(E13,K30)</f>
        <v>0</v>
      </c>
    </row>
    <row r="35" spans="1:11" ht="6" customHeight="1">
      <c r="E35" s="1505"/>
    </row>
    <row r="36" spans="1:11" s="634" customFormat="1" ht="15" customHeight="1">
      <c r="A36" s="860" t="s">
        <v>3422</v>
      </c>
      <c r="E36" s="1503" t="s">
        <v>3420</v>
      </c>
      <c r="K36" s="878">
        <f>'Sensitivity Analysis'!C25</f>
        <v>13700000</v>
      </c>
    </row>
    <row r="37" spans="1:11" s="634" customFormat="1" ht="9" customHeight="1" thickBot="1">
      <c r="E37" s="879"/>
      <c r="F37" s="879"/>
      <c r="G37" s="879"/>
      <c r="H37" s="879"/>
      <c r="K37" s="880"/>
    </row>
    <row r="38" spans="1:11" s="634" customFormat="1" ht="15.75" customHeight="1">
      <c r="A38" s="4238" t="s">
        <v>3416</v>
      </c>
      <c r="B38" s="4238"/>
      <c r="C38" s="4238"/>
      <c r="D38" s="4239" t="s">
        <v>2981</v>
      </c>
      <c r="E38" s="4239"/>
      <c r="F38" s="4239" t="s">
        <v>2982</v>
      </c>
      <c r="G38" s="4239"/>
      <c r="H38" s="4239"/>
      <c r="I38" s="1560" t="s">
        <v>2732</v>
      </c>
      <c r="K38" s="4240">
        <f>ROUND((D39/F39)*I39,0)</f>
        <v>65</v>
      </c>
    </row>
    <row r="39" spans="1:11" s="634" customFormat="1" ht="15.75" customHeight="1" thickBot="1">
      <c r="A39" s="4238"/>
      <c r="B39" s="4238"/>
      <c r="C39" s="4238"/>
      <c r="D39" s="4242">
        <f>K36</f>
        <v>13700000</v>
      </c>
      <c r="E39" s="4242"/>
      <c r="F39" s="4243">
        <f>K28</f>
        <v>42181723</v>
      </c>
      <c r="G39" s="4243"/>
      <c r="H39" s="4243"/>
      <c r="I39" s="881">
        <f>K19</f>
        <v>200</v>
      </c>
      <c r="K39" s="4241"/>
    </row>
    <row r="40" spans="1:11" ht="12.75" customHeight="1">
      <c r="D40" s="882" t="s">
        <v>3417</v>
      </c>
      <c r="H40" s="882"/>
      <c r="I40" s="882"/>
      <c r="K40" s="882"/>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842" customWidth="1"/>
    <col min="2" max="2" width="0.88671875" style="842" customWidth="1"/>
    <col min="3" max="3" width="16.44140625" style="842" customWidth="1"/>
    <col min="4" max="4" width="18.109375" style="842" customWidth="1"/>
    <col min="5" max="5" width="16.44140625" style="842" customWidth="1"/>
    <col min="6" max="6" width="13.109375" style="842" customWidth="1"/>
    <col min="7" max="7" width="14.44140625" style="842" customWidth="1"/>
    <col min="8" max="8" width="5.88671875" style="842" customWidth="1"/>
    <col min="9" max="16384" width="9.109375" style="842"/>
  </cols>
  <sheetData>
    <row r="1" spans="1:13" ht="12" customHeight="1">
      <c r="A1" s="4247" t="str">
        <f>CONCATENATE('Sensitivity Analysis'!E8,"  ",'Sensitivity Analysis'!C8)</f>
        <v>2020-5  Lakeview Terrace</v>
      </c>
      <c r="B1" s="4247"/>
      <c r="C1" s="4247"/>
      <c r="D1" s="4247"/>
      <c r="E1" s="4247"/>
      <c r="F1" s="4247"/>
      <c r="G1" s="4247"/>
      <c r="H1" s="4247"/>
    </row>
    <row r="3" spans="1:13" ht="12" customHeight="1">
      <c r="A3" s="4248" t="s">
        <v>3384</v>
      </c>
      <c r="B3" s="4248"/>
      <c r="C3" s="4248"/>
      <c r="D3" s="4248"/>
      <c r="E3" s="4248"/>
      <c r="F3" s="4248"/>
      <c r="G3" s="4248"/>
      <c r="H3" s="4248"/>
      <c r="I3" s="1564"/>
      <c r="J3" s="4250" t="s">
        <v>3898</v>
      </c>
      <c r="K3" s="4250"/>
      <c r="L3" s="915"/>
      <c r="M3" s="915"/>
    </row>
    <row r="4" spans="1:13">
      <c r="J4" s="4250"/>
      <c r="K4" s="4250"/>
    </row>
    <row r="5" spans="1:13" ht="12" customHeight="1">
      <c r="A5" s="842">
        <v>1</v>
      </c>
      <c r="C5" s="842" t="s">
        <v>2988</v>
      </c>
      <c r="E5" s="897" t="str">
        <f>'Sensitivity Analysis'!H9</f>
        <v>Lakeview Terrace, LP</v>
      </c>
      <c r="J5" s="4250"/>
      <c r="K5" s="4250"/>
    </row>
    <row r="6" spans="1:13" ht="3" customHeight="1">
      <c r="H6" s="859"/>
      <c r="J6" s="4250"/>
      <c r="K6" s="4250"/>
    </row>
    <row r="7" spans="1:13" ht="12" customHeight="1">
      <c r="A7" s="842">
        <v>2</v>
      </c>
      <c r="C7" s="842" t="s">
        <v>2989</v>
      </c>
      <c r="E7" s="897" t="str">
        <f>'Part II-Development Team'!H6</f>
        <v>310 South Dillard Street, Suite 135</v>
      </c>
      <c r="J7" s="4250"/>
      <c r="K7" s="4250"/>
    </row>
    <row r="8" spans="1:13" ht="12" customHeight="1">
      <c r="E8" s="897" t="str">
        <f>+'Part II-Development Team'!H7&amp;","&amp;" "&amp;'Part II-Development Team'!H8&amp;" "&amp;LEFT('Part II-Development Team'!J8,5)</f>
        <v>Winter Garden, FL 34787</v>
      </c>
      <c r="J8" s="4250"/>
      <c r="K8" s="4250"/>
    </row>
    <row r="9" spans="1:13" ht="12" customHeight="1">
      <c r="C9" s="842" t="s">
        <v>2990</v>
      </c>
      <c r="E9" s="4249" t="str">
        <f>'Part II-Development Team'!L7</f>
        <v>TBD</v>
      </c>
      <c r="F9" s="4249"/>
      <c r="J9" s="4250"/>
      <c r="K9" s="4250"/>
    </row>
    <row r="10" spans="1:13" ht="12" customHeight="1">
      <c r="C10" s="842" t="s">
        <v>2991</v>
      </c>
      <c r="E10" s="897" t="str">
        <f>'Part II-Development Team'!Q5</f>
        <v>Brian Waterfield</v>
      </c>
    </row>
    <row r="11" spans="1:13" ht="12" customHeight="1">
      <c r="C11" s="842" t="s">
        <v>3903</v>
      </c>
      <c r="E11" s="897" t="str">
        <f>'Part II-Development Team'!L9</f>
        <v>bwaterfield@timsheldevelopment.com</v>
      </c>
    </row>
    <row r="12" spans="1:13" ht="12" customHeight="1">
      <c r="C12" s="842" t="s">
        <v>3899</v>
      </c>
      <c r="E12" s="1565">
        <f>'Part II-Development Team'!H9</f>
        <v>4076142414</v>
      </c>
    </row>
    <row r="13" spans="1:13" ht="12" customHeight="1">
      <c r="C13" s="842" t="s">
        <v>3902</v>
      </c>
      <c r="E13" s="1565">
        <f>'Part II-Development Team'!Q7</f>
        <v>4074614651</v>
      </c>
    </row>
    <row r="14" spans="1:13" ht="3" customHeight="1"/>
    <row r="15" spans="1:13" ht="12" customHeight="1">
      <c r="A15" s="842">
        <v>3</v>
      </c>
      <c r="C15" s="842" t="s">
        <v>2992</v>
      </c>
      <c r="E15" s="897" t="str">
        <f>'Sensitivity Analysis'!C8</f>
        <v>Lakeview Terrace</v>
      </c>
    </row>
    <row r="16" spans="1:13" ht="12" customHeight="1">
      <c r="C16" s="842" t="s">
        <v>2993</v>
      </c>
      <c r="E16" s="897" t="str">
        <f>'Part I-Project Information'!$F$35</f>
        <v>2470 Grodon Hwy.</v>
      </c>
    </row>
    <row r="17" spans="1:8" ht="12" customHeight="1">
      <c r="E17" s="897" t="str">
        <f>+'Part I-Project Information'!$F$38&amp;","&amp;" GA "&amp;LEFT('Part I-Project Information'!$J$38,5)</f>
        <v>Augusta, GA 30909</v>
      </c>
    </row>
    <row r="18" spans="1:8" ht="3" customHeight="1"/>
    <row r="19" spans="1:8" ht="12" customHeight="1">
      <c r="A19" s="842">
        <v>4</v>
      </c>
      <c r="C19" s="842" t="s">
        <v>2994</v>
      </c>
      <c r="E19" s="897" t="str">
        <f>'Part II-Development Team'!H92</f>
        <v>Gateway Management Company</v>
      </c>
    </row>
    <row r="20" spans="1:8" ht="12" customHeight="1">
      <c r="C20" s="842" t="s">
        <v>2995</v>
      </c>
      <c r="E20" s="897" t="str">
        <f>'Part II-Development Team'!H93</f>
        <v>22 Inverness Center Parkway, Suite 222</v>
      </c>
    </row>
    <row r="21" spans="1:8" ht="12" customHeight="1">
      <c r="E21" s="897" t="str">
        <f>+'Part II-Development Team'!H94&amp;","&amp;" "&amp;'Part II-Development Team'!H95&amp;" "&amp;LEFT('Part II-Development Team'!L95,5)</f>
        <v>Birmingham, AL 35242</v>
      </c>
    </row>
    <row r="22" spans="1:8" ht="12" customHeight="1">
      <c r="C22" s="842" t="s">
        <v>3899</v>
      </c>
      <c r="E22" s="1565">
        <f>'Part II-Development Team'!H96</f>
        <v>2059803245</v>
      </c>
    </row>
    <row r="23" spans="1:8" ht="12" customHeight="1">
      <c r="C23" s="842" t="s">
        <v>3902</v>
      </c>
      <c r="E23" s="1565">
        <f>'Part II-Development Team'!Q94</f>
        <v>2059803245</v>
      </c>
    </row>
    <row r="24" spans="1:8" ht="12" customHeight="1">
      <c r="C24" s="842" t="s">
        <v>3903</v>
      </c>
      <c r="E24" s="1565" t="str">
        <f>'Part II-Development Team'!L96</f>
        <v>rfleece@gatewaymgt.com</v>
      </c>
    </row>
    <row r="25" spans="1:8" ht="3" customHeight="1">
      <c r="E25" s="897"/>
    </row>
    <row r="26" spans="1:8" ht="12" customHeight="1">
      <c r="A26" s="842">
        <v>5</v>
      </c>
      <c r="C26" s="842" t="s">
        <v>2996</v>
      </c>
      <c r="E26" s="897" t="str">
        <f>'Sensitivity Analysis'!$H$7</f>
        <v>New Construction</v>
      </c>
    </row>
    <row r="27" spans="1:8" ht="12" customHeight="1">
      <c r="E27" s="1563" t="s">
        <v>1727</v>
      </c>
    </row>
    <row r="28" spans="1:8" ht="12" customHeight="1">
      <c r="C28" s="842" t="s">
        <v>3383</v>
      </c>
      <c r="E28" s="842" t="str">
        <f>'Sensitivity Analysis'!$C$9</f>
        <v>&lt;&lt;Select&gt;&gt;</v>
      </c>
    </row>
    <row r="29" spans="1:8" ht="3" customHeight="1">
      <c r="H29" s="919"/>
    </row>
    <row r="30" spans="1:8" ht="12" customHeight="1">
      <c r="A30" s="842">
        <v>6</v>
      </c>
      <c r="C30" s="842" t="s">
        <v>2997</v>
      </c>
      <c r="E30" s="842" t="s">
        <v>2347</v>
      </c>
      <c r="F30" s="1566">
        <f>'Part III-Sources of Funds'!L20</f>
        <v>33449287</v>
      </c>
      <c r="G30" s="842" t="s">
        <v>2998</v>
      </c>
    </row>
    <row r="31" spans="1:8" ht="12" customHeight="1">
      <c r="F31" s="1566" t="s">
        <v>2999</v>
      </c>
      <c r="G31" s="842" t="s">
        <v>3000</v>
      </c>
    </row>
    <row r="32" spans="1:8" ht="3" customHeight="1">
      <c r="F32" s="887"/>
    </row>
    <row r="33" spans="1:7" ht="12" customHeight="1">
      <c r="A33" s="842">
        <v>7</v>
      </c>
      <c r="C33" s="842" t="s">
        <v>3001</v>
      </c>
      <c r="F33" s="1567">
        <v>0</v>
      </c>
    </row>
    <row r="34" spans="1:7" ht="3" customHeight="1">
      <c r="F34" s="887"/>
    </row>
    <row r="35" spans="1:7" ht="12" customHeight="1">
      <c r="A35" s="842">
        <v>8</v>
      </c>
      <c r="C35" s="842" t="s">
        <v>3002</v>
      </c>
      <c r="E35" s="842" t="s">
        <v>2347</v>
      </c>
      <c r="F35" s="1568">
        <v>0.01</v>
      </c>
    </row>
    <row r="36" spans="1:7" ht="3" customHeight="1">
      <c r="F36" s="1567"/>
    </row>
    <row r="37" spans="1:7" ht="12" customHeight="1">
      <c r="A37" s="842">
        <v>9</v>
      </c>
      <c r="C37" s="842" t="s">
        <v>3003</v>
      </c>
      <c r="F37" s="1569">
        <v>24</v>
      </c>
      <c r="G37" s="842" t="s">
        <v>3004</v>
      </c>
    </row>
    <row r="38" spans="1:7" ht="3" customHeight="1">
      <c r="F38" s="1567"/>
    </row>
    <row r="39" spans="1:7" ht="12" customHeight="1">
      <c r="A39" s="842">
        <v>10</v>
      </c>
      <c r="C39" s="842" t="s">
        <v>3005</v>
      </c>
      <c r="E39" s="842" t="s">
        <v>2347</v>
      </c>
      <c r="F39" s="887">
        <f>'Part III-Sources of Funds'!L38*12</f>
        <v>216</v>
      </c>
      <c r="G39" s="842" t="s">
        <v>3004</v>
      </c>
    </row>
    <row r="40" spans="1:7" ht="3" customHeight="1">
      <c r="F40" s="887"/>
    </row>
    <row r="41" spans="1:7" ht="12" customHeight="1">
      <c r="A41" s="842">
        <v>11</v>
      </c>
      <c r="C41" s="842" t="s">
        <v>3006</v>
      </c>
      <c r="F41" s="1570">
        <v>24</v>
      </c>
      <c r="G41" s="842" t="s">
        <v>3004</v>
      </c>
    </row>
    <row r="42" spans="1:7" ht="3" customHeight="1"/>
    <row r="43" spans="1:7" ht="12" customHeight="1">
      <c r="A43" s="842">
        <v>12</v>
      </c>
      <c r="C43" s="842" t="s">
        <v>3007</v>
      </c>
      <c r="F43" s="1571" t="s">
        <v>3008</v>
      </c>
    </row>
    <row r="44" spans="1:7" ht="3" customHeight="1"/>
    <row r="45" spans="1:7" ht="12" customHeight="1">
      <c r="A45" s="842">
        <v>13</v>
      </c>
      <c r="C45" s="842" t="s">
        <v>3009</v>
      </c>
      <c r="E45" s="842" t="s">
        <v>2347</v>
      </c>
      <c r="F45" s="897" t="s">
        <v>3010</v>
      </c>
    </row>
    <row r="46" spans="1:7" ht="3" customHeight="1">
      <c r="F46" s="859"/>
    </row>
    <row r="47" spans="1:7" ht="12" customHeight="1">
      <c r="A47" s="842">
        <v>14</v>
      </c>
      <c r="C47" s="842" t="s">
        <v>3011</v>
      </c>
      <c r="E47" s="897" t="str">
        <f>'Part II-Development Team'!H14</f>
        <v>JPM Decatur GP, LLC</v>
      </c>
    </row>
    <row r="48" spans="1:7" ht="3" customHeight="1">
      <c r="E48" s="897"/>
    </row>
    <row r="49" spans="1:7" ht="12" customHeight="1">
      <c r="A49" s="842">
        <v>15</v>
      </c>
      <c r="C49" s="842" t="s">
        <v>3905</v>
      </c>
      <c r="E49" s="897" t="str">
        <f>'Part II-Development Team'!Q98</f>
        <v>Gregory Q. Clark</v>
      </c>
      <c r="G49" s="897" t="str">
        <f>'Part II-Development Team'!H98</f>
        <v>Coleman Talley</v>
      </c>
    </row>
    <row r="50" spans="1:7" ht="12" customHeight="1">
      <c r="C50" s="842" t="s">
        <v>3012</v>
      </c>
      <c r="E50" s="897">
        <f>'Part II-Development Team'!O102</f>
        <v>0</v>
      </c>
      <c r="F50" s="887"/>
    </row>
    <row r="51" spans="1:7" ht="3" customHeight="1">
      <c r="F51" s="887"/>
    </row>
    <row r="52" spans="1:7" ht="12" customHeight="1">
      <c r="A52" s="842">
        <v>16</v>
      </c>
      <c r="C52" s="842" t="s">
        <v>3013</v>
      </c>
      <c r="F52" s="1570">
        <f>'Sensitivity Analysis'!C13</f>
        <v>200</v>
      </c>
    </row>
    <row r="53" spans="1:7" ht="3" customHeight="1">
      <c r="F53" s="887"/>
    </row>
    <row r="54" spans="1:7" ht="12" customHeight="1">
      <c r="A54" s="915">
        <v>17</v>
      </c>
      <c r="B54" s="915"/>
      <c r="C54" s="915" t="s">
        <v>3014</v>
      </c>
      <c r="D54" s="915"/>
      <c r="E54" s="915"/>
      <c r="F54" s="1572">
        <f>'HOME Allocation Limit WS'!K18</f>
        <v>200</v>
      </c>
      <c r="G54" s="915"/>
    </row>
    <row r="55" spans="1:7" ht="3" customHeight="1">
      <c r="F55" s="887"/>
    </row>
    <row r="56" spans="1:7" ht="12" customHeight="1">
      <c r="A56" s="842">
        <v>18</v>
      </c>
      <c r="C56" s="842" t="s">
        <v>3015</v>
      </c>
      <c r="F56" s="1572">
        <f>'Part VI-Revenues &amp; Expenses'!P66</f>
        <v>0</v>
      </c>
      <c r="G56" s="842" t="s">
        <v>3904</v>
      </c>
    </row>
    <row r="57" spans="1:7" ht="3" customHeight="1">
      <c r="F57" s="887"/>
    </row>
    <row r="58" spans="1:7" ht="12" customHeight="1">
      <c r="A58" s="842">
        <v>19</v>
      </c>
      <c r="C58" s="842" t="s">
        <v>3016</v>
      </c>
      <c r="F58" s="1573"/>
      <c r="G58" s="842" t="s">
        <v>3385</v>
      </c>
    </row>
    <row r="59" spans="1:7" ht="3" customHeight="1">
      <c r="F59" s="887"/>
    </row>
    <row r="60" spans="1:7" ht="12" customHeight="1">
      <c r="A60" s="842">
        <v>20</v>
      </c>
      <c r="C60" s="842" t="s">
        <v>3017</v>
      </c>
      <c r="F60" s="1574" t="s">
        <v>948</v>
      </c>
      <c r="G60" s="915"/>
    </row>
    <row r="61" spans="1:7" ht="3" customHeight="1"/>
    <row r="62" spans="1:7" ht="12" customHeight="1">
      <c r="A62" s="842">
        <v>21</v>
      </c>
      <c r="C62" s="842" t="s">
        <v>3400</v>
      </c>
      <c r="E62" s="1575" t="s">
        <v>3386</v>
      </c>
      <c r="F62" s="1576" t="s">
        <v>3387</v>
      </c>
      <c r="G62" s="1575" t="s">
        <v>3018</v>
      </c>
    </row>
    <row r="63" spans="1:7" ht="12" customHeight="1">
      <c r="E63" s="1575" t="s">
        <v>3386</v>
      </c>
      <c r="F63" s="1576" t="s">
        <v>3387</v>
      </c>
      <c r="G63" s="1575"/>
    </row>
    <row r="64" spans="1:7" ht="3" customHeight="1"/>
    <row r="65" spans="1:7" ht="12" customHeight="1">
      <c r="A65" s="842">
        <v>22</v>
      </c>
      <c r="C65" s="842" t="s">
        <v>3019</v>
      </c>
      <c r="E65" s="897" t="str">
        <f>'Sensitivity Analysis'!H9</f>
        <v>Lakeview Terrace, LP</v>
      </c>
    </row>
    <row r="66" spans="1:7" ht="3" customHeight="1"/>
    <row r="67" spans="1:7" ht="12" customHeight="1">
      <c r="A67" s="842">
        <v>23</v>
      </c>
      <c r="C67" s="842" t="s">
        <v>3020</v>
      </c>
      <c r="F67" s="887" t="s">
        <v>3021</v>
      </c>
    </row>
    <row r="68" spans="1:7" ht="3" customHeight="1"/>
    <row r="69" spans="1:7" ht="12" customHeight="1">
      <c r="A69" s="842">
        <v>24</v>
      </c>
      <c r="C69" s="842" t="s">
        <v>3022</v>
      </c>
      <c r="E69" s="842" t="s">
        <v>2347</v>
      </c>
      <c r="F69" s="887">
        <v>20</v>
      </c>
      <c r="G69" s="842" t="s">
        <v>2405</v>
      </c>
    </row>
    <row r="70" spans="1:7" ht="3" customHeight="1"/>
    <row r="71" spans="1:7" ht="12" customHeight="1">
      <c r="A71" s="842">
        <v>25</v>
      </c>
      <c r="C71" s="842" t="s">
        <v>3023</v>
      </c>
      <c r="F71" s="1577">
        <f>'Part IV-A-Uses of Funds'!$G$122</f>
        <v>831271</v>
      </c>
    </row>
    <row r="72" spans="1:7" ht="3" customHeight="1">
      <c r="F72" s="1577"/>
    </row>
    <row r="73" spans="1:7" ht="12" customHeight="1">
      <c r="A73" s="842">
        <v>26</v>
      </c>
      <c r="C73" s="842" t="s">
        <v>3024</v>
      </c>
      <c r="F73" s="1577">
        <f>'Part IV-A-Uses of Funds'!$G$123</f>
        <v>0</v>
      </c>
    </row>
    <row r="74" spans="1:7" ht="3" customHeight="1">
      <c r="F74" s="1577"/>
    </row>
    <row r="75" spans="1:7" ht="12" customHeight="1">
      <c r="A75" s="842">
        <v>27</v>
      </c>
      <c r="C75" s="842" t="s">
        <v>3025</v>
      </c>
      <c r="F75" s="1578">
        <f>'Part IV-A-Uses of Funds'!$G$121</f>
        <v>100000</v>
      </c>
    </row>
    <row r="76" spans="1:7" ht="3" customHeight="1">
      <c r="F76" s="1577"/>
    </row>
    <row r="77" spans="1:7" ht="12" customHeight="1">
      <c r="A77" s="842">
        <v>28</v>
      </c>
      <c r="C77" s="842" t="s">
        <v>3026</v>
      </c>
      <c r="F77" s="1579"/>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842" customWidth="1"/>
    <col min="2" max="2" width="11" style="842" customWidth="1"/>
    <col min="3" max="3" width="31" style="842" customWidth="1"/>
    <col min="4" max="4" width="14" style="842" customWidth="1"/>
    <col min="5" max="10" width="11.109375" style="842" customWidth="1"/>
    <col min="11" max="16384" width="9.109375" style="842"/>
  </cols>
  <sheetData>
    <row r="1" spans="1:13" ht="13.8">
      <c r="A1" s="4265" t="s">
        <v>3214</v>
      </c>
      <c r="B1" s="4265"/>
      <c r="C1" s="4265"/>
      <c r="D1" s="4265"/>
      <c r="E1" s="4265"/>
      <c r="F1" s="4265"/>
      <c r="G1" s="4265"/>
      <c r="H1" s="4265"/>
      <c r="I1" s="4265"/>
      <c r="J1" s="4265"/>
    </row>
    <row r="2" spans="1:13" ht="13.8">
      <c r="A2" s="4265" t="str">
        <f>'Sensitivity Analysis'!E8&amp;"  "&amp;'Sensitivity Analysis'!C8</f>
        <v>2020-5  Lakeview Terrace</v>
      </c>
      <c r="B2" s="4265"/>
      <c r="C2" s="4265"/>
      <c r="D2" s="4265"/>
      <c r="E2" s="4265"/>
      <c r="F2" s="4265"/>
      <c r="G2" s="4265"/>
      <c r="H2" s="4265"/>
      <c r="I2" s="4265"/>
      <c r="J2" s="4265"/>
    </row>
    <row r="3" spans="1:13" ht="6" customHeight="1">
      <c r="K3" s="4250" t="s">
        <v>3898</v>
      </c>
      <c r="L3" s="4250"/>
      <c r="M3" s="4250"/>
    </row>
    <row r="4" spans="1:13" ht="12" customHeight="1">
      <c r="A4" s="883" t="s">
        <v>3027</v>
      </c>
      <c r="K4" s="4250"/>
      <c r="L4" s="4250"/>
      <c r="M4" s="4250"/>
    </row>
    <row r="5" spans="1:13" ht="12" customHeight="1">
      <c r="A5" s="842" t="s">
        <v>3028</v>
      </c>
      <c r="C5" s="884" t="str">
        <f>'Subsidy Layering Memo'!D6</f>
        <v>(Underwriter)</v>
      </c>
      <c r="I5" s="884"/>
      <c r="K5" s="4250"/>
      <c r="L5" s="4250"/>
      <c r="M5" s="4250"/>
    </row>
    <row r="6" spans="1:13" ht="6" customHeight="1">
      <c r="C6" s="779"/>
      <c r="D6" s="884"/>
      <c r="I6" s="884"/>
      <c r="K6" s="4250"/>
      <c r="L6" s="4250"/>
      <c r="M6" s="4250"/>
    </row>
    <row r="7" spans="1:13" ht="12" customHeight="1">
      <c r="A7" s="883" t="s">
        <v>3029</v>
      </c>
      <c r="C7" s="779"/>
      <c r="D7" s="884"/>
      <c r="I7" s="884"/>
      <c r="K7" s="4250"/>
      <c r="L7" s="4250"/>
      <c r="M7" s="4250"/>
    </row>
    <row r="8" spans="1:13" ht="12" customHeight="1">
      <c r="A8" s="842" t="s">
        <v>3030</v>
      </c>
      <c r="C8" s="884" t="str">
        <f>'Sensitivity Analysis'!$H$9</f>
        <v>Lakeview Terrace, LP</v>
      </c>
      <c r="I8" s="884"/>
      <c r="K8" s="4250"/>
      <c r="L8" s="4250"/>
      <c r="M8" s="4250"/>
    </row>
    <row r="9" spans="1:13" ht="3" customHeight="1">
      <c r="C9" s="779"/>
      <c r="D9" s="884"/>
      <c r="I9" s="884"/>
    </row>
    <row r="10" spans="1:13" ht="12" customHeight="1">
      <c r="A10" s="842" t="s">
        <v>3031</v>
      </c>
      <c r="C10" s="1513" t="s">
        <v>1727</v>
      </c>
      <c r="I10" s="884"/>
    </row>
    <row r="11" spans="1:13" ht="12" customHeight="1">
      <c r="C11" s="1513" t="s">
        <v>1727</v>
      </c>
      <c r="I11" s="884"/>
    </row>
    <row r="12" spans="1:13" ht="12" customHeight="1">
      <c r="C12" s="884" t="s">
        <v>2603</v>
      </c>
      <c r="D12" s="905" t="s">
        <v>1727</v>
      </c>
      <c r="I12" s="884"/>
    </row>
    <row r="13" spans="1:13" ht="12" customHeight="1">
      <c r="C13" s="884" t="s">
        <v>3032</v>
      </c>
      <c r="D13" s="4258"/>
      <c r="E13" s="4258"/>
      <c r="F13" s="4258"/>
      <c r="G13" s="4258"/>
      <c r="H13" s="4258"/>
      <c r="I13" s="4258"/>
      <c r="J13" s="4258"/>
    </row>
    <row r="14" spans="1:13" ht="3" customHeight="1">
      <c r="G14" s="779"/>
      <c r="H14" s="884"/>
      <c r="I14" s="884"/>
    </row>
    <row r="15" spans="1:13" ht="12" customHeight="1">
      <c r="A15" s="842" t="s">
        <v>3033</v>
      </c>
      <c r="C15" s="886" t="str">
        <f>'Preview term'!E10</f>
        <v>Brian Waterfield</v>
      </c>
      <c r="G15" s="779"/>
      <c r="I15" s="884"/>
    </row>
    <row r="16" spans="1:13" ht="12" customHeight="1">
      <c r="A16" s="897" t="s">
        <v>4111</v>
      </c>
      <c r="C16" s="886" t="str">
        <f>'Part II-Development Team'!Q6</f>
        <v>Manager of the Manager of the Other GP</v>
      </c>
      <c r="G16" s="779"/>
      <c r="I16" s="884"/>
    </row>
    <row r="17" spans="1:9" ht="3" customHeight="1">
      <c r="G17" s="779"/>
      <c r="H17" s="884"/>
      <c r="I17" s="884"/>
    </row>
    <row r="18" spans="1:9" ht="12" customHeight="1">
      <c r="A18" s="842" t="s">
        <v>3034</v>
      </c>
      <c r="C18" s="886" t="str">
        <f>'Preview term'!$E$7</f>
        <v>310 South Dillard Street, Suite 135</v>
      </c>
      <c r="G18" s="779"/>
      <c r="I18" s="884"/>
    </row>
    <row r="19" spans="1:9" ht="12" customHeight="1">
      <c r="C19" s="886" t="str">
        <f>'Preview term'!$E$8</f>
        <v>Winter Garden, FL 34787</v>
      </c>
      <c r="G19" s="779"/>
      <c r="I19" s="884"/>
    </row>
    <row r="20" spans="1:9" ht="3" customHeight="1">
      <c r="G20" s="779"/>
      <c r="H20" s="884"/>
      <c r="I20" s="884"/>
    </row>
    <row r="21" spans="1:9" ht="12" customHeight="1">
      <c r="A21" s="842" t="s">
        <v>3035</v>
      </c>
      <c r="C21" s="886" t="str">
        <f>CONCATENATE('Preview term'!E49," of  ",'Preview term'!G49)</f>
        <v>Gregory Q. Clark of  Coleman Talley</v>
      </c>
      <c r="G21" s="779"/>
      <c r="I21" s="884"/>
    </row>
    <row r="22" spans="1:9" ht="3" customHeight="1">
      <c r="C22" s="886"/>
      <c r="G22" s="779"/>
      <c r="I22" s="884"/>
    </row>
    <row r="23" spans="1:9" ht="12" customHeight="1">
      <c r="A23" s="842" t="s">
        <v>3036</v>
      </c>
      <c r="C23" s="886">
        <f>'Preview term'!E12</f>
        <v>4076142414</v>
      </c>
      <c r="G23" s="779"/>
      <c r="I23" s="884"/>
    </row>
    <row r="24" spans="1:9" ht="3" customHeight="1">
      <c r="C24" s="886"/>
      <c r="G24" s="779"/>
      <c r="I24" s="884"/>
    </row>
    <row r="25" spans="1:9" ht="12" customHeight="1">
      <c r="A25" s="842" t="s">
        <v>3037</v>
      </c>
      <c r="C25" s="1515" t="str">
        <f>'Preview term'!E11</f>
        <v>bwaterfield@timsheldevelopment.com</v>
      </c>
      <c r="G25" s="779"/>
    </row>
    <row r="26" spans="1:9" ht="6" customHeight="1">
      <c r="G26" s="779"/>
      <c r="H26" s="884"/>
      <c r="I26" s="884"/>
    </row>
    <row r="27" spans="1:9" ht="12" customHeight="1">
      <c r="A27" s="883" t="s">
        <v>3038</v>
      </c>
      <c r="G27" s="779"/>
      <c r="H27" s="884"/>
      <c r="I27" s="884"/>
    </row>
    <row r="28" spans="1:9" ht="12" customHeight="1">
      <c r="A28" s="842" t="s">
        <v>3039</v>
      </c>
      <c r="C28" s="886" t="str">
        <f>'Sensitivity Analysis'!$C$8</f>
        <v>Lakeview Terrace</v>
      </c>
      <c r="I28" s="884"/>
    </row>
    <row r="29" spans="1:9" ht="3" customHeight="1">
      <c r="C29" s="886"/>
      <c r="I29" s="884"/>
    </row>
    <row r="30" spans="1:9" ht="12" customHeight="1">
      <c r="A30" s="842" t="s">
        <v>3040</v>
      </c>
      <c r="C30" s="886" t="str">
        <f>'Preview term'!E16</f>
        <v>2470 Grodon Hwy.</v>
      </c>
      <c r="I30" s="884"/>
    </row>
    <row r="31" spans="1:9">
      <c r="C31" s="884" t="str">
        <f>'Preview term'!E17</f>
        <v>Augusta, GA 30909</v>
      </c>
      <c r="I31" s="884"/>
    </row>
    <row r="32" spans="1:9" ht="3" customHeight="1">
      <c r="C32" s="779"/>
      <c r="D32" s="779"/>
      <c r="I32" s="779"/>
    </row>
    <row r="33" spans="1:10" ht="12" customHeight="1">
      <c r="A33" s="842" t="s">
        <v>3041</v>
      </c>
      <c r="C33" s="779" t="s">
        <v>3042</v>
      </c>
      <c r="D33" s="1514">
        <f>'Preview term'!F54</f>
        <v>200</v>
      </c>
      <c r="I33" s="779"/>
    </row>
    <row r="34" spans="1:10" ht="12" customHeight="1">
      <c r="C34" s="779" t="s">
        <v>3043</v>
      </c>
      <c r="D34" s="888">
        <f>'HOME Allocation Limit WS'!H12-'HOME Allocation Limit WS'!D12</f>
        <v>0</v>
      </c>
      <c r="I34" s="779"/>
    </row>
    <row r="35" spans="1:10" ht="12" customHeight="1">
      <c r="C35" s="779" t="s">
        <v>3044</v>
      </c>
      <c r="D35" s="889">
        <f>SUM(D33:D34)</f>
        <v>200</v>
      </c>
      <c r="I35" s="779"/>
    </row>
    <row r="36" spans="1:10" ht="3" customHeight="1">
      <c r="C36" s="779"/>
      <c r="D36" s="779"/>
      <c r="I36" s="779"/>
    </row>
    <row r="37" spans="1:10" ht="12" customHeight="1">
      <c r="A37" s="842" t="s">
        <v>3045</v>
      </c>
      <c r="C37" s="1575" t="s">
        <v>1727</v>
      </c>
      <c r="D37" s="1512">
        <f>'Preview term'!F56</f>
        <v>0</v>
      </c>
      <c r="E37" s="779" t="s">
        <v>3046</v>
      </c>
      <c r="I37" s="779"/>
    </row>
    <row r="38" spans="1:10" ht="3" customHeight="1">
      <c r="G38" s="890"/>
      <c r="H38" s="779"/>
      <c r="I38" s="779"/>
    </row>
    <row r="39" spans="1:10" ht="25.5" customHeight="1">
      <c r="A39" s="891" t="s">
        <v>3047</v>
      </c>
      <c r="C39" s="4266"/>
      <c r="D39" s="4266"/>
      <c r="E39" s="4266"/>
      <c r="F39" s="4266"/>
      <c r="G39" s="4266"/>
      <c r="H39" s="4266"/>
      <c r="I39" s="4266"/>
      <c r="J39" s="4266"/>
    </row>
    <row r="40" spans="1:10" ht="3" customHeight="1">
      <c r="G40" s="779"/>
      <c r="H40" s="779"/>
      <c r="I40" s="779"/>
    </row>
    <row r="41" spans="1:10" ht="25.5" customHeight="1">
      <c r="A41" s="891" t="s">
        <v>3048</v>
      </c>
      <c r="C41" s="4267" t="s">
        <v>3388</v>
      </c>
      <c r="D41" s="4267"/>
      <c r="E41" s="4267"/>
      <c r="F41" s="4267"/>
      <c r="G41" s="4267"/>
      <c r="H41" s="4267"/>
      <c r="I41" s="4267"/>
      <c r="J41" s="4267"/>
    </row>
    <row r="42" spans="1:10" ht="3" customHeight="1">
      <c r="C42" s="632"/>
      <c r="D42" s="632"/>
      <c r="E42" s="632"/>
      <c r="F42" s="632"/>
      <c r="G42" s="632"/>
      <c r="H42" s="633"/>
      <c r="I42" s="634"/>
      <c r="J42" s="633"/>
    </row>
    <row r="43" spans="1:10" ht="12" customHeight="1">
      <c r="A43" s="842" t="s">
        <v>3049</v>
      </c>
      <c r="C43" s="716" t="str">
        <f>'Part I-Project Information'!J39</f>
        <v>Richmond</v>
      </c>
      <c r="D43" s="632"/>
      <c r="F43" s="633"/>
      <c r="I43" s="634"/>
      <c r="J43" s="633"/>
    </row>
    <row r="44" spans="1:10" ht="3" customHeight="1">
      <c r="C44" s="632"/>
      <c r="D44" s="632"/>
      <c r="E44" s="632"/>
      <c r="F44" s="633"/>
      <c r="I44" s="634"/>
      <c r="J44" s="633"/>
    </row>
    <row r="45" spans="1:10" ht="12" customHeight="1">
      <c r="A45" s="842" t="s">
        <v>3050</v>
      </c>
      <c r="C45" s="905" t="s">
        <v>1727</v>
      </c>
      <c r="I45" s="634"/>
      <c r="J45" s="633"/>
    </row>
    <row r="46" spans="1:10" ht="3" customHeight="1">
      <c r="C46" s="779"/>
      <c r="D46" s="892"/>
      <c r="I46" s="779"/>
    </row>
    <row r="47" spans="1:10" ht="12" customHeight="1">
      <c r="A47" s="842" t="s">
        <v>3051</v>
      </c>
      <c r="C47" s="893"/>
      <c r="I47" s="894"/>
      <c r="J47" s="894"/>
    </row>
    <row r="48" spans="1:10" ht="3" customHeight="1">
      <c r="D48" s="894"/>
      <c r="E48" s="894"/>
      <c r="F48" s="894"/>
      <c r="G48" s="895"/>
      <c r="H48" s="779"/>
      <c r="I48" s="894"/>
      <c r="J48" s="894"/>
    </row>
    <row r="49" spans="1:10" ht="12" customHeight="1">
      <c r="A49" s="779"/>
      <c r="B49" s="842" t="s">
        <v>3052</v>
      </c>
      <c r="C49" s="4267" t="s">
        <v>558</v>
      </c>
      <c r="D49" s="4267"/>
      <c r="E49" s="4267"/>
      <c r="F49" s="4267"/>
      <c r="G49" s="4267"/>
      <c r="H49" s="4267"/>
      <c r="I49" s="4267"/>
      <c r="J49" s="4267"/>
    </row>
    <row r="50" spans="1:10" ht="12" customHeight="1">
      <c r="C50" s="4262" t="s">
        <v>1762</v>
      </c>
      <c r="D50" s="4262"/>
      <c r="E50" s="4262"/>
      <c r="F50" s="4262"/>
      <c r="G50" s="4262"/>
      <c r="H50" s="4262"/>
      <c r="I50" s="4262"/>
      <c r="J50" s="4262"/>
    </row>
    <row r="51" spans="1:10" ht="3" customHeight="1">
      <c r="D51" s="894"/>
      <c r="E51" s="894"/>
      <c r="F51" s="894"/>
      <c r="G51" s="895"/>
      <c r="H51" s="779"/>
      <c r="I51" s="894"/>
      <c r="J51" s="894"/>
    </row>
    <row r="52" spans="1:10" ht="12" customHeight="1">
      <c r="A52" s="891" t="s">
        <v>3053</v>
      </c>
      <c r="B52" s="891"/>
      <c r="C52" s="896" t="s">
        <v>3054</v>
      </c>
      <c r="D52" s="896" t="s">
        <v>3389</v>
      </c>
      <c r="E52" s="4263"/>
      <c r="F52" s="4263"/>
      <c r="G52" s="4263"/>
      <c r="H52" s="4263"/>
      <c r="I52" s="4263"/>
      <c r="J52" s="4263"/>
    </row>
    <row r="53" spans="1:10" ht="12" customHeight="1">
      <c r="A53" s="891"/>
      <c r="B53" s="891"/>
      <c r="C53" s="891"/>
      <c r="D53" s="896" t="s">
        <v>3390</v>
      </c>
      <c r="E53" s="4264"/>
      <c r="F53" s="4264"/>
      <c r="G53" s="4264"/>
      <c r="H53" s="4264"/>
      <c r="I53" s="4264"/>
      <c r="J53" s="4264"/>
    </row>
    <row r="54" spans="1:10" ht="12" customHeight="1">
      <c r="A54" s="883" t="s">
        <v>3055</v>
      </c>
      <c r="G54" s="779"/>
      <c r="H54" s="779"/>
      <c r="I54" s="779"/>
    </row>
    <row r="55" spans="1:10" ht="18" customHeight="1">
      <c r="A55" s="842" t="s">
        <v>3056</v>
      </c>
      <c r="C55" s="885" t="str">
        <f>'Sensitivity Analysis'!C10</f>
        <v>JPM Decatur GP, LLC</v>
      </c>
      <c r="G55" s="779"/>
      <c r="I55" s="779"/>
    </row>
    <row r="56" spans="1:10" ht="3" customHeight="1">
      <c r="C56" s="885"/>
      <c r="G56" s="779"/>
      <c r="I56" s="779"/>
    </row>
    <row r="57" spans="1:10" ht="12" customHeight="1">
      <c r="A57" s="842" t="s">
        <v>3057</v>
      </c>
      <c r="C57" s="885" t="str">
        <f>'Sensitivity Analysis'!C11</f>
        <v>Lakeview Terrace GP, LLC</v>
      </c>
      <c r="E57" s="885" t="str">
        <f>'Sensitivity Analysis'!E11</f>
        <v/>
      </c>
      <c r="G57" s="779"/>
      <c r="I57" s="779"/>
    </row>
    <row r="58" spans="1:10" ht="3" customHeight="1">
      <c r="C58" s="885"/>
      <c r="G58" s="779"/>
      <c r="I58" s="779"/>
    </row>
    <row r="59" spans="1:10" ht="12" customHeight="1">
      <c r="A59" s="842" t="s">
        <v>3058</v>
      </c>
      <c r="C59" s="885" t="s">
        <v>2728</v>
      </c>
      <c r="G59" s="779"/>
      <c r="I59" s="779"/>
    </row>
    <row r="60" spans="1:10" ht="6" customHeight="1">
      <c r="G60" s="779"/>
      <c r="H60" s="779"/>
      <c r="I60" s="779"/>
    </row>
    <row r="61" spans="1:10" ht="12" customHeight="1">
      <c r="A61" s="883" t="s">
        <v>3059</v>
      </c>
      <c r="G61" s="779"/>
      <c r="H61" s="779"/>
      <c r="I61" s="779"/>
    </row>
    <row r="62" spans="1:10" ht="12" customHeight="1">
      <c r="A62" s="842" t="s">
        <v>3060</v>
      </c>
      <c r="C62" s="842" t="s">
        <v>3061</v>
      </c>
      <c r="D62" s="1516">
        <f>'Preview term'!F30</f>
        <v>33449287</v>
      </c>
      <c r="G62" s="779"/>
      <c r="I62" s="779"/>
    </row>
    <row r="63" spans="1:10" ht="3" customHeight="1">
      <c r="D63" s="897"/>
      <c r="G63" s="779"/>
      <c r="H63" s="898"/>
      <c r="I63" s="779"/>
    </row>
    <row r="64" spans="1:10" ht="12" customHeight="1">
      <c r="A64" s="842" t="s">
        <v>3062</v>
      </c>
      <c r="C64" s="842" t="s">
        <v>3064</v>
      </c>
      <c r="D64" s="885" t="s">
        <v>948</v>
      </c>
      <c r="G64" s="779"/>
      <c r="I64" s="779"/>
    </row>
    <row r="65" spans="1:10" ht="3" customHeight="1">
      <c r="D65" s="897"/>
      <c r="G65" s="779"/>
      <c r="H65" s="779"/>
      <c r="I65" s="779"/>
    </row>
    <row r="66" spans="1:10" ht="12" customHeight="1">
      <c r="A66" s="842" t="s">
        <v>3065</v>
      </c>
      <c r="C66" s="1517" t="s">
        <v>1727</v>
      </c>
      <c r="D66" s="911"/>
      <c r="I66" s="779"/>
    </row>
    <row r="67" spans="1:10" ht="12" customHeight="1">
      <c r="C67" s="842" t="s">
        <v>3066</v>
      </c>
      <c r="D67" s="1562" t="s">
        <v>1727</v>
      </c>
      <c r="I67" s="779"/>
    </row>
    <row r="68" spans="1:10" ht="12" customHeight="1">
      <c r="C68" s="842" t="s">
        <v>3032</v>
      </c>
      <c r="D68" s="4258"/>
      <c r="E68" s="4258"/>
      <c r="F68" s="4258"/>
      <c r="G68" s="4258"/>
      <c r="H68" s="4258"/>
      <c r="I68" s="4258"/>
      <c r="J68" s="4258"/>
    </row>
    <row r="69" spans="1:10" ht="3" customHeight="1">
      <c r="D69" s="897"/>
      <c r="E69" s="779"/>
      <c r="F69" s="779"/>
      <c r="I69" s="779"/>
    </row>
    <row r="70" spans="1:10" ht="12" customHeight="1">
      <c r="A70" s="842" t="s">
        <v>3067</v>
      </c>
      <c r="C70" s="842" t="s">
        <v>2347</v>
      </c>
      <c r="D70" s="905" t="s">
        <v>1727</v>
      </c>
      <c r="I70" s="779"/>
    </row>
    <row r="71" spans="1:10" ht="3" customHeight="1">
      <c r="D71" s="779"/>
      <c r="E71" s="779"/>
      <c r="I71" s="779"/>
    </row>
    <row r="72" spans="1:10" ht="12" customHeight="1">
      <c r="A72" s="842" t="s">
        <v>3068</v>
      </c>
      <c r="C72" s="1517" t="s">
        <v>1727</v>
      </c>
      <c r="I72" s="779"/>
    </row>
    <row r="73" spans="1:10" ht="3" customHeight="1">
      <c r="C73" s="897"/>
      <c r="G73" s="899"/>
      <c r="H73" s="779"/>
      <c r="I73" s="779"/>
    </row>
    <row r="74" spans="1:10" ht="12" customHeight="1">
      <c r="A74" s="842" t="s">
        <v>3069</v>
      </c>
      <c r="C74" s="897" t="s">
        <v>3070</v>
      </c>
      <c r="D74" s="1519">
        <v>0</v>
      </c>
      <c r="J74" s="779"/>
    </row>
    <row r="75" spans="1:10" ht="12" customHeight="1">
      <c r="C75" s="900" t="s">
        <v>3226</v>
      </c>
      <c r="D75" s="1520">
        <v>0.01</v>
      </c>
      <c r="J75" s="779"/>
    </row>
    <row r="76" spans="1:10" ht="3" customHeight="1">
      <c r="C76" s="897"/>
      <c r="D76" s="897"/>
      <c r="G76" s="779"/>
      <c r="H76" s="779"/>
      <c r="I76" s="779"/>
    </row>
    <row r="77" spans="1:10" ht="12" customHeight="1">
      <c r="A77" s="842" t="s">
        <v>3071</v>
      </c>
      <c r="C77" s="897" t="s">
        <v>3431</v>
      </c>
      <c r="D77" s="902">
        <v>24</v>
      </c>
      <c r="I77" s="779"/>
    </row>
    <row r="78" spans="1:10" ht="3" customHeight="1">
      <c r="D78" s="897"/>
      <c r="E78" s="779"/>
      <c r="F78" s="779"/>
      <c r="I78" s="779"/>
    </row>
    <row r="79" spans="1:10" ht="12" customHeight="1">
      <c r="A79" s="842" t="s">
        <v>3072</v>
      </c>
      <c r="C79" s="842" t="s">
        <v>2347</v>
      </c>
      <c r="D79" s="903">
        <f>'Preview term'!F39</f>
        <v>216</v>
      </c>
      <c r="E79" s="779" t="s">
        <v>3393</v>
      </c>
      <c r="I79" s="779"/>
    </row>
    <row r="80" spans="1:10" ht="3" customHeight="1">
      <c r="D80" s="897"/>
      <c r="G80" s="779"/>
      <c r="H80" s="779"/>
      <c r="I80" s="779"/>
    </row>
    <row r="81" spans="1:9" ht="12" customHeight="1">
      <c r="A81" s="842" t="s">
        <v>3073</v>
      </c>
      <c r="D81" s="1518">
        <v>0</v>
      </c>
      <c r="E81" s="904">
        <f>D81*12</f>
        <v>0</v>
      </c>
      <c r="F81" s="779" t="s">
        <v>3432</v>
      </c>
    </row>
    <row r="82" spans="1:9" ht="3" customHeight="1">
      <c r="D82" s="885"/>
      <c r="E82" s="779"/>
      <c r="G82" s="779"/>
    </row>
    <row r="83" spans="1:9" ht="12" customHeight="1">
      <c r="A83" s="842" t="s">
        <v>3074</v>
      </c>
      <c r="D83" s="1562" t="s">
        <v>948</v>
      </c>
      <c r="E83" s="779" t="s">
        <v>3075</v>
      </c>
      <c r="G83" s="779"/>
    </row>
    <row r="84" spans="1:9" ht="3" customHeight="1">
      <c r="G84" s="779"/>
      <c r="H84" s="779"/>
      <c r="I84" s="779"/>
    </row>
    <row r="85" spans="1:9" ht="12" customHeight="1">
      <c r="A85" s="842" t="s">
        <v>3076</v>
      </c>
      <c r="C85" s="1516">
        <f>'Part VII-Pro Forma'!K71</f>
        <v>8200774.5998554267</v>
      </c>
      <c r="D85" s="906" t="s">
        <v>3391</v>
      </c>
      <c r="I85" s="779"/>
    </row>
    <row r="86" spans="1:9" ht="3" customHeight="1">
      <c r="C86" s="779" t="s">
        <v>1727</v>
      </c>
      <c r="D86" s="779"/>
      <c r="E86" s="779"/>
      <c r="I86" s="779"/>
    </row>
    <row r="87" spans="1:9" ht="12" customHeight="1">
      <c r="A87" s="842" t="s">
        <v>3077</v>
      </c>
      <c r="B87" s="907"/>
      <c r="C87" s="1517" t="s">
        <v>1727</v>
      </c>
      <c r="D87" s="1522"/>
      <c r="I87" s="779"/>
    </row>
    <row r="88" spans="1:9" ht="3" customHeight="1">
      <c r="G88" s="779"/>
      <c r="H88" s="779"/>
      <c r="I88" s="779"/>
    </row>
    <row r="89" spans="1:9" ht="12" customHeight="1">
      <c r="A89" s="842" t="s">
        <v>3078</v>
      </c>
      <c r="C89" s="897" t="s">
        <v>3079</v>
      </c>
      <c r="D89" s="885" t="s">
        <v>3008</v>
      </c>
      <c r="I89" s="779"/>
    </row>
    <row r="90" spans="1:9" ht="12" customHeight="1">
      <c r="C90" s="897" t="s">
        <v>3080</v>
      </c>
      <c r="D90" s="885" t="s">
        <v>948</v>
      </c>
      <c r="I90" s="779"/>
    </row>
    <row r="91" spans="1:9" ht="3" customHeight="1">
      <c r="G91" s="779"/>
      <c r="H91" s="779"/>
      <c r="I91" s="779"/>
    </row>
    <row r="92" spans="1:9" ht="12" customHeight="1">
      <c r="A92" s="842" t="s">
        <v>3081</v>
      </c>
      <c r="C92" s="897" t="s">
        <v>3070</v>
      </c>
      <c r="D92" s="779" t="s">
        <v>3082</v>
      </c>
      <c r="E92" s="897" t="str">
        <f>'Part III-Sources of Funds'!H20</f>
        <v>Cadence Bank</v>
      </c>
      <c r="I92" s="779"/>
    </row>
    <row r="93" spans="1:9" ht="12" customHeight="1">
      <c r="C93" s="911"/>
      <c r="D93" s="779"/>
      <c r="E93" s="897" t="s">
        <v>1753</v>
      </c>
      <c r="F93" s="4253"/>
      <c r="G93" s="4253"/>
      <c r="H93" s="4253"/>
      <c r="I93" s="779"/>
    </row>
    <row r="94" spans="1:9" ht="12" customHeight="1">
      <c r="C94" s="897"/>
      <c r="D94" s="779"/>
      <c r="E94" s="897" t="s">
        <v>1935</v>
      </c>
      <c r="F94" s="4254"/>
      <c r="G94" s="4254"/>
      <c r="H94" s="4254"/>
      <c r="I94" s="779"/>
    </row>
    <row r="95" spans="1:9" ht="12" customHeight="1">
      <c r="C95" s="897"/>
      <c r="D95" s="779"/>
      <c r="E95" s="897" t="s">
        <v>1755</v>
      </c>
      <c r="F95" s="4255"/>
      <c r="G95" s="4255"/>
      <c r="H95" s="4255"/>
      <c r="I95" s="779"/>
    </row>
    <row r="96" spans="1:9" ht="12" customHeight="1">
      <c r="B96" s="887"/>
      <c r="C96" s="900" t="s">
        <v>3226</v>
      </c>
      <c r="D96" s="779" t="s">
        <v>3082</v>
      </c>
      <c r="E96" s="897" t="str">
        <f>'Part III-Sources of Funds'!E38</f>
        <v>Bellwether Enterprise/Freddie Mac</v>
      </c>
      <c r="I96" s="779"/>
    </row>
    <row r="97" spans="1:10" ht="12" customHeight="1">
      <c r="C97" s="897"/>
      <c r="D97" s="779"/>
      <c r="E97" s="897" t="s">
        <v>1753</v>
      </c>
      <c r="F97" s="4253"/>
      <c r="G97" s="4253"/>
      <c r="H97" s="4253"/>
      <c r="I97" s="779"/>
    </row>
    <row r="98" spans="1:10" ht="12" customHeight="1">
      <c r="C98" s="897"/>
      <c r="D98" s="779"/>
      <c r="E98" s="897" t="s">
        <v>1935</v>
      </c>
      <c r="F98" s="4254"/>
      <c r="G98" s="4254"/>
      <c r="H98" s="4254"/>
      <c r="I98" s="779"/>
    </row>
    <row r="99" spans="1:10" ht="12" customHeight="1">
      <c r="C99" s="897"/>
      <c r="D99" s="779"/>
      <c r="E99" s="897" t="s">
        <v>1755</v>
      </c>
      <c r="F99" s="4255"/>
      <c r="G99" s="4255"/>
      <c r="H99" s="4255"/>
      <c r="I99" s="779"/>
    </row>
    <row r="100" spans="1:10" ht="3" customHeight="1">
      <c r="D100" s="908"/>
      <c r="G100" s="779"/>
      <c r="H100" s="779"/>
      <c r="I100" s="779"/>
    </row>
    <row r="101" spans="1:10" ht="12" customHeight="1">
      <c r="A101" s="842" t="s">
        <v>3083</v>
      </c>
      <c r="D101" s="1562">
        <f>'Part IX Scoring Criteria'!O333</f>
        <v>0</v>
      </c>
      <c r="E101" s="779" t="s">
        <v>3063</v>
      </c>
      <c r="G101" s="842">
        <f>'Part IX Scoring Criteria'!O329</f>
        <v>0</v>
      </c>
      <c r="H101" s="842" t="s">
        <v>3392</v>
      </c>
      <c r="I101" s="779"/>
    </row>
    <row r="102" spans="1:10" ht="3" customHeight="1">
      <c r="E102" s="779"/>
      <c r="F102" s="779"/>
      <c r="I102" s="779"/>
    </row>
    <row r="103" spans="1:10" ht="12" customHeight="1">
      <c r="A103" s="779" t="s">
        <v>3227</v>
      </c>
      <c r="D103" s="842" t="s">
        <v>948</v>
      </c>
      <c r="E103" s="779"/>
      <c r="I103" s="779"/>
    </row>
    <row r="104" spans="1:10" ht="6" customHeight="1">
      <c r="G104" s="779"/>
      <c r="H104" s="779"/>
      <c r="I104" s="779"/>
    </row>
    <row r="105" spans="1:10" ht="12" customHeight="1">
      <c r="A105" s="883" t="s">
        <v>3228</v>
      </c>
      <c r="I105" s="779"/>
    </row>
    <row r="106" spans="1:10" ht="12" customHeight="1">
      <c r="A106" s="842" t="s">
        <v>3084</v>
      </c>
      <c r="C106" s="1521" t="s">
        <v>1727</v>
      </c>
      <c r="D106" s="4256"/>
      <c r="E106" s="4256"/>
      <c r="F106" s="4256"/>
      <c r="G106" s="4256"/>
      <c r="H106" s="4256"/>
      <c r="I106" s="4256"/>
      <c r="J106" s="4257"/>
    </row>
    <row r="107" spans="1:10" ht="3" customHeight="1">
      <c r="C107" s="897"/>
      <c r="D107" s="779"/>
      <c r="I107" s="779"/>
    </row>
    <row r="108" spans="1:10" ht="12" customHeight="1">
      <c r="A108" s="842" t="s">
        <v>3085</v>
      </c>
      <c r="C108" s="1562" t="s">
        <v>1727</v>
      </c>
    </row>
    <row r="109" spans="1:10" ht="3" customHeight="1">
      <c r="C109" s="897"/>
      <c r="E109" s="779"/>
      <c r="F109" s="779"/>
      <c r="I109" s="779"/>
    </row>
    <row r="110" spans="1:10" ht="12" customHeight="1">
      <c r="A110" s="842" t="s">
        <v>3086</v>
      </c>
      <c r="C110" s="1562" t="s">
        <v>1727</v>
      </c>
      <c r="I110" s="779"/>
    </row>
    <row r="111" spans="1:10" ht="3" customHeight="1">
      <c r="D111" s="890"/>
      <c r="I111" s="779"/>
    </row>
    <row r="112" spans="1:10" ht="12" customHeight="1">
      <c r="A112" s="842" t="s">
        <v>3087</v>
      </c>
      <c r="D112" s="903">
        <v>24</v>
      </c>
      <c r="E112" s="779" t="s">
        <v>3088</v>
      </c>
      <c r="I112" s="779"/>
    </row>
    <row r="113" spans="1:10" ht="12" customHeight="1">
      <c r="C113" s="885" t="s">
        <v>3907</v>
      </c>
      <c r="I113" s="779"/>
    </row>
    <row r="114" spans="1:10" ht="12" customHeight="1">
      <c r="C114" s="885" t="s">
        <v>3906</v>
      </c>
      <c r="G114" s="779"/>
      <c r="I114" s="779"/>
    </row>
    <row r="115" spans="1:10" ht="3" customHeight="1">
      <c r="G115" s="779"/>
      <c r="H115" s="779"/>
      <c r="I115" s="779"/>
    </row>
    <row r="116" spans="1:10" ht="12" customHeight="1">
      <c r="A116" s="842" t="s">
        <v>3089</v>
      </c>
      <c r="D116" s="909">
        <v>0</v>
      </c>
      <c r="E116" s="910" t="s">
        <v>3090</v>
      </c>
      <c r="I116" s="779"/>
    </row>
    <row r="117" spans="1:10" ht="3" customHeight="1">
      <c r="D117" s="897"/>
      <c r="E117" s="779"/>
      <c r="F117" s="779"/>
      <c r="I117" s="779"/>
    </row>
    <row r="118" spans="1:10" ht="12" customHeight="1">
      <c r="A118" s="842" t="s">
        <v>3091</v>
      </c>
      <c r="C118" s="1517" t="s">
        <v>1727</v>
      </c>
      <c r="D118" s="911"/>
      <c r="I118" s="779"/>
    </row>
    <row r="119" spans="1:10" ht="12" customHeight="1">
      <c r="C119" s="779" t="s">
        <v>3092</v>
      </c>
      <c r="D119" s="901"/>
      <c r="E119" s="4260" t="s">
        <v>3908</v>
      </c>
      <c r="F119" s="4260"/>
      <c r="G119" s="4260"/>
      <c r="H119" s="4260"/>
      <c r="I119" s="4260"/>
      <c r="J119" s="4260"/>
    </row>
    <row r="120" spans="1:10" ht="12" customHeight="1">
      <c r="C120" s="779" t="s">
        <v>3093</v>
      </c>
      <c r="D120" s="1523"/>
      <c r="E120" s="4260"/>
      <c r="F120" s="4260"/>
      <c r="G120" s="4260"/>
      <c r="H120" s="4260"/>
      <c r="I120" s="4260"/>
      <c r="J120" s="4260"/>
    </row>
    <row r="121" spans="1:10" ht="12" customHeight="1">
      <c r="C121" s="779" t="s">
        <v>3094</v>
      </c>
      <c r="D121" s="1523"/>
      <c r="E121" s="4260"/>
      <c r="F121" s="4260"/>
      <c r="G121" s="4260"/>
      <c r="H121" s="4260"/>
      <c r="I121" s="4260"/>
      <c r="J121" s="4260"/>
    </row>
    <row r="122" spans="1:10" ht="3" customHeight="1">
      <c r="E122" s="779"/>
      <c r="F122" s="779"/>
      <c r="I122" s="779"/>
    </row>
    <row r="123" spans="1:10" ht="12" customHeight="1">
      <c r="A123" s="842" t="s">
        <v>3095</v>
      </c>
      <c r="D123" s="912" t="s">
        <v>3063</v>
      </c>
      <c r="I123" s="779"/>
    </row>
    <row r="124" spans="1:10" ht="3" customHeight="1">
      <c r="D124" s="779"/>
      <c r="I124" s="779"/>
    </row>
    <row r="125" spans="1:10" ht="12" customHeight="1">
      <c r="A125" s="842" t="s">
        <v>3096</v>
      </c>
      <c r="D125" s="779" t="s">
        <v>3063</v>
      </c>
      <c r="I125" s="779"/>
    </row>
    <row r="126" spans="1:10" ht="3" customHeight="1">
      <c r="G126" s="779"/>
      <c r="H126" s="779"/>
      <c r="I126" s="779"/>
    </row>
    <row r="127" spans="1:10" ht="12" customHeight="1">
      <c r="A127" s="842" t="s">
        <v>3097</v>
      </c>
      <c r="D127" s="779" t="s">
        <v>3098</v>
      </c>
      <c r="G127" s="779"/>
      <c r="I127" s="779"/>
    </row>
    <row r="128" spans="1:10" ht="7.5" customHeight="1">
      <c r="G128" s="779"/>
      <c r="H128" s="779"/>
      <c r="I128" s="779"/>
    </row>
    <row r="129" spans="1:10" ht="12" customHeight="1">
      <c r="A129" s="883" t="s">
        <v>3099</v>
      </c>
      <c r="G129" s="779"/>
      <c r="H129" s="779"/>
      <c r="I129" s="779"/>
    </row>
    <row r="130" spans="1:10" ht="12" customHeight="1">
      <c r="A130" s="842" t="s">
        <v>3100</v>
      </c>
      <c r="C130" s="885" t="str">
        <f>'Sensitivity Analysis'!H11</f>
        <v>Parent Development, LLC</v>
      </c>
      <c r="D130" s="885" t="str">
        <f>'Sensitivity Analysis'!K11</f>
        <v>Outlook Development, LLC</v>
      </c>
      <c r="G130" s="885" t="str">
        <f>'Sensitivity Analysis'!M11</f>
        <v>Timshel Hill Tide Developers, LLC</v>
      </c>
      <c r="I130" s="779"/>
    </row>
    <row r="131" spans="1:10" ht="12" customHeight="1">
      <c r="G131" s="779"/>
      <c r="I131" s="779"/>
    </row>
    <row r="132" spans="1:10" ht="3" customHeight="1">
      <c r="C132" s="779"/>
      <c r="G132" s="779"/>
      <c r="I132" s="779"/>
    </row>
    <row r="133" spans="1:10" ht="12" customHeight="1">
      <c r="A133" s="842" t="s">
        <v>3101</v>
      </c>
      <c r="C133" s="913">
        <f>('Part IV-A-Uses of Funds'!G118-'Part III-Sources of Funds'!I43)/2</f>
        <v>1137459</v>
      </c>
      <c r="G133" s="779"/>
      <c r="I133" s="779"/>
    </row>
    <row r="134" spans="1:10" ht="3" customHeight="1">
      <c r="C134" s="779"/>
      <c r="G134" s="779"/>
      <c r="I134" s="779"/>
    </row>
    <row r="135" spans="1:10" ht="12" customHeight="1">
      <c r="A135" s="842" t="s">
        <v>3102</v>
      </c>
      <c r="C135" s="1562" t="s">
        <v>3103</v>
      </c>
      <c r="G135" s="779"/>
      <c r="I135" s="779"/>
    </row>
    <row r="136" spans="1:10" ht="3" customHeight="1">
      <c r="C136" s="885"/>
      <c r="G136" s="779"/>
      <c r="I136" s="779"/>
    </row>
    <row r="137" spans="1:10" ht="12" customHeight="1">
      <c r="A137" s="842" t="s">
        <v>3104</v>
      </c>
      <c r="C137" s="885" t="str">
        <f>'Preview term'!E19</f>
        <v>Gateway Management Company</v>
      </c>
      <c r="G137" s="779"/>
      <c r="I137" s="779"/>
      <c r="J137" s="914"/>
    </row>
    <row r="138" spans="1:10" ht="3" customHeight="1">
      <c r="C138" s="885"/>
      <c r="G138" s="779"/>
      <c r="I138" s="779"/>
    </row>
    <row r="139" spans="1:10" ht="12" customHeight="1">
      <c r="A139" s="842" t="s">
        <v>3105</v>
      </c>
      <c r="C139" s="886" t="str">
        <f>C8</f>
        <v>Lakeview Terrace, LP</v>
      </c>
      <c r="G139" s="779"/>
      <c r="I139" s="884"/>
      <c r="J139" s="915"/>
    </row>
    <row r="140" spans="1:10" ht="3" customHeight="1">
      <c r="C140" s="886"/>
      <c r="G140" s="779"/>
      <c r="I140" s="884"/>
      <c r="J140" s="915"/>
    </row>
    <row r="141" spans="1:10" ht="12" customHeight="1">
      <c r="A141" s="842" t="s">
        <v>3106</v>
      </c>
      <c r="C141" s="886" t="str">
        <f>C18</f>
        <v>310 South Dillard Street, Suite 135</v>
      </c>
      <c r="G141" s="779"/>
      <c r="I141" s="884"/>
      <c r="J141" s="915"/>
    </row>
    <row r="142" spans="1:10">
      <c r="C142" s="886" t="str">
        <f>C19</f>
        <v>Winter Garden, FL 34787</v>
      </c>
      <c r="G142" s="779"/>
      <c r="I142" s="884"/>
      <c r="J142" s="915"/>
    </row>
    <row r="143" spans="1:10" ht="3" customHeight="1">
      <c r="C143" s="916"/>
      <c r="G143" s="779"/>
      <c r="I143" s="884"/>
      <c r="J143" s="915"/>
    </row>
    <row r="144" spans="1:10" ht="12" customHeight="1">
      <c r="A144" s="842" t="s">
        <v>3107</v>
      </c>
      <c r="C144" s="886" t="str">
        <f>'Sensitivity Analysis'!H10</f>
        <v>Monarch Private Capital, LLC</v>
      </c>
      <c r="G144" s="779"/>
      <c r="I144" s="884"/>
      <c r="J144" s="914"/>
    </row>
    <row r="145" spans="1:10" ht="3" customHeight="1">
      <c r="C145" s="886"/>
      <c r="G145" s="779"/>
      <c r="I145" s="884"/>
      <c r="J145" s="915"/>
    </row>
    <row r="146" spans="1:10" ht="12" customHeight="1">
      <c r="A146" s="842" t="s">
        <v>3108</v>
      </c>
      <c r="C146" s="886" t="str">
        <f>'Sensitivity Analysis'!K10</f>
        <v>Monarch Private Capital, LLC</v>
      </c>
      <c r="G146" s="779"/>
      <c r="I146" s="884"/>
      <c r="J146" s="914"/>
    </row>
    <row r="147" spans="1:10" ht="3" customHeight="1">
      <c r="C147" s="916"/>
      <c r="G147" s="779"/>
      <c r="I147" s="884"/>
      <c r="J147" s="915"/>
    </row>
    <row r="148" spans="1:10" ht="12" customHeight="1">
      <c r="A148" s="842" t="s">
        <v>3109</v>
      </c>
      <c r="C148" s="917" t="s">
        <v>3063</v>
      </c>
      <c r="G148" s="779"/>
      <c r="I148" s="779"/>
    </row>
    <row r="149" spans="1:10" ht="3" customHeight="1">
      <c r="C149" s="917"/>
      <c r="G149" s="779"/>
      <c r="I149" s="779"/>
    </row>
    <row r="150" spans="1:10" ht="12" customHeight="1">
      <c r="A150" s="842" t="s">
        <v>3110</v>
      </c>
      <c r="C150" s="917" t="s">
        <v>3063</v>
      </c>
      <c r="G150" s="779"/>
      <c r="I150" s="779"/>
    </row>
    <row r="151" spans="1:10" ht="7.5" customHeight="1">
      <c r="G151" s="779"/>
      <c r="H151" s="779"/>
      <c r="I151" s="779"/>
    </row>
    <row r="152" spans="1:10" ht="12" customHeight="1">
      <c r="A152" s="883" t="s">
        <v>3111</v>
      </c>
      <c r="G152" s="779"/>
      <c r="H152" s="779"/>
      <c r="I152" s="779"/>
    </row>
    <row r="153" spans="1:10" ht="3" customHeight="1">
      <c r="D153" s="779"/>
      <c r="E153" s="779"/>
      <c r="G153" s="779"/>
    </row>
    <row r="154" spans="1:10" ht="12" customHeight="1">
      <c r="A154" s="842" t="s">
        <v>3112</v>
      </c>
      <c r="C154" s="779" t="s">
        <v>3394</v>
      </c>
      <c r="D154" s="779"/>
      <c r="G154" s="779"/>
      <c r="H154" s="779"/>
      <c r="I154" s="779"/>
    </row>
    <row r="155" spans="1:10" ht="3" customHeight="1">
      <c r="D155" s="779"/>
      <c r="E155" s="779"/>
      <c r="G155" s="779"/>
    </row>
    <row r="156" spans="1:10" ht="12" customHeight="1">
      <c r="A156" s="842" t="s">
        <v>3113</v>
      </c>
      <c r="D156" s="1562">
        <v>20</v>
      </c>
      <c r="E156" s="779" t="s">
        <v>2347</v>
      </c>
    </row>
    <row r="157" spans="1:10" ht="3" customHeight="1">
      <c r="D157" s="779"/>
      <c r="E157" s="779"/>
      <c r="G157" s="779"/>
    </row>
    <row r="158" spans="1:10" ht="12" customHeight="1">
      <c r="A158" s="842" t="s">
        <v>3114</v>
      </c>
      <c r="C158" s="1517" t="s">
        <v>1727</v>
      </c>
      <c r="D158" s="779" t="s">
        <v>3433</v>
      </c>
      <c r="G158" s="779"/>
    </row>
    <row r="159" spans="1:10" ht="3" customHeight="1">
      <c r="G159" s="779"/>
      <c r="H159" s="779"/>
      <c r="I159" s="779"/>
    </row>
    <row r="160" spans="1:10" ht="12" customHeight="1">
      <c r="A160" s="842" t="s">
        <v>3115</v>
      </c>
      <c r="G160" s="779"/>
      <c r="H160" s="779"/>
      <c r="I160" s="779"/>
    </row>
    <row r="161" spans="1:13" ht="7.5" customHeight="1">
      <c r="G161" s="779"/>
      <c r="H161" s="779"/>
      <c r="I161" s="779"/>
    </row>
    <row r="162" spans="1:13" ht="12" customHeight="1">
      <c r="A162" s="883" t="s">
        <v>3116</v>
      </c>
      <c r="G162" s="779"/>
      <c r="H162" s="779"/>
      <c r="I162" s="779"/>
    </row>
    <row r="163" spans="1:13" ht="12" customHeight="1">
      <c r="A163" s="842" t="s">
        <v>3218</v>
      </c>
      <c r="C163" s="842" t="s">
        <v>3219</v>
      </c>
      <c r="E163" s="905">
        <f>'Preview term'!F77</f>
        <v>0</v>
      </c>
      <c r="G163" s="779"/>
      <c r="I163" s="779"/>
    </row>
    <row r="164" spans="1:13" ht="12" customHeight="1">
      <c r="C164" s="842" t="s">
        <v>3395</v>
      </c>
      <c r="E164" s="4258"/>
      <c r="F164" s="4258"/>
      <c r="G164" s="4258"/>
      <c r="I164" s="779"/>
    </row>
    <row r="165" spans="1:13" ht="3" customHeight="1">
      <c r="E165" s="779"/>
      <c r="G165" s="779"/>
      <c r="I165" s="779"/>
    </row>
    <row r="166" spans="1:13" ht="12" customHeight="1">
      <c r="A166" s="842" t="s">
        <v>3117</v>
      </c>
      <c r="C166" s="842" t="s">
        <v>3118</v>
      </c>
      <c r="E166" s="918">
        <f>'Preview term'!F71</f>
        <v>831271</v>
      </c>
      <c r="G166" s="779"/>
      <c r="I166" s="779"/>
    </row>
    <row r="167" spans="1:13" ht="12" customHeight="1">
      <c r="C167" s="842" t="s">
        <v>3395</v>
      </c>
      <c r="E167" s="4258"/>
      <c r="F167" s="4258"/>
      <c r="G167" s="4258"/>
      <c r="I167" s="779"/>
    </row>
    <row r="168" spans="1:13" ht="12" customHeight="1">
      <c r="C168" s="842" t="s">
        <v>3119</v>
      </c>
      <c r="E168" s="885" t="s">
        <v>2728</v>
      </c>
      <c r="G168" s="779"/>
      <c r="I168" s="779"/>
    </row>
    <row r="169" spans="1:13" ht="3" customHeight="1">
      <c r="E169" s="885"/>
      <c r="G169" s="779"/>
      <c r="I169" s="779"/>
    </row>
    <row r="170" spans="1:13" ht="12" customHeight="1">
      <c r="A170" s="842" t="s">
        <v>3220</v>
      </c>
      <c r="C170" s="842" t="s">
        <v>3221</v>
      </c>
      <c r="E170" s="918">
        <f>'Preview term'!F73</f>
        <v>0</v>
      </c>
      <c r="G170" s="779"/>
      <c r="I170" s="779"/>
    </row>
    <row r="171" spans="1:13" ht="12" customHeight="1">
      <c r="C171" s="842" t="s">
        <v>3120</v>
      </c>
      <c r="E171" s="918">
        <f>'Preview term'!F73</f>
        <v>0</v>
      </c>
      <c r="G171" s="779"/>
      <c r="I171" s="884"/>
      <c r="J171" s="915"/>
      <c r="K171" s="915"/>
      <c r="L171" s="915"/>
      <c r="M171" s="915"/>
    </row>
    <row r="172" spans="1:13" ht="12" customHeight="1">
      <c r="C172" s="842" t="s">
        <v>3121</v>
      </c>
      <c r="E172" s="913">
        <f>'Part VI-Revenues &amp; Expenses'!Q233</f>
        <v>50000</v>
      </c>
      <c r="F172" s="884" t="s">
        <v>3122</v>
      </c>
      <c r="J172" s="915"/>
      <c r="K172" s="915"/>
      <c r="L172" s="915"/>
      <c r="M172" s="915"/>
    </row>
    <row r="173" spans="1:13">
      <c r="E173" s="918">
        <f>E172/12</f>
        <v>4166.666666666667</v>
      </c>
      <c r="F173" s="779" t="s">
        <v>2974</v>
      </c>
    </row>
    <row r="174" spans="1:13" ht="12" customHeight="1">
      <c r="C174" s="842" t="s">
        <v>3396</v>
      </c>
      <c r="E174" s="4258"/>
      <c r="F174" s="4258"/>
      <c r="G174" s="4258"/>
      <c r="I174" s="779"/>
    </row>
    <row r="175" spans="1:13" ht="12" customHeight="1">
      <c r="C175" s="842" t="s">
        <v>3123</v>
      </c>
      <c r="E175" s="779" t="s">
        <v>2886</v>
      </c>
      <c r="I175" s="779"/>
    </row>
    <row r="176" spans="1:13" ht="12" customHeight="1">
      <c r="C176" s="842" t="s">
        <v>3124</v>
      </c>
      <c r="E176" s="779" t="s">
        <v>2728</v>
      </c>
      <c r="I176" s="779"/>
    </row>
    <row r="177" spans="1:10" ht="3" customHeight="1">
      <c r="E177" s="779"/>
      <c r="F177" s="779"/>
      <c r="I177" s="779"/>
    </row>
    <row r="178" spans="1:10" ht="12" customHeight="1">
      <c r="A178" s="842" t="s">
        <v>3216</v>
      </c>
      <c r="C178" s="842" t="s">
        <v>3217</v>
      </c>
      <c r="E178" s="905" t="s">
        <v>1727</v>
      </c>
      <c r="F178" s="919"/>
      <c r="I178" s="779"/>
    </row>
    <row r="179" spans="1:10" ht="12" customHeight="1">
      <c r="C179" s="842" t="s">
        <v>3125</v>
      </c>
      <c r="E179" s="905" t="s">
        <v>1727</v>
      </c>
      <c r="F179" s="4258"/>
      <c r="G179" s="4258"/>
      <c r="H179" s="4258"/>
      <c r="I179" s="4258"/>
      <c r="J179" s="4258"/>
    </row>
    <row r="180" spans="1:10" ht="12" customHeight="1">
      <c r="C180" s="842" t="s">
        <v>3397</v>
      </c>
      <c r="E180" s="779" t="s">
        <v>3063</v>
      </c>
      <c r="I180" s="779"/>
    </row>
    <row r="181" spans="1:10" ht="12" customHeight="1">
      <c r="C181" s="842" t="s">
        <v>3126</v>
      </c>
      <c r="E181" s="779" t="s">
        <v>2728</v>
      </c>
      <c r="I181" s="779"/>
    </row>
    <row r="182" spans="1:10" ht="3" customHeight="1">
      <c r="G182" s="779"/>
      <c r="H182" s="779"/>
      <c r="I182" s="779"/>
    </row>
    <row r="183" spans="1:10" ht="12" customHeight="1">
      <c r="A183" s="842" t="s">
        <v>3222</v>
      </c>
      <c r="C183" s="842" t="s">
        <v>3223</v>
      </c>
      <c r="E183" s="918">
        <f>'Preview term'!F75</f>
        <v>100000</v>
      </c>
      <c r="G183" s="779"/>
      <c r="I183" s="779"/>
    </row>
    <row r="184" spans="1:10" ht="12" customHeight="1">
      <c r="C184" s="842" t="s">
        <v>3395</v>
      </c>
      <c r="E184" s="885">
        <f>E167</f>
        <v>0</v>
      </c>
      <c r="G184" s="779"/>
      <c r="I184" s="779"/>
    </row>
    <row r="185" spans="1:10" ht="12" customHeight="1">
      <c r="C185" s="842" t="s">
        <v>3127</v>
      </c>
      <c r="E185" s="885" t="s">
        <v>3063</v>
      </c>
      <c r="G185" s="779"/>
      <c r="I185" s="779"/>
    </row>
    <row r="186" spans="1:10" ht="3" customHeight="1">
      <c r="E186" s="885"/>
      <c r="G186" s="779"/>
      <c r="I186" s="779"/>
    </row>
    <row r="187" spans="1:10" ht="12" customHeight="1">
      <c r="A187" s="842" t="s">
        <v>3224</v>
      </c>
      <c r="C187" s="842" t="s">
        <v>3225</v>
      </c>
      <c r="E187" s="885" t="s">
        <v>3063</v>
      </c>
      <c r="G187" s="779"/>
      <c r="I187" s="779"/>
    </row>
    <row r="188" spans="1:10" ht="12" customHeight="1">
      <c r="C188" s="842" t="s">
        <v>3118</v>
      </c>
      <c r="E188" s="897"/>
      <c r="G188" s="779"/>
      <c r="H188" s="904"/>
      <c r="I188" s="779"/>
    </row>
    <row r="189" spans="1:10" ht="12" customHeight="1">
      <c r="C189" s="842" t="s">
        <v>3395</v>
      </c>
      <c r="E189" s="897"/>
      <c r="I189" s="885"/>
    </row>
    <row r="190" spans="1:10" ht="12" customHeight="1">
      <c r="C190" s="842" t="s">
        <v>3119</v>
      </c>
      <c r="E190" s="897"/>
      <c r="G190" s="779"/>
      <c r="H190" s="779"/>
      <c r="I190" s="779"/>
    </row>
    <row r="191" spans="1:10" ht="9" customHeight="1">
      <c r="G191" s="779"/>
      <c r="H191" s="779"/>
      <c r="I191" s="779"/>
    </row>
    <row r="192" spans="1:10" ht="12" customHeight="1">
      <c r="A192" s="883" t="s">
        <v>3128</v>
      </c>
      <c r="C192" s="779" t="s">
        <v>3129</v>
      </c>
      <c r="E192" s="779"/>
      <c r="I192" s="779"/>
    </row>
    <row r="193" spans="1:10" ht="9" customHeight="1">
      <c r="E193" s="779"/>
      <c r="F193" s="779"/>
      <c r="I193" s="779"/>
    </row>
    <row r="194" spans="1:10" ht="12" customHeight="1">
      <c r="A194" s="883" t="s">
        <v>3130</v>
      </c>
      <c r="E194" s="779"/>
      <c r="F194" s="779"/>
      <c r="I194" s="779"/>
    </row>
    <row r="195" spans="1:10" ht="12" customHeight="1">
      <c r="A195" s="842" t="s">
        <v>3131</v>
      </c>
      <c r="C195" s="1513" t="s">
        <v>1727</v>
      </c>
      <c r="E195" s="779"/>
      <c r="F195" s="779"/>
      <c r="I195" s="779"/>
    </row>
    <row r="196" spans="1:10" ht="3" customHeight="1">
      <c r="G196" s="779"/>
      <c r="H196" s="779"/>
      <c r="I196" s="779"/>
    </row>
    <row r="197" spans="1:10">
      <c r="A197" s="891" t="s">
        <v>3399</v>
      </c>
      <c r="B197" s="891"/>
      <c r="C197" s="891"/>
      <c r="D197" s="891"/>
      <c r="E197" s="896" t="s">
        <v>3398</v>
      </c>
      <c r="F197" s="4259">
        <f>'Part VIII-Threshold Criteria'!E391</f>
        <v>0</v>
      </c>
      <c r="G197" s="4259"/>
      <c r="H197" s="4259"/>
      <c r="I197" s="4259"/>
      <c r="J197" s="4259"/>
    </row>
    <row r="198" spans="1:10" ht="9" customHeight="1">
      <c r="G198" s="779"/>
      <c r="H198" s="779"/>
      <c r="I198" s="779"/>
    </row>
    <row r="199" spans="1:10" ht="12" customHeight="1">
      <c r="A199" s="920" t="s">
        <v>3215</v>
      </c>
      <c r="G199" s="779"/>
      <c r="H199" s="779"/>
      <c r="I199" s="904"/>
    </row>
    <row r="200" spans="1:10" ht="25.5" hidden="1" customHeight="1">
      <c r="A200" s="4261" t="str">
        <f>'Subsidy Layering Memo'!A98</f>
        <v>Include any reserve requirements; explain any reserves far in excess of 6 month ODR, 3 mo lease up, 1 year RR, 6 mo T&amp;I standards.</v>
      </c>
      <c r="B200" s="4261"/>
      <c r="C200" s="4261"/>
      <c r="D200" s="4261"/>
      <c r="E200" s="4261"/>
      <c r="F200" s="4261"/>
      <c r="G200" s="4261"/>
      <c r="H200" s="4261"/>
      <c r="I200" s="4261"/>
      <c r="J200" s="4261"/>
    </row>
    <row r="201" spans="1:10">
      <c r="A201" s="779"/>
      <c r="G201" s="779"/>
      <c r="H201" s="779"/>
      <c r="I201" s="779"/>
    </row>
    <row r="202" spans="1:10">
      <c r="A202" s="883" t="s">
        <v>3132</v>
      </c>
      <c r="G202" s="779"/>
      <c r="H202" s="779"/>
      <c r="I202" s="779"/>
    </row>
    <row r="203" spans="1:10" ht="3" customHeight="1">
      <c r="G203" s="779"/>
      <c r="H203" s="779"/>
      <c r="I203" s="779"/>
    </row>
    <row r="204" spans="1:10" ht="76.5" customHeight="1">
      <c r="A204" s="4251" t="s">
        <v>2840</v>
      </c>
      <c r="B204" s="4251"/>
      <c r="C204" s="4251"/>
      <c r="D204" s="4251"/>
      <c r="E204" s="4251"/>
      <c r="F204" s="4251"/>
      <c r="G204" s="4251"/>
      <c r="H204" s="4251"/>
      <c r="I204" s="4251"/>
      <c r="J204" s="4251"/>
    </row>
    <row r="205" spans="1:10">
      <c r="A205" s="779" t="s">
        <v>2841</v>
      </c>
      <c r="G205" s="779"/>
      <c r="H205" s="779"/>
      <c r="I205" s="779"/>
    </row>
    <row r="206" spans="1:10" ht="38.25" customHeight="1">
      <c r="A206" s="4251" t="str">
        <f>'Subsidy Layering Memo'!A37&amp;".  "&amp;'Subsidy Layering Memo'!A38</f>
        <v xml:space="preserve">.  </v>
      </c>
      <c r="B206" s="4252"/>
      <c r="C206" s="4252"/>
      <c r="D206" s="4252"/>
      <c r="E206" s="4252"/>
      <c r="F206" s="4252"/>
      <c r="G206" s="4252"/>
      <c r="H206" s="4252"/>
      <c r="I206" s="4252"/>
      <c r="J206" s="4252"/>
    </row>
    <row r="207" spans="1:10">
      <c r="A207" s="885"/>
    </row>
    <row r="208" spans="1:10">
      <c r="A208" s="885"/>
    </row>
    <row r="209" spans="1:4">
      <c r="A209" s="779"/>
    </row>
    <row r="213" spans="1:4">
      <c r="D213" s="842"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2139" customWidth="1"/>
    <col min="2" max="2" width="6.33203125" style="2139" customWidth="1"/>
    <col min="3" max="3" width="9.88671875" style="2139" customWidth="1"/>
    <col min="4" max="4" width="10.44140625" style="2139" customWidth="1"/>
    <col min="5" max="5" width="7.6640625" style="2143" customWidth="1"/>
    <col min="6" max="6" width="8" style="2139" customWidth="1"/>
    <col min="7" max="7" width="8.6640625" style="2139" customWidth="1"/>
    <col min="8" max="8" width="10.33203125" style="2139" customWidth="1"/>
    <col min="9" max="9" width="10.6640625" style="2139" customWidth="1"/>
    <col min="10" max="10" width="11.6640625" style="2139" customWidth="1"/>
    <col min="11" max="11" width="11.88671875" style="2139" customWidth="1"/>
    <col min="12" max="16384" width="9.109375" style="2139"/>
  </cols>
  <sheetData>
    <row r="1" spans="1:11" ht="18">
      <c r="A1" s="2198" t="s">
        <v>4647</v>
      </c>
      <c r="B1" s="2198"/>
      <c r="C1" s="2198"/>
      <c r="D1" s="2198"/>
      <c r="E1" s="2198"/>
      <c r="F1" s="2198"/>
      <c r="G1" s="2198"/>
      <c r="H1" s="2198"/>
    </row>
    <row r="2" spans="1:11" ht="18.600000000000001" thickBot="1">
      <c r="A2" s="2198" t="s">
        <v>4648</v>
      </c>
      <c r="B2" s="2198"/>
      <c r="C2" s="2198"/>
      <c r="D2" s="2198"/>
      <c r="E2" s="2198"/>
      <c r="F2" s="2198"/>
      <c r="G2" s="2198"/>
      <c r="H2" s="2198"/>
    </row>
    <row r="3" spans="1:11" ht="15" customHeight="1" thickBot="1">
      <c r="A3" s="2140" t="s">
        <v>4649</v>
      </c>
      <c r="B3" s="2141"/>
      <c r="C3" s="2142"/>
      <c r="D3" s="4271" t="str">
        <f>'Part I-Project Information'!F34</f>
        <v>Lakeview Terrace</v>
      </c>
      <c r="E3" s="4272"/>
      <c r="F3" s="4272"/>
      <c r="G3" s="4272"/>
      <c r="H3" s="4272"/>
      <c r="I3" s="4272"/>
      <c r="J3" s="4277" t="s">
        <v>4652</v>
      </c>
      <c r="K3" s="4278"/>
    </row>
    <row r="4" spans="1:11" ht="15" customHeight="1">
      <c r="A4" s="2144" t="s">
        <v>4650</v>
      </c>
      <c r="B4" s="2145"/>
      <c r="C4" s="2146"/>
      <c r="D4" s="4273" t="str">
        <f>CONCATENATE('Part I-Project Information'!F35,", ",'Part I-Project Information'!F38,", GA ",'Part I-Project Information'!J38," (",'Part I-Project Information'!J39," Co.)",)</f>
        <v>2470 Grodon Hwy., Augusta, GA 309090000 (Richmond Co.)</v>
      </c>
      <c r="E4" s="4274"/>
      <c r="F4" s="4274"/>
      <c r="G4" s="4274"/>
      <c r="H4" s="4274"/>
      <c r="I4" s="4274"/>
      <c r="J4" s="4279" t="s">
        <v>4691</v>
      </c>
      <c r="K4" s="4280"/>
    </row>
    <row r="5" spans="1:11" ht="15" customHeight="1" thickBot="1">
      <c r="A5" s="2147" t="s">
        <v>4651</v>
      </c>
      <c r="B5" s="2148"/>
      <c r="C5" s="2149"/>
      <c r="D5" s="4275"/>
      <c r="E5" s="4276"/>
      <c r="F5" s="4276"/>
      <c r="G5" s="4276"/>
      <c r="H5" s="4276"/>
      <c r="I5" s="4276"/>
      <c r="J5" s="4281"/>
      <c r="K5" s="4282"/>
    </row>
    <row r="6" spans="1:11" ht="9" customHeight="1" thickBot="1">
      <c r="E6" s="2139"/>
    </row>
    <row r="7" spans="1:11">
      <c r="A7" s="4268" t="s">
        <v>4653</v>
      </c>
      <c r="B7" s="4269"/>
      <c r="C7" s="4269"/>
      <c r="D7" s="4269"/>
      <c r="E7" s="4269"/>
      <c r="F7" s="4269"/>
      <c r="G7" s="4269"/>
      <c r="H7" s="4269"/>
      <c r="I7" s="4269"/>
      <c r="J7" s="4269"/>
      <c r="K7" s="4270"/>
    </row>
    <row r="8" spans="1:11" ht="14.25" customHeight="1">
      <c r="A8" s="2165"/>
      <c r="B8" s="2165"/>
      <c r="C8" s="2187">
        <v>1</v>
      </c>
      <c r="D8" s="2166" t="s">
        <v>4654</v>
      </c>
      <c r="E8" s="2166"/>
      <c r="F8" s="2166"/>
      <c r="G8" s="2166"/>
      <c r="H8" s="2166"/>
      <c r="I8" s="2166"/>
      <c r="J8" s="2166"/>
      <c r="K8" s="2167"/>
    </row>
    <row r="9" spans="1:11" ht="7.2" customHeight="1">
      <c r="A9" s="4285"/>
      <c r="B9" s="4285"/>
      <c r="C9" s="4285"/>
      <c r="D9" s="4286"/>
      <c r="E9" s="4286"/>
      <c r="F9" s="4286"/>
      <c r="G9" s="4286"/>
      <c r="H9" s="4286"/>
      <c r="I9" s="4286"/>
      <c r="J9" s="4286"/>
      <c r="K9" s="2168"/>
    </row>
    <row r="10" spans="1:11">
      <c r="A10" s="4290" t="s">
        <v>4655</v>
      </c>
      <c r="B10" s="4291"/>
      <c r="C10" s="4291"/>
      <c r="D10" s="4291"/>
      <c r="E10" s="4291"/>
      <c r="F10" s="4291"/>
      <c r="G10" s="4291"/>
      <c r="H10" s="4291"/>
      <c r="I10" s="4291"/>
      <c r="J10" s="4291"/>
      <c r="K10" s="4292"/>
    </row>
    <row r="11" spans="1:11" ht="14.25" customHeight="1">
      <c r="A11" s="2165"/>
      <c r="B11" s="2165"/>
      <c r="C11" s="2187">
        <v>2</v>
      </c>
      <c r="D11" s="2166" t="s">
        <v>4656</v>
      </c>
      <c r="E11" s="2169"/>
      <c r="F11" s="2169"/>
      <c r="G11" s="2169"/>
      <c r="H11" s="2169"/>
      <c r="I11" s="2169"/>
      <c r="J11" s="2169"/>
      <c r="K11" s="2170"/>
    </row>
    <row r="12" spans="1:11" ht="7.2" customHeight="1">
      <c r="A12" s="4285"/>
      <c r="B12" s="4285"/>
      <c r="C12" s="4285"/>
      <c r="D12" s="4286"/>
      <c r="E12" s="4286"/>
      <c r="F12" s="4286"/>
      <c r="G12" s="4286"/>
      <c r="H12" s="4286"/>
      <c r="I12" s="4286"/>
      <c r="J12" s="4286"/>
      <c r="K12" s="2171"/>
    </row>
    <row r="13" spans="1:11">
      <c r="A13" s="4290" t="s">
        <v>4657</v>
      </c>
      <c r="B13" s="4291"/>
      <c r="C13" s="4291"/>
      <c r="D13" s="4291"/>
      <c r="E13" s="4291"/>
      <c r="F13" s="4291"/>
      <c r="G13" s="4291"/>
      <c r="H13" s="4291"/>
      <c r="I13" s="4291"/>
      <c r="J13" s="4291"/>
      <c r="K13" s="4292"/>
    </row>
    <row r="14" spans="1:11" ht="14.25" customHeight="1">
      <c r="A14" s="2145"/>
      <c r="B14" s="2145"/>
      <c r="C14" s="2188">
        <v>3</v>
      </c>
      <c r="D14" s="2172" t="s">
        <v>4658</v>
      </c>
      <c r="E14" s="2172"/>
      <c r="F14" s="2172"/>
      <c r="G14" s="2172"/>
      <c r="H14" s="2172"/>
      <c r="I14" s="2172"/>
      <c r="J14" s="2142"/>
      <c r="K14" s="2173"/>
    </row>
    <row r="15" spans="1:11" ht="14.25" customHeight="1">
      <c r="A15" s="2145"/>
      <c r="B15" s="2145"/>
      <c r="C15" s="2189">
        <v>4</v>
      </c>
      <c r="D15" s="2145" t="s">
        <v>4659</v>
      </c>
      <c r="E15" s="2145"/>
      <c r="F15" s="2145"/>
      <c r="G15" s="2145"/>
      <c r="H15" s="2145"/>
      <c r="I15" s="2145"/>
      <c r="J15" s="2146"/>
      <c r="K15" s="2174"/>
    </row>
    <row r="16" spans="1:11" ht="14.25" customHeight="1">
      <c r="A16" s="2145"/>
      <c r="B16" s="2145"/>
      <c r="C16" s="2189">
        <v>5</v>
      </c>
      <c r="D16" s="2145" t="s">
        <v>4660</v>
      </c>
      <c r="E16" s="2145"/>
      <c r="F16" s="2145"/>
      <c r="G16" s="2145"/>
      <c r="H16" s="2145"/>
      <c r="I16" s="2145"/>
      <c r="J16" s="2146"/>
      <c r="K16" s="2174"/>
    </row>
    <row r="17" spans="1:13" ht="14.25" customHeight="1">
      <c r="A17" s="2165"/>
      <c r="B17" s="2165"/>
      <c r="C17" s="2190">
        <v>6</v>
      </c>
      <c r="D17" s="2148" t="s">
        <v>4661</v>
      </c>
      <c r="E17" s="2148"/>
      <c r="F17" s="2148"/>
      <c r="G17" s="2148"/>
      <c r="H17" s="2148"/>
      <c r="I17" s="2148"/>
      <c r="J17" s="2149"/>
      <c r="K17" s="2175"/>
    </row>
    <row r="18" spans="1:13" ht="7.2" customHeight="1">
      <c r="A18" s="4285"/>
      <c r="B18" s="4285"/>
      <c r="C18" s="4285"/>
      <c r="D18" s="4286"/>
      <c r="E18" s="4286"/>
      <c r="F18" s="4286"/>
      <c r="G18" s="4286"/>
      <c r="H18" s="4286"/>
      <c r="I18" s="4286"/>
      <c r="J18" s="4286"/>
      <c r="K18" s="2171"/>
    </row>
    <row r="19" spans="1:13" ht="14.25" customHeight="1">
      <c r="A19" s="2145"/>
      <c r="B19" s="2145"/>
      <c r="C19" s="2188">
        <v>7</v>
      </c>
      <c r="D19" s="2172" t="s">
        <v>4662</v>
      </c>
      <c r="E19" s="2172"/>
      <c r="F19" s="2172"/>
      <c r="G19" s="2172"/>
      <c r="H19" s="2172"/>
      <c r="I19" s="2172"/>
      <c r="J19" s="2142"/>
      <c r="K19" s="2176" t="str">
        <f>IF(K17="No",K14-K15,IF(K17="Yes",K14-K15-K16,"Error"))</f>
        <v>Error</v>
      </c>
    </row>
    <row r="20" spans="1:13" ht="14.25" customHeight="1">
      <c r="A20" s="2165"/>
      <c r="B20" s="2165"/>
      <c r="C20" s="2190">
        <v>8</v>
      </c>
      <c r="D20" s="2148" t="s">
        <v>4663</v>
      </c>
      <c r="E20" s="2148"/>
      <c r="F20" s="2148"/>
      <c r="G20" s="2148"/>
      <c r="H20" s="2148"/>
      <c r="I20" s="2148"/>
      <c r="J20" s="2149"/>
      <c r="K20" s="2177" t="e">
        <f>ROUNDDOWN(K19/K8,2)</f>
        <v>#VALUE!</v>
      </c>
    </row>
    <row r="21" spans="1:13" ht="7.2" customHeight="1">
      <c r="A21" s="4285"/>
      <c r="B21" s="4285"/>
      <c r="C21" s="4285"/>
      <c r="D21" s="4286"/>
      <c r="E21" s="4286"/>
      <c r="F21" s="4286"/>
      <c r="G21" s="4286"/>
      <c r="H21" s="4286"/>
      <c r="I21" s="4286"/>
      <c r="J21" s="4286"/>
      <c r="K21" s="2171"/>
    </row>
    <row r="22" spans="1:13" ht="14.25" customHeight="1" thickBot="1">
      <c r="A22" s="2145"/>
      <c r="B22" s="2145"/>
      <c r="C22" s="2187">
        <v>9</v>
      </c>
      <c r="D22" s="2178" t="s">
        <v>4664</v>
      </c>
      <c r="E22" s="2178"/>
      <c r="F22" s="2178"/>
      <c r="G22" s="2178"/>
      <c r="H22" s="2178"/>
      <c r="I22" s="2178"/>
      <c r="J22" s="2178"/>
      <c r="K22" s="2179" t="e">
        <f>K11/K19</f>
        <v>#VALUE!</v>
      </c>
    </row>
    <row r="23" spans="1:13" ht="9" customHeight="1">
      <c r="A23" s="2154"/>
      <c r="C23" s="2155"/>
      <c r="D23" s="2155"/>
      <c r="E23" s="2155"/>
      <c r="F23" s="2155"/>
      <c r="G23" s="2155"/>
      <c r="H23" s="2155"/>
      <c r="I23" s="2155"/>
      <c r="J23" s="2155"/>
      <c r="K23" s="2156"/>
    </row>
    <row r="24" spans="1:13" ht="18">
      <c r="A24" s="2157" t="s">
        <v>4665</v>
      </c>
      <c r="C24" s="2155"/>
      <c r="D24" s="2155"/>
      <c r="E24" s="2155"/>
      <c r="F24" s="2155"/>
      <c r="G24" s="2155"/>
      <c r="H24" s="2155"/>
      <c r="I24" s="2155"/>
      <c r="J24" s="2155"/>
      <c r="K24" s="2156"/>
    </row>
    <row r="25" spans="1:13" ht="14.25" customHeight="1">
      <c r="A25" s="2224" t="s">
        <v>4698</v>
      </c>
      <c r="C25" s="2155"/>
      <c r="D25" s="2155"/>
      <c r="E25" s="2155"/>
      <c r="F25" s="2155"/>
      <c r="G25" s="2155"/>
      <c r="H25" s="2155"/>
      <c r="I25" s="2155"/>
      <c r="J25" s="2155"/>
      <c r="K25" s="2156"/>
    </row>
    <row r="26" spans="1:13" ht="14.25" customHeight="1">
      <c r="A26" s="2224" t="s">
        <v>4699</v>
      </c>
      <c r="C26" s="2155"/>
      <c r="D26" s="2155"/>
      <c r="E26" s="2155"/>
      <c r="F26" s="2155"/>
      <c r="G26" s="2155"/>
      <c r="H26" s="2155"/>
      <c r="I26" s="2155"/>
      <c r="J26" s="2155"/>
      <c r="K26" s="2156"/>
    </row>
    <row r="27" spans="1:13" ht="14.25" customHeight="1">
      <c r="A27" s="2224" t="s">
        <v>4700</v>
      </c>
      <c r="C27" s="2155"/>
      <c r="D27" s="2155"/>
      <c r="E27" s="2155"/>
      <c r="F27" s="2155"/>
      <c r="G27" s="2155"/>
      <c r="H27" s="2155"/>
      <c r="I27" s="2155"/>
      <c r="J27" s="2155"/>
      <c r="K27" s="2156"/>
    </row>
    <row r="28" spans="1:13" ht="14.25" customHeight="1">
      <c r="A28" s="2224" t="s">
        <v>4701</v>
      </c>
      <c r="C28" s="2155"/>
      <c r="D28" s="2155"/>
      <c r="E28" s="2155"/>
      <c r="F28" s="2155"/>
      <c r="G28" s="2155"/>
      <c r="H28" s="2155"/>
      <c r="I28" s="2155"/>
      <c r="J28" s="2155"/>
      <c r="K28" s="2156"/>
    </row>
    <row r="29" spans="1:13" ht="9" customHeight="1">
      <c r="A29" s="2155"/>
      <c r="C29" s="2155"/>
      <c r="D29" s="2155"/>
      <c r="E29" s="2155"/>
      <c r="F29" s="2155"/>
      <c r="G29" s="2155"/>
      <c r="H29" s="2155"/>
      <c r="I29" s="2155"/>
      <c r="J29" s="2155"/>
      <c r="K29" s="2156"/>
    </row>
    <row r="30" spans="1:13">
      <c r="A30" s="4318" t="s">
        <v>4697</v>
      </c>
      <c r="B30" s="4319"/>
      <c r="C30" s="4319"/>
      <c r="D30" s="4319"/>
      <c r="E30" s="4319"/>
      <c r="F30" s="4319"/>
      <c r="G30" s="4319"/>
      <c r="H30" s="4319"/>
      <c r="I30" s="4319"/>
      <c r="J30" s="4319"/>
      <c r="K30" s="4320"/>
    </row>
    <row r="31" spans="1:13">
      <c r="A31" s="2163"/>
      <c r="B31" s="4321" t="s">
        <v>4652</v>
      </c>
      <c r="C31" s="4321"/>
      <c r="D31" s="4321"/>
      <c r="E31" s="4321"/>
      <c r="F31" s="4321"/>
      <c r="G31" s="4287" t="s">
        <v>4666</v>
      </c>
      <c r="H31" s="4288"/>
      <c r="I31" s="4288"/>
      <c r="J31" s="4288"/>
      <c r="K31" s="4289"/>
    </row>
    <row r="32" spans="1:13" ht="56.25" customHeight="1">
      <c r="A32" s="2164"/>
      <c r="B32" s="2191" t="s">
        <v>4694</v>
      </c>
      <c r="C32" s="2192" t="s">
        <v>4690</v>
      </c>
      <c r="D32" s="2192" t="s">
        <v>4689</v>
      </c>
      <c r="E32" s="2192" t="s">
        <v>4695</v>
      </c>
      <c r="F32" s="2193" t="s">
        <v>4696</v>
      </c>
      <c r="G32" s="2194" t="s">
        <v>4667</v>
      </c>
      <c r="H32" s="2194" t="s">
        <v>4668</v>
      </c>
      <c r="J32" s="2194" t="s">
        <v>4669</v>
      </c>
      <c r="K32" s="2194" t="s">
        <v>4670</v>
      </c>
      <c r="L32" s="4316" t="s">
        <v>4671</v>
      </c>
      <c r="M32" s="4316"/>
    </row>
    <row r="33" spans="2:14" ht="12.75" customHeight="1">
      <c r="B33" s="2455"/>
      <c r="C33" s="2456"/>
      <c r="D33" s="2457"/>
      <c r="E33" s="2458"/>
      <c r="F33" s="2459"/>
      <c r="G33" s="2214" t="e">
        <f t="shared" ref="G33:G51" si="0">$K$22*B33</f>
        <v>#VALUE!</v>
      </c>
      <c r="H33" s="2215" t="e">
        <f>ROUNDUP(G33,0)</f>
        <v>#VALUE!</v>
      </c>
      <c r="I33" s="2216"/>
      <c r="J33" s="2217" t="e">
        <f t="shared" ref="J33:J51" si="1">$K$20*F33</f>
        <v>#VALUE!</v>
      </c>
      <c r="K33" s="2217" t="e">
        <f t="shared" ref="K33:K51" si="2">ROUNDDOWN(J33*H33,0)</f>
        <v>#VALUE!</v>
      </c>
      <c r="L33" s="4316"/>
      <c r="M33" s="4316"/>
    </row>
    <row r="34" spans="2:14" ht="12.75" customHeight="1">
      <c r="B34" s="2460"/>
      <c r="C34" s="2461"/>
      <c r="D34" s="2462"/>
      <c r="E34" s="2463"/>
      <c r="F34" s="2464"/>
      <c r="G34" s="2218" t="e">
        <f t="shared" si="0"/>
        <v>#VALUE!</v>
      </c>
      <c r="H34" s="2219" t="e">
        <f t="shared" ref="H34:H51" si="3">ROUNDUP(G34,0)</f>
        <v>#VALUE!</v>
      </c>
      <c r="I34" s="2216"/>
      <c r="J34" s="2220" t="e">
        <f t="shared" si="1"/>
        <v>#VALUE!</v>
      </c>
      <c r="K34" s="2220" t="e">
        <f t="shared" si="2"/>
        <v>#VALUE!</v>
      </c>
      <c r="L34" s="4316"/>
      <c r="M34" s="4316"/>
    </row>
    <row r="35" spans="2:14" ht="12.75" customHeight="1">
      <c r="B35" s="2460"/>
      <c r="C35" s="2461"/>
      <c r="D35" s="2462"/>
      <c r="E35" s="2463"/>
      <c r="F35" s="2464"/>
      <c r="G35" s="2218" t="e">
        <f t="shared" si="0"/>
        <v>#VALUE!</v>
      </c>
      <c r="H35" s="2219" t="e">
        <f t="shared" si="3"/>
        <v>#VALUE!</v>
      </c>
      <c r="I35" s="2216"/>
      <c r="J35" s="2220" t="e">
        <f t="shared" si="1"/>
        <v>#VALUE!</v>
      </c>
      <c r="K35" s="2220" t="e">
        <f t="shared" si="2"/>
        <v>#VALUE!</v>
      </c>
      <c r="L35" s="4316"/>
      <c r="M35" s="4316"/>
    </row>
    <row r="36" spans="2:14" ht="12.75" customHeight="1">
      <c r="B36" s="2460"/>
      <c r="C36" s="2461"/>
      <c r="D36" s="2462"/>
      <c r="E36" s="2463"/>
      <c r="F36" s="2464"/>
      <c r="G36" s="2218" t="e">
        <f t="shared" si="0"/>
        <v>#VALUE!</v>
      </c>
      <c r="H36" s="2219" t="e">
        <f t="shared" si="3"/>
        <v>#VALUE!</v>
      </c>
      <c r="I36" s="2216"/>
      <c r="J36" s="2220" t="e">
        <f t="shared" si="1"/>
        <v>#VALUE!</v>
      </c>
      <c r="K36" s="2220" t="e">
        <f t="shared" si="2"/>
        <v>#VALUE!</v>
      </c>
      <c r="L36" s="4316"/>
      <c r="M36" s="4316"/>
      <c r="N36" s="2158"/>
    </row>
    <row r="37" spans="2:14" ht="12.75" customHeight="1">
      <c r="B37" s="2460"/>
      <c r="C37" s="2461"/>
      <c r="D37" s="2462"/>
      <c r="E37" s="2463"/>
      <c r="F37" s="2464"/>
      <c r="G37" s="2218" t="e">
        <f t="shared" si="0"/>
        <v>#VALUE!</v>
      </c>
      <c r="H37" s="2219" t="e">
        <f t="shared" si="3"/>
        <v>#VALUE!</v>
      </c>
      <c r="I37" s="2216"/>
      <c r="J37" s="2220" t="e">
        <f t="shared" si="1"/>
        <v>#VALUE!</v>
      </c>
      <c r="K37" s="2220" t="e">
        <f t="shared" si="2"/>
        <v>#VALUE!</v>
      </c>
      <c r="L37" s="4316"/>
      <c r="M37" s="4316"/>
    </row>
    <row r="38" spans="2:14" ht="12.75" customHeight="1">
      <c r="B38" s="2460"/>
      <c r="C38" s="2461"/>
      <c r="D38" s="2462"/>
      <c r="E38" s="2463"/>
      <c r="F38" s="2464"/>
      <c r="G38" s="2218" t="e">
        <f t="shared" si="0"/>
        <v>#VALUE!</v>
      </c>
      <c r="H38" s="2219" t="e">
        <f t="shared" si="3"/>
        <v>#VALUE!</v>
      </c>
      <c r="I38" s="2216"/>
      <c r="J38" s="2220" t="e">
        <f t="shared" si="1"/>
        <v>#VALUE!</v>
      </c>
      <c r="K38" s="2220" t="e">
        <f t="shared" si="2"/>
        <v>#VALUE!</v>
      </c>
      <c r="L38" s="4316"/>
      <c r="M38" s="4316"/>
    </row>
    <row r="39" spans="2:14" ht="12.75" customHeight="1">
      <c r="B39" s="2460"/>
      <c r="C39" s="2461"/>
      <c r="D39" s="2462"/>
      <c r="E39" s="2463"/>
      <c r="F39" s="2464"/>
      <c r="G39" s="2218" t="e">
        <f t="shared" si="0"/>
        <v>#VALUE!</v>
      </c>
      <c r="H39" s="2219" t="e">
        <f t="shared" si="3"/>
        <v>#VALUE!</v>
      </c>
      <c r="I39" s="2216"/>
      <c r="J39" s="2220" t="e">
        <f t="shared" si="1"/>
        <v>#VALUE!</v>
      </c>
      <c r="K39" s="2220" t="e">
        <f t="shared" si="2"/>
        <v>#VALUE!</v>
      </c>
      <c r="L39" s="4316"/>
      <c r="M39" s="4316"/>
    </row>
    <row r="40" spans="2:14" ht="12.75" customHeight="1">
      <c r="B40" s="2460"/>
      <c r="C40" s="2461"/>
      <c r="D40" s="2462"/>
      <c r="E40" s="2463"/>
      <c r="F40" s="2464"/>
      <c r="G40" s="2218" t="e">
        <f t="shared" si="0"/>
        <v>#VALUE!</v>
      </c>
      <c r="H40" s="2219" t="e">
        <f t="shared" si="3"/>
        <v>#VALUE!</v>
      </c>
      <c r="I40" s="2216"/>
      <c r="J40" s="2220" t="e">
        <f t="shared" si="1"/>
        <v>#VALUE!</v>
      </c>
      <c r="K40" s="2220" t="e">
        <f t="shared" si="2"/>
        <v>#VALUE!</v>
      </c>
      <c r="L40" s="4316"/>
      <c r="M40" s="4316"/>
    </row>
    <row r="41" spans="2:14" ht="12.75" customHeight="1">
      <c r="B41" s="2460"/>
      <c r="C41" s="2461"/>
      <c r="D41" s="2462"/>
      <c r="E41" s="2463"/>
      <c r="F41" s="2464"/>
      <c r="G41" s="2218" t="e">
        <f t="shared" si="0"/>
        <v>#VALUE!</v>
      </c>
      <c r="H41" s="2219" t="e">
        <f t="shared" si="3"/>
        <v>#VALUE!</v>
      </c>
      <c r="I41" s="2216"/>
      <c r="J41" s="2220" t="e">
        <f t="shared" si="1"/>
        <v>#VALUE!</v>
      </c>
      <c r="K41" s="2220" t="e">
        <f t="shared" si="2"/>
        <v>#VALUE!</v>
      </c>
      <c r="L41" s="4316"/>
      <c r="M41" s="4316"/>
    </row>
    <row r="42" spans="2:14" ht="12.75" customHeight="1">
      <c r="B42" s="2460"/>
      <c r="C42" s="2461"/>
      <c r="D42" s="2462"/>
      <c r="E42" s="2463"/>
      <c r="F42" s="2464"/>
      <c r="G42" s="2218" t="e">
        <f t="shared" si="0"/>
        <v>#VALUE!</v>
      </c>
      <c r="H42" s="2219" t="e">
        <f t="shared" ref="H42:H45" si="4">ROUNDUP(G42,0)</f>
        <v>#VALUE!</v>
      </c>
      <c r="I42" s="2216"/>
      <c r="J42" s="2220" t="e">
        <f t="shared" si="1"/>
        <v>#VALUE!</v>
      </c>
      <c r="K42" s="2220" t="e">
        <f t="shared" si="2"/>
        <v>#VALUE!</v>
      </c>
      <c r="L42" s="4316"/>
      <c r="M42" s="4316"/>
    </row>
    <row r="43" spans="2:14" ht="12.75" customHeight="1">
      <c r="B43" s="2460"/>
      <c r="C43" s="2461"/>
      <c r="D43" s="2462"/>
      <c r="E43" s="2463"/>
      <c r="F43" s="2464"/>
      <c r="G43" s="2218" t="e">
        <f t="shared" si="0"/>
        <v>#VALUE!</v>
      </c>
      <c r="H43" s="2219" t="e">
        <f t="shared" si="4"/>
        <v>#VALUE!</v>
      </c>
      <c r="I43" s="2216"/>
      <c r="J43" s="2220" t="e">
        <f t="shared" si="1"/>
        <v>#VALUE!</v>
      </c>
      <c r="K43" s="2220" t="e">
        <f t="shared" si="2"/>
        <v>#VALUE!</v>
      </c>
      <c r="L43" s="4316"/>
      <c r="M43" s="4316"/>
    </row>
    <row r="44" spans="2:14" ht="12.75" customHeight="1">
      <c r="B44" s="2460"/>
      <c r="C44" s="2461"/>
      <c r="D44" s="2462"/>
      <c r="E44" s="2463"/>
      <c r="F44" s="2464"/>
      <c r="G44" s="2218" t="e">
        <f t="shared" si="0"/>
        <v>#VALUE!</v>
      </c>
      <c r="H44" s="2219" t="e">
        <f t="shared" si="4"/>
        <v>#VALUE!</v>
      </c>
      <c r="I44" s="2216"/>
      <c r="J44" s="2220" t="e">
        <f t="shared" si="1"/>
        <v>#VALUE!</v>
      </c>
      <c r="K44" s="2220" t="e">
        <f t="shared" si="2"/>
        <v>#VALUE!</v>
      </c>
      <c r="L44" s="4316"/>
      <c r="M44" s="4316"/>
    </row>
    <row r="45" spans="2:14" ht="12.75" customHeight="1">
      <c r="B45" s="2460"/>
      <c r="C45" s="2461"/>
      <c r="D45" s="2462"/>
      <c r="E45" s="2463"/>
      <c r="F45" s="2464"/>
      <c r="G45" s="2218" t="e">
        <f t="shared" si="0"/>
        <v>#VALUE!</v>
      </c>
      <c r="H45" s="2219" t="e">
        <f t="shared" si="4"/>
        <v>#VALUE!</v>
      </c>
      <c r="I45" s="2216"/>
      <c r="J45" s="2220" t="e">
        <f t="shared" si="1"/>
        <v>#VALUE!</v>
      </c>
      <c r="K45" s="2220" t="e">
        <f t="shared" si="2"/>
        <v>#VALUE!</v>
      </c>
      <c r="L45" s="4316"/>
      <c r="M45" s="4316"/>
    </row>
    <row r="46" spans="2:14" ht="12.75" customHeight="1">
      <c r="B46" s="2460"/>
      <c r="C46" s="2461"/>
      <c r="D46" s="2462"/>
      <c r="E46" s="2463"/>
      <c r="F46" s="2464"/>
      <c r="G46" s="2218" t="e">
        <f t="shared" si="0"/>
        <v>#VALUE!</v>
      </c>
      <c r="H46" s="2219" t="e">
        <f t="shared" si="3"/>
        <v>#VALUE!</v>
      </c>
      <c r="I46" s="2216"/>
      <c r="J46" s="2220" t="e">
        <f t="shared" si="1"/>
        <v>#VALUE!</v>
      </c>
      <c r="K46" s="2220" t="e">
        <f t="shared" si="2"/>
        <v>#VALUE!</v>
      </c>
      <c r="L46" s="4316"/>
      <c r="M46" s="4316"/>
    </row>
    <row r="47" spans="2:14" ht="12.75" customHeight="1">
      <c r="B47" s="2460"/>
      <c r="C47" s="2461"/>
      <c r="D47" s="2462"/>
      <c r="E47" s="2463"/>
      <c r="F47" s="2464"/>
      <c r="G47" s="2218" t="e">
        <f t="shared" si="0"/>
        <v>#VALUE!</v>
      </c>
      <c r="H47" s="2219" t="e">
        <f t="shared" si="3"/>
        <v>#VALUE!</v>
      </c>
      <c r="I47" s="2216"/>
      <c r="J47" s="2220" t="e">
        <f t="shared" si="1"/>
        <v>#VALUE!</v>
      </c>
      <c r="K47" s="2220" t="e">
        <f t="shared" si="2"/>
        <v>#VALUE!</v>
      </c>
      <c r="L47" s="4316"/>
      <c r="M47" s="4316"/>
    </row>
    <row r="48" spans="2:14" ht="12.75" customHeight="1">
      <c r="B48" s="2460"/>
      <c r="C48" s="2461"/>
      <c r="D48" s="2462"/>
      <c r="E48" s="2463"/>
      <c r="F48" s="2464"/>
      <c r="G48" s="2218" t="e">
        <f t="shared" si="0"/>
        <v>#VALUE!</v>
      </c>
      <c r="H48" s="2219" t="e">
        <f t="shared" ref="H48" si="5">ROUNDUP(G48,0)</f>
        <v>#VALUE!</v>
      </c>
      <c r="I48" s="2216"/>
      <c r="J48" s="2220" t="e">
        <f t="shared" si="1"/>
        <v>#VALUE!</v>
      </c>
      <c r="K48" s="2220" t="e">
        <f t="shared" si="2"/>
        <v>#VALUE!</v>
      </c>
      <c r="L48" s="4316"/>
      <c r="M48" s="4316"/>
    </row>
    <row r="49" spans="1:13" ht="12.75" customHeight="1">
      <c r="B49" s="2460"/>
      <c r="C49" s="2461"/>
      <c r="D49" s="2462"/>
      <c r="E49" s="2463"/>
      <c r="F49" s="2464"/>
      <c r="G49" s="2218" t="e">
        <f t="shared" si="0"/>
        <v>#VALUE!</v>
      </c>
      <c r="H49" s="2219" t="e">
        <f t="shared" si="3"/>
        <v>#VALUE!</v>
      </c>
      <c r="I49" s="2216"/>
      <c r="J49" s="2220" t="e">
        <f t="shared" si="1"/>
        <v>#VALUE!</v>
      </c>
      <c r="K49" s="2220" t="e">
        <f t="shared" si="2"/>
        <v>#VALUE!</v>
      </c>
      <c r="L49" s="4316"/>
      <c r="M49" s="4316"/>
    </row>
    <row r="50" spans="1:13" ht="12.75" customHeight="1">
      <c r="B50" s="2460"/>
      <c r="C50" s="2461"/>
      <c r="D50" s="2462"/>
      <c r="E50" s="2463"/>
      <c r="F50" s="2464"/>
      <c r="G50" s="2218" t="e">
        <f t="shared" si="0"/>
        <v>#VALUE!</v>
      </c>
      <c r="H50" s="2219" t="e">
        <f t="shared" si="3"/>
        <v>#VALUE!</v>
      </c>
      <c r="I50" s="2216"/>
      <c r="J50" s="2220" t="e">
        <f t="shared" si="1"/>
        <v>#VALUE!</v>
      </c>
      <c r="K50" s="2220" t="e">
        <f t="shared" si="2"/>
        <v>#VALUE!</v>
      </c>
      <c r="L50" s="4316"/>
      <c r="M50" s="4316"/>
    </row>
    <row r="51" spans="1:13" ht="12.75" customHeight="1" thickBot="1">
      <c r="B51" s="2465"/>
      <c r="C51" s="2466"/>
      <c r="D51" s="2467"/>
      <c r="E51" s="2468"/>
      <c r="F51" s="2469"/>
      <c r="G51" s="2221" t="e">
        <f t="shared" si="0"/>
        <v>#VALUE!</v>
      </c>
      <c r="H51" s="2222" t="e">
        <f t="shared" si="3"/>
        <v>#VALUE!</v>
      </c>
      <c r="I51" s="2216"/>
      <c r="J51" s="2223" t="e">
        <f t="shared" si="1"/>
        <v>#VALUE!</v>
      </c>
      <c r="K51" s="2223" t="e">
        <f t="shared" si="2"/>
        <v>#VALUE!</v>
      </c>
      <c r="L51" s="4316"/>
      <c r="M51" s="4316"/>
    </row>
    <row r="52" spans="1:13" ht="15" customHeight="1" thickBot="1">
      <c r="A52" s="2163"/>
      <c r="B52" s="2184"/>
      <c r="D52" s="2172"/>
      <c r="E52" s="2172"/>
      <c r="F52" s="2172"/>
      <c r="G52" s="2197" t="s">
        <v>4672</v>
      </c>
      <c r="H52" s="2196" t="e">
        <f>SUM(H33:H51)</f>
        <v>#VALUE!</v>
      </c>
      <c r="I52" s="2172"/>
      <c r="J52" s="2184" t="s">
        <v>4673</v>
      </c>
      <c r="K52" s="2180" t="e">
        <f>SUM(K33:K51)</f>
        <v>#VALUE!</v>
      </c>
      <c r="L52" s="4316"/>
      <c r="M52" s="4316"/>
    </row>
    <row r="53" spans="1:13" ht="15" customHeight="1">
      <c r="A53" s="2163"/>
      <c r="B53" s="2185"/>
      <c r="C53" s="4293" t="s">
        <v>4674</v>
      </c>
      <c r="D53" s="4293"/>
      <c r="E53" s="4293"/>
      <c r="F53" s="4293"/>
      <c r="G53" s="4293"/>
      <c r="H53" s="4293"/>
      <c r="I53" s="4293"/>
      <c r="J53" s="4294"/>
      <c r="K53" s="2186" t="str">
        <f>IF(K17="no",0,IF(K17="yes",K16,"Error"))</f>
        <v>Error</v>
      </c>
      <c r="L53" s="4316"/>
      <c r="M53" s="4316"/>
    </row>
    <row r="54" spans="1:13" ht="15" customHeight="1" thickBot="1">
      <c r="A54" s="2163"/>
      <c r="B54" s="2185"/>
      <c r="C54" s="4295" t="s">
        <v>4675</v>
      </c>
      <c r="D54" s="4295"/>
      <c r="E54" s="4295"/>
      <c r="F54" s="4295"/>
      <c r="G54" s="4295"/>
      <c r="H54" s="4295"/>
      <c r="I54" s="4295"/>
      <c r="J54" s="4296"/>
      <c r="K54" s="2199" t="e">
        <f>K52+K53</f>
        <v>#VALUE!</v>
      </c>
    </row>
    <row r="55" spans="1:13" ht="7.95" customHeight="1">
      <c r="A55" s="4297"/>
      <c r="B55" s="4298"/>
      <c r="C55" s="4298"/>
      <c r="D55" s="4298"/>
      <c r="E55" s="4298"/>
      <c r="F55" s="4298"/>
      <c r="G55" s="4298"/>
      <c r="H55" s="4298"/>
      <c r="I55" s="4298"/>
      <c r="J55" s="4298"/>
      <c r="K55" s="2213"/>
    </row>
    <row r="56" spans="1:13" ht="15" customHeight="1">
      <c r="A56" s="4303" t="s">
        <v>4676</v>
      </c>
      <c r="B56" s="4304"/>
      <c r="C56" s="4304"/>
      <c r="D56" s="4304"/>
      <c r="E56" s="4304"/>
      <c r="F56" s="4304"/>
      <c r="G56" s="4304"/>
      <c r="H56" s="4304"/>
      <c r="I56" s="4304"/>
      <c r="J56" s="4304"/>
      <c r="K56" s="4305"/>
    </row>
    <row r="57" spans="1:13" ht="48" customHeight="1">
      <c r="A57" s="2160"/>
      <c r="B57" s="2151"/>
      <c r="C57" s="2162" t="s">
        <v>4677</v>
      </c>
      <c r="D57" s="2430" t="s">
        <v>6827</v>
      </c>
      <c r="E57" s="4299" t="s">
        <v>4693</v>
      </c>
      <c r="F57" s="4300"/>
      <c r="G57" s="4301" t="s">
        <v>4678</v>
      </c>
      <c r="H57" s="4302"/>
      <c r="I57" s="4299" t="s">
        <v>4692</v>
      </c>
      <c r="J57" s="4300"/>
      <c r="K57" s="4306"/>
    </row>
    <row r="58" spans="1:13" ht="15" customHeight="1">
      <c r="A58" s="2397"/>
      <c r="B58" s="2427"/>
      <c r="C58" s="2181">
        <f>SUMIF(C33:C51, "0", H33:H51)</f>
        <v>0</v>
      </c>
      <c r="D58" s="2431">
        <f>ROUNDUP(C58*1.1,0)</f>
        <v>0</v>
      </c>
      <c r="E58" s="4308" t="s">
        <v>4679</v>
      </c>
      <c r="F58" s="4309"/>
      <c r="G58" s="4310">
        <f>62445*2.4</f>
        <v>149868</v>
      </c>
      <c r="H58" s="4311"/>
      <c r="I58" s="4312">
        <f t="shared" ref="I58:I63" si="6">D58*G58</f>
        <v>0</v>
      </c>
      <c r="J58" s="4312"/>
      <c r="K58" s="4307"/>
    </row>
    <row r="59" spans="1:13">
      <c r="A59" s="2397"/>
      <c r="B59" s="2427"/>
      <c r="C59" s="2182">
        <f>SUMIF(C33:C51, "1", H33:H51)</f>
        <v>0</v>
      </c>
      <c r="D59" s="2432">
        <f t="shared" ref="D59:D63" si="7">ROUNDUP(C59*1.1,0)</f>
        <v>0</v>
      </c>
      <c r="E59" s="4313" t="s">
        <v>2632</v>
      </c>
      <c r="F59" s="4314"/>
      <c r="G59" s="4283">
        <f>71584*2.4</f>
        <v>171801.60000000001</v>
      </c>
      <c r="H59" s="4284"/>
      <c r="I59" s="4315">
        <f t="shared" si="6"/>
        <v>0</v>
      </c>
      <c r="J59" s="4315"/>
      <c r="K59" s="4307"/>
    </row>
    <row r="60" spans="1:13" ht="15" customHeight="1">
      <c r="A60" s="2397"/>
      <c r="B60" s="2427"/>
      <c r="C60" s="2182">
        <f>SUMIF(C33:C51, "2", H33:H51)</f>
        <v>0</v>
      </c>
      <c r="D60" s="2432">
        <f t="shared" si="7"/>
        <v>0</v>
      </c>
      <c r="E60" s="4313" t="s">
        <v>2633</v>
      </c>
      <c r="F60" s="4314"/>
      <c r="G60" s="4283">
        <f>87047*2.4</f>
        <v>208912.8</v>
      </c>
      <c r="H60" s="4284"/>
      <c r="I60" s="4315">
        <f t="shared" si="6"/>
        <v>0</v>
      </c>
      <c r="J60" s="4315"/>
      <c r="K60" s="4307"/>
    </row>
    <row r="61" spans="1:13">
      <c r="A61" s="2397"/>
      <c r="B61" s="2427"/>
      <c r="C61" s="2182">
        <f>SUMIF(C33:C51, "3", H33:H51)</f>
        <v>0</v>
      </c>
      <c r="D61" s="2432">
        <f t="shared" si="7"/>
        <v>0</v>
      </c>
      <c r="E61" s="4313" t="s">
        <v>2636</v>
      </c>
      <c r="F61" s="4314"/>
      <c r="G61" s="4283">
        <f>112611*2.4</f>
        <v>270266.39999999997</v>
      </c>
      <c r="H61" s="4284"/>
      <c r="I61" s="4315">
        <f t="shared" si="6"/>
        <v>0</v>
      </c>
      <c r="J61" s="4315"/>
      <c r="K61" s="4307"/>
    </row>
    <row r="62" spans="1:13">
      <c r="A62" s="2397"/>
      <c r="B62" s="2427"/>
      <c r="C62" s="2182">
        <f>SUMIF(C33:C51, "4", H33:H51)</f>
        <v>0</v>
      </c>
      <c r="D62" s="2432">
        <f t="shared" si="7"/>
        <v>0</v>
      </c>
      <c r="E62" s="4313" t="s">
        <v>4680</v>
      </c>
      <c r="F62" s="4314"/>
      <c r="G62" s="4283">
        <f>123611*2.4</f>
        <v>296666.39999999997</v>
      </c>
      <c r="H62" s="4284"/>
      <c r="I62" s="4315">
        <f t="shared" si="6"/>
        <v>0</v>
      </c>
      <c r="J62" s="4315"/>
      <c r="K62" s="4307"/>
    </row>
    <row r="63" spans="1:13">
      <c r="A63" s="2428"/>
      <c r="B63" s="2429"/>
      <c r="C63" s="2183">
        <f>SUMIF(C33:C51, "5", H33:H51)</f>
        <v>0</v>
      </c>
      <c r="D63" s="2433">
        <f t="shared" si="7"/>
        <v>0</v>
      </c>
      <c r="E63" s="4322" t="s">
        <v>4681</v>
      </c>
      <c r="F63" s="4323"/>
      <c r="G63" s="4324">
        <f>123611*2.4</f>
        <v>296666.39999999997</v>
      </c>
      <c r="H63" s="4325"/>
      <c r="I63" s="4326">
        <f t="shared" si="6"/>
        <v>0</v>
      </c>
      <c r="J63" s="4326"/>
      <c r="K63" s="2211"/>
    </row>
    <row r="64" spans="1:13" ht="14.4" thickBot="1">
      <c r="A64" s="2426" t="s">
        <v>4682</v>
      </c>
      <c r="B64" s="2201">
        <f>SUM(C58:C63)</f>
        <v>0</v>
      </c>
      <c r="C64" s="2434"/>
      <c r="D64" s="2434">
        <f>SUM(D58:D63)</f>
        <v>0</v>
      </c>
      <c r="E64" s="2425"/>
      <c r="F64" s="2425"/>
      <c r="G64" s="2425"/>
      <c r="H64" s="2425"/>
      <c r="I64" s="2425"/>
      <c r="J64" s="2398" t="s">
        <v>4683</v>
      </c>
      <c r="K64" s="2200">
        <f>SUM(I58:I62)</f>
        <v>0</v>
      </c>
    </row>
    <row r="65" spans="1:11">
      <c r="A65" s="4298"/>
      <c r="B65" s="4298"/>
      <c r="C65" s="4298"/>
      <c r="D65" s="4298"/>
      <c r="E65" s="4298"/>
      <c r="F65" s="4298"/>
      <c r="G65" s="4298"/>
      <c r="H65" s="4298"/>
      <c r="I65" s="4298"/>
      <c r="J65" s="4298"/>
    </row>
    <row r="66" spans="1:11">
      <c r="A66" s="4303" t="s">
        <v>4684</v>
      </c>
      <c r="B66" s="4304"/>
      <c r="C66" s="4304"/>
      <c r="D66" s="4304"/>
      <c r="E66" s="4304"/>
      <c r="F66" s="4304"/>
      <c r="G66" s="4304"/>
      <c r="H66" s="4304"/>
      <c r="I66" s="4304"/>
      <c r="J66" s="4304"/>
      <c r="K66" s="4305"/>
    </row>
    <row r="67" spans="1:11" ht="15" customHeight="1">
      <c r="A67" s="2202"/>
      <c r="B67" s="2150"/>
      <c r="C67" s="2205"/>
      <c r="D67" s="2205"/>
      <c r="E67" s="2205" t="s">
        <v>4685</v>
      </c>
      <c r="F67" s="2205"/>
      <c r="G67" s="2205"/>
      <c r="H67" s="2205"/>
      <c r="I67" s="2205"/>
      <c r="J67" s="2206"/>
      <c r="K67" s="2159">
        <f>K11</f>
        <v>0</v>
      </c>
    </row>
    <row r="68" spans="1:11">
      <c r="A68" s="2203"/>
      <c r="B68" s="2163"/>
      <c r="C68" s="2195"/>
      <c r="D68" s="2195"/>
      <c r="E68" s="2195" t="s">
        <v>4686</v>
      </c>
      <c r="F68" s="2195"/>
      <c r="G68" s="2195"/>
      <c r="H68" s="2195"/>
      <c r="I68" s="2195"/>
      <c r="J68" s="2207"/>
      <c r="K68" s="2159" t="e">
        <f>K54</f>
        <v>#VALUE!</v>
      </c>
    </row>
    <row r="69" spans="1:11" ht="14.4" thickBot="1">
      <c r="A69" s="2204"/>
      <c r="B69" s="2152"/>
      <c r="C69" s="2208"/>
      <c r="D69" s="2208"/>
      <c r="E69" s="2208" t="s">
        <v>4687</v>
      </c>
      <c r="F69" s="2208"/>
      <c r="G69" s="2208"/>
      <c r="H69" s="2208"/>
      <c r="I69" s="2208"/>
      <c r="J69" s="2209"/>
      <c r="K69" s="2212">
        <f>K64</f>
        <v>0</v>
      </c>
    </row>
    <row r="70" spans="1:11" ht="14.4" thickBot="1">
      <c r="A70" s="2161"/>
      <c r="B70" s="2153"/>
      <c r="C70" s="4317" t="s">
        <v>4688</v>
      </c>
      <c r="D70" s="4317"/>
      <c r="E70" s="4317"/>
      <c r="F70" s="4317"/>
      <c r="G70" s="4317"/>
      <c r="H70" s="4317"/>
      <c r="I70" s="4317"/>
      <c r="J70" s="4317"/>
      <c r="K70" s="2210" t="e">
        <f>IF(ISBLANK(K11),MIN(K68:K69),MIN(K67:K69))</f>
        <v>#VALUE!</v>
      </c>
    </row>
    <row r="71" spans="1:11">
      <c r="E71" s="2139"/>
    </row>
    <row r="72" spans="1:11">
      <c r="E72" s="2139"/>
    </row>
    <row r="73" spans="1:11">
      <c r="E73" s="2139"/>
    </row>
    <row r="74" spans="1:11">
      <c r="E74" s="2139"/>
    </row>
    <row r="75" spans="1:11">
      <c r="E75" s="2139"/>
    </row>
    <row r="76" spans="1:11">
      <c r="E76" s="2139"/>
    </row>
    <row r="77" spans="1:11">
      <c r="E77" s="2139"/>
    </row>
    <row r="78" spans="1:11">
      <c r="E78" s="2139"/>
    </row>
    <row r="79" spans="1:11">
      <c r="E79" s="2139"/>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842" customWidth="1"/>
    <col min="2" max="2" width="4.109375" style="842" customWidth="1"/>
    <col min="3" max="3" width="18.5546875" style="842" customWidth="1"/>
    <col min="4" max="4" width="2.88671875" style="842" customWidth="1"/>
    <col min="5" max="5" width="6.5546875" style="842" customWidth="1"/>
    <col min="6" max="6" width="39.109375" style="842" customWidth="1"/>
    <col min="7" max="8" width="8.44140625" style="842" customWidth="1"/>
    <col min="9" max="9" width="9.109375" style="842"/>
    <col min="10" max="10" width="14.109375" style="842" customWidth="1"/>
    <col min="11" max="16384" width="9.109375" style="842"/>
  </cols>
  <sheetData>
    <row r="1" spans="1:11">
      <c r="A1" s="779" t="s">
        <v>3133</v>
      </c>
      <c r="H1" s="887" t="str">
        <f>'Sensitivity Analysis'!C8</f>
        <v>Lakeview Terrace</v>
      </c>
    </row>
    <row r="2" spans="1:11">
      <c r="A2" s="779" t="s">
        <v>3134</v>
      </c>
      <c r="H2" s="842" t="str">
        <f>'Sensitivity Analysis'!E8</f>
        <v>2020-5</v>
      </c>
    </row>
    <row r="3" spans="1:11" ht="3" customHeight="1"/>
    <row r="4" spans="1:11" ht="51.75" customHeight="1">
      <c r="A4" s="4252" t="s">
        <v>3232</v>
      </c>
      <c r="B4" s="4252"/>
      <c r="C4" s="4252"/>
      <c r="D4" s="4252"/>
      <c r="E4" s="4252"/>
      <c r="F4" s="4252"/>
      <c r="G4" s="4252"/>
      <c r="H4" s="4252"/>
      <c r="J4" s="1537">
        <f>SUM('Part VII-Pro Forma'!B14:B16)/12</f>
        <v>155570.4</v>
      </c>
      <c r="K4" s="1536" t="s">
        <v>4112</v>
      </c>
    </row>
    <row r="5" spans="1:11" ht="1.5" customHeight="1">
      <c r="C5" s="921"/>
      <c r="D5" s="921"/>
      <c r="E5" s="921"/>
      <c r="F5" s="921"/>
      <c r="G5" s="921"/>
      <c r="H5" s="921"/>
    </row>
    <row r="6" spans="1:11" ht="12.75" customHeight="1">
      <c r="B6" s="922" t="s">
        <v>2372</v>
      </c>
      <c r="C6" s="4252" t="s">
        <v>3135</v>
      </c>
      <c r="D6" s="4252"/>
      <c r="E6" s="4252"/>
      <c r="F6" s="4252"/>
      <c r="G6" s="4252"/>
      <c r="H6" s="4252"/>
    </row>
    <row r="7" spans="1:11" ht="12.75" customHeight="1">
      <c r="B7" s="922" t="s">
        <v>2373</v>
      </c>
      <c r="C7" s="4252" t="s">
        <v>3136</v>
      </c>
      <c r="D7" s="4252"/>
      <c r="E7" s="4252"/>
      <c r="F7" s="4252"/>
      <c r="G7" s="4252"/>
      <c r="H7" s="4252"/>
    </row>
    <row r="8" spans="1:11" ht="3" customHeight="1"/>
    <row r="9" spans="1:11">
      <c r="A9" s="842" t="s">
        <v>3137</v>
      </c>
    </row>
    <row r="10" spans="1:11" ht="1.5" customHeight="1"/>
    <row r="11" spans="1:11" ht="26.25" customHeight="1">
      <c r="A11" s="923" t="s">
        <v>1936</v>
      </c>
      <c r="B11" s="4329" t="s">
        <v>3229</v>
      </c>
      <c r="C11" s="4329"/>
      <c r="D11" s="4329"/>
      <c r="E11" s="4329"/>
      <c r="F11" s="4329"/>
      <c r="G11" s="4330">
        <f>'Part III-Sources of Funds'!I49+'Part III-Sources of Funds'!I50</f>
        <v>28412912</v>
      </c>
      <c r="H11" s="4330"/>
    </row>
    <row r="12" spans="1:11" ht="1.5" customHeight="1">
      <c r="G12" s="891"/>
      <c r="H12" s="891"/>
    </row>
    <row r="13" spans="1:11" ht="26.25" customHeight="1">
      <c r="A13" s="923" t="s">
        <v>1938</v>
      </c>
      <c r="B13" s="4329" t="s">
        <v>3230</v>
      </c>
      <c r="C13" s="4329"/>
      <c r="D13" s="4329"/>
      <c r="E13" s="4329"/>
      <c r="F13" s="4329"/>
      <c r="G13" s="4331" t="s">
        <v>3063</v>
      </c>
      <c r="H13" s="4331"/>
    </row>
    <row r="14" spans="1:11" ht="12" hidden="1" customHeight="1">
      <c r="A14" s="923"/>
      <c r="B14" s="4266"/>
      <c r="C14" s="4266"/>
      <c r="D14" s="4266"/>
      <c r="E14" s="4266"/>
      <c r="F14" s="4266"/>
      <c r="G14" s="4266"/>
      <c r="H14" s="4266"/>
    </row>
    <row r="15" spans="1:11" ht="1.5" customHeight="1"/>
    <row r="16" spans="1:11" ht="12" customHeight="1">
      <c r="A16" s="923" t="s">
        <v>731</v>
      </c>
      <c r="B16" s="842" t="s">
        <v>3233</v>
      </c>
      <c r="F16" s="915"/>
      <c r="G16" s="4249" t="s">
        <v>2889</v>
      </c>
      <c r="H16" s="4249"/>
    </row>
    <row r="17" spans="1:8" ht="1.5" customHeight="1">
      <c r="G17" s="897"/>
    </row>
    <row r="18" spans="1:8" ht="12" customHeight="1">
      <c r="A18" s="923" t="s">
        <v>2065</v>
      </c>
      <c r="B18" s="891" t="s">
        <v>3231</v>
      </c>
      <c r="C18" s="923"/>
      <c r="D18" s="923"/>
      <c r="E18" s="923"/>
      <c r="G18" s="4266" t="s">
        <v>2728</v>
      </c>
      <c r="H18" s="4266"/>
    </row>
    <row r="19" spans="1:8" ht="12" hidden="1" customHeight="1">
      <c r="B19" s="4266"/>
      <c r="C19" s="4266"/>
      <c r="D19" s="4266"/>
      <c r="E19" s="4266"/>
      <c r="F19" s="4266"/>
      <c r="G19" s="4266"/>
      <c r="H19" s="4266"/>
    </row>
    <row r="20" spans="1:8" ht="13.5" customHeight="1"/>
    <row r="21" spans="1:8" ht="12" customHeight="1">
      <c r="A21" s="779" t="s">
        <v>3138</v>
      </c>
    </row>
    <row r="22" spans="1:8" ht="3" customHeight="1"/>
    <row r="23" spans="1:8" ht="24.75" customHeight="1">
      <c r="A23" s="4333" t="s">
        <v>4829</v>
      </c>
      <c r="B23" s="4333"/>
      <c r="C23" s="4333"/>
      <c r="D23" s="4333"/>
      <c r="E23" s="4333"/>
      <c r="F23" s="4333"/>
      <c r="G23" s="4333"/>
      <c r="H23" s="4333"/>
    </row>
    <row r="24" spans="1:8" ht="9" customHeight="1" thickBot="1">
      <c r="A24" s="864"/>
    </row>
    <row r="25" spans="1:8" ht="16.2" customHeight="1" thickBot="1">
      <c r="A25" s="4334">
        <v>20</v>
      </c>
      <c r="B25" s="4335"/>
      <c r="C25" s="2378" t="s">
        <v>1018</v>
      </c>
    </row>
    <row r="26" spans="1:8" ht="9" customHeight="1">
      <c r="A26" s="864"/>
    </row>
    <row r="27" spans="1:8" ht="28.2" customHeight="1">
      <c r="A27" s="4332" t="s">
        <v>4834</v>
      </c>
      <c r="B27" s="4332"/>
      <c r="C27" s="4332"/>
      <c r="D27" s="4332"/>
      <c r="E27" s="4332"/>
      <c r="F27" s="4332"/>
      <c r="G27" s="4332"/>
      <c r="H27" s="4332"/>
    </row>
    <row r="28" spans="1:8" ht="9" customHeight="1">
      <c r="A28" s="864"/>
    </row>
    <row r="29" spans="1:8">
      <c r="A29" s="897" t="s">
        <v>3234</v>
      </c>
      <c r="B29" s="924" t="str">
        <f>IF('Part VI-Revenues &amp; Expenses'!$K$62=0,"",'Part VI-Revenues &amp; Expenses'!$K$62)</f>
        <v/>
      </c>
      <c r="C29" s="897" t="s">
        <v>4827</v>
      </c>
      <c r="D29" s="925" t="s">
        <v>4828</v>
      </c>
    </row>
    <row r="30" spans="1:8" ht="1.8" customHeight="1"/>
    <row r="31" spans="1:8" ht="12.75" customHeight="1">
      <c r="C31" s="891" t="s">
        <v>3139</v>
      </c>
      <c r="D31" s="926" t="s">
        <v>1939</v>
      </c>
      <c r="E31" s="927"/>
      <c r="F31" s="4252" t="s">
        <v>3140</v>
      </c>
      <c r="G31" s="4252"/>
      <c r="H31" s="4252"/>
    </row>
    <row r="32" spans="1:8" ht="12.75" customHeight="1">
      <c r="C32" s="928" t="s">
        <v>1326</v>
      </c>
      <c r="D32" s="926" t="s">
        <v>1941</v>
      </c>
      <c r="E32" s="4252" t="s">
        <v>3239</v>
      </c>
      <c r="F32" s="4252"/>
      <c r="G32" s="4252"/>
      <c r="H32" s="4252"/>
    </row>
    <row r="33" spans="1:11" ht="12.75" customHeight="1">
      <c r="C33" s="2376" t="s">
        <v>4832</v>
      </c>
      <c r="E33" s="4252" t="s">
        <v>3401</v>
      </c>
      <c r="F33" s="4252"/>
      <c r="G33" s="4252"/>
      <c r="H33" s="4252"/>
    </row>
    <row r="34" spans="1:11" ht="12.75" customHeight="1">
      <c r="C34" s="2377"/>
      <c r="D34" s="2375" t="s">
        <v>3238</v>
      </c>
      <c r="E34" s="4328" t="s">
        <v>3402</v>
      </c>
      <c r="F34" s="4328"/>
      <c r="G34" s="4328"/>
      <c r="H34" s="4328"/>
    </row>
    <row r="35" spans="1:11" ht="3" customHeight="1">
      <c r="D35" s="926"/>
      <c r="E35" s="2373"/>
      <c r="F35" s="2373"/>
      <c r="G35" s="2373"/>
      <c r="H35" s="2373"/>
    </row>
    <row r="36" spans="1:11" ht="12.75" customHeight="1">
      <c r="C36" s="891" t="s">
        <v>3139</v>
      </c>
      <c r="D36" s="926" t="s">
        <v>1939</v>
      </c>
      <c r="E36" s="927"/>
      <c r="F36" s="923" t="s">
        <v>3140</v>
      </c>
      <c r="G36" s="923"/>
      <c r="H36" s="923"/>
    </row>
    <row r="37" spans="1:11" ht="12.75" customHeight="1">
      <c r="C37" s="928" t="s">
        <v>1326</v>
      </c>
      <c r="D37" s="926" t="s">
        <v>1941</v>
      </c>
      <c r="E37" s="4252" t="s">
        <v>3239</v>
      </c>
      <c r="F37" s="4252"/>
      <c r="G37" s="4252"/>
      <c r="H37" s="4252"/>
    </row>
    <row r="38" spans="1:11" ht="12.75" customHeight="1">
      <c r="C38" s="2376" t="s">
        <v>4832</v>
      </c>
      <c r="E38" s="4252" t="s">
        <v>3401</v>
      </c>
      <c r="F38" s="4252"/>
      <c r="G38" s="4252"/>
      <c r="H38" s="4252"/>
    </row>
    <row r="39" spans="1:11" ht="12.75" customHeight="1">
      <c r="C39" s="2377"/>
      <c r="D39" s="2375" t="s">
        <v>3238</v>
      </c>
      <c r="E39" s="4328" t="s">
        <v>3402</v>
      </c>
      <c r="F39" s="4328"/>
      <c r="G39" s="4328"/>
      <c r="H39" s="4328"/>
    </row>
    <row r="40" spans="1:11" ht="3" customHeight="1">
      <c r="D40" s="926"/>
      <c r="E40" s="2373"/>
      <c r="F40" s="2373"/>
      <c r="G40" s="2373"/>
      <c r="H40" s="2373"/>
    </row>
    <row r="41" spans="1:11" ht="12.75" customHeight="1">
      <c r="C41" s="891" t="s">
        <v>3139</v>
      </c>
      <c r="D41" s="926" t="s">
        <v>1939</v>
      </c>
      <c r="E41" s="927"/>
      <c r="F41" s="923" t="s">
        <v>3140</v>
      </c>
      <c r="G41" s="923"/>
      <c r="H41" s="923"/>
    </row>
    <row r="42" spans="1:11" ht="12.75" customHeight="1">
      <c r="C42" s="928" t="s">
        <v>1326</v>
      </c>
      <c r="D42" s="926" t="s">
        <v>1941</v>
      </c>
      <c r="E42" s="4252" t="s">
        <v>3239</v>
      </c>
      <c r="F42" s="4252"/>
      <c r="G42" s="4252"/>
      <c r="H42" s="4252"/>
    </row>
    <row r="43" spans="1:11" ht="12.75" customHeight="1">
      <c r="C43" s="2376" t="s">
        <v>4832</v>
      </c>
      <c r="E43" s="4252" t="s">
        <v>3401</v>
      </c>
      <c r="F43" s="4252"/>
      <c r="G43" s="4252"/>
      <c r="H43" s="4252"/>
    </row>
    <row r="44" spans="1:11" ht="12.75" customHeight="1">
      <c r="C44" s="2377"/>
      <c r="D44" s="2375" t="s">
        <v>3238</v>
      </c>
      <c r="E44" s="4328" t="s">
        <v>3402</v>
      </c>
      <c r="F44" s="4328"/>
      <c r="G44" s="4328"/>
      <c r="H44" s="4328"/>
    </row>
    <row r="45" spans="1:11" ht="6" customHeight="1">
      <c r="D45" s="926"/>
      <c r="E45" s="2373"/>
      <c r="F45" s="2373"/>
      <c r="G45" s="2373"/>
      <c r="H45" s="2373"/>
    </row>
    <row r="46" spans="1:11">
      <c r="A46" s="897" t="s">
        <v>3234</v>
      </c>
      <c r="B46" s="924" t="str">
        <f>IF('Part VI-Revenues &amp; Expenses'!$L$62=0,"",'Part VI-Revenues &amp; Expenses'!$L$62)</f>
        <v/>
      </c>
      <c r="C46" s="897" t="s">
        <v>3235</v>
      </c>
      <c r="D46" s="925" t="s">
        <v>3403</v>
      </c>
    </row>
    <row r="47" spans="1:11" ht="1.8" customHeight="1">
      <c r="K47" s="2395"/>
    </row>
    <row r="48" spans="1:11" ht="12.75" customHeight="1">
      <c r="C48" s="891" t="s">
        <v>3139</v>
      </c>
      <c r="D48" s="926" t="s">
        <v>1939</v>
      </c>
      <c r="E48" s="927"/>
      <c r="F48" s="923" t="s">
        <v>3140</v>
      </c>
      <c r="G48" s="923"/>
      <c r="H48" s="923"/>
      <c r="K48" s="2395"/>
    </row>
    <row r="49" spans="1:11" ht="12.75" customHeight="1">
      <c r="C49" s="928" t="s">
        <v>1326</v>
      </c>
      <c r="D49" s="926" t="s">
        <v>1941</v>
      </c>
      <c r="E49" s="4252" t="s">
        <v>3239</v>
      </c>
      <c r="F49" s="4252"/>
      <c r="G49" s="4252"/>
      <c r="H49" s="4252"/>
      <c r="K49" s="2395"/>
    </row>
    <row r="50" spans="1:11" ht="12.75" customHeight="1">
      <c r="C50" s="2376" t="s">
        <v>4832</v>
      </c>
      <c r="E50" s="4252" t="s">
        <v>3401</v>
      </c>
      <c r="F50" s="4252"/>
      <c r="G50" s="4252"/>
      <c r="H50" s="4252"/>
    </row>
    <row r="51" spans="1:11" ht="12.75" customHeight="1">
      <c r="C51" s="2377"/>
      <c r="D51" s="2374" t="s">
        <v>3238</v>
      </c>
      <c r="E51" s="4327" t="s">
        <v>3402</v>
      </c>
      <c r="F51" s="4327"/>
      <c r="G51" s="4327"/>
      <c r="H51" s="4327"/>
    </row>
    <row r="52" spans="1:11" ht="3" customHeight="1">
      <c r="D52" s="926"/>
      <c r="E52" s="2373"/>
      <c r="F52" s="2373"/>
      <c r="G52" s="2373"/>
      <c r="H52" s="2373"/>
    </row>
    <row r="53" spans="1:11" ht="12.75" customHeight="1">
      <c r="C53" s="891" t="s">
        <v>3139</v>
      </c>
      <c r="D53" s="926" t="s">
        <v>1939</v>
      </c>
      <c r="E53" s="927"/>
      <c r="F53" s="923" t="s">
        <v>3140</v>
      </c>
      <c r="G53" s="923"/>
      <c r="H53" s="923"/>
    </row>
    <row r="54" spans="1:11" ht="12.75" customHeight="1">
      <c r="C54" s="928" t="s">
        <v>1326</v>
      </c>
      <c r="D54" s="926" t="s">
        <v>1941</v>
      </c>
      <c r="E54" s="4252" t="s">
        <v>3239</v>
      </c>
      <c r="F54" s="4252"/>
      <c r="G54" s="4252"/>
      <c r="H54" s="4252"/>
    </row>
    <row r="55" spans="1:11" ht="12.75" customHeight="1">
      <c r="C55" s="2376" t="s">
        <v>4832</v>
      </c>
      <c r="E55" s="4252" t="s">
        <v>3401</v>
      </c>
      <c r="F55" s="4252"/>
      <c r="G55" s="4252"/>
      <c r="H55" s="4252"/>
    </row>
    <row r="56" spans="1:11" ht="12.75" customHeight="1">
      <c r="C56" s="2377"/>
      <c r="D56" s="2375" t="s">
        <v>3238</v>
      </c>
      <c r="E56" s="4328" t="s">
        <v>3402</v>
      </c>
      <c r="F56" s="4328"/>
      <c r="G56" s="4328"/>
      <c r="H56" s="4328"/>
    </row>
    <row r="57" spans="1:11" ht="3" customHeight="1">
      <c r="D57" s="926"/>
      <c r="E57" s="2373"/>
      <c r="F57" s="2373"/>
      <c r="G57" s="2373"/>
      <c r="H57" s="2373"/>
    </row>
    <row r="58" spans="1:11" ht="12.75" customHeight="1">
      <c r="C58" s="891" t="s">
        <v>3139</v>
      </c>
      <c r="D58" s="926" t="s">
        <v>1939</v>
      </c>
      <c r="E58" s="927"/>
      <c r="F58" s="923" t="s">
        <v>3140</v>
      </c>
      <c r="G58" s="923"/>
      <c r="H58" s="923"/>
    </row>
    <row r="59" spans="1:11" ht="12.75" customHeight="1">
      <c r="C59" s="928" t="s">
        <v>1326</v>
      </c>
      <c r="D59" s="926" t="s">
        <v>1941</v>
      </c>
      <c r="E59" s="4252" t="s">
        <v>3239</v>
      </c>
      <c r="F59" s="4252"/>
      <c r="G59" s="4252"/>
      <c r="H59" s="4252"/>
    </row>
    <row r="60" spans="1:11" ht="12.75" customHeight="1">
      <c r="C60" s="2376" t="s">
        <v>4832</v>
      </c>
      <c r="E60" s="4252" t="s">
        <v>3401</v>
      </c>
      <c r="F60" s="4252"/>
      <c r="G60" s="4252"/>
      <c r="H60" s="4252"/>
    </row>
    <row r="61" spans="1:11" ht="12.75" customHeight="1">
      <c r="C61" s="2377"/>
      <c r="D61" s="2375" t="s">
        <v>3238</v>
      </c>
      <c r="E61" s="4328" t="s">
        <v>3402</v>
      </c>
      <c r="F61" s="4328"/>
      <c r="G61" s="4328"/>
      <c r="H61" s="4328"/>
    </row>
    <row r="62" spans="1:11" ht="6" customHeight="1">
      <c r="D62" s="926"/>
      <c r="E62" s="1561"/>
      <c r="F62" s="1561"/>
      <c r="G62" s="1561"/>
      <c r="H62" s="1561"/>
    </row>
    <row r="63" spans="1:11">
      <c r="A63" s="897" t="s">
        <v>3234</v>
      </c>
      <c r="B63" s="924" t="str">
        <f>IF('Part VI-Revenues &amp; Expenses'!$M$62=0,"",'Part VI-Revenues &amp; Expenses'!$M$62)</f>
        <v/>
      </c>
      <c r="C63" s="897" t="s">
        <v>3236</v>
      </c>
      <c r="D63" s="925" t="s">
        <v>3404</v>
      </c>
    </row>
    <row r="64" spans="1:11" ht="1.8" customHeight="1"/>
    <row r="65" spans="1:8" ht="12.75" customHeight="1">
      <c r="C65" s="891" t="s">
        <v>3139</v>
      </c>
      <c r="D65" s="926" t="s">
        <v>1939</v>
      </c>
      <c r="E65" s="927"/>
      <c r="F65" s="923" t="s">
        <v>3140</v>
      </c>
      <c r="G65" s="923"/>
      <c r="H65" s="923"/>
    </row>
    <row r="66" spans="1:8" ht="12.75" customHeight="1">
      <c r="C66" s="928" t="s">
        <v>1326</v>
      </c>
      <c r="D66" s="926" t="s">
        <v>1941</v>
      </c>
      <c r="E66" s="4252" t="s">
        <v>3239</v>
      </c>
      <c r="F66" s="4252"/>
      <c r="G66" s="4252"/>
      <c r="H66" s="4252"/>
    </row>
    <row r="67" spans="1:8" ht="12.75" customHeight="1">
      <c r="C67" s="2376" t="s">
        <v>4832</v>
      </c>
      <c r="E67" s="4252" t="s">
        <v>3401</v>
      </c>
      <c r="F67" s="4252"/>
      <c r="G67" s="4252"/>
      <c r="H67" s="4252"/>
    </row>
    <row r="68" spans="1:8" ht="12.75" customHeight="1">
      <c r="C68" s="2377"/>
      <c r="D68" s="2374" t="s">
        <v>3238</v>
      </c>
      <c r="E68" s="4327" t="s">
        <v>3402</v>
      </c>
      <c r="F68" s="4327"/>
      <c r="G68" s="4327"/>
      <c r="H68" s="4327"/>
    </row>
    <row r="69" spans="1:8" ht="3" customHeight="1">
      <c r="D69" s="926"/>
      <c r="E69" s="1561"/>
      <c r="F69" s="1561"/>
      <c r="G69" s="1561"/>
      <c r="H69" s="1561"/>
    </row>
    <row r="70" spans="1:8" ht="12.75" customHeight="1">
      <c r="C70" s="891" t="s">
        <v>3139</v>
      </c>
      <c r="D70" s="926" t="s">
        <v>1939</v>
      </c>
      <c r="E70" s="927"/>
      <c r="F70" s="923" t="s">
        <v>3140</v>
      </c>
      <c r="G70" s="923"/>
      <c r="H70" s="923"/>
    </row>
    <row r="71" spans="1:8" ht="12.75" customHeight="1">
      <c r="C71" s="928" t="s">
        <v>1326</v>
      </c>
      <c r="D71" s="926" t="s">
        <v>1941</v>
      </c>
      <c r="E71" s="4252" t="s">
        <v>3239</v>
      </c>
      <c r="F71" s="4252"/>
      <c r="G71" s="4252"/>
      <c r="H71" s="4252"/>
    </row>
    <row r="72" spans="1:8" ht="12.75" customHeight="1">
      <c r="C72" s="2376" t="s">
        <v>4832</v>
      </c>
      <c r="E72" s="4252" t="s">
        <v>3401</v>
      </c>
      <c r="F72" s="4252"/>
      <c r="G72" s="4252"/>
      <c r="H72" s="4252"/>
    </row>
    <row r="73" spans="1:8" ht="12.75" customHeight="1">
      <c r="C73" s="2377"/>
      <c r="D73" s="2375" t="s">
        <v>3238</v>
      </c>
      <c r="E73" s="4328" t="s">
        <v>3402</v>
      </c>
      <c r="F73" s="4328"/>
      <c r="G73" s="4328"/>
      <c r="H73" s="4328"/>
    </row>
    <row r="74" spans="1:8" ht="3" customHeight="1">
      <c r="D74" s="926"/>
      <c r="E74" s="2373"/>
      <c r="F74" s="2373"/>
      <c r="G74" s="2373"/>
      <c r="H74" s="2373"/>
    </row>
    <row r="75" spans="1:8" ht="12.75" customHeight="1">
      <c r="C75" s="891" t="s">
        <v>3139</v>
      </c>
      <c r="D75" s="926" t="s">
        <v>1939</v>
      </c>
      <c r="E75" s="927"/>
      <c r="F75" s="923" t="s">
        <v>3140</v>
      </c>
      <c r="G75" s="923"/>
      <c r="H75" s="923"/>
    </row>
    <row r="76" spans="1:8" ht="12.75" customHeight="1">
      <c r="C76" s="928" t="s">
        <v>1326</v>
      </c>
      <c r="D76" s="926" t="s">
        <v>1941</v>
      </c>
      <c r="E76" s="4252" t="s">
        <v>3239</v>
      </c>
      <c r="F76" s="4252"/>
      <c r="G76" s="4252"/>
      <c r="H76" s="4252"/>
    </row>
    <row r="77" spans="1:8" ht="12.75" customHeight="1">
      <c r="C77" s="2376" t="s">
        <v>4832</v>
      </c>
      <c r="E77" s="4252" t="s">
        <v>3401</v>
      </c>
      <c r="F77" s="4252"/>
      <c r="G77" s="4252"/>
      <c r="H77" s="4252"/>
    </row>
    <row r="78" spans="1:8" ht="12.75" customHeight="1">
      <c r="C78" s="2377"/>
      <c r="D78" s="2375" t="s">
        <v>3238</v>
      </c>
      <c r="E78" s="4328" t="s">
        <v>3402</v>
      </c>
      <c r="F78" s="4328"/>
      <c r="G78" s="4328"/>
      <c r="H78" s="4328"/>
    </row>
    <row r="79" spans="1:8" ht="6" customHeight="1">
      <c r="D79" s="926"/>
      <c r="E79" s="2373"/>
      <c r="F79" s="2373"/>
      <c r="G79" s="2373"/>
      <c r="H79" s="2373"/>
    </row>
    <row r="80" spans="1:8">
      <c r="A80" s="897" t="s">
        <v>3234</v>
      </c>
      <c r="B80" s="924" t="str">
        <f>IF('Part VI-Revenues &amp; Expenses'!$N$62=0,"",'Part VI-Revenues &amp; Expenses'!$N$62)</f>
        <v/>
      </c>
      <c r="C80" s="897" t="s">
        <v>3237</v>
      </c>
      <c r="D80" s="925" t="s">
        <v>3405</v>
      </c>
    </row>
    <row r="81" spans="3:8" ht="1.8" customHeight="1"/>
    <row r="82" spans="3:8" ht="12.75" customHeight="1">
      <c r="C82" s="891" t="s">
        <v>3139</v>
      </c>
      <c r="D82" s="926" t="s">
        <v>1939</v>
      </c>
      <c r="E82" s="927"/>
      <c r="F82" s="923" t="s">
        <v>3140</v>
      </c>
      <c r="G82" s="923"/>
      <c r="H82" s="923"/>
    </row>
    <row r="83" spans="3:8" ht="12.75" customHeight="1">
      <c r="C83" s="928" t="s">
        <v>1326</v>
      </c>
      <c r="D83" s="926" t="s">
        <v>1941</v>
      </c>
      <c r="E83" s="4252" t="s">
        <v>3239</v>
      </c>
      <c r="F83" s="4252"/>
      <c r="G83" s="4252"/>
      <c r="H83" s="4252"/>
    </row>
    <row r="84" spans="3:8" ht="12.75" customHeight="1">
      <c r="C84" s="2376" t="s">
        <v>4832</v>
      </c>
      <c r="E84" s="4252" t="s">
        <v>3401</v>
      </c>
      <c r="F84" s="4252"/>
      <c r="G84" s="4252"/>
      <c r="H84" s="4252"/>
    </row>
    <row r="85" spans="3:8" ht="12.75" customHeight="1">
      <c r="C85" s="2377"/>
      <c r="D85" s="2374" t="s">
        <v>3238</v>
      </c>
      <c r="E85" s="4327" t="s">
        <v>3402</v>
      </c>
      <c r="F85" s="4327"/>
      <c r="G85" s="4327"/>
      <c r="H85" s="4327"/>
    </row>
    <row r="86" spans="3:8" ht="3" customHeight="1">
      <c r="D86" s="926"/>
      <c r="E86" s="2373"/>
      <c r="F86" s="2373"/>
      <c r="G86" s="2373"/>
      <c r="H86" s="2373"/>
    </row>
    <row r="87" spans="3:8" ht="12.75" customHeight="1">
      <c r="C87" s="891" t="s">
        <v>3139</v>
      </c>
      <c r="D87" s="926" t="s">
        <v>1939</v>
      </c>
      <c r="E87" s="927"/>
      <c r="F87" s="923" t="s">
        <v>3140</v>
      </c>
      <c r="G87" s="923"/>
      <c r="H87" s="923"/>
    </row>
    <row r="88" spans="3:8" ht="12.75" customHeight="1">
      <c r="C88" s="928" t="s">
        <v>1326</v>
      </c>
      <c r="D88" s="926" t="s">
        <v>1941</v>
      </c>
      <c r="E88" s="4252" t="s">
        <v>3239</v>
      </c>
      <c r="F88" s="4252"/>
      <c r="G88" s="4252"/>
      <c r="H88" s="4252"/>
    </row>
    <row r="89" spans="3:8" ht="12.75" customHeight="1">
      <c r="C89" s="2376" t="s">
        <v>4832</v>
      </c>
      <c r="E89" s="4252" t="s">
        <v>3401</v>
      </c>
      <c r="F89" s="4252"/>
      <c r="G89" s="4252"/>
      <c r="H89" s="4252"/>
    </row>
    <row r="90" spans="3:8" ht="12.75" customHeight="1">
      <c r="C90" s="2377"/>
      <c r="D90" s="2375" t="s">
        <v>3238</v>
      </c>
      <c r="E90" s="4328" t="s">
        <v>3402</v>
      </c>
      <c r="F90" s="4328"/>
      <c r="G90" s="4328"/>
      <c r="H90" s="4328"/>
    </row>
    <row r="91" spans="3:8" ht="3" customHeight="1">
      <c r="D91" s="926"/>
      <c r="E91" s="2373"/>
      <c r="F91" s="2373"/>
      <c r="G91" s="2373"/>
      <c r="H91" s="2373"/>
    </row>
    <row r="92" spans="3:8" ht="12.75" customHeight="1">
      <c r="C92" s="891" t="s">
        <v>3139</v>
      </c>
      <c r="D92" s="926" t="s">
        <v>1939</v>
      </c>
      <c r="E92" s="927"/>
      <c r="F92" s="923" t="s">
        <v>3140</v>
      </c>
      <c r="G92" s="923"/>
      <c r="H92" s="923"/>
    </row>
    <row r="93" spans="3:8" ht="12.75" customHeight="1">
      <c r="C93" s="928" t="s">
        <v>1326</v>
      </c>
      <c r="D93" s="926" t="s">
        <v>1941</v>
      </c>
      <c r="E93" s="4252" t="s">
        <v>3239</v>
      </c>
      <c r="F93" s="4252"/>
      <c r="G93" s="4252"/>
      <c r="H93" s="4252"/>
    </row>
    <row r="94" spans="3:8" ht="12.75" customHeight="1">
      <c r="C94" s="2376" t="s">
        <v>4832</v>
      </c>
      <c r="E94" s="4252" t="s">
        <v>3401</v>
      </c>
      <c r="F94" s="4252"/>
      <c r="G94" s="4252"/>
      <c r="H94" s="4252"/>
    </row>
    <row r="95" spans="3:8" ht="12.75" customHeight="1">
      <c r="C95" s="2377"/>
      <c r="D95" s="2375" t="s">
        <v>3238</v>
      </c>
      <c r="E95" s="4328" t="s">
        <v>3402</v>
      </c>
      <c r="F95" s="4328"/>
      <c r="G95" s="4328"/>
      <c r="H95" s="4328"/>
    </row>
    <row r="96" spans="3:8" ht="6" customHeight="1">
      <c r="D96" s="926"/>
      <c r="E96" s="2373"/>
      <c r="F96" s="2373"/>
      <c r="G96" s="2373"/>
      <c r="H96" s="2373"/>
    </row>
    <row r="97" spans="1:11">
      <c r="A97" s="897" t="s">
        <v>3234</v>
      </c>
      <c r="B97" s="924" t="str">
        <f>IF('Part VI-Revenues &amp; Expenses'!$O$62=0,"",'Part VI-Revenues &amp; Expenses'!$O$62)</f>
        <v/>
      </c>
      <c r="C97" s="897" t="s">
        <v>4830</v>
      </c>
      <c r="D97" s="925" t="s">
        <v>4831</v>
      </c>
    </row>
    <row r="98" spans="1:11" ht="1.8" customHeight="1"/>
    <row r="99" spans="1:11" ht="12.75" customHeight="1">
      <c r="C99" s="891" t="s">
        <v>3139</v>
      </c>
      <c r="D99" s="926" t="s">
        <v>1939</v>
      </c>
      <c r="E99" s="927"/>
      <c r="F99" s="4252" t="s">
        <v>3140</v>
      </c>
      <c r="G99" s="4252"/>
      <c r="H99" s="4252"/>
      <c r="K99" s="842" t="s">
        <v>238</v>
      </c>
    </row>
    <row r="100" spans="1:11" ht="12.75" customHeight="1">
      <c r="C100" s="928" t="s">
        <v>1326</v>
      </c>
      <c r="D100" s="926" t="s">
        <v>1941</v>
      </c>
      <c r="E100" s="4252" t="s">
        <v>3240</v>
      </c>
      <c r="F100" s="4252"/>
      <c r="G100" s="4252"/>
      <c r="H100" s="4252"/>
    </row>
    <row r="101" spans="1:11" ht="12.75" customHeight="1">
      <c r="E101" s="4252" t="s">
        <v>3401</v>
      </c>
      <c r="F101" s="4252"/>
      <c r="G101" s="4252"/>
      <c r="H101" s="4252"/>
    </row>
    <row r="102" spans="1:11" ht="12.75" customHeight="1">
      <c r="D102" s="929" t="s">
        <v>3238</v>
      </c>
      <c r="E102" s="4252" t="s">
        <v>3402</v>
      </c>
      <c r="F102" s="4252"/>
      <c r="G102" s="4252"/>
      <c r="H102" s="4252"/>
    </row>
    <row r="103" spans="1:11" ht="9" customHeight="1" thickBot="1"/>
    <row r="104" spans="1:11" ht="16.2" customHeight="1" thickBot="1">
      <c r="A104" s="4334">
        <v>30</v>
      </c>
      <c r="B104" s="4335"/>
      <c r="C104" s="2378" t="s">
        <v>1018</v>
      </c>
    </row>
    <row r="105" spans="1:11" ht="9" customHeight="1">
      <c r="A105" s="864"/>
    </row>
    <row r="106" spans="1:11" ht="28.2" customHeight="1">
      <c r="A106" s="4332" t="s">
        <v>4835</v>
      </c>
      <c r="B106" s="4332"/>
      <c r="C106" s="4332"/>
      <c r="D106" s="4332"/>
      <c r="E106" s="4332"/>
      <c r="F106" s="4332"/>
      <c r="G106" s="4332"/>
      <c r="H106" s="4332"/>
    </row>
    <row r="107" spans="1:11" ht="9" customHeight="1">
      <c r="A107" s="864"/>
    </row>
    <row r="108" spans="1:11">
      <c r="A108" s="897" t="s">
        <v>3234</v>
      </c>
      <c r="B108" s="924" t="str">
        <f>IF('Part VI-Revenues &amp; Expenses'!$K$61=0,"",'Part VI-Revenues &amp; Expenses'!$K$61)</f>
        <v/>
      </c>
      <c r="C108" s="897" t="s">
        <v>4827</v>
      </c>
      <c r="D108" s="925" t="s">
        <v>4828</v>
      </c>
    </row>
    <row r="109" spans="1:11" ht="1.8" customHeight="1"/>
    <row r="110" spans="1:11" ht="12.75" customHeight="1">
      <c r="C110" s="891" t="s">
        <v>3139</v>
      </c>
      <c r="D110" s="926" t="s">
        <v>1939</v>
      </c>
      <c r="E110" s="927"/>
      <c r="F110" s="4252" t="s">
        <v>3140</v>
      </c>
      <c r="G110" s="4252"/>
      <c r="H110" s="4252"/>
    </row>
    <row r="111" spans="1:11" ht="12.75" customHeight="1">
      <c r="C111" s="928" t="s">
        <v>1326</v>
      </c>
      <c r="D111" s="926" t="s">
        <v>1941</v>
      </c>
      <c r="E111" s="4252" t="s">
        <v>3239</v>
      </c>
      <c r="F111" s="4252"/>
      <c r="G111" s="4252"/>
      <c r="H111" s="4252"/>
    </row>
    <row r="112" spans="1:11" ht="12.75" customHeight="1">
      <c r="C112" s="2376" t="s">
        <v>4832</v>
      </c>
      <c r="E112" s="4252" t="s">
        <v>3401</v>
      </c>
      <c r="F112" s="4252"/>
      <c r="G112" s="4252"/>
      <c r="H112" s="4252"/>
    </row>
    <row r="113" spans="1:8" ht="12.75" customHeight="1">
      <c r="C113" s="2377"/>
      <c r="D113" s="2375" t="s">
        <v>3238</v>
      </c>
      <c r="E113" s="4328" t="s">
        <v>3402</v>
      </c>
      <c r="F113" s="4328"/>
      <c r="G113" s="4328"/>
      <c r="H113" s="4328"/>
    </row>
    <row r="114" spans="1:8" ht="3" customHeight="1">
      <c r="D114" s="926"/>
      <c r="E114" s="2373"/>
      <c r="F114" s="2373"/>
      <c r="G114" s="2373"/>
      <c r="H114" s="2373"/>
    </row>
    <row r="115" spans="1:8" ht="12.75" customHeight="1">
      <c r="C115" s="891" t="s">
        <v>3139</v>
      </c>
      <c r="D115" s="926" t="s">
        <v>1939</v>
      </c>
      <c r="E115" s="927"/>
      <c r="F115" s="923" t="s">
        <v>3140</v>
      </c>
      <c r="G115" s="923"/>
      <c r="H115" s="923"/>
    </row>
    <row r="116" spans="1:8" ht="12.75" customHeight="1">
      <c r="C116" s="928" t="s">
        <v>1326</v>
      </c>
      <c r="D116" s="926" t="s">
        <v>1941</v>
      </c>
      <c r="E116" s="4252" t="s">
        <v>3239</v>
      </c>
      <c r="F116" s="4252"/>
      <c r="G116" s="4252"/>
      <c r="H116" s="4252"/>
    </row>
    <row r="117" spans="1:8" ht="12.75" customHeight="1">
      <c r="C117" s="2376" t="s">
        <v>4832</v>
      </c>
      <c r="E117" s="4252" t="s">
        <v>3401</v>
      </c>
      <c r="F117" s="4252"/>
      <c r="G117" s="4252"/>
      <c r="H117" s="4252"/>
    </row>
    <row r="118" spans="1:8" ht="12.75" customHeight="1">
      <c r="C118" s="2377"/>
      <c r="D118" s="2375" t="s">
        <v>3238</v>
      </c>
      <c r="E118" s="4328" t="s">
        <v>3402</v>
      </c>
      <c r="F118" s="4328"/>
      <c r="G118" s="4328"/>
      <c r="H118" s="4328"/>
    </row>
    <row r="119" spans="1:8" ht="3" customHeight="1">
      <c r="D119" s="926"/>
      <c r="E119" s="2373"/>
      <c r="F119" s="2373"/>
      <c r="G119" s="2373"/>
      <c r="H119" s="2373"/>
    </row>
    <row r="120" spans="1:8" ht="12.75" customHeight="1">
      <c r="C120" s="891" t="s">
        <v>3139</v>
      </c>
      <c r="D120" s="926" t="s">
        <v>1939</v>
      </c>
      <c r="E120" s="927"/>
      <c r="F120" s="923" t="s">
        <v>3140</v>
      </c>
      <c r="G120" s="923"/>
      <c r="H120" s="923"/>
    </row>
    <row r="121" spans="1:8" ht="12.75" customHeight="1">
      <c r="C121" s="928" t="s">
        <v>1326</v>
      </c>
      <c r="D121" s="926" t="s">
        <v>1941</v>
      </c>
      <c r="E121" s="4252" t="s">
        <v>3239</v>
      </c>
      <c r="F121" s="4252"/>
      <c r="G121" s="4252"/>
      <c r="H121" s="4252"/>
    </row>
    <row r="122" spans="1:8" ht="12.75" customHeight="1">
      <c r="C122" s="2376" t="s">
        <v>4832</v>
      </c>
      <c r="E122" s="4252" t="s">
        <v>3401</v>
      </c>
      <c r="F122" s="4252"/>
      <c r="G122" s="4252"/>
      <c r="H122" s="4252"/>
    </row>
    <row r="123" spans="1:8" ht="12.75" customHeight="1">
      <c r="C123" s="2377"/>
      <c r="D123" s="2375" t="s">
        <v>3238</v>
      </c>
      <c r="E123" s="4328" t="s">
        <v>3402</v>
      </c>
      <c r="F123" s="4328"/>
      <c r="G123" s="4328"/>
      <c r="H123" s="4328"/>
    </row>
    <row r="124" spans="1:8" ht="6" customHeight="1">
      <c r="D124" s="926"/>
      <c r="E124" s="2373"/>
      <c r="F124" s="2373"/>
      <c r="G124" s="2373"/>
      <c r="H124" s="2373"/>
    </row>
    <row r="125" spans="1:8">
      <c r="A125" s="897" t="s">
        <v>3234</v>
      </c>
      <c r="B125" s="924" t="str">
        <f>IF('Part VI-Revenues &amp; Expenses'!$L$61=0,"",'Part VI-Revenues &amp; Expenses'!$L$61)</f>
        <v/>
      </c>
      <c r="C125" s="897" t="s">
        <v>3235</v>
      </c>
      <c r="D125" s="925" t="s">
        <v>3403</v>
      </c>
    </row>
    <row r="126" spans="1:8" ht="1.8" customHeight="1"/>
    <row r="127" spans="1:8" ht="12.75" customHeight="1">
      <c r="C127" s="891" t="s">
        <v>3139</v>
      </c>
      <c r="D127" s="926" t="s">
        <v>1939</v>
      </c>
      <c r="E127" s="927"/>
      <c r="F127" s="923" t="s">
        <v>3140</v>
      </c>
      <c r="G127" s="923"/>
      <c r="H127" s="923"/>
    </row>
    <row r="128" spans="1:8" ht="12.75" customHeight="1">
      <c r="C128" s="928" t="s">
        <v>1326</v>
      </c>
      <c r="D128" s="926" t="s">
        <v>1941</v>
      </c>
      <c r="E128" s="4252" t="s">
        <v>3239</v>
      </c>
      <c r="F128" s="4252"/>
      <c r="G128" s="4252"/>
      <c r="H128" s="4252"/>
    </row>
    <row r="129" spans="1:8" ht="12.75" customHeight="1">
      <c r="C129" s="2376" t="s">
        <v>4832</v>
      </c>
      <c r="E129" s="4252" t="s">
        <v>3401</v>
      </c>
      <c r="F129" s="4252"/>
      <c r="G129" s="4252"/>
      <c r="H129" s="4252"/>
    </row>
    <row r="130" spans="1:8" ht="12.75" customHeight="1">
      <c r="C130" s="2377"/>
      <c r="D130" s="2374" t="s">
        <v>3238</v>
      </c>
      <c r="E130" s="4327" t="s">
        <v>3402</v>
      </c>
      <c r="F130" s="4327"/>
      <c r="G130" s="4327"/>
      <c r="H130" s="4327"/>
    </row>
    <row r="131" spans="1:8" ht="3" customHeight="1">
      <c r="D131" s="926"/>
      <c r="E131" s="2373"/>
      <c r="F131" s="2373"/>
      <c r="G131" s="2373"/>
      <c r="H131" s="2373"/>
    </row>
    <row r="132" spans="1:8" ht="12.75" customHeight="1">
      <c r="C132" s="891" t="s">
        <v>3139</v>
      </c>
      <c r="D132" s="926" t="s">
        <v>1939</v>
      </c>
      <c r="E132" s="927"/>
      <c r="F132" s="923" t="s">
        <v>3140</v>
      </c>
      <c r="G132" s="923"/>
      <c r="H132" s="923"/>
    </row>
    <row r="133" spans="1:8" ht="12.75" customHeight="1">
      <c r="C133" s="928" t="s">
        <v>1326</v>
      </c>
      <c r="D133" s="926" t="s">
        <v>1941</v>
      </c>
      <c r="E133" s="4252" t="s">
        <v>3239</v>
      </c>
      <c r="F133" s="4252"/>
      <c r="G133" s="4252"/>
      <c r="H133" s="4252"/>
    </row>
    <row r="134" spans="1:8" ht="12.75" customHeight="1">
      <c r="C134" s="2376" t="s">
        <v>4832</v>
      </c>
      <c r="E134" s="4252" t="s">
        <v>3401</v>
      </c>
      <c r="F134" s="4252"/>
      <c r="G134" s="4252"/>
      <c r="H134" s="4252"/>
    </row>
    <row r="135" spans="1:8" ht="12.75" customHeight="1">
      <c r="C135" s="2377"/>
      <c r="D135" s="2375" t="s">
        <v>3238</v>
      </c>
      <c r="E135" s="4328" t="s">
        <v>3402</v>
      </c>
      <c r="F135" s="4328"/>
      <c r="G135" s="4328"/>
      <c r="H135" s="4328"/>
    </row>
    <row r="136" spans="1:8" ht="3" customHeight="1">
      <c r="D136" s="926"/>
      <c r="E136" s="2373"/>
      <c r="F136" s="2373"/>
      <c r="G136" s="2373"/>
      <c r="H136" s="2373"/>
    </row>
    <row r="137" spans="1:8" ht="12.75" customHeight="1">
      <c r="C137" s="891" t="s">
        <v>3139</v>
      </c>
      <c r="D137" s="926" t="s">
        <v>1939</v>
      </c>
      <c r="E137" s="927"/>
      <c r="F137" s="923" t="s">
        <v>3140</v>
      </c>
      <c r="G137" s="923"/>
      <c r="H137" s="923"/>
    </row>
    <row r="138" spans="1:8" ht="12.75" customHeight="1">
      <c r="C138" s="928" t="s">
        <v>1326</v>
      </c>
      <c r="D138" s="926" t="s">
        <v>1941</v>
      </c>
      <c r="E138" s="4252" t="s">
        <v>3239</v>
      </c>
      <c r="F138" s="4252"/>
      <c r="G138" s="4252"/>
      <c r="H138" s="4252"/>
    </row>
    <row r="139" spans="1:8" ht="12.75" customHeight="1">
      <c r="C139" s="2376" t="s">
        <v>4832</v>
      </c>
      <c r="E139" s="4252" t="s">
        <v>3401</v>
      </c>
      <c r="F139" s="4252"/>
      <c r="G139" s="4252"/>
      <c r="H139" s="4252"/>
    </row>
    <row r="140" spans="1:8" ht="12.75" customHeight="1">
      <c r="C140" s="2377"/>
      <c r="D140" s="2375" t="s">
        <v>3238</v>
      </c>
      <c r="E140" s="4328" t="s">
        <v>3402</v>
      </c>
      <c r="F140" s="4328"/>
      <c r="G140" s="4328"/>
      <c r="H140" s="4328"/>
    </row>
    <row r="141" spans="1:8" ht="6" customHeight="1">
      <c r="D141" s="926"/>
      <c r="E141" s="2373"/>
      <c r="F141" s="2373"/>
      <c r="G141" s="2373"/>
      <c r="H141" s="2373"/>
    </row>
    <row r="142" spans="1:8">
      <c r="A142" s="897" t="s">
        <v>3234</v>
      </c>
      <c r="B142" s="924" t="str">
        <f>IF('Part VI-Revenues &amp; Expenses'!$M$61=0,"",'Part VI-Revenues &amp; Expenses'!$M$61)</f>
        <v/>
      </c>
      <c r="C142" s="897" t="s">
        <v>3236</v>
      </c>
      <c r="D142" s="925" t="s">
        <v>3404</v>
      </c>
    </row>
    <row r="143" spans="1:8" ht="1.8" customHeight="1"/>
    <row r="144" spans="1:8" ht="12.75" customHeight="1">
      <c r="C144" s="891" t="s">
        <v>3139</v>
      </c>
      <c r="D144" s="926" t="s">
        <v>1939</v>
      </c>
      <c r="E144" s="927"/>
      <c r="F144" s="923" t="s">
        <v>3140</v>
      </c>
      <c r="G144" s="923"/>
      <c r="H144" s="923"/>
    </row>
    <row r="145" spans="1:8" ht="12.75" customHeight="1">
      <c r="C145" s="928" t="s">
        <v>1326</v>
      </c>
      <c r="D145" s="926" t="s">
        <v>1941</v>
      </c>
      <c r="E145" s="4252" t="s">
        <v>3239</v>
      </c>
      <c r="F145" s="4252"/>
      <c r="G145" s="4252"/>
      <c r="H145" s="4252"/>
    </row>
    <row r="146" spans="1:8" ht="12.75" customHeight="1">
      <c r="C146" s="2376" t="s">
        <v>4832</v>
      </c>
      <c r="E146" s="4252" t="s">
        <v>3401</v>
      </c>
      <c r="F146" s="4252"/>
      <c r="G146" s="4252"/>
      <c r="H146" s="4252"/>
    </row>
    <row r="147" spans="1:8" ht="12.75" customHeight="1">
      <c r="C147" s="2377"/>
      <c r="D147" s="2374" t="s">
        <v>3238</v>
      </c>
      <c r="E147" s="4327" t="s">
        <v>3402</v>
      </c>
      <c r="F147" s="4327"/>
      <c r="G147" s="4327"/>
      <c r="H147" s="4327"/>
    </row>
    <row r="148" spans="1:8" ht="3" customHeight="1">
      <c r="D148" s="926"/>
      <c r="E148" s="2373"/>
      <c r="F148" s="2373"/>
      <c r="G148" s="2373"/>
      <c r="H148" s="2373"/>
    </row>
    <row r="149" spans="1:8" ht="12.75" customHeight="1">
      <c r="C149" s="891" t="s">
        <v>3139</v>
      </c>
      <c r="D149" s="926" t="s">
        <v>1939</v>
      </c>
      <c r="E149" s="927"/>
      <c r="F149" s="923" t="s">
        <v>3140</v>
      </c>
      <c r="G149" s="923"/>
      <c r="H149" s="923"/>
    </row>
    <row r="150" spans="1:8" ht="12.75" customHeight="1">
      <c r="C150" s="928" t="s">
        <v>1326</v>
      </c>
      <c r="D150" s="926" t="s">
        <v>1941</v>
      </c>
      <c r="E150" s="4252" t="s">
        <v>3239</v>
      </c>
      <c r="F150" s="4252"/>
      <c r="G150" s="4252"/>
      <c r="H150" s="4252"/>
    </row>
    <row r="151" spans="1:8" ht="12.75" customHeight="1">
      <c r="C151" s="2376" t="s">
        <v>4832</v>
      </c>
      <c r="E151" s="4252" t="s">
        <v>3401</v>
      </c>
      <c r="F151" s="4252"/>
      <c r="G151" s="4252"/>
      <c r="H151" s="4252"/>
    </row>
    <row r="152" spans="1:8" ht="12.75" customHeight="1">
      <c r="C152" s="2377"/>
      <c r="D152" s="2375" t="s">
        <v>3238</v>
      </c>
      <c r="E152" s="4328" t="s">
        <v>3402</v>
      </c>
      <c r="F152" s="4328"/>
      <c r="G152" s="4328"/>
      <c r="H152" s="4328"/>
    </row>
    <row r="153" spans="1:8" ht="3" customHeight="1">
      <c r="D153" s="926"/>
      <c r="E153" s="2373"/>
      <c r="F153" s="2373"/>
      <c r="G153" s="2373"/>
      <c r="H153" s="2373"/>
    </row>
    <row r="154" spans="1:8" ht="12.75" customHeight="1">
      <c r="C154" s="891" t="s">
        <v>3139</v>
      </c>
      <c r="D154" s="926" t="s">
        <v>1939</v>
      </c>
      <c r="E154" s="927"/>
      <c r="F154" s="923" t="s">
        <v>3140</v>
      </c>
      <c r="G154" s="923"/>
      <c r="H154" s="923"/>
    </row>
    <row r="155" spans="1:8" ht="12.75" customHeight="1">
      <c r="C155" s="928" t="s">
        <v>1326</v>
      </c>
      <c r="D155" s="926" t="s">
        <v>1941</v>
      </c>
      <c r="E155" s="4252" t="s">
        <v>3239</v>
      </c>
      <c r="F155" s="4252"/>
      <c r="G155" s="4252"/>
      <c r="H155" s="4252"/>
    </row>
    <row r="156" spans="1:8" ht="12.75" customHeight="1">
      <c r="C156" s="2376" t="s">
        <v>4832</v>
      </c>
      <c r="E156" s="4252" t="s">
        <v>3401</v>
      </c>
      <c r="F156" s="4252"/>
      <c r="G156" s="4252"/>
      <c r="H156" s="4252"/>
    </row>
    <row r="157" spans="1:8" ht="12.75" customHeight="1">
      <c r="C157" s="2377"/>
      <c r="D157" s="2375" t="s">
        <v>3238</v>
      </c>
      <c r="E157" s="4328" t="s">
        <v>3402</v>
      </c>
      <c r="F157" s="4328"/>
      <c r="G157" s="4328"/>
      <c r="H157" s="4328"/>
    </row>
    <row r="158" spans="1:8" ht="6" customHeight="1">
      <c r="D158" s="926"/>
      <c r="E158" s="2373"/>
      <c r="F158" s="2373"/>
      <c r="G158" s="2373"/>
      <c r="H158" s="2373"/>
    </row>
    <row r="159" spans="1:8">
      <c r="A159" s="897" t="s">
        <v>3234</v>
      </c>
      <c r="B159" s="924" t="str">
        <f>IF('Part VI-Revenues &amp; Expenses'!$N$61=0,"",'Part VI-Revenues &amp; Expenses'!$N$61)</f>
        <v/>
      </c>
      <c r="C159" s="897" t="s">
        <v>3237</v>
      </c>
      <c r="D159" s="925" t="s">
        <v>3405</v>
      </c>
    </row>
    <row r="160" spans="1:8" ht="1.8" customHeight="1"/>
    <row r="161" spans="1:8" ht="12.75" customHeight="1">
      <c r="C161" s="891" t="s">
        <v>3139</v>
      </c>
      <c r="D161" s="926" t="s">
        <v>1939</v>
      </c>
      <c r="E161" s="927"/>
      <c r="F161" s="923" t="s">
        <v>3140</v>
      </c>
      <c r="G161" s="923"/>
      <c r="H161" s="923"/>
    </row>
    <row r="162" spans="1:8" ht="12.75" customHeight="1">
      <c r="C162" s="928" t="s">
        <v>1326</v>
      </c>
      <c r="D162" s="926" t="s">
        <v>1941</v>
      </c>
      <c r="E162" s="4252" t="s">
        <v>3239</v>
      </c>
      <c r="F162" s="4252"/>
      <c r="G162" s="4252"/>
      <c r="H162" s="4252"/>
    </row>
    <row r="163" spans="1:8" ht="12.75" customHeight="1">
      <c r="C163" s="2376" t="s">
        <v>4832</v>
      </c>
      <c r="E163" s="4252" t="s">
        <v>3401</v>
      </c>
      <c r="F163" s="4252"/>
      <c r="G163" s="4252"/>
      <c r="H163" s="4252"/>
    </row>
    <row r="164" spans="1:8" ht="12.75" customHeight="1">
      <c r="C164" s="2377"/>
      <c r="D164" s="2374" t="s">
        <v>3238</v>
      </c>
      <c r="E164" s="4327" t="s">
        <v>3402</v>
      </c>
      <c r="F164" s="4327"/>
      <c r="G164" s="4327"/>
      <c r="H164" s="4327"/>
    </row>
    <row r="165" spans="1:8" ht="3" customHeight="1">
      <c r="D165" s="926"/>
      <c r="E165" s="2373"/>
      <c r="F165" s="2373"/>
      <c r="G165" s="2373"/>
      <c r="H165" s="2373"/>
    </row>
    <row r="166" spans="1:8" ht="12.75" customHeight="1">
      <c r="C166" s="891" t="s">
        <v>3139</v>
      </c>
      <c r="D166" s="926" t="s">
        <v>1939</v>
      </c>
      <c r="E166" s="927"/>
      <c r="F166" s="923" t="s">
        <v>3140</v>
      </c>
      <c r="G166" s="923"/>
      <c r="H166" s="923"/>
    </row>
    <row r="167" spans="1:8" ht="12.75" customHeight="1">
      <c r="C167" s="928" t="s">
        <v>1326</v>
      </c>
      <c r="D167" s="926" t="s">
        <v>1941</v>
      </c>
      <c r="E167" s="4252" t="s">
        <v>3239</v>
      </c>
      <c r="F167" s="4252"/>
      <c r="G167" s="4252"/>
      <c r="H167" s="4252"/>
    </row>
    <row r="168" spans="1:8" ht="12.75" customHeight="1">
      <c r="C168" s="2376" t="s">
        <v>4832</v>
      </c>
      <c r="E168" s="4252" t="s">
        <v>3401</v>
      </c>
      <c r="F168" s="4252"/>
      <c r="G168" s="4252"/>
      <c r="H168" s="4252"/>
    </row>
    <row r="169" spans="1:8" ht="12.75" customHeight="1">
      <c r="C169" s="2377"/>
      <c r="D169" s="2375" t="s">
        <v>3238</v>
      </c>
      <c r="E169" s="4328" t="s">
        <v>3402</v>
      </c>
      <c r="F169" s="4328"/>
      <c r="G169" s="4328"/>
      <c r="H169" s="4328"/>
    </row>
    <row r="170" spans="1:8" ht="3" customHeight="1">
      <c r="D170" s="926"/>
      <c r="E170" s="2373"/>
      <c r="F170" s="2373"/>
      <c r="G170" s="2373"/>
      <c r="H170" s="2373"/>
    </row>
    <row r="171" spans="1:8" ht="12.75" customHeight="1">
      <c r="C171" s="891" t="s">
        <v>3139</v>
      </c>
      <c r="D171" s="926" t="s">
        <v>1939</v>
      </c>
      <c r="E171" s="927"/>
      <c r="F171" s="923" t="s">
        <v>3140</v>
      </c>
      <c r="G171" s="923"/>
      <c r="H171" s="923"/>
    </row>
    <row r="172" spans="1:8" ht="12.75" customHeight="1">
      <c r="C172" s="928" t="s">
        <v>1326</v>
      </c>
      <c r="D172" s="926" t="s">
        <v>1941</v>
      </c>
      <c r="E172" s="4252" t="s">
        <v>3239</v>
      </c>
      <c r="F172" s="4252"/>
      <c r="G172" s="4252"/>
      <c r="H172" s="4252"/>
    </row>
    <row r="173" spans="1:8" ht="12.75" customHeight="1">
      <c r="C173" s="2376" t="s">
        <v>4832</v>
      </c>
      <c r="E173" s="4252" t="s">
        <v>3401</v>
      </c>
      <c r="F173" s="4252"/>
      <c r="G173" s="4252"/>
      <c r="H173" s="4252"/>
    </row>
    <row r="174" spans="1:8" ht="12.75" customHeight="1">
      <c r="C174" s="2377"/>
      <c r="D174" s="2375" t="s">
        <v>3238</v>
      </c>
      <c r="E174" s="4328" t="s">
        <v>3402</v>
      </c>
      <c r="F174" s="4328"/>
      <c r="G174" s="4328"/>
      <c r="H174" s="4328"/>
    </row>
    <row r="175" spans="1:8" ht="6" customHeight="1">
      <c r="D175" s="926"/>
      <c r="E175" s="2373"/>
      <c r="F175" s="2373"/>
      <c r="G175" s="2373"/>
      <c r="H175" s="2373"/>
    </row>
    <row r="176" spans="1:8">
      <c r="A176" s="897" t="s">
        <v>3234</v>
      </c>
      <c r="B176" s="924" t="str">
        <f>IF('Part VI-Revenues &amp; Expenses'!$O61=0,"",'Part VI-Revenues &amp; Expenses'!$O$61)</f>
        <v/>
      </c>
      <c r="C176" s="897" t="s">
        <v>4830</v>
      </c>
      <c r="D176" s="925" t="s">
        <v>4831</v>
      </c>
    </row>
    <row r="177" spans="1:11" ht="1.8" customHeight="1"/>
    <row r="178" spans="1:11" ht="12.75" customHeight="1">
      <c r="C178" s="891" t="s">
        <v>3139</v>
      </c>
      <c r="D178" s="926" t="s">
        <v>1939</v>
      </c>
      <c r="E178" s="927"/>
      <c r="F178" s="4252" t="s">
        <v>3140</v>
      </c>
      <c r="G178" s="4252"/>
      <c r="H178" s="4252"/>
      <c r="K178" s="842" t="s">
        <v>238</v>
      </c>
    </row>
    <row r="179" spans="1:11" ht="12.75" customHeight="1">
      <c r="C179" s="928" t="s">
        <v>1326</v>
      </c>
      <c r="D179" s="926" t="s">
        <v>1941</v>
      </c>
      <c r="E179" s="4252" t="s">
        <v>3240</v>
      </c>
      <c r="F179" s="4252"/>
      <c r="G179" s="4252"/>
      <c r="H179" s="4252"/>
    </row>
    <row r="180" spans="1:11" ht="12.75" customHeight="1">
      <c r="E180" s="4252" t="s">
        <v>3401</v>
      </c>
      <c r="F180" s="4252"/>
      <c r="G180" s="4252"/>
      <c r="H180" s="4252"/>
    </row>
    <row r="181" spans="1:11" ht="12.75" customHeight="1">
      <c r="D181" s="929" t="s">
        <v>3238</v>
      </c>
      <c r="E181" s="4252" t="s">
        <v>3402</v>
      </c>
      <c r="F181" s="4252"/>
      <c r="G181" s="4252"/>
      <c r="H181" s="4252"/>
    </row>
    <row r="182" spans="1:11" ht="9" customHeight="1" thickBot="1"/>
    <row r="183" spans="1:11" ht="16.2" customHeight="1" thickBot="1">
      <c r="A183" s="4334">
        <v>40</v>
      </c>
      <c r="B183" s="4335"/>
      <c r="C183" s="2378" t="s">
        <v>1018</v>
      </c>
    </row>
    <row r="184" spans="1:11" ht="9" customHeight="1">
      <c r="A184" s="864"/>
    </row>
    <row r="185" spans="1:11" ht="28.2" customHeight="1">
      <c r="A185" s="4332" t="s">
        <v>4836</v>
      </c>
      <c r="B185" s="4332"/>
      <c r="C185" s="4332"/>
      <c r="D185" s="4332"/>
      <c r="E185" s="4332"/>
      <c r="F185" s="4332"/>
      <c r="G185" s="4332"/>
      <c r="H185" s="4332"/>
    </row>
    <row r="186" spans="1:11" ht="9" customHeight="1">
      <c r="A186" s="864"/>
    </row>
    <row r="187" spans="1:11">
      <c r="A187" s="897" t="s">
        <v>3234</v>
      </c>
      <c r="B187" s="924" t="str">
        <f>IF('Part VI-Revenues &amp; Expenses'!$K$60=0,"",'Part VI-Revenues &amp; Expenses'!$K$60)</f>
        <v/>
      </c>
      <c r="C187" s="897" t="s">
        <v>4827</v>
      </c>
      <c r="D187" s="925" t="s">
        <v>4828</v>
      </c>
    </row>
    <row r="188" spans="1:11" ht="1.8" customHeight="1"/>
    <row r="189" spans="1:11" ht="12.75" customHeight="1">
      <c r="C189" s="891" t="s">
        <v>3139</v>
      </c>
      <c r="D189" s="926" t="s">
        <v>1939</v>
      </c>
      <c r="E189" s="927"/>
      <c r="F189" s="4252" t="s">
        <v>3140</v>
      </c>
      <c r="G189" s="4252"/>
      <c r="H189" s="4252"/>
    </row>
    <row r="190" spans="1:11" ht="12.75" customHeight="1">
      <c r="C190" s="928" t="s">
        <v>1326</v>
      </c>
      <c r="D190" s="926" t="s">
        <v>1941</v>
      </c>
      <c r="E190" s="4252" t="s">
        <v>3239</v>
      </c>
      <c r="F190" s="4252"/>
      <c r="G190" s="4252"/>
      <c r="H190" s="4252"/>
    </row>
    <row r="191" spans="1:11" ht="12.75" customHeight="1">
      <c r="C191" s="2376" t="s">
        <v>4832</v>
      </c>
      <c r="E191" s="4252" t="s">
        <v>3401</v>
      </c>
      <c r="F191" s="4252"/>
      <c r="G191" s="4252"/>
      <c r="H191" s="4252"/>
    </row>
    <row r="192" spans="1:11" ht="12.75" customHeight="1">
      <c r="C192" s="2377"/>
      <c r="D192" s="2375" t="s">
        <v>3238</v>
      </c>
      <c r="E192" s="4328" t="s">
        <v>3402</v>
      </c>
      <c r="F192" s="4328"/>
      <c r="G192" s="4328"/>
      <c r="H192" s="4328"/>
    </row>
    <row r="193" spans="1:8" ht="3" customHeight="1">
      <c r="D193" s="926"/>
      <c r="E193" s="2373"/>
      <c r="F193" s="2373"/>
      <c r="G193" s="2373"/>
      <c r="H193" s="2373"/>
    </row>
    <row r="194" spans="1:8" ht="12.75" customHeight="1">
      <c r="C194" s="891" t="s">
        <v>3139</v>
      </c>
      <c r="D194" s="926" t="s">
        <v>1939</v>
      </c>
      <c r="E194" s="927"/>
      <c r="F194" s="923" t="s">
        <v>3140</v>
      </c>
      <c r="G194" s="923"/>
      <c r="H194" s="923"/>
    </row>
    <row r="195" spans="1:8" ht="12.75" customHeight="1">
      <c r="C195" s="928" t="s">
        <v>1326</v>
      </c>
      <c r="D195" s="926" t="s">
        <v>1941</v>
      </c>
      <c r="E195" s="4252" t="s">
        <v>3239</v>
      </c>
      <c r="F195" s="4252"/>
      <c r="G195" s="4252"/>
      <c r="H195" s="4252"/>
    </row>
    <row r="196" spans="1:8" ht="12.75" customHeight="1">
      <c r="C196" s="2376" t="s">
        <v>4832</v>
      </c>
      <c r="E196" s="4252" t="s">
        <v>3401</v>
      </c>
      <c r="F196" s="4252"/>
      <c r="G196" s="4252"/>
      <c r="H196" s="4252"/>
    </row>
    <row r="197" spans="1:8" ht="12.75" customHeight="1">
      <c r="C197" s="2377"/>
      <c r="D197" s="2375" t="s">
        <v>3238</v>
      </c>
      <c r="E197" s="4328" t="s">
        <v>3402</v>
      </c>
      <c r="F197" s="4328"/>
      <c r="G197" s="4328"/>
      <c r="H197" s="4328"/>
    </row>
    <row r="198" spans="1:8" ht="3" customHeight="1">
      <c r="D198" s="926"/>
      <c r="E198" s="2373"/>
      <c r="F198" s="2373"/>
      <c r="G198" s="2373"/>
      <c r="H198" s="2373"/>
    </row>
    <row r="199" spans="1:8" ht="12.75" customHeight="1">
      <c r="C199" s="891" t="s">
        <v>3139</v>
      </c>
      <c r="D199" s="926" t="s">
        <v>1939</v>
      </c>
      <c r="E199" s="927"/>
      <c r="F199" s="923" t="s">
        <v>3140</v>
      </c>
      <c r="G199" s="923"/>
      <c r="H199" s="923"/>
    </row>
    <row r="200" spans="1:8" ht="12.75" customHeight="1">
      <c r="C200" s="928" t="s">
        <v>1326</v>
      </c>
      <c r="D200" s="926" t="s">
        <v>1941</v>
      </c>
      <c r="E200" s="4252" t="s">
        <v>3239</v>
      </c>
      <c r="F200" s="4252"/>
      <c r="G200" s="4252"/>
      <c r="H200" s="4252"/>
    </row>
    <row r="201" spans="1:8" ht="12.75" customHeight="1">
      <c r="C201" s="2376" t="s">
        <v>4832</v>
      </c>
      <c r="E201" s="4252" t="s">
        <v>3401</v>
      </c>
      <c r="F201" s="4252"/>
      <c r="G201" s="4252"/>
      <c r="H201" s="4252"/>
    </row>
    <row r="202" spans="1:8" ht="12.75" customHeight="1">
      <c r="C202" s="2377"/>
      <c r="D202" s="2375" t="s">
        <v>3238</v>
      </c>
      <c r="E202" s="4328" t="s">
        <v>3402</v>
      </c>
      <c r="F202" s="4328"/>
      <c r="G202" s="4328"/>
      <c r="H202" s="4328"/>
    </row>
    <row r="203" spans="1:8" ht="6" customHeight="1">
      <c r="D203" s="926"/>
      <c r="E203" s="2373"/>
      <c r="F203" s="2373"/>
      <c r="G203" s="2373"/>
      <c r="H203" s="2373"/>
    </row>
    <row r="204" spans="1:8">
      <c r="A204" s="897" t="s">
        <v>3234</v>
      </c>
      <c r="B204" s="924" t="str">
        <f>IF('Part VI-Revenues &amp; Expenses'!$L$60=0,"",'Part VI-Revenues &amp; Expenses'!$L$60)</f>
        <v/>
      </c>
      <c r="C204" s="897" t="s">
        <v>3235</v>
      </c>
      <c r="D204" s="925" t="s">
        <v>3403</v>
      </c>
    </row>
    <row r="205" spans="1:8" ht="1.8" customHeight="1"/>
    <row r="206" spans="1:8" ht="12.75" customHeight="1">
      <c r="C206" s="891" t="s">
        <v>3139</v>
      </c>
      <c r="D206" s="926" t="s">
        <v>1939</v>
      </c>
      <c r="E206" s="927"/>
      <c r="F206" s="923" t="s">
        <v>3140</v>
      </c>
      <c r="G206" s="923"/>
      <c r="H206" s="923"/>
    </row>
    <row r="207" spans="1:8" ht="12.75" customHeight="1">
      <c r="C207" s="928" t="s">
        <v>1326</v>
      </c>
      <c r="D207" s="926" t="s">
        <v>1941</v>
      </c>
      <c r="E207" s="4252" t="s">
        <v>3239</v>
      </c>
      <c r="F207" s="4252"/>
      <c r="G207" s="4252"/>
      <c r="H207" s="4252"/>
    </row>
    <row r="208" spans="1:8" ht="12.75" customHeight="1">
      <c r="C208" s="2376" t="s">
        <v>4832</v>
      </c>
      <c r="E208" s="4252" t="s">
        <v>3401</v>
      </c>
      <c r="F208" s="4252"/>
      <c r="G208" s="4252"/>
      <c r="H208" s="4252"/>
    </row>
    <row r="209" spans="1:8" ht="12.75" customHeight="1">
      <c r="C209" s="2377"/>
      <c r="D209" s="2374" t="s">
        <v>3238</v>
      </c>
      <c r="E209" s="4327" t="s">
        <v>3402</v>
      </c>
      <c r="F209" s="4327"/>
      <c r="G209" s="4327"/>
      <c r="H209" s="4327"/>
    </row>
    <row r="210" spans="1:8" ht="3" customHeight="1">
      <c r="D210" s="926"/>
      <c r="E210" s="2373"/>
      <c r="F210" s="2373"/>
      <c r="G210" s="2373"/>
      <c r="H210" s="2373"/>
    </row>
    <row r="211" spans="1:8" ht="12.75" customHeight="1">
      <c r="C211" s="891" t="s">
        <v>3139</v>
      </c>
      <c r="D211" s="926" t="s">
        <v>1939</v>
      </c>
      <c r="E211" s="927"/>
      <c r="F211" s="923" t="s">
        <v>3140</v>
      </c>
      <c r="G211" s="923"/>
      <c r="H211" s="923"/>
    </row>
    <row r="212" spans="1:8" ht="12.75" customHeight="1">
      <c r="C212" s="928" t="s">
        <v>1326</v>
      </c>
      <c r="D212" s="926" t="s">
        <v>1941</v>
      </c>
      <c r="E212" s="4252" t="s">
        <v>3239</v>
      </c>
      <c r="F212" s="4252"/>
      <c r="G212" s="4252"/>
      <c r="H212" s="4252"/>
    </row>
    <row r="213" spans="1:8" ht="12.75" customHeight="1">
      <c r="C213" s="2376" t="s">
        <v>4832</v>
      </c>
      <c r="E213" s="4252" t="s">
        <v>3401</v>
      </c>
      <c r="F213" s="4252"/>
      <c r="G213" s="4252"/>
      <c r="H213" s="4252"/>
    </row>
    <row r="214" spans="1:8" ht="12.75" customHeight="1">
      <c r="C214" s="2377"/>
      <c r="D214" s="2375" t="s">
        <v>3238</v>
      </c>
      <c r="E214" s="4328" t="s">
        <v>3402</v>
      </c>
      <c r="F214" s="4328"/>
      <c r="G214" s="4328"/>
      <c r="H214" s="4328"/>
    </row>
    <row r="215" spans="1:8" ht="3" customHeight="1">
      <c r="D215" s="926"/>
      <c r="E215" s="2373"/>
      <c r="F215" s="2373"/>
      <c r="G215" s="2373"/>
      <c r="H215" s="2373"/>
    </row>
    <row r="216" spans="1:8" ht="12.75" customHeight="1">
      <c r="C216" s="891" t="s">
        <v>3139</v>
      </c>
      <c r="D216" s="926" t="s">
        <v>1939</v>
      </c>
      <c r="E216" s="927"/>
      <c r="F216" s="923" t="s">
        <v>3140</v>
      </c>
      <c r="G216" s="923"/>
      <c r="H216" s="923"/>
    </row>
    <row r="217" spans="1:8" ht="12.75" customHeight="1">
      <c r="C217" s="928" t="s">
        <v>1326</v>
      </c>
      <c r="D217" s="926" t="s">
        <v>1941</v>
      </c>
      <c r="E217" s="4252" t="s">
        <v>3239</v>
      </c>
      <c r="F217" s="4252"/>
      <c r="G217" s="4252"/>
      <c r="H217" s="4252"/>
    </row>
    <row r="218" spans="1:8" ht="12.75" customHeight="1">
      <c r="C218" s="2376" t="s">
        <v>4832</v>
      </c>
      <c r="E218" s="4252" t="s">
        <v>3401</v>
      </c>
      <c r="F218" s="4252"/>
      <c r="G218" s="4252"/>
      <c r="H218" s="4252"/>
    </row>
    <row r="219" spans="1:8" ht="12.75" customHeight="1">
      <c r="C219" s="2377"/>
      <c r="D219" s="2375" t="s">
        <v>3238</v>
      </c>
      <c r="E219" s="4328" t="s">
        <v>3402</v>
      </c>
      <c r="F219" s="4328"/>
      <c r="G219" s="4328"/>
      <c r="H219" s="4328"/>
    </row>
    <row r="220" spans="1:8" ht="6" customHeight="1">
      <c r="D220" s="926"/>
      <c r="E220" s="2373"/>
      <c r="F220" s="2373"/>
      <c r="G220" s="2373"/>
      <c r="H220" s="2373"/>
    </row>
    <row r="221" spans="1:8">
      <c r="A221" s="897" t="s">
        <v>3234</v>
      </c>
      <c r="B221" s="924" t="str">
        <f>IF('Part VI-Revenues &amp; Expenses'!$M$60=0,"",'Part VI-Revenues &amp; Expenses'!$M$60)</f>
        <v/>
      </c>
      <c r="C221" s="897" t="s">
        <v>3236</v>
      </c>
      <c r="D221" s="925" t="s">
        <v>3404</v>
      </c>
    </row>
    <row r="222" spans="1:8" ht="1.8" customHeight="1"/>
    <row r="223" spans="1:8" ht="12.75" customHeight="1">
      <c r="C223" s="891" t="s">
        <v>3139</v>
      </c>
      <c r="D223" s="926" t="s">
        <v>1939</v>
      </c>
      <c r="E223" s="927"/>
      <c r="F223" s="923" t="s">
        <v>3140</v>
      </c>
      <c r="G223" s="923"/>
      <c r="H223" s="923"/>
    </row>
    <row r="224" spans="1:8" ht="12.75" customHeight="1">
      <c r="C224" s="928" t="s">
        <v>1326</v>
      </c>
      <c r="D224" s="926" t="s">
        <v>1941</v>
      </c>
      <c r="E224" s="4252" t="s">
        <v>3239</v>
      </c>
      <c r="F224" s="4252"/>
      <c r="G224" s="4252"/>
      <c r="H224" s="4252"/>
    </row>
    <row r="225" spans="1:8" ht="12.75" customHeight="1">
      <c r="C225" s="2376" t="s">
        <v>4832</v>
      </c>
      <c r="E225" s="4252" t="s">
        <v>3401</v>
      </c>
      <c r="F225" s="4252"/>
      <c r="G225" s="4252"/>
      <c r="H225" s="4252"/>
    </row>
    <row r="226" spans="1:8" ht="12.75" customHeight="1">
      <c r="C226" s="2377"/>
      <c r="D226" s="2374" t="s">
        <v>3238</v>
      </c>
      <c r="E226" s="4327" t="s">
        <v>3402</v>
      </c>
      <c r="F226" s="4327"/>
      <c r="G226" s="4327"/>
      <c r="H226" s="4327"/>
    </row>
    <row r="227" spans="1:8" ht="3" customHeight="1">
      <c r="D227" s="926"/>
      <c r="E227" s="2373"/>
      <c r="F227" s="2373"/>
      <c r="G227" s="2373"/>
      <c r="H227" s="2373"/>
    </row>
    <row r="228" spans="1:8" ht="12.75" customHeight="1">
      <c r="C228" s="891" t="s">
        <v>3139</v>
      </c>
      <c r="D228" s="926" t="s">
        <v>1939</v>
      </c>
      <c r="E228" s="927"/>
      <c r="F228" s="923" t="s">
        <v>3140</v>
      </c>
      <c r="G228" s="923"/>
      <c r="H228" s="923"/>
    </row>
    <row r="229" spans="1:8" ht="12.75" customHeight="1">
      <c r="C229" s="928" t="s">
        <v>1326</v>
      </c>
      <c r="D229" s="926" t="s">
        <v>1941</v>
      </c>
      <c r="E229" s="4252" t="s">
        <v>3239</v>
      </c>
      <c r="F229" s="4252"/>
      <c r="G229" s="4252"/>
      <c r="H229" s="4252"/>
    </row>
    <row r="230" spans="1:8" ht="12.75" customHeight="1">
      <c r="C230" s="2376" t="s">
        <v>4832</v>
      </c>
      <c r="E230" s="4252" t="s">
        <v>3401</v>
      </c>
      <c r="F230" s="4252"/>
      <c r="G230" s="4252"/>
      <c r="H230" s="4252"/>
    </row>
    <row r="231" spans="1:8" ht="12.75" customHeight="1">
      <c r="C231" s="2377"/>
      <c r="D231" s="2375" t="s">
        <v>3238</v>
      </c>
      <c r="E231" s="4328" t="s">
        <v>3402</v>
      </c>
      <c r="F231" s="4328"/>
      <c r="G231" s="4328"/>
      <c r="H231" s="4328"/>
    </row>
    <row r="232" spans="1:8" ht="3" customHeight="1">
      <c r="D232" s="926"/>
      <c r="E232" s="2373"/>
      <c r="F232" s="2373"/>
      <c r="G232" s="2373"/>
      <c r="H232" s="2373"/>
    </row>
    <row r="233" spans="1:8" ht="12.75" customHeight="1">
      <c r="C233" s="891" t="s">
        <v>3139</v>
      </c>
      <c r="D233" s="926" t="s">
        <v>1939</v>
      </c>
      <c r="E233" s="927"/>
      <c r="F233" s="923" t="s">
        <v>3140</v>
      </c>
      <c r="G233" s="923"/>
      <c r="H233" s="923"/>
    </row>
    <row r="234" spans="1:8" ht="12.75" customHeight="1">
      <c r="C234" s="928" t="s">
        <v>1326</v>
      </c>
      <c r="D234" s="926" t="s">
        <v>1941</v>
      </c>
      <c r="E234" s="4252" t="s">
        <v>3239</v>
      </c>
      <c r="F234" s="4252"/>
      <c r="G234" s="4252"/>
      <c r="H234" s="4252"/>
    </row>
    <row r="235" spans="1:8" ht="12.75" customHeight="1">
      <c r="C235" s="2376" t="s">
        <v>4832</v>
      </c>
      <c r="E235" s="4252" t="s">
        <v>3401</v>
      </c>
      <c r="F235" s="4252"/>
      <c r="G235" s="4252"/>
      <c r="H235" s="4252"/>
    </row>
    <row r="236" spans="1:8" ht="12.75" customHeight="1">
      <c r="C236" s="2377"/>
      <c r="D236" s="2375" t="s">
        <v>3238</v>
      </c>
      <c r="E236" s="4328" t="s">
        <v>3402</v>
      </c>
      <c r="F236" s="4328"/>
      <c r="G236" s="4328"/>
      <c r="H236" s="4328"/>
    </row>
    <row r="237" spans="1:8" ht="6" customHeight="1">
      <c r="D237" s="926"/>
      <c r="E237" s="2373"/>
      <c r="F237" s="2373"/>
      <c r="G237" s="2373"/>
      <c r="H237" s="2373"/>
    </row>
    <row r="238" spans="1:8">
      <c r="A238" s="897" t="s">
        <v>3234</v>
      </c>
      <c r="B238" s="924" t="str">
        <f>IF('Part VI-Revenues &amp; Expenses'!$N$60=0,"",'Part VI-Revenues &amp; Expenses'!$N$60)</f>
        <v/>
      </c>
      <c r="C238" s="897" t="s">
        <v>3237</v>
      </c>
      <c r="D238" s="925" t="s">
        <v>3405</v>
      </c>
    </row>
    <row r="239" spans="1:8" ht="1.8" customHeight="1"/>
    <row r="240" spans="1:8" ht="12.75" customHeight="1">
      <c r="C240" s="891" t="s">
        <v>3139</v>
      </c>
      <c r="D240" s="926" t="s">
        <v>1939</v>
      </c>
      <c r="E240" s="927"/>
      <c r="F240" s="923" t="s">
        <v>3140</v>
      </c>
      <c r="G240" s="923"/>
      <c r="H240" s="923"/>
    </row>
    <row r="241" spans="1:8" ht="12.75" customHeight="1">
      <c r="C241" s="928" t="s">
        <v>1326</v>
      </c>
      <c r="D241" s="926" t="s">
        <v>1941</v>
      </c>
      <c r="E241" s="4252" t="s">
        <v>3239</v>
      </c>
      <c r="F241" s="4252"/>
      <c r="G241" s="4252"/>
      <c r="H241" s="4252"/>
    </row>
    <row r="242" spans="1:8" ht="12.75" customHeight="1">
      <c r="C242" s="2376" t="s">
        <v>4832</v>
      </c>
      <c r="E242" s="4252" t="s">
        <v>3401</v>
      </c>
      <c r="F242" s="4252"/>
      <c r="G242" s="4252"/>
      <c r="H242" s="4252"/>
    </row>
    <row r="243" spans="1:8" ht="12.75" customHeight="1">
      <c r="C243" s="2377"/>
      <c r="D243" s="2374" t="s">
        <v>3238</v>
      </c>
      <c r="E243" s="4327" t="s">
        <v>3402</v>
      </c>
      <c r="F243" s="4327"/>
      <c r="G243" s="4327"/>
      <c r="H243" s="4327"/>
    </row>
    <row r="244" spans="1:8" ht="3" customHeight="1">
      <c r="D244" s="926"/>
      <c r="E244" s="2373"/>
      <c r="F244" s="2373"/>
      <c r="G244" s="2373"/>
      <c r="H244" s="2373"/>
    </row>
    <row r="245" spans="1:8" ht="12.75" customHeight="1">
      <c r="C245" s="891" t="s">
        <v>3139</v>
      </c>
      <c r="D245" s="926" t="s">
        <v>1939</v>
      </c>
      <c r="E245" s="927"/>
      <c r="F245" s="923" t="s">
        <v>3140</v>
      </c>
      <c r="G245" s="923"/>
      <c r="H245" s="923"/>
    </row>
    <row r="246" spans="1:8" ht="12.75" customHeight="1">
      <c r="C246" s="928" t="s">
        <v>1326</v>
      </c>
      <c r="D246" s="926" t="s">
        <v>1941</v>
      </c>
      <c r="E246" s="4252" t="s">
        <v>3239</v>
      </c>
      <c r="F246" s="4252"/>
      <c r="G246" s="4252"/>
      <c r="H246" s="4252"/>
    </row>
    <row r="247" spans="1:8" ht="12.75" customHeight="1">
      <c r="C247" s="2376" t="s">
        <v>4832</v>
      </c>
      <c r="E247" s="4252" t="s">
        <v>3401</v>
      </c>
      <c r="F247" s="4252"/>
      <c r="G247" s="4252"/>
      <c r="H247" s="4252"/>
    </row>
    <row r="248" spans="1:8" ht="12.75" customHeight="1">
      <c r="C248" s="2377"/>
      <c r="D248" s="2375" t="s">
        <v>3238</v>
      </c>
      <c r="E248" s="4328" t="s">
        <v>3402</v>
      </c>
      <c r="F248" s="4328"/>
      <c r="G248" s="4328"/>
      <c r="H248" s="4328"/>
    </row>
    <row r="249" spans="1:8" ht="3" customHeight="1">
      <c r="D249" s="926"/>
      <c r="E249" s="2373"/>
      <c r="F249" s="2373"/>
      <c r="G249" s="2373"/>
      <c r="H249" s="2373"/>
    </row>
    <row r="250" spans="1:8" ht="12.75" customHeight="1">
      <c r="C250" s="891" t="s">
        <v>3139</v>
      </c>
      <c r="D250" s="926" t="s">
        <v>1939</v>
      </c>
      <c r="E250" s="927"/>
      <c r="F250" s="923" t="s">
        <v>3140</v>
      </c>
      <c r="G250" s="923"/>
      <c r="H250" s="923"/>
    </row>
    <row r="251" spans="1:8" ht="12.75" customHeight="1">
      <c r="C251" s="928" t="s">
        <v>1326</v>
      </c>
      <c r="D251" s="926" t="s">
        <v>1941</v>
      </c>
      <c r="E251" s="4252" t="s">
        <v>3239</v>
      </c>
      <c r="F251" s="4252"/>
      <c r="G251" s="4252"/>
      <c r="H251" s="4252"/>
    </row>
    <row r="252" spans="1:8" ht="12.75" customHeight="1">
      <c r="C252" s="2376" t="s">
        <v>4832</v>
      </c>
      <c r="E252" s="4252" t="s">
        <v>3401</v>
      </c>
      <c r="F252" s="4252"/>
      <c r="G252" s="4252"/>
      <c r="H252" s="4252"/>
    </row>
    <row r="253" spans="1:8" ht="12.75" customHeight="1">
      <c r="C253" s="2377"/>
      <c r="D253" s="2375" t="s">
        <v>3238</v>
      </c>
      <c r="E253" s="4328" t="s">
        <v>3402</v>
      </c>
      <c r="F253" s="4328"/>
      <c r="G253" s="4328"/>
      <c r="H253" s="4328"/>
    </row>
    <row r="254" spans="1:8" ht="6" customHeight="1">
      <c r="D254" s="926"/>
      <c r="E254" s="2373"/>
      <c r="F254" s="2373"/>
      <c r="G254" s="2373"/>
      <c r="H254" s="2373"/>
    </row>
    <row r="255" spans="1:8">
      <c r="A255" s="897" t="s">
        <v>3234</v>
      </c>
      <c r="B255" s="924" t="str">
        <f>IF('Part VI-Revenues &amp; Expenses'!$O$60=0,"",'Part VI-Revenues &amp; Expenses'!$O$60)</f>
        <v/>
      </c>
      <c r="C255" s="897" t="s">
        <v>4830</v>
      </c>
      <c r="D255" s="925" t="s">
        <v>4831</v>
      </c>
    </row>
    <row r="256" spans="1:8" ht="1.8" customHeight="1"/>
    <row r="257" spans="1:11" ht="12.75" customHeight="1">
      <c r="C257" s="891" t="s">
        <v>3139</v>
      </c>
      <c r="D257" s="926" t="s">
        <v>1939</v>
      </c>
      <c r="E257" s="927"/>
      <c r="F257" s="4252" t="s">
        <v>3140</v>
      </c>
      <c r="G257" s="4252"/>
      <c r="H257" s="4252"/>
      <c r="K257" s="842" t="s">
        <v>238</v>
      </c>
    </row>
    <row r="258" spans="1:11" ht="12.75" customHeight="1">
      <c r="C258" s="928" t="s">
        <v>1326</v>
      </c>
      <c r="D258" s="926" t="s">
        <v>1941</v>
      </c>
      <c r="E258" s="4252" t="s">
        <v>3240</v>
      </c>
      <c r="F258" s="4252"/>
      <c r="G258" s="4252"/>
      <c r="H258" s="4252"/>
    </row>
    <row r="259" spans="1:11" ht="12.75" customHeight="1">
      <c r="E259" s="4252" t="s">
        <v>3401</v>
      </c>
      <c r="F259" s="4252"/>
      <c r="G259" s="4252"/>
      <c r="H259" s="4252"/>
    </row>
    <row r="260" spans="1:11" ht="12.75" customHeight="1">
      <c r="D260" s="929" t="s">
        <v>3238</v>
      </c>
      <c r="E260" s="4252" t="s">
        <v>3402</v>
      </c>
      <c r="F260" s="4252"/>
      <c r="G260" s="4252"/>
      <c r="H260" s="4252"/>
    </row>
    <row r="261" spans="1:11" ht="9" customHeight="1" thickBot="1"/>
    <row r="262" spans="1:11" ht="16.2" customHeight="1" thickBot="1">
      <c r="A262" s="4334">
        <v>50</v>
      </c>
      <c r="B262" s="4335"/>
      <c r="C262" s="2378" t="s">
        <v>1018</v>
      </c>
    </row>
    <row r="263" spans="1:11" ht="9" customHeight="1">
      <c r="A263" s="864"/>
    </row>
    <row r="264" spans="1:11" ht="28.2" customHeight="1">
      <c r="A264" s="4332" t="s">
        <v>4833</v>
      </c>
      <c r="B264" s="4332"/>
      <c r="C264" s="4332"/>
      <c r="D264" s="4332"/>
      <c r="E264" s="4332"/>
      <c r="F264" s="4332"/>
      <c r="G264" s="4332"/>
      <c r="H264" s="4332"/>
    </row>
    <row r="265" spans="1:11" ht="9" customHeight="1">
      <c r="A265" s="864"/>
    </row>
    <row r="266" spans="1:11">
      <c r="A266" s="897" t="s">
        <v>3234</v>
      </c>
      <c r="B266" s="924" t="str">
        <f>IF('Part VI-Revenues &amp; Expenses'!$K$59=0,"",'Part VI-Revenues &amp; Expenses'!$K$59)</f>
        <v/>
      </c>
      <c r="C266" s="897" t="s">
        <v>4827</v>
      </c>
      <c r="D266" s="925" t="s">
        <v>4828</v>
      </c>
    </row>
    <row r="267" spans="1:11" ht="1.8" customHeight="1"/>
    <row r="268" spans="1:11" ht="12.75" customHeight="1">
      <c r="C268" s="891" t="s">
        <v>3139</v>
      </c>
      <c r="D268" s="926" t="s">
        <v>1939</v>
      </c>
      <c r="E268" s="927"/>
      <c r="F268" s="4252" t="s">
        <v>3140</v>
      </c>
      <c r="G268" s="4252"/>
      <c r="H268" s="4252"/>
    </row>
    <row r="269" spans="1:11" ht="12.75" customHeight="1">
      <c r="C269" s="928" t="s">
        <v>1326</v>
      </c>
      <c r="D269" s="926" t="s">
        <v>1941</v>
      </c>
      <c r="E269" s="4252" t="s">
        <v>3239</v>
      </c>
      <c r="F269" s="4252"/>
      <c r="G269" s="4252"/>
      <c r="H269" s="4252"/>
    </row>
    <row r="270" spans="1:11" ht="12.75" customHeight="1">
      <c r="C270" s="2376" t="s">
        <v>4832</v>
      </c>
      <c r="E270" s="4252" t="s">
        <v>3401</v>
      </c>
      <c r="F270" s="4252"/>
      <c r="G270" s="4252"/>
      <c r="H270" s="4252"/>
    </row>
    <row r="271" spans="1:11" ht="12.75" customHeight="1">
      <c r="C271" s="2377"/>
      <c r="D271" s="2375" t="s">
        <v>3238</v>
      </c>
      <c r="E271" s="4328" t="s">
        <v>3402</v>
      </c>
      <c r="F271" s="4328"/>
      <c r="G271" s="4328"/>
      <c r="H271" s="4328"/>
    </row>
    <row r="272" spans="1:11" ht="3" customHeight="1">
      <c r="D272" s="926"/>
      <c r="E272" s="2373"/>
      <c r="F272" s="2373"/>
      <c r="G272" s="2373"/>
      <c r="H272" s="2373"/>
    </row>
    <row r="273" spans="1:8" ht="12.75" customHeight="1">
      <c r="C273" s="891" t="s">
        <v>3139</v>
      </c>
      <c r="D273" s="926" t="s">
        <v>1939</v>
      </c>
      <c r="E273" s="927"/>
      <c r="F273" s="923" t="s">
        <v>3140</v>
      </c>
      <c r="G273" s="923"/>
      <c r="H273" s="923"/>
    </row>
    <row r="274" spans="1:8" ht="12.75" customHeight="1">
      <c r="C274" s="928" t="s">
        <v>1326</v>
      </c>
      <c r="D274" s="926" t="s">
        <v>1941</v>
      </c>
      <c r="E274" s="4252" t="s">
        <v>3239</v>
      </c>
      <c r="F274" s="4252"/>
      <c r="G274" s="4252"/>
      <c r="H274" s="4252"/>
    </row>
    <row r="275" spans="1:8" ht="12.75" customHeight="1">
      <c r="C275" s="2376" t="s">
        <v>4832</v>
      </c>
      <c r="E275" s="4252" t="s">
        <v>3401</v>
      </c>
      <c r="F275" s="4252"/>
      <c r="G275" s="4252"/>
      <c r="H275" s="4252"/>
    </row>
    <row r="276" spans="1:8" ht="12.75" customHeight="1">
      <c r="C276" s="2377"/>
      <c r="D276" s="2375" t="s">
        <v>3238</v>
      </c>
      <c r="E276" s="4328" t="s">
        <v>3402</v>
      </c>
      <c r="F276" s="4328"/>
      <c r="G276" s="4328"/>
      <c r="H276" s="4328"/>
    </row>
    <row r="277" spans="1:8" ht="3" customHeight="1">
      <c r="D277" s="926"/>
      <c r="E277" s="2373"/>
      <c r="F277" s="2373"/>
      <c r="G277" s="2373"/>
      <c r="H277" s="2373"/>
    </row>
    <row r="278" spans="1:8" ht="12.75" customHeight="1">
      <c r="C278" s="891" t="s">
        <v>3139</v>
      </c>
      <c r="D278" s="926" t="s">
        <v>1939</v>
      </c>
      <c r="E278" s="927"/>
      <c r="F278" s="923" t="s">
        <v>3140</v>
      </c>
      <c r="G278" s="923"/>
      <c r="H278" s="923"/>
    </row>
    <row r="279" spans="1:8" ht="12.75" customHeight="1">
      <c r="C279" s="928" t="s">
        <v>1326</v>
      </c>
      <c r="D279" s="926" t="s">
        <v>1941</v>
      </c>
      <c r="E279" s="4252" t="s">
        <v>3239</v>
      </c>
      <c r="F279" s="4252"/>
      <c r="G279" s="4252"/>
      <c r="H279" s="4252"/>
    </row>
    <row r="280" spans="1:8" ht="12.75" customHeight="1">
      <c r="C280" s="2376" t="s">
        <v>4832</v>
      </c>
      <c r="E280" s="4252" t="s">
        <v>3401</v>
      </c>
      <c r="F280" s="4252"/>
      <c r="G280" s="4252"/>
      <c r="H280" s="4252"/>
    </row>
    <row r="281" spans="1:8" ht="12.75" customHeight="1">
      <c r="C281" s="2377"/>
      <c r="D281" s="2375" t="s">
        <v>3238</v>
      </c>
      <c r="E281" s="4328" t="s">
        <v>3402</v>
      </c>
      <c r="F281" s="4328"/>
      <c r="G281" s="4328"/>
      <c r="H281" s="4328"/>
    </row>
    <row r="282" spans="1:8" ht="6" customHeight="1">
      <c r="D282" s="926"/>
      <c r="E282" s="2373"/>
      <c r="F282" s="2373"/>
      <c r="G282" s="2373"/>
      <c r="H282" s="2373"/>
    </row>
    <row r="283" spans="1:8">
      <c r="A283" s="897" t="s">
        <v>3234</v>
      </c>
      <c r="B283" s="924" t="str">
        <f>IF('Part VI-Revenues &amp; Expenses'!$L$59=0,"",'Part VI-Revenues &amp; Expenses'!$L$59)</f>
        <v/>
      </c>
      <c r="C283" s="897" t="s">
        <v>3235</v>
      </c>
      <c r="D283" s="925" t="s">
        <v>3403</v>
      </c>
    </row>
    <row r="284" spans="1:8" ht="1.8" customHeight="1"/>
    <row r="285" spans="1:8" ht="12.75" customHeight="1">
      <c r="C285" s="891" t="s">
        <v>3139</v>
      </c>
      <c r="D285" s="926" t="s">
        <v>1939</v>
      </c>
      <c r="E285" s="927"/>
      <c r="F285" s="923" t="s">
        <v>3140</v>
      </c>
      <c r="G285" s="923"/>
      <c r="H285" s="923"/>
    </row>
    <row r="286" spans="1:8" ht="12.75" customHeight="1">
      <c r="C286" s="928" t="s">
        <v>1326</v>
      </c>
      <c r="D286" s="926" t="s">
        <v>1941</v>
      </c>
      <c r="E286" s="4252" t="s">
        <v>3239</v>
      </c>
      <c r="F286" s="4252"/>
      <c r="G286" s="4252"/>
      <c r="H286" s="4252"/>
    </row>
    <row r="287" spans="1:8" ht="12.75" customHeight="1">
      <c r="C287" s="2376" t="s">
        <v>4832</v>
      </c>
      <c r="E287" s="4252" t="s">
        <v>3401</v>
      </c>
      <c r="F287" s="4252"/>
      <c r="G287" s="4252"/>
      <c r="H287" s="4252"/>
    </row>
    <row r="288" spans="1:8" ht="12.75" customHeight="1">
      <c r="C288" s="2377"/>
      <c r="D288" s="2374" t="s">
        <v>3238</v>
      </c>
      <c r="E288" s="4327" t="s">
        <v>3402</v>
      </c>
      <c r="F288" s="4327"/>
      <c r="G288" s="4327"/>
      <c r="H288" s="4327"/>
    </row>
    <row r="289" spans="1:8" ht="3" customHeight="1">
      <c r="D289" s="926"/>
      <c r="E289" s="2373"/>
      <c r="F289" s="2373"/>
      <c r="G289" s="2373"/>
      <c r="H289" s="2373"/>
    </row>
    <row r="290" spans="1:8" ht="12.75" customHeight="1">
      <c r="C290" s="891" t="s">
        <v>3139</v>
      </c>
      <c r="D290" s="926" t="s">
        <v>1939</v>
      </c>
      <c r="E290" s="927"/>
      <c r="F290" s="923" t="s">
        <v>3140</v>
      </c>
      <c r="G290" s="923"/>
      <c r="H290" s="923"/>
    </row>
    <row r="291" spans="1:8" ht="12.75" customHeight="1">
      <c r="C291" s="928" t="s">
        <v>1326</v>
      </c>
      <c r="D291" s="926" t="s">
        <v>1941</v>
      </c>
      <c r="E291" s="4252" t="s">
        <v>3239</v>
      </c>
      <c r="F291" s="4252"/>
      <c r="G291" s="4252"/>
      <c r="H291" s="4252"/>
    </row>
    <row r="292" spans="1:8" ht="12.75" customHeight="1">
      <c r="C292" s="2376" t="s">
        <v>4832</v>
      </c>
      <c r="E292" s="4252" t="s">
        <v>3401</v>
      </c>
      <c r="F292" s="4252"/>
      <c r="G292" s="4252"/>
      <c r="H292" s="4252"/>
    </row>
    <row r="293" spans="1:8" ht="12.75" customHeight="1">
      <c r="C293" s="2377"/>
      <c r="D293" s="2375" t="s">
        <v>3238</v>
      </c>
      <c r="E293" s="4328" t="s">
        <v>3402</v>
      </c>
      <c r="F293" s="4328"/>
      <c r="G293" s="4328"/>
      <c r="H293" s="4328"/>
    </row>
    <row r="294" spans="1:8" ht="3" customHeight="1">
      <c r="D294" s="926"/>
      <c r="E294" s="2373"/>
      <c r="F294" s="2373"/>
      <c r="G294" s="2373"/>
      <c r="H294" s="2373"/>
    </row>
    <row r="295" spans="1:8" ht="12.75" customHeight="1">
      <c r="C295" s="891" t="s">
        <v>3139</v>
      </c>
      <c r="D295" s="926" t="s">
        <v>1939</v>
      </c>
      <c r="E295" s="927"/>
      <c r="F295" s="923" t="s">
        <v>3140</v>
      </c>
      <c r="G295" s="923"/>
      <c r="H295" s="923"/>
    </row>
    <row r="296" spans="1:8" ht="12.75" customHeight="1">
      <c r="C296" s="928" t="s">
        <v>1326</v>
      </c>
      <c r="D296" s="926" t="s">
        <v>1941</v>
      </c>
      <c r="E296" s="4252" t="s">
        <v>3239</v>
      </c>
      <c r="F296" s="4252"/>
      <c r="G296" s="4252"/>
      <c r="H296" s="4252"/>
    </row>
    <row r="297" spans="1:8" ht="12.75" customHeight="1">
      <c r="C297" s="2376" t="s">
        <v>4832</v>
      </c>
      <c r="E297" s="4252" t="s">
        <v>3401</v>
      </c>
      <c r="F297" s="4252"/>
      <c r="G297" s="4252"/>
      <c r="H297" s="4252"/>
    </row>
    <row r="298" spans="1:8" ht="12.75" customHeight="1">
      <c r="C298" s="2377"/>
      <c r="D298" s="2375" t="s">
        <v>3238</v>
      </c>
      <c r="E298" s="4328" t="s">
        <v>3402</v>
      </c>
      <c r="F298" s="4328"/>
      <c r="G298" s="4328"/>
      <c r="H298" s="4328"/>
    </row>
    <row r="299" spans="1:8" ht="6" customHeight="1">
      <c r="D299" s="926"/>
      <c r="E299" s="2373"/>
      <c r="F299" s="2373"/>
      <c r="G299" s="2373"/>
      <c r="H299" s="2373"/>
    </row>
    <row r="300" spans="1:8">
      <c r="A300" s="897" t="s">
        <v>3234</v>
      </c>
      <c r="B300" s="924" t="str">
        <f>IF('Part VI-Revenues &amp; Expenses'!$M$59=0,"",'Part VI-Revenues &amp; Expenses'!$M$59)</f>
        <v/>
      </c>
      <c r="C300" s="897" t="s">
        <v>3236</v>
      </c>
      <c r="D300" s="925" t="s">
        <v>3404</v>
      </c>
    </row>
    <row r="301" spans="1:8" ht="1.8" customHeight="1"/>
    <row r="302" spans="1:8" ht="12.75" customHeight="1">
      <c r="C302" s="891" t="s">
        <v>3139</v>
      </c>
      <c r="D302" s="926" t="s">
        <v>1939</v>
      </c>
      <c r="E302" s="927"/>
      <c r="F302" s="923" t="s">
        <v>3140</v>
      </c>
      <c r="G302" s="923"/>
      <c r="H302" s="923"/>
    </row>
    <row r="303" spans="1:8" ht="12.75" customHeight="1">
      <c r="C303" s="928" t="s">
        <v>1326</v>
      </c>
      <c r="D303" s="926" t="s">
        <v>1941</v>
      </c>
      <c r="E303" s="4252" t="s">
        <v>3239</v>
      </c>
      <c r="F303" s="4252"/>
      <c r="G303" s="4252"/>
      <c r="H303" s="4252"/>
    </row>
    <row r="304" spans="1:8" ht="12.75" customHeight="1">
      <c r="C304" s="2376" t="s">
        <v>4832</v>
      </c>
      <c r="E304" s="4252" t="s">
        <v>3401</v>
      </c>
      <c r="F304" s="4252"/>
      <c r="G304" s="4252"/>
      <c r="H304" s="4252"/>
    </row>
    <row r="305" spans="1:8" ht="12.75" customHeight="1">
      <c r="C305" s="2377"/>
      <c r="D305" s="2374" t="s">
        <v>3238</v>
      </c>
      <c r="E305" s="4327" t="s">
        <v>3402</v>
      </c>
      <c r="F305" s="4327"/>
      <c r="G305" s="4327"/>
      <c r="H305" s="4327"/>
    </row>
    <row r="306" spans="1:8" ht="3" customHeight="1">
      <c r="D306" s="926"/>
      <c r="E306" s="2373"/>
      <c r="F306" s="2373"/>
      <c r="G306" s="2373"/>
      <c r="H306" s="2373"/>
    </row>
    <row r="307" spans="1:8" ht="12.75" customHeight="1">
      <c r="C307" s="891" t="s">
        <v>3139</v>
      </c>
      <c r="D307" s="926" t="s">
        <v>1939</v>
      </c>
      <c r="E307" s="927"/>
      <c r="F307" s="923" t="s">
        <v>3140</v>
      </c>
      <c r="G307" s="923"/>
      <c r="H307" s="923"/>
    </row>
    <row r="308" spans="1:8" ht="12.75" customHeight="1">
      <c r="C308" s="928" t="s">
        <v>1326</v>
      </c>
      <c r="D308" s="926" t="s">
        <v>1941</v>
      </c>
      <c r="E308" s="4252" t="s">
        <v>3239</v>
      </c>
      <c r="F308" s="4252"/>
      <c r="G308" s="4252"/>
      <c r="H308" s="4252"/>
    </row>
    <row r="309" spans="1:8" ht="12.75" customHeight="1">
      <c r="C309" s="2376" t="s">
        <v>4832</v>
      </c>
      <c r="E309" s="4252" t="s">
        <v>3401</v>
      </c>
      <c r="F309" s="4252"/>
      <c r="G309" s="4252"/>
      <c r="H309" s="4252"/>
    </row>
    <row r="310" spans="1:8" ht="12.75" customHeight="1">
      <c r="C310" s="2377"/>
      <c r="D310" s="2375" t="s">
        <v>3238</v>
      </c>
      <c r="E310" s="4328" t="s">
        <v>3402</v>
      </c>
      <c r="F310" s="4328"/>
      <c r="G310" s="4328"/>
      <c r="H310" s="4328"/>
    </row>
    <row r="311" spans="1:8" ht="3" customHeight="1">
      <c r="D311" s="926"/>
      <c r="E311" s="2373"/>
      <c r="F311" s="2373"/>
      <c r="G311" s="2373"/>
      <c r="H311" s="2373"/>
    </row>
    <row r="312" spans="1:8" ht="12.75" customHeight="1">
      <c r="C312" s="891" t="s">
        <v>3139</v>
      </c>
      <c r="D312" s="926" t="s">
        <v>1939</v>
      </c>
      <c r="E312" s="927"/>
      <c r="F312" s="923" t="s">
        <v>3140</v>
      </c>
      <c r="G312" s="923"/>
      <c r="H312" s="923"/>
    </row>
    <row r="313" spans="1:8" ht="12.75" customHeight="1">
      <c r="C313" s="928" t="s">
        <v>1326</v>
      </c>
      <c r="D313" s="926" t="s">
        <v>1941</v>
      </c>
      <c r="E313" s="4252" t="s">
        <v>3239</v>
      </c>
      <c r="F313" s="4252"/>
      <c r="G313" s="4252"/>
      <c r="H313" s="4252"/>
    </row>
    <row r="314" spans="1:8" ht="12.75" customHeight="1">
      <c r="C314" s="2376" t="s">
        <v>4832</v>
      </c>
      <c r="E314" s="4252" t="s">
        <v>3401</v>
      </c>
      <c r="F314" s="4252"/>
      <c r="G314" s="4252"/>
      <c r="H314" s="4252"/>
    </row>
    <row r="315" spans="1:8" ht="12.75" customHeight="1">
      <c r="C315" s="2377"/>
      <c r="D315" s="2375" t="s">
        <v>3238</v>
      </c>
      <c r="E315" s="4328" t="s">
        <v>3402</v>
      </c>
      <c r="F315" s="4328"/>
      <c r="G315" s="4328"/>
      <c r="H315" s="4328"/>
    </row>
    <row r="316" spans="1:8" ht="6" customHeight="1">
      <c r="D316" s="926"/>
      <c r="E316" s="2373"/>
      <c r="F316" s="2373"/>
      <c r="G316" s="2373"/>
      <c r="H316" s="2373"/>
    </row>
    <row r="317" spans="1:8">
      <c r="A317" s="897" t="s">
        <v>3234</v>
      </c>
      <c r="B317" s="924" t="str">
        <f>IF('Part VI-Revenues &amp; Expenses'!$N$59=0,"",'Part VI-Revenues &amp; Expenses'!$N$59)</f>
        <v/>
      </c>
      <c r="C317" s="897" t="s">
        <v>3237</v>
      </c>
      <c r="D317" s="925" t="s">
        <v>3405</v>
      </c>
    </row>
    <row r="318" spans="1:8" ht="1.8" customHeight="1"/>
    <row r="319" spans="1:8" ht="12.75" customHeight="1">
      <c r="C319" s="891" t="s">
        <v>3139</v>
      </c>
      <c r="D319" s="926" t="s">
        <v>1939</v>
      </c>
      <c r="E319" s="927"/>
      <c r="F319" s="923" t="s">
        <v>3140</v>
      </c>
      <c r="G319" s="923"/>
      <c r="H319" s="923"/>
    </row>
    <row r="320" spans="1:8" ht="12.75" customHeight="1">
      <c r="C320" s="928" t="s">
        <v>1326</v>
      </c>
      <c r="D320" s="926" t="s">
        <v>1941</v>
      </c>
      <c r="E320" s="4252" t="s">
        <v>3239</v>
      </c>
      <c r="F320" s="4252"/>
      <c r="G320" s="4252"/>
      <c r="H320" s="4252"/>
    </row>
    <row r="321" spans="1:11" ht="12.75" customHeight="1">
      <c r="C321" s="2376" t="s">
        <v>4832</v>
      </c>
      <c r="E321" s="4252" t="s">
        <v>3401</v>
      </c>
      <c r="F321" s="4252"/>
      <c r="G321" s="4252"/>
      <c r="H321" s="4252"/>
    </row>
    <row r="322" spans="1:11" ht="12.75" customHeight="1">
      <c r="C322" s="2377"/>
      <c r="D322" s="2374" t="s">
        <v>3238</v>
      </c>
      <c r="E322" s="4327" t="s">
        <v>3402</v>
      </c>
      <c r="F322" s="4327"/>
      <c r="G322" s="4327"/>
      <c r="H322" s="4327"/>
    </row>
    <row r="323" spans="1:11" ht="3" customHeight="1">
      <c r="D323" s="926"/>
      <c r="E323" s="2373"/>
      <c r="F323" s="2373"/>
      <c r="G323" s="2373"/>
      <c r="H323" s="2373"/>
    </row>
    <row r="324" spans="1:11" ht="12.75" customHeight="1">
      <c r="C324" s="891" t="s">
        <v>3139</v>
      </c>
      <c r="D324" s="926" t="s">
        <v>1939</v>
      </c>
      <c r="E324" s="927"/>
      <c r="F324" s="923" t="s">
        <v>3140</v>
      </c>
      <c r="G324" s="923"/>
      <c r="H324" s="923"/>
    </row>
    <row r="325" spans="1:11" ht="12.75" customHeight="1">
      <c r="C325" s="928" t="s">
        <v>1326</v>
      </c>
      <c r="D325" s="926" t="s">
        <v>1941</v>
      </c>
      <c r="E325" s="4252" t="s">
        <v>3239</v>
      </c>
      <c r="F325" s="4252"/>
      <c r="G325" s="4252"/>
      <c r="H325" s="4252"/>
    </row>
    <row r="326" spans="1:11" ht="12.75" customHeight="1">
      <c r="C326" s="2376" t="s">
        <v>4832</v>
      </c>
      <c r="E326" s="4252" t="s">
        <v>3401</v>
      </c>
      <c r="F326" s="4252"/>
      <c r="G326" s="4252"/>
      <c r="H326" s="4252"/>
    </row>
    <row r="327" spans="1:11" ht="12.75" customHeight="1">
      <c r="C327" s="2377"/>
      <c r="D327" s="2375" t="s">
        <v>3238</v>
      </c>
      <c r="E327" s="4328" t="s">
        <v>3402</v>
      </c>
      <c r="F327" s="4328"/>
      <c r="G327" s="4328"/>
      <c r="H327" s="4328"/>
    </row>
    <row r="328" spans="1:11" ht="3" customHeight="1">
      <c r="D328" s="926"/>
      <c r="E328" s="2373"/>
      <c r="F328" s="2373"/>
      <c r="G328" s="2373"/>
      <c r="H328" s="2373"/>
    </row>
    <row r="329" spans="1:11" ht="12.75" customHeight="1">
      <c r="C329" s="891" t="s">
        <v>3139</v>
      </c>
      <c r="D329" s="926" t="s">
        <v>1939</v>
      </c>
      <c r="E329" s="927"/>
      <c r="F329" s="923" t="s">
        <v>3140</v>
      </c>
      <c r="G329" s="923"/>
      <c r="H329" s="923"/>
    </row>
    <row r="330" spans="1:11" ht="12.75" customHeight="1">
      <c r="C330" s="928" t="s">
        <v>1326</v>
      </c>
      <c r="D330" s="926" t="s">
        <v>1941</v>
      </c>
      <c r="E330" s="4252" t="s">
        <v>3239</v>
      </c>
      <c r="F330" s="4252"/>
      <c r="G330" s="4252"/>
      <c r="H330" s="4252"/>
    </row>
    <row r="331" spans="1:11" ht="12.75" customHeight="1">
      <c r="C331" s="2376" t="s">
        <v>4832</v>
      </c>
      <c r="E331" s="4252" t="s">
        <v>3401</v>
      </c>
      <c r="F331" s="4252"/>
      <c r="G331" s="4252"/>
      <c r="H331" s="4252"/>
    </row>
    <row r="332" spans="1:11" ht="12.75" customHeight="1">
      <c r="C332" s="2377"/>
      <c r="D332" s="2375" t="s">
        <v>3238</v>
      </c>
      <c r="E332" s="4328" t="s">
        <v>3402</v>
      </c>
      <c r="F332" s="4328"/>
      <c r="G332" s="4328"/>
      <c r="H332" s="4328"/>
    </row>
    <row r="333" spans="1:11" ht="6" customHeight="1">
      <c r="D333" s="926"/>
      <c r="E333" s="2373"/>
      <c r="F333" s="2373"/>
      <c r="G333" s="2373"/>
      <c r="H333" s="2373"/>
    </row>
    <row r="334" spans="1:11">
      <c r="A334" s="897" t="s">
        <v>3234</v>
      </c>
      <c r="B334" s="924" t="str">
        <f>IF('Part VI-Revenues &amp; Expenses'!$O$59=0,"",'Part VI-Revenues &amp; Expenses'!$O$59)</f>
        <v/>
      </c>
      <c r="C334" s="897" t="s">
        <v>4830</v>
      </c>
      <c r="D334" s="925" t="s">
        <v>4831</v>
      </c>
    </row>
    <row r="335" spans="1:11" ht="1.8" customHeight="1"/>
    <row r="336" spans="1:11" ht="12.75" customHeight="1">
      <c r="C336" s="891" t="s">
        <v>3139</v>
      </c>
      <c r="D336" s="926" t="s">
        <v>1939</v>
      </c>
      <c r="E336" s="927"/>
      <c r="F336" s="4252" t="s">
        <v>3140</v>
      </c>
      <c r="G336" s="4252"/>
      <c r="H336" s="4252"/>
      <c r="K336" s="842" t="s">
        <v>238</v>
      </c>
    </row>
    <row r="337" spans="1:8" ht="12.75" customHeight="1">
      <c r="C337" s="928" t="s">
        <v>1326</v>
      </c>
      <c r="D337" s="926" t="s">
        <v>1941</v>
      </c>
      <c r="E337" s="4252" t="s">
        <v>3240</v>
      </c>
      <c r="F337" s="4252"/>
      <c r="G337" s="4252"/>
      <c r="H337" s="4252"/>
    </row>
    <row r="338" spans="1:8" ht="12.75" customHeight="1">
      <c r="E338" s="4252" t="s">
        <v>3401</v>
      </c>
      <c r="F338" s="4252"/>
      <c r="G338" s="4252"/>
      <c r="H338" s="4252"/>
    </row>
    <row r="339" spans="1:8" ht="12.75" customHeight="1">
      <c r="D339" s="929" t="s">
        <v>3238</v>
      </c>
      <c r="E339" s="4252" t="s">
        <v>3402</v>
      </c>
      <c r="F339" s="4252"/>
      <c r="G339" s="4252"/>
      <c r="H339" s="4252"/>
    </row>
    <row r="340" spans="1:8" ht="9" customHeight="1"/>
    <row r="341" spans="1:8" ht="7.5" customHeight="1" thickBot="1">
      <c r="E341" s="4252"/>
      <c r="F341" s="4252"/>
      <c r="G341" s="4252"/>
      <c r="H341" s="4252"/>
    </row>
    <row r="342" spans="1:8" ht="16.2" customHeight="1" thickBot="1">
      <c r="A342" s="4334">
        <v>60</v>
      </c>
      <c r="B342" s="4335"/>
      <c r="C342" s="2378" t="s">
        <v>1018</v>
      </c>
    </row>
    <row r="343" spans="1:8" ht="9" customHeight="1">
      <c r="A343" s="864"/>
    </row>
    <row r="344" spans="1:8" ht="28.2" customHeight="1">
      <c r="A344" s="4332" t="s">
        <v>4837</v>
      </c>
      <c r="B344" s="4332"/>
      <c r="C344" s="4332"/>
      <c r="D344" s="4332"/>
      <c r="E344" s="4332"/>
      <c r="F344" s="4332"/>
      <c r="G344" s="4332"/>
      <c r="H344" s="4332"/>
    </row>
    <row r="345" spans="1:8" ht="9" customHeight="1">
      <c r="A345" s="864"/>
    </row>
    <row r="346" spans="1:8">
      <c r="A346" s="897" t="s">
        <v>3234</v>
      </c>
      <c r="B346" s="924" t="str">
        <f>IF('Part VI-Revenues &amp; Expenses'!$K$58=0,"",'Part VI-Revenues &amp; Expenses'!$K$58)</f>
        <v/>
      </c>
      <c r="C346" s="897" t="s">
        <v>4827</v>
      </c>
      <c r="D346" s="925" t="s">
        <v>4828</v>
      </c>
    </row>
    <row r="347" spans="1:8" ht="1.8" customHeight="1"/>
    <row r="348" spans="1:8" ht="12.75" customHeight="1">
      <c r="C348" s="891" t="s">
        <v>3139</v>
      </c>
      <c r="D348" s="926" t="s">
        <v>1939</v>
      </c>
      <c r="E348" s="927"/>
      <c r="F348" s="4252" t="s">
        <v>3140</v>
      </c>
      <c r="G348" s="4252"/>
      <c r="H348" s="4252"/>
    </row>
    <row r="349" spans="1:8" ht="12.75" customHeight="1">
      <c r="C349" s="928" t="s">
        <v>1326</v>
      </c>
      <c r="D349" s="926" t="s">
        <v>1941</v>
      </c>
      <c r="E349" s="4252" t="s">
        <v>3239</v>
      </c>
      <c r="F349" s="4252"/>
      <c r="G349" s="4252"/>
      <c r="H349" s="4252"/>
    </row>
    <row r="350" spans="1:8" ht="12.75" customHeight="1">
      <c r="C350" s="2376" t="s">
        <v>4832</v>
      </c>
      <c r="E350" s="4252" t="s">
        <v>3401</v>
      </c>
      <c r="F350" s="4252"/>
      <c r="G350" s="4252"/>
      <c r="H350" s="4252"/>
    </row>
    <row r="351" spans="1:8" ht="12.75" customHeight="1">
      <c r="C351" s="2377"/>
      <c r="D351" s="2375" t="s">
        <v>3238</v>
      </c>
      <c r="E351" s="4328" t="s">
        <v>3402</v>
      </c>
      <c r="F351" s="4328"/>
      <c r="G351" s="4328"/>
      <c r="H351" s="4328"/>
    </row>
    <row r="352" spans="1:8" ht="3" customHeight="1">
      <c r="D352" s="926"/>
      <c r="E352" s="2373"/>
      <c r="F352" s="2373"/>
      <c r="G352" s="2373"/>
      <c r="H352" s="2373"/>
    </row>
    <row r="353" spans="1:8" ht="12.75" customHeight="1">
      <c r="C353" s="891" t="s">
        <v>3139</v>
      </c>
      <c r="D353" s="926" t="s">
        <v>1939</v>
      </c>
      <c r="E353" s="927"/>
      <c r="F353" s="923" t="s">
        <v>3140</v>
      </c>
      <c r="G353" s="923"/>
      <c r="H353" s="923"/>
    </row>
    <row r="354" spans="1:8" ht="12.75" customHeight="1">
      <c r="C354" s="928" t="s">
        <v>1326</v>
      </c>
      <c r="D354" s="926" t="s">
        <v>1941</v>
      </c>
      <c r="E354" s="4252" t="s">
        <v>3239</v>
      </c>
      <c r="F354" s="4252"/>
      <c r="G354" s="4252"/>
      <c r="H354" s="4252"/>
    </row>
    <row r="355" spans="1:8" ht="12.75" customHeight="1">
      <c r="C355" s="2376" t="s">
        <v>4832</v>
      </c>
      <c r="E355" s="4252" t="s">
        <v>3401</v>
      </c>
      <c r="F355" s="4252"/>
      <c r="G355" s="4252"/>
      <c r="H355" s="4252"/>
    </row>
    <row r="356" spans="1:8" ht="12.75" customHeight="1">
      <c r="C356" s="2377"/>
      <c r="D356" s="2375" t="s">
        <v>3238</v>
      </c>
      <c r="E356" s="4328" t="s">
        <v>3402</v>
      </c>
      <c r="F356" s="4328"/>
      <c r="G356" s="4328"/>
      <c r="H356" s="4328"/>
    </row>
    <row r="357" spans="1:8" ht="3" customHeight="1">
      <c r="D357" s="926"/>
      <c r="E357" s="2373"/>
      <c r="F357" s="2373"/>
      <c r="G357" s="2373"/>
      <c r="H357" s="2373"/>
    </row>
    <row r="358" spans="1:8" ht="12.75" customHeight="1">
      <c r="C358" s="891" t="s">
        <v>3139</v>
      </c>
      <c r="D358" s="926" t="s">
        <v>1939</v>
      </c>
      <c r="E358" s="927"/>
      <c r="F358" s="923" t="s">
        <v>3140</v>
      </c>
      <c r="G358" s="923"/>
      <c r="H358" s="923"/>
    </row>
    <row r="359" spans="1:8" ht="12.75" customHeight="1">
      <c r="C359" s="928" t="s">
        <v>1326</v>
      </c>
      <c r="D359" s="926" t="s">
        <v>1941</v>
      </c>
      <c r="E359" s="4252" t="s">
        <v>3239</v>
      </c>
      <c r="F359" s="4252"/>
      <c r="G359" s="4252"/>
      <c r="H359" s="4252"/>
    </row>
    <row r="360" spans="1:8" ht="12.75" customHeight="1">
      <c r="C360" s="2376" t="s">
        <v>4832</v>
      </c>
      <c r="E360" s="4252" t="s">
        <v>3401</v>
      </c>
      <c r="F360" s="4252"/>
      <c r="G360" s="4252"/>
      <c r="H360" s="4252"/>
    </row>
    <row r="361" spans="1:8" ht="12.75" customHeight="1">
      <c r="C361" s="2377"/>
      <c r="D361" s="2375" t="s">
        <v>3238</v>
      </c>
      <c r="E361" s="4328" t="s">
        <v>3402</v>
      </c>
      <c r="F361" s="4328"/>
      <c r="G361" s="4328"/>
      <c r="H361" s="4328"/>
    </row>
    <row r="362" spans="1:8" ht="6" customHeight="1">
      <c r="D362" s="926"/>
      <c r="E362" s="2373"/>
      <c r="F362" s="2373"/>
      <c r="G362" s="2373"/>
      <c r="H362" s="2373"/>
    </row>
    <row r="363" spans="1:8">
      <c r="A363" s="897" t="s">
        <v>3234</v>
      </c>
      <c r="B363" s="924">
        <f>IF('Part VI-Revenues &amp; Expenses'!$L$58=0,"",'Part VI-Revenues &amp; Expenses'!$L$58)</f>
        <v>18</v>
      </c>
      <c r="C363" s="897" t="s">
        <v>3235</v>
      </c>
      <c r="D363" s="925" t="s">
        <v>3403</v>
      </c>
    </row>
    <row r="364" spans="1:8" ht="1.8" customHeight="1"/>
    <row r="365" spans="1:8" ht="12.75" customHeight="1">
      <c r="C365" s="891" t="s">
        <v>3139</v>
      </c>
      <c r="D365" s="926" t="s">
        <v>1939</v>
      </c>
      <c r="E365" s="927"/>
      <c r="F365" s="923" t="s">
        <v>3140</v>
      </c>
      <c r="G365" s="923"/>
      <c r="H365" s="923"/>
    </row>
    <row r="366" spans="1:8" ht="12.75" customHeight="1">
      <c r="C366" s="928" t="s">
        <v>1326</v>
      </c>
      <c r="D366" s="926" t="s">
        <v>1941</v>
      </c>
      <c r="E366" s="4252" t="s">
        <v>3239</v>
      </c>
      <c r="F366" s="4252"/>
      <c r="G366" s="4252"/>
      <c r="H366" s="4252"/>
    </row>
    <row r="367" spans="1:8" ht="12.75" customHeight="1">
      <c r="C367" s="2376" t="s">
        <v>4832</v>
      </c>
      <c r="E367" s="4252" t="s">
        <v>3401</v>
      </c>
      <c r="F367" s="4252"/>
      <c r="G367" s="4252"/>
      <c r="H367" s="4252"/>
    </row>
    <row r="368" spans="1:8" ht="12.75" customHeight="1">
      <c r="C368" s="2377"/>
      <c r="D368" s="2374" t="s">
        <v>3238</v>
      </c>
      <c r="E368" s="4327" t="s">
        <v>3402</v>
      </c>
      <c r="F368" s="4327"/>
      <c r="G368" s="4327"/>
      <c r="H368" s="4327"/>
    </row>
    <row r="369" spans="1:8" ht="3" customHeight="1">
      <c r="D369" s="926"/>
      <c r="E369" s="2373"/>
      <c r="F369" s="2373"/>
      <c r="G369" s="2373"/>
      <c r="H369" s="2373"/>
    </row>
    <row r="370" spans="1:8" ht="12.75" customHeight="1">
      <c r="C370" s="891" t="s">
        <v>3139</v>
      </c>
      <c r="D370" s="926" t="s">
        <v>1939</v>
      </c>
      <c r="E370" s="927"/>
      <c r="F370" s="923" t="s">
        <v>3140</v>
      </c>
      <c r="G370" s="923"/>
      <c r="H370" s="923"/>
    </row>
    <row r="371" spans="1:8" ht="12.75" customHeight="1">
      <c r="C371" s="928" t="s">
        <v>1326</v>
      </c>
      <c r="D371" s="926" t="s">
        <v>1941</v>
      </c>
      <c r="E371" s="4252" t="s">
        <v>3239</v>
      </c>
      <c r="F371" s="4252"/>
      <c r="G371" s="4252"/>
      <c r="H371" s="4252"/>
    </row>
    <row r="372" spans="1:8" ht="12.75" customHeight="1">
      <c r="C372" s="2376" t="s">
        <v>4832</v>
      </c>
      <c r="E372" s="4252" t="s">
        <v>3401</v>
      </c>
      <c r="F372" s="4252"/>
      <c r="G372" s="4252"/>
      <c r="H372" s="4252"/>
    </row>
    <row r="373" spans="1:8" ht="12.75" customHeight="1">
      <c r="C373" s="2377"/>
      <c r="D373" s="2375" t="s">
        <v>3238</v>
      </c>
      <c r="E373" s="4328" t="s">
        <v>3402</v>
      </c>
      <c r="F373" s="4328"/>
      <c r="G373" s="4328"/>
      <c r="H373" s="4328"/>
    </row>
    <row r="374" spans="1:8" ht="3" customHeight="1">
      <c r="D374" s="926"/>
      <c r="E374" s="2373"/>
      <c r="F374" s="2373"/>
      <c r="G374" s="2373"/>
      <c r="H374" s="2373"/>
    </row>
    <row r="375" spans="1:8" ht="12.75" customHeight="1">
      <c r="C375" s="891" t="s">
        <v>3139</v>
      </c>
      <c r="D375" s="926" t="s">
        <v>1939</v>
      </c>
      <c r="E375" s="927"/>
      <c r="F375" s="923" t="s">
        <v>3140</v>
      </c>
      <c r="G375" s="923"/>
      <c r="H375" s="923"/>
    </row>
    <row r="376" spans="1:8" ht="12.75" customHeight="1">
      <c r="C376" s="928" t="s">
        <v>1326</v>
      </c>
      <c r="D376" s="926" t="s">
        <v>1941</v>
      </c>
      <c r="E376" s="4252" t="s">
        <v>3239</v>
      </c>
      <c r="F376" s="4252"/>
      <c r="G376" s="4252"/>
      <c r="H376" s="4252"/>
    </row>
    <row r="377" spans="1:8" ht="12.75" customHeight="1">
      <c r="C377" s="2376" t="s">
        <v>4832</v>
      </c>
      <c r="E377" s="4252" t="s">
        <v>3401</v>
      </c>
      <c r="F377" s="4252"/>
      <c r="G377" s="4252"/>
      <c r="H377" s="4252"/>
    </row>
    <row r="378" spans="1:8" ht="12.75" customHeight="1">
      <c r="C378" s="2377"/>
      <c r="D378" s="2375" t="s">
        <v>3238</v>
      </c>
      <c r="E378" s="4328" t="s">
        <v>3402</v>
      </c>
      <c r="F378" s="4328"/>
      <c r="G378" s="4328"/>
      <c r="H378" s="4328"/>
    </row>
    <row r="379" spans="1:8" ht="6" customHeight="1">
      <c r="D379" s="926"/>
      <c r="E379" s="2373"/>
      <c r="F379" s="2373"/>
      <c r="G379" s="2373"/>
      <c r="H379" s="2373"/>
    </row>
    <row r="380" spans="1:8">
      <c r="A380" s="897" t="s">
        <v>3234</v>
      </c>
      <c r="B380" s="924">
        <f>IF('Part VI-Revenues &amp; Expenses'!$M$58=0,"",'Part VI-Revenues &amp; Expenses'!$M$58)</f>
        <v>106</v>
      </c>
      <c r="C380" s="897" t="s">
        <v>3236</v>
      </c>
      <c r="D380" s="925" t="s">
        <v>3404</v>
      </c>
    </row>
    <row r="381" spans="1:8" ht="1.8" customHeight="1"/>
    <row r="382" spans="1:8" ht="12.75" customHeight="1">
      <c r="C382" s="891" t="s">
        <v>3139</v>
      </c>
      <c r="D382" s="926" t="s">
        <v>1939</v>
      </c>
      <c r="E382" s="927"/>
      <c r="F382" s="923" t="s">
        <v>3140</v>
      </c>
      <c r="G382" s="923"/>
      <c r="H382" s="923"/>
    </row>
    <row r="383" spans="1:8" ht="12.75" customHeight="1">
      <c r="C383" s="928" t="s">
        <v>1326</v>
      </c>
      <c r="D383" s="926" t="s">
        <v>1941</v>
      </c>
      <c r="E383" s="4252" t="s">
        <v>3239</v>
      </c>
      <c r="F383" s="4252"/>
      <c r="G383" s="4252"/>
      <c r="H383" s="4252"/>
    </row>
    <row r="384" spans="1:8" ht="12.75" customHeight="1">
      <c r="C384" s="2376" t="s">
        <v>4832</v>
      </c>
      <c r="E384" s="4252" t="s">
        <v>3401</v>
      </c>
      <c r="F384" s="4252"/>
      <c r="G384" s="4252"/>
      <c r="H384" s="4252"/>
    </row>
    <row r="385" spans="1:8" ht="12.75" customHeight="1">
      <c r="C385" s="2377"/>
      <c r="D385" s="2374" t="s">
        <v>3238</v>
      </c>
      <c r="E385" s="4327" t="s">
        <v>3402</v>
      </c>
      <c r="F385" s="4327"/>
      <c r="G385" s="4327"/>
      <c r="H385" s="4327"/>
    </row>
    <row r="386" spans="1:8" ht="3" customHeight="1">
      <c r="D386" s="926"/>
      <c r="E386" s="2373"/>
      <c r="F386" s="2373"/>
      <c r="G386" s="2373"/>
      <c r="H386" s="2373"/>
    </row>
    <row r="387" spans="1:8" ht="12.75" customHeight="1">
      <c r="C387" s="891" t="s">
        <v>3139</v>
      </c>
      <c r="D387" s="926" t="s">
        <v>1939</v>
      </c>
      <c r="E387" s="927"/>
      <c r="F387" s="923" t="s">
        <v>3140</v>
      </c>
      <c r="G387" s="923"/>
      <c r="H387" s="923"/>
    </row>
    <row r="388" spans="1:8" ht="12.75" customHeight="1">
      <c r="C388" s="928" t="s">
        <v>1326</v>
      </c>
      <c r="D388" s="926" t="s">
        <v>1941</v>
      </c>
      <c r="E388" s="4252" t="s">
        <v>3239</v>
      </c>
      <c r="F388" s="4252"/>
      <c r="G388" s="4252"/>
      <c r="H388" s="4252"/>
    </row>
    <row r="389" spans="1:8" ht="12.75" customHeight="1">
      <c r="C389" s="2376" t="s">
        <v>4832</v>
      </c>
      <c r="E389" s="4252" t="s">
        <v>3401</v>
      </c>
      <c r="F389" s="4252"/>
      <c r="G389" s="4252"/>
      <c r="H389" s="4252"/>
    </row>
    <row r="390" spans="1:8" ht="12.75" customHeight="1">
      <c r="C390" s="2377"/>
      <c r="D390" s="2375" t="s">
        <v>3238</v>
      </c>
      <c r="E390" s="4328" t="s">
        <v>3402</v>
      </c>
      <c r="F390" s="4328"/>
      <c r="G390" s="4328"/>
      <c r="H390" s="4328"/>
    </row>
    <row r="391" spans="1:8" ht="3" customHeight="1">
      <c r="D391" s="926"/>
      <c r="E391" s="2373"/>
      <c r="F391" s="2373"/>
      <c r="G391" s="2373"/>
      <c r="H391" s="2373"/>
    </row>
    <row r="392" spans="1:8" ht="12.75" customHeight="1">
      <c r="C392" s="891" t="s">
        <v>3139</v>
      </c>
      <c r="D392" s="926" t="s">
        <v>1939</v>
      </c>
      <c r="E392" s="927"/>
      <c r="F392" s="923" t="s">
        <v>3140</v>
      </c>
      <c r="G392" s="923"/>
      <c r="H392" s="923"/>
    </row>
    <row r="393" spans="1:8" ht="12.75" customHeight="1">
      <c r="C393" s="928" t="s">
        <v>1326</v>
      </c>
      <c r="D393" s="926" t="s">
        <v>1941</v>
      </c>
      <c r="E393" s="4252" t="s">
        <v>3239</v>
      </c>
      <c r="F393" s="4252"/>
      <c r="G393" s="4252"/>
      <c r="H393" s="4252"/>
    </row>
    <row r="394" spans="1:8" ht="12.75" customHeight="1">
      <c r="C394" s="2376" t="s">
        <v>4832</v>
      </c>
      <c r="E394" s="4252" t="s">
        <v>3401</v>
      </c>
      <c r="F394" s="4252"/>
      <c r="G394" s="4252"/>
      <c r="H394" s="4252"/>
    </row>
    <row r="395" spans="1:8" ht="12.75" customHeight="1">
      <c r="C395" s="2377"/>
      <c r="D395" s="2375" t="s">
        <v>3238</v>
      </c>
      <c r="E395" s="4328" t="s">
        <v>3402</v>
      </c>
      <c r="F395" s="4328"/>
      <c r="G395" s="4328"/>
      <c r="H395" s="4328"/>
    </row>
    <row r="396" spans="1:8" ht="6" customHeight="1">
      <c r="D396" s="926"/>
      <c r="E396" s="2373"/>
      <c r="F396" s="2373"/>
      <c r="G396" s="2373"/>
      <c r="H396" s="2373"/>
    </row>
    <row r="397" spans="1:8">
      <c r="A397" s="897" t="s">
        <v>3234</v>
      </c>
      <c r="B397" s="924">
        <f>IF('Part VI-Revenues &amp; Expenses'!$N$58=0,"",'Part VI-Revenues &amp; Expenses'!$N$58)</f>
        <v>76</v>
      </c>
      <c r="C397" s="897" t="s">
        <v>3237</v>
      </c>
      <c r="D397" s="925" t="s">
        <v>3405</v>
      </c>
    </row>
    <row r="398" spans="1:8" ht="1.8" customHeight="1"/>
    <row r="399" spans="1:8" ht="12.75" customHeight="1">
      <c r="C399" s="891" t="s">
        <v>3139</v>
      </c>
      <c r="D399" s="926" t="s">
        <v>1939</v>
      </c>
      <c r="E399" s="927"/>
      <c r="F399" s="923" t="s">
        <v>3140</v>
      </c>
      <c r="G399" s="923"/>
      <c r="H399" s="923"/>
    </row>
    <row r="400" spans="1:8" ht="12.75" customHeight="1">
      <c r="C400" s="928" t="s">
        <v>1326</v>
      </c>
      <c r="D400" s="926" t="s">
        <v>1941</v>
      </c>
      <c r="E400" s="4252" t="s">
        <v>3239</v>
      </c>
      <c r="F400" s="4252"/>
      <c r="G400" s="4252"/>
      <c r="H400" s="4252"/>
    </row>
    <row r="401" spans="1:11" ht="12.75" customHeight="1">
      <c r="C401" s="2376" t="s">
        <v>4832</v>
      </c>
      <c r="E401" s="4252" t="s">
        <v>3401</v>
      </c>
      <c r="F401" s="4252"/>
      <c r="G401" s="4252"/>
      <c r="H401" s="4252"/>
    </row>
    <row r="402" spans="1:11" ht="12.75" customHeight="1">
      <c r="C402" s="2377"/>
      <c r="D402" s="2374" t="s">
        <v>3238</v>
      </c>
      <c r="E402" s="4327" t="s">
        <v>3402</v>
      </c>
      <c r="F402" s="4327"/>
      <c r="G402" s="4327"/>
      <c r="H402" s="4327"/>
    </row>
    <row r="403" spans="1:11" ht="3" customHeight="1">
      <c r="D403" s="926"/>
      <c r="E403" s="2373"/>
      <c r="F403" s="2373"/>
      <c r="G403" s="2373"/>
      <c r="H403" s="2373"/>
    </row>
    <row r="404" spans="1:11" ht="12.75" customHeight="1">
      <c r="C404" s="891" t="s">
        <v>3139</v>
      </c>
      <c r="D404" s="926" t="s">
        <v>1939</v>
      </c>
      <c r="E404" s="927"/>
      <c r="F404" s="923" t="s">
        <v>3140</v>
      </c>
      <c r="G404" s="923"/>
      <c r="H404" s="923"/>
    </row>
    <row r="405" spans="1:11" ht="12.75" customHeight="1">
      <c r="C405" s="928" t="s">
        <v>1326</v>
      </c>
      <c r="D405" s="926" t="s">
        <v>1941</v>
      </c>
      <c r="E405" s="4252" t="s">
        <v>3239</v>
      </c>
      <c r="F405" s="4252"/>
      <c r="G405" s="4252"/>
      <c r="H405" s="4252"/>
    </row>
    <row r="406" spans="1:11" ht="12.75" customHeight="1">
      <c r="C406" s="2376" t="s">
        <v>4832</v>
      </c>
      <c r="E406" s="4252" t="s">
        <v>3401</v>
      </c>
      <c r="F406" s="4252"/>
      <c r="G406" s="4252"/>
      <c r="H406" s="4252"/>
    </row>
    <row r="407" spans="1:11" ht="12.75" customHeight="1">
      <c r="C407" s="2377"/>
      <c r="D407" s="2375" t="s">
        <v>3238</v>
      </c>
      <c r="E407" s="4328" t="s">
        <v>3402</v>
      </c>
      <c r="F407" s="4328"/>
      <c r="G407" s="4328"/>
      <c r="H407" s="4328"/>
    </row>
    <row r="408" spans="1:11" ht="3" customHeight="1">
      <c r="D408" s="926"/>
      <c r="E408" s="2373"/>
      <c r="F408" s="2373"/>
      <c r="G408" s="2373"/>
      <c r="H408" s="2373"/>
    </row>
    <row r="409" spans="1:11" ht="12.75" customHeight="1">
      <c r="C409" s="891" t="s">
        <v>3139</v>
      </c>
      <c r="D409" s="926" t="s">
        <v>1939</v>
      </c>
      <c r="E409" s="927"/>
      <c r="F409" s="923" t="s">
        <v>3140</v>
      </c>
      <c r="G409" s="923"/>
      <c r="H409" s="923"/>
    </row>
    <row r="410" spans="1:11" ht="12.75" customHeight="1">
      <c r="C410" s="928" t="s">
        <v>1326</v>
      </c>
      <c r="D410" s="926" t="s">
        <v>1941</v>
      </c>
      <c r="E410" s="4252" t="s">
        <v>3239</v>
      </c>
      <c r="F410" s="4252"/>
      <c r="G410" s="4252"/>
      <c r="H410" s="4252"/>
    </row>
    <row r="411" spans="1:11" ht="12.75" customHeight="1">
      <c r="C411" s="2376" t="s">
        <v>4832</v>
      </c>
      <c r="E411" s="4252" t="s">
        <v>3401</v>
      </c>
      <c r="F411" s="4252"/>
      <c r="G411" s="4252"/>
      <c r="H411" s="4252"/>
    </row>
    <row r="412" spans="1:11" ht="12.75" customHeight="1">
      <c r="C412" s="2377"/>
      <c r="D412" s="2375" t="s">
        <v>3238</v>
      </c>
      <c r="E412" s="4328" t="s">
        <v>3402</v>
      </c>
      <c r="F412" s="4328"/>
      <c r="G412" s="4328"/>
      <c r="H412" s="4328"/>
    </row>
    <row r="413" spans="1:11" ht="6" customHeight="1">
      <c r="D413" s="926"/>
      <c r="E413" s="2373"/>
      <c r="F413" s="2373"/>
      <c r="G413" s="2373"/>
      <c r="H413" s="2373"/>
    </row>
    <row r="414" spans="1:11">
      <c r="A414" s="897" t="s">
        <v>3234</v>
      </c>
      <c r="B414" s="924" t="str">
        <f>IF('Part VI-Revenues &amp; Expenses'!$O$58=0,"",'Part VI-Revenues &amp; Expenses'!$O$58)</f>
        <v/>
      </c>
      <c r="C414" s="897" t="s">
        <v>4830</v>
      </c>
      <c r="D414" s="925" t="s">
        <v>4831</v>
      </c>
    </row>
    <row r="415" spans="1:11" ht="1.8" customHeight="1"/>
    <row r="416" spans="1:11" ht="12.75" customHeight="1">
      <c r="C416" s="891" t="s">
        <v>3139</v>
      </c>
      <c r="D416" s="926" t="s">
        <v>1939</v>
      </c>
      <c r="E416" s="927"/>
      <c r="F416" s="4252" t="s">
        <v>3140</v>
      </c>
      <c r="G416" s="4252"/>
      <c r="H416" s="4252"/>
      <c r="K416" s="842" t="s">
        <v>238</v>
      </c>
    </row>
    <row r="417" spans="1:8" ht="12.75" customHeight="1">
      <c r="C417" s="928" t="s">
        <v>1326</v>
      </c>
      <c r="D417" s="926" t="s">
        <v>1941</v>
      </c>
      <c r="E417" s="4252" t="s">
        <v>3240</v>
      </c>
      <c r="F417" s="4252"/>
      <c r="G417" s="4252"/>
      <c r="H417" s="4252"/>
    </row>
    <row r="418" spans="1:8" ht="12.75" customHeight="1">
      <c r="E418" s="4252" t="s">
        <v>3401</v>
      </c>
      <c r="F418" s="4252"/>
      <c r="G418" s="4252"/>
      <c r="H418" s="4252"/>
    </row>
    <row r="419" spans="1:8" ht="12.75" customHeight="1">
      <c r="D419" s="929" t="s">
        <v>3238</v>
      </c>
      <c r="E419" s="4252" t="s">
        <v>3402</v>
      </c>
      <c r="F419" s="4252"/>
      <c r="G419" s="4252"/>
      <c r="H419" s="4252"/>
    </row>
    <row r="420" spans="1:8" ht="9" customHeight="1" thickBot="1"/>
    <row r="421" spans="1:8" ht="16.2" customHeight="1" thickBot="1">
      <c r="A421" s="4334">
        <v>70</v>
      </c>
      <c r="B421" s="4335"/>
      <c r="C421" s="2378" t="s">
        <v>1018</v>
      </c>
    </row>
    <row r="422" spans="1:8" ht="9" customHeight="1">
      <c r="A422" s="864"/>
    </row>
    <row r="423" spans="1:8" ht="28.2" customHeight="1">
      <c r="A423" s="4332" t="s">
        <v>4838</v>
      </c>
      <c r="B423" s="4332"/>
      <c r="C423" s="4332"/>
      <c r="D423" s="4332"/>
      <c r="E423" s="4332"/>
      <c r="F423" s="4332"/>
      <c r="G423" s="4332"/>
      <c r="H423" s="4332"/>
    </row>
    <row r="424" spans="1:8" ht="9" customHeight="1">
      <c r="A424" s="864"/>
    </row>
    <row r="425" spans="1:8">
      <c r="A425" s="897" t="s">
        <v>3234</v>
      </c>
      <c r="B425" s="924" t="str">
        <f>IF('Part VI-Revenues &amp; Expenses'!$K$57=0,"",'Part VI-Revenues &amp; Expenses'!$K$57)</f>
        <v/>
      </c>
      <c r="C425" s="897" t="s">
        <v>4827</v>
      </c>
      <c r="D425" s="925" t="s">
        <v>4828</v>
      </c>
    </row>
    <row r="426" spans="1:8" ht="1.8" customHeight="1"/>
    <row r="427" spans="1:8" ht="12.75" customHeight="1">
      <c r="C427" s="891" t="s">
        <v>3139</v>
      </c>
      <c r="D427" s="926" t="s">
        <v>1939</v>
      </c>
      <c r="E427" s="927"/>
      <c r="F427" s="4252" t="s">
        <v>3140</v>
      </c>
      <c r="G427" s="4252"/>
      <c r="H427" s="4252"/>
    </row>
    <row r="428" spans="1:8" ht="12.75" customHeight="1">
      <c r="C428" s="928" t="s">
        <v>1326</v>
      </c>
      <c r="D428" s="926" t="s">
        <v>1941</v>
      </c>
      <c r="E428" s="4252" t="s">
        <v>3239</v>
      </c>
      <c r="F428" s="4252"/>
      <c r="G428" s="4252"/>
      <c r="H428" s="4252"/>
    </row>
    <row r="429" spans="1:8" ht="12.75" customHeight="1">
      <c r="C429" s="2376" t="s">
        <v>4832</v>
      </c>
      <c r="E429" s="4252" t="s">
        <v>3401</v>
      </c>
      <c r="F429" s="4252"/>
      <c r="G429" s="4252"/>
      <c r="H429" s="4252"/>
    </row>
    <row r="430" spans="1:8" ht="12.75" customHeight="1">
      <c r="C430" s="2377"/>
      <c r="D430" s="2375" t="s">
        <v>3238</v>
      </c>
      <c r="E430" s="4328" t="s">
        <v>3402</v>
      </c>
      <c r="F430" s="4328"/>
      <c r="G430" s="4328"/>
      <c r="H430" s="4328"/>
    </row>
    <row r="431" spans="1:8" ht="3" customHeight="1">
      <c r="D431" s="926"/>
      <c r="E431" s="2373"/>
      <c r="F431" s="2373"/>
      <c r="G431" s="2373"/>
      <c r="H431" s="2373"/>
    </row>
    <row r="432" spans="1:8" ht="12.75" customHeight="1">
      <c r="C432" s="891" t="s">
        <v>3139</v>
      </c>
      <c r="D432" s="926" t="s">
        <v>1939</v>
      </c>
      <c r="E432" s="927"/>
      <c r="F432" s="923" t="s">
        <v>3140</v>
      </c>
      <c r="G432" s="923"/>
      <c r="H432" s="923"/>
    </row>
    <row r="433" spans="1:8" ht="12.75" customHeight="1">
      <c r="C433" s="928" t="s">
        <v>1326</v>
      </c>
      <c r="D433" s="926" t="s">
        <v>1941</v>
      </c>
      <c r="E433" s="4252" t="s">
        <v>3239</v>
      </c>
      <c r="F433" s="4252"/>
      <c r="G433" s="4252"/>
      <c r="H433" s="4252"/>
    </row>
    <row r="434" spans="1:8" ht="12.75" customHeight="1">
      <c r="C434" s="2376" t="s">
        <v>4832</v>
      </c>
      <c r="E434" s="4252" t="s">
        <v>3401</v>
      </c>
      <c r="F434" s="4252"/>
      <c r="G434" s="4252"/>
      <c r="H434" s="4252"/>
    </row>
    <row r="435" spans="1:8" ht="12.75" customHeight="1">
      <c r="C435" s="2377"/>
      <c r="D435" s="2375" t="s">
        <v>3238</v>
      </c>
      <c r="E435" s="4328" t="s">
        <v>3402</v>
      </c>
      <c r="F435" s="4328"/>
      <c r="G435" s="4328"/>
      <c r="H435" s="4328"/>
    </row>
    <row r="436" spans="1:8" ht="3" customHeight="1">
      <c r="D436" s="926"/>
      <c r="E436" s="2373"/>
      <c r="F436" s="2373"/>
      <c r="G436" s="2373"/>
      <c r="H436" s="2373"/>
    </row>
    <row r="437" spans="1:8" ht="12.75" customHeight="1">
      <c r="C437" s="891" t="s">
        <v>3139</v>
      </c>
      <c r="D437" s="926" t="s">
        <v>1939</v>
      </c>
      <c r="E437" s="927"/>
      <c r="F437" s="923" t="s">
        <v>3140</v>
      </c>
      <c r="G437" s="923"/>
      <c r="H437" s="923"/>
    </row>
    <row r="438" spans="1:8" ht="12.75" customHeight="1">
      <c r="C438" s="928" t="s">
        <v>1326</v>
      </c>
      <c r="D438" s="926" t="s">
        <v>1941</v>
      </c>
      <c r="E438" s="4252" t="s">
        <v>3239</v>
      </c>
      <c r="F438" s="4252"/>
      <c r="G438" s="4252"/>
      <c r="H438" s="4252"/>
    </row>
    <row r="439" spans="1:8" ht="12.75" customHeight="1">
      <c r="C439" s="2376" t="s">
        <v>4832</v>
      </c>
      <c r="E439" s="4252" t="s">
        <v>3401</v>
      </c>
      <c r="F439" s="4252"/>
      <c r="G439" s="4252"/>
      <c r="H439" s="4252"/>
    </row>
    <row r="440" spans="1:8" ht="12.75" customHeight="1">
      <c r="C440" s="2377"/>
      <c r="D440" s="2375" t="s">
        <v>3238</v>
      </c>
      <c r="E440" s="4328" t="s">
        <v>3402</v>
      </c>
      <c r="F440" s="4328"/>
      <c r="G440" s="4328"/>
      <c r="H440" s="4328"/>
    </row>
    <row r="441" spans="1:8" ht="6" customHeight="1">
      <c r="D441" s="926"/>
      <c r="E441" s="2373"/>
      <c r="F441" s="2373"/>
      <c r="G441" s="2373"/>
      <c r="H441" s="2373"/>
    </row>
    <row r="442" spans="1:8">
      <c r="A442" s="897" t="s">
        <v>3234</v>
      </c>
      <c r="B442" s="924" t="str">
        <f>IF('Part VI-Revenues &amp; Expenses'!$L$57=0,"",'Part VI-Revenues &amp; Expenses'!$L$57)</f>
        <v/>
      </c>
      <c r="C442" s="897" t="s">
        <v>3235</v>
      </c>
      <c r="D442" s="925" t="s">
        <v>3403</v>
      </c>
    </row>
    <row r="443" spans="1:8" ht="1.8" customHeight="1"/>
    <row r="444" spans="1:8" ht="12.75" customHeight="1">
      <c r="C444" s="891" t="s">
        <v>3139</v>
      </c>
      <c r="D444" s="926" t="s">
        <v>1939</v>
      </c>
      <c r="E444" s="927"/>
      <c r="F444" s="923" t="s">
        <v>3140</v>
      </c>
      <c r="G444" s="923"/>
      <c r="H444" s="923"/>
    </row>
    <row r="445" spans="1:8" ht="12.75" customHeight="1">
      <c r="C445" s="928" t="s">
        <v>1326</v>
      </c>
      <c r="D445" s="926" t="s">
        <v>1941</v>
      </c>
      <c r="E445" s="4252" t="s">
        <v>3239</v>
      </c>
      <c r="F445" s="4252"/>
      <c r="G445" s="4252"/>
      <c r="H445" s="4252"/>
    </row>
    <row r="446" spans="1:8" ht="12.75" customHeight="1">
      <c r="C446" s="2376" t="s">
        <v>4832</v>
      </c>
      <c r="E446" s="4252" t="s">
        <v>3401</v>
      </c>
      <c r="F446" s="4252"/>
      <c r="G446" s="4252"/>
      <c r="H446" s="4252"/>
    </row>
    <row r="447" spans="1:8" ht="12.75" customHeight="1">
      <c r="C447" s="2377"/>
      <c r="D447" s="2374" t="s">
        <v>3238</v>
      </c>
      <c r="E447" s="4327" t="s">
        <v>3402</v>
      </c>
      <c r="F447" s="4327"/>
      <c r="G447" s="4327"/>
      <c r="H447" s="4327"/>
    </row>
    <row r="448" spans="1:8" ht="3" customHeight="1">
      <c r="D448" s="926"/>
      <c r="E448" s="2373"/>
      <c r="F448" s="2373"/>
      <c r="G448" s="2373"/>
      <c r="H448" s="2373"/>
    </row>
    <row r="449" spans="1:8" ht="12.75" customHeight="1">
      <c r="C449" s="891" t="s">
        <v>3139</v>
      </c>
      <c r="D449" s="926" t="s">
        <v>1939</v>
      </c>
      <c r="E449" s="927"/>
      <c r="F449" s="923" t="s">
        <v>3140</v>
      </c>
      <c r="G449" s="923"/>
      <c r="H449" s="923"/>
    </row>
    <row r="450" spans="1:8" ht="12.75" customHeight="1">
      <c r="C450" s="928" t="s">
        <v>1326</v>
      </c>
      <c r="D450" s="926" t="s">
        <v>1941</v>
      </c>
      <c r="E450" s="4252" t="s">
        <v>3239</v>
      </c>
      <c r="F450" s="4252"/>
      <c r="G450" s="4252"/>
      <c r="H450" s="4252"/>
    </row>
    <row r="451" spans="1:8" ht="12.75" customHeight="1">
      <c r="C451" s="2376" t="s">
        <v>4832</v>
      </c>
      <c r="E451" s="4252" t="s">
        <v>3401</v>
      </c>
      <c r="F451" s="4252"/>
      <c r="G451" s="4252"/>
      <c r="H451" s="4252"/>
    </row>
    <row r="452" spans="1:8" ht="12.75" customHeight="1">
      <c r="C452" s="2377"/>
      <c r="D452" s="2375" t="s">
        <v>3238</v>
      </c>
      <c r="E452" s="4328" t="s">
        <v>3402</v>
      </c>
      <c r="F452" s="4328"/>
      <c r="G452" s="4328"/>
      <c r="H452" s="4328"/>
    </row>
    <row r="453" spans="1:8" ht="3" customHeight="1">
      <c r="D453" s="926"/>
      <c r="E453" s="2373"/>
      <c r="F453" s="2373"/>
      <c r="G453" s="2373"/>
      <c r="H453" s="2373"/>
    </row>
    <row r="454" spans="1:8" ht="12.75" customHeight="1">
      <c r="C454" s="891" t="s">
        <v>3139</v>
      </c>
      <c r="D454" s="926" t="s">
        <v>1939</v>
      </c>
      <c r="E454" s="927"/>
      <c r="F454" s="923" t="s">
        <v>3140</v>
      </c>
      <c r="G454" s="923"/>
      <c r="H454" s="923"/>
    </row>
    <row r="455" spans="1:8" ht="12.75" customHeight="1">
      <c r="C455" s="928" t="s">
        <v>1326</v>
      </c>
      <c r="D455" s="926" t="s">
        <v>1941</v>
      </c>
      <c r="E455" s="4252" t="s">
        <v>3239</v>
      </c>
      <c r="F455" s="4252"/>
      <c r="G455" s="4252"/>
      <c r="H455" s="4252"/>
    </row>
    <row r="456" spans="1:8" ht="12.75" customHeight="1">
      <c r="C456" s="2376" t="s">
        <v>4832</v>
      </c>
      <c r="E456" s="4252" t="s">
        <v>3401</v>
      </c>
      <c r="F456" s="4252"/>
      <c r="G456" s="4252"/>
      <c r="H456" s="4252"/>
    </row>
    <row r="457" spans="1:8" ht="12.75" customHeight="1">
      <c r="C457" s="2377"/>
      <c r="D457" s="2375" t="s">
        <v>3238</v>
      </c>
      <c r="E457" s="4328" t="s">
        <v>3402</v>
      </c>
      <c r="F457" s="4328"/>
      <c r="G457" s="4328"/>
      <c r="H457" s="4328"/>
    </row>
    <row r="458" spans="1:8" ht="6" customHeight="1">
      <c r="D458" s="926"/>
      <c r="E458" s="2373"/>
      <c r="F458" s="2373"/>
      <c r="G458" s="2373"/>
      <c r="H458" s="2373"/>
    </row>
    <row r="459" spans="1:8">
      <c r="A459" s="897" t="s">
        <v>3234</v>
      </c>
      <c r="B459" s="924" t="str">
        <f>IF('Part VI-Revenues &amp; Expenses'!$M$57=0,"",'Part VI-Revenues &amp; Expenses'!$M$57)</f>
        <v/>
      </c>
      <c r="C459" s="897" t="s">
        <v>3236</v>
      </c>
      <c r="D459" s="925" t="s">
        <v>3404</v>
      </c>
    </row>
    <row r="460" spans="1:8" ht="1.8" customHeight="1"/>
    <row r="461" spans="1:8" ht="12.75" customHeight="1">
      <c r="C461" s="891" t="s">
        <v>3139</v>
      </c>
      <c r="D461" s="926" t="s">
        <v>1939</v>
      </c>
      <c r="E461" s="927"/>
      <c r="F461" s="923" t="s">
        <v>3140</v>
      </c>
      <c r="G461" s="923"/>
      <c r="H461" s="923"/>
    </row>
    <row r="462" spans="1:8" ht="12.75" customHeight="1">
      <c r="C462" s="928" t="s">
        <v>1326</v>
      </c>
      <c r="D462" s="926" t="s">
        <v>1941</v>
      </c>
      <c r="E462" s="4252" t="s">
        <v>3239</v>
      </c>
      <c r="F462" s="4252"/>
      <c r="G462" s="4252"/>
      <c r="H462" s="4252"/>
    </row>
    <row r="463" spans="1:8" ht="12.75" customHeight="1">
      <c r="C463" s="2376" t="s">
        <v>4832</v>
      </c>
      <c r="E463" s="4252" t="s">
        <v>3401</v>
      </c>
      <c r="F463" s="4252"/>
      <c r="G463" s="4252"/>
      <c r="H463" s="4252"/>
    </row>
    <row r="464" spans="1:8" ht="12.75" customHeight="1">
      <c r="C464" s="2377"/>
      <c r="D464" s="2374" t="s">
        <v>3238</v>
      </c>
      <c r="E464" s="4327" t="s">
        <v>3402</v>
      </c>
      <c r="F464" s="4327"/>
      <c r="G464" s="4327"/>
      <c r="H464" s="4327"/>
    </row>
    <row r="465" spans="1:8" ht="3" customHeight="1">
      <c r="D465" s="926"/>
      <c r="E465" s="2373"/>
      <c r="F465" s="2373"/>
      <c r="G465" s="2373"/>
      <c r="H465" s="2373"/>
    </row>
    <row r="466" spans="1:8" ht="12.75" customHeight="1">
      <c r="C466" s="891" t="s">
        <v>3139</v>
      </c>
      <c r="D466" s="926" t="s">
        <v>1939</v>
      </c>
      <c r="E466" s="927"/>
      <c r="F466" s="923" t="s">
        <v>3140</v>
      </c>
      <c r="G466" s="923"/>
      <c r="H466" s="923"/>
    </row>
    <row r="467" spans="1:8" ht="12.75" customHeight="1">
      <c r="C467" s="928" t="s">
        <v>1326</v>
      </c>
      <c r="D467" s="926" t="s">
        <v>1941</v>
      </c>
      <c r="E467" s="4252" t="s">
        <v>3239</v>
      </c>
      <c r="F467" s="4252"/>
      <c r="G467" s="4252"/>
      <c r="H467" s="4252"/>
    </row>
    <row r="468" spans="1:8" ht="12.75" customHeight="1">
      <c r="C468" s="2376" t="s">
        <v>4832</v>
      </c>
      <c r="E468" s="4252" t="s">
        <v>3401</v>
      </c>
      <c r="F468" s="4252"/>
      <c r="G468" s="4252"/>
      <c r="H468" s="4252"/>
    </row>
    <row r="469" spans="1:8" ht="12.75" customHeight="1">
      <c r="C469" s="2377"/>
      <c r="D469" s="2375" t="s">
        <v>3238</v>
      </c>
      <c r="E469" s="4328" t="s">
        <v>3402</v>
      </c>
      <c r="F469" s="4328"/>
      <c r="G469" s="4328"/>
      <c r="H469" s="4328"/>
    </row>
    <row r="470" spans="1:8" ht="3" customHeight="1">
      <c r="D470" s="926"/>
      <c r="E470" s="2373"/>
      <c r="F470" s="2373"/>
      <c r="G470" s="2373"/>
      <c r="H470" s="2373"/>
    </row>
    <row r="471" spans="1:8" ht="12.75" customHeight="1">
      <c r="C471" s="891" t="s">
        <v>3139</v>
      </c>
      <c r="D471" s="926" t="s">
        <v>1939</v>
      </c>
      <c r="E471" s="927"/>
      <c r="F471" s="923" t="s">
        <v>3140</v>
      </c>
      <c r="G471" s="923"/>
      <c r="H471" s="923"/>
    </row>
    <row r="472" spans="1:8" ht="12.75" customHeight="1">
      <c r="C472" s="928" t="s">
        <v>1326</v>
      </c>
      <c r="D472" s="926" t="s">
        <v>1941</v>
      </c>
      <c r="E472" s="4252" t="s">
        <v>3239</v>
      </c>
      <c r="F472" s="4252"/>
      <c r="G472" s="4252"/>
      <c r="H472" s="4252"/>
    </row>
    <row r="473" spans="1:8" ht="12.75" customHeight="1">
      <c r="C473" s="2376" t="s">
        <v>4832</v>
      </c>
      <c r="E473" s="4252" t="s">
        <v>3401</v>
      </c>
      <c r="F473" s="4252"/>
      <c r="G473" s="4252"/>
      <c r="H473" s="4252"/>
    </row>
    <row r="474" spans="1:8" ht="12.75" customHeight="1">
      <c r="C474" s="2377"/>
      <c r="D474" s="2375" t="s">
        <v>3238</v>
      </c>
      <c r="E474" s="4328" t="s">
        <v>3402</v>
      </c>
      <c r="F474" s="4328"/>
      <c r="G474" s="4328"/>
      <c r="H474" s="4328"/>
    </row>
    <row r="475" spans="1:8" ht="6" customHeight="1">
      <c r="D475" s="926"/>
      <c r="E475" s="2373"/>
      <c r="F475" s="2373"/>
      <c r="G475" s="2373"/>
      <c r="H475" s="2373"/>
    </row>
    <row r="476" spans="1:8">
      <c r="A476" s="897" t="s">
        <v>3234</v>
      </c>
      <c r="B476" s="924" t="str">
        <f>IF('Part VI-Revenues &amp; Expenses'!$N$57=0,"",'Part VI-Revenues &amp; Expenses'!$N$57)</f>
        <v/>
      </c>
      <c r="C476" s="897" t="s">
        <v>3237</v>
      </c>
      <c r="D476" s="925" t="s">
        <v>3405</v>
      </c>
    </row>
    <row r="477" spans="1:8" ht="1.8" customHeight="1"/>
    <row r="478" spans="1:8" ht="12.75" customHeight="1">
      <c r="C478" s="891" t="s">
        <v>3139</v>
      </c>
      <c r="D478" s="926" t="s">
        <v>1939</v>
      </c>
      <c r="E478" s="927"/>
      <c r="F478" s="923" t="s">
        <v>3140</v>
      </c>
      <c r="G478" s="923"/>
      <c r="H478" s="923"/>
    </row>
    <row r="479" spans="1:8" ht="12.75" customHeight="1">
      <c r="C479" s="928" t="s">
        <v>1326</v>
      </c>
      <c r="D479" s="926" t="s">
        <v>1941</v>
      </c>
      <c r="E479" s="4252" t="s">
        <v>3239</v>
      </c>
      <c r="F479" s="4252"/>
      <c r="G479" s="4252"/>
      <c r="H479" s="4252"/>
    </row>
    <row r="480" spans="1:8" ht="12.75" customHeight="1">
      <c r="C480" s="2376" t="s">
        <v>4832</v>
      </c>
      <c r="E480" s="4252" t="s">
        <v>3401</v>
      </c>
      <c r="F480" s="4252"/>
      <c r="G480" s="4252"/>
      <c r="H480" s="4252"/>
    </row>
    <row r="481" spans="1:11" ht="12.75" customHeight="1">
      <c r="C481" s="2377"/>
      <c r="D481" s="2374" t="s">
        <v>3238</v>
      </c>
      <c r="E481" s="4327" t="s">
        <v>3402</v>
      </c>
      <c r="F481" s="4327"/>
      <c r="G481" s="4327"/>
      <c r="H481" s="4327"/>
    </row>
    <row r="482" spans="1:11" ht="3" customHeight="1">
      <c r="D482" s="926"/>
      <c r="E482" s="2373"/>
      <c r="F482" s="2373"/>
      <c r="G482" s="2373"/>
      <c r="H482" s="2373"/>
    </row>
    <row r="483" spans="1:11" ht="12.75" customHeight="1">
      <c r="C483" s="891" t="s">
        <v>3139</v>
      </c>
      <c r="D483" s="926" t="s">
        <v>1939</v>
      </c>
      <c r="E483" s="927"/>
      <c r="F483" s="923" t="s">
        <v>3140</v>
      </c>
      <c r="G483" s="923"/>
      <c r="H483" s="923"/>
    </row>
    <row r="484" spans="1:11" ht="12.75" customHeight="1">
      <c r="C484" s="928" t="s">
        <v>1326</v>
      </c>
      <c r="D484" s="926" t="s">
        <v>1941</v>
      </c>
      <c r="E484" s="4252" t="s">
        <v>3239</v>
      </c>
      <c r="F484" s="4252"/>
      <c r="G484" s="4252"/>
      <c r="H484" s="4252"/>
    </row>
    <row r="485" spans="1:11" ht="12.75" customHeight="1">
      <c r="C485" s="2376" t="s">
        <v>4832</v>
      </c>
      <c r="E485" s="4252" t="s">
        <v>3401</v>
      </c>
      <c r="F485" s="4252"/>
      <c r="G485" s="4252"/>
      <c r="H485" s="4252"/>
    </row>
    <row r="486" spans="1:11" ht="12.75" customHeight="1">
      <c r="C486" s="2377"/>
      <c r="D486" s="2375" t="s">
        <v>3238</v>
      </c>
      <c r="E486" s="4328" t="s">
        <v>3402</v>
      </c>
      <c r="F486" s="4328"/>
      <c r="G486" s="4328"/>
      <c r="H486" s="4328"/>
    </row>
    <row r="487" spans="1:11" ht="3" customHeight="1">
      <c r="D487" s="926"/>
      <c r="E487" s="2373"/>
      <c r="F487" s="2373"/>
      <c r="G487" s="2373"/>
      <c r="H487" s="2373"/>
    </row>
    <row r="488" spans="1:11" ht="12.75" customHeight="1">
      <c r="C488" s="891" t="s">
        <v>3139</v>
      </c>
      <c r="D488" s="926" t="s">
        <v>1939</v>
      </c>
      <c r="E488" s="927"/>
      <c r="F488" s="923" t="s">
        <v>3140</v>
      </c>
      <c r="G488" s="923"/>
      <c r="H488" s="923"/>
    </row>
    <row r="489" spans="1:11" ht="12.75" customHeight="1">
      <c r="C489" s="928" t="s">
        <v>1326</v>
      </c>
      <c r="D489" s="926" t="s">
        <v>1941</v>
      </c>
      <c r="E489" s="4252" t="s">
        <v>3239</v>
      </c>
      <c r="F489" s="4252"/>
      <c r="G489" s="4252"/>
      <c r="H489" s="4252"/>
    </row>
    <row r="490" spans="1:11" ht="12.75" customHeight="1">
      <c r="C490" s="2376" t="s">
        <v>4832</v>
      </c>
      <c r="E490" s="4252" t="s">
        <v>3401</v>
      </c>
      <c r="F490" s="4252"/>
      <c r="G490" s="4252"/>
      <c r="H490" s="4252"/>
    </row>
    <row r="491" spans="1:11" ht="12.75" customHeight="1">
      <c r="C491" s="2377"/>
      <c r="D491" s="2375" t="s">
        <v>3238</v>
      </c>
      <c r="E491" s="4328" t="s">
        <v>3402</v>
      </c>
      <c r="F491" s="4328"/>
      <c r="G491" s="4328"/>
      <c r="H491" s="4328"/>
    </row>
    <row r="492" spans="1:11" ht="6" customHeight="1">
      <c r="D492" s="926"/>
      <c r="E492" s="2373"/>
      <c r="F492" s="2373"/>
      <c r="G492" s="2373"/>
      <c r="H492" s="2373"/>
    </row>
    <row r="493" spans="1:11">
      <c r="A493" s="897" t="s">
        <v>3234</v>
      </c>
      <c r="B493" s="924" t="str">
        <f>IF('Part VI-Revenues &amp; Expenses'!$O$57=0,"",'Part VI-Revenues &amp; Expenses'!$O$57)</f>
        <v/>
      </c>
      <c r="C493" s="897" t="s">
        <v>4830</v>
      </c>
      <c r="D493" s="925" t="s">
        <v>4831</v>
      </c>
    </row>
    <row r="494" spans="1:11" ht="1.8" customHeight="1"/>
    <row r="495" spans="1:11" ht="12.75" customHeight="1">
      <c r="C495" s="891" t="s">
        <v>3139</v>
      </c>
      <c r="D495" s="926" t="s">
        <v>1939</v>
      </c>
      <c r="E495" s="927"/>
      <c r="F495" s="4252" t="s">
        <v>3140</v>
      </c>
      <c r="G495" s="4252"/>
      <c r="H495" s="4252"/>
      <c r="K495" s="842" t="s">
        <v>238</v>
      </c>
    </row>
    <row r="496" spans="1:11" ht="12.75" customHeight="1">
      <c r="C496" s="928" t="s">
        <v>1326</v>
      </c>
      <c r="D496" s="926" t="s">
        <v>1941</v>
      </c>
      <c r="E496" s="4252" t="s">
        <v>3240</v>
      </c>
      <c r="F496" s="4252"/>
      <c r="G496" s="4252"/>
      <c r="H496" s="4252"/>
    </row>
    <row r="497" spans="1:8" ht="12.75" customHeight="1">
      <c r="E497" s="4252" t="s">
        <v>3401</v>
      </c>
      <c r="F497" s="4252"/>
      <c r="G497" s="4252"/>
      <c r="H497" s="4252"/>
    </row>
    <row r="498" spans="1:8" ht="12.75" customHeight="1">
      <c r="D498" s="929" t="s">
        <v>3238</v>
      </c>
      <c r="E498" s="4252" t="s">
        <v>3402</v>
      </c>
      <c r="F498" s="4252"/>
      <c r="G498" s="4252"/>
      <c r="H498" s="4252"/>
    </row>
    <row r="499" spans="1:8" ht="9" customHeight="1" thickBot="1"/>
    <row r="500" spans="1:8" ht="16.2" customHeight="1" thickBot="1">
      <c r="A500" s="4334">
        <v>80</v>
      </c>
      <c r="B500" s="4335"/>
      <c r="C500" s="2378" t="s">
        <v>1018</v>
      </c>
    </row>
    <row r="501" spans="1:8" ht="9" customHeight="1">
      <c r="A501" s="864"/>
    </row>
    <row r="502" spans="1:8" ht="28.2" customHeight="1">
      <c r="A502" s="4332" t="s">
        <v>4839</v>
      </c>
      <c r="B502" s="4332"/>
      <c r="C502" s="4332"/>
      <c r="D502" s="4332"/>
      <c r="E502" s="4332"/>
      <c r="F502" s="4332"/>
      <c r="G502" s="4332"/>
      <c r="H502" s="4332"/>
    </row>
    <row r="503" spans="1:8" ht="9" customHeight="1">
      <c r="A503" s="864"/>
    </row>
    <row r="504" spans="1:8">
      <c r="A504" s="897" t="s">
        <v>3234</v>
      </c>
      <c r="B504" s="924" t="str">
        <f>IF('Part VI-Revenues &amp; Expenses'!$K$56=0,"",'Part VI-Revenues &amp; Expenses'!$K$56)</f>
        <v/>
      </c>
      <c r="C504" s="897" t="s">
        <v>4827</v>
      </c>
      <c r="D504" s="925" t="s">
        <v>4828</v>
      </c>
    </row>
    <row r="505" spans="1:8" ht="1.8" customHeight="1"/>
    <row r="506" spans="1:8" ht="12.75" customHeight="1">
      <c r="C506" s="891" t="s">
        <v>3139</v>
      </c>
      <c r="D506" s="926" t="s">
        <v>1939</v>
      </c>
      <c r="E506" s="927"/>
      <c r="F506" s="4252" t="s">
        <v>3140</v>
      </c>
      <c r="G506" s="4252"/>
      <c r="H506" s="4252"/>
    </row>
    <row r="507" spans="1:8" ht="12.75" customHeight="1">
      <c r="C507" s="928" t="s">
        <v>1326</v>
      </c>
      <c r="D507" s="926" t="s">
        <v>1941</v>
      </c>
      <c r="E507" s="4252" t="s">
        <v>3239</v>
      </c>
      <c r="F507" s="4252"/>
      <c r="G507" s="4252"/>
      <c r="H507" s="4252"/>
    </row>
    <row r="508" spans="1:8" ht="12.75" customHeight="1">
      <c r="C508" s="2376" t="s">
        <v>4832</v>
      </c>
      <c r="E508" s="4252" t="s">
        <v>3401</v>
      </c>
      <c r="F508" s="4252"/>
      <c r="G508" s="4252"/>
      <c r="H508" s="4252"/>
    </row>
    <row r="509" spans="1:8" ht="12.75" customHeight="1">
      <c r="C509" s="2377"/>
      <c r="D509" s="2375" t="s">
        <v>3238</v>
      </c>
      <c r="E509" s="4328" t="s">
        <v>3402</v>
      </c>
      <c r="F509" s="4328"/>
      <c r="G509" s="4328"/>
      <c r="H509" s="4328"/>
    </row>
    <row r="510" spans="1:8" ht="3" customHeight="1">
      <c r="D510" s="926"/>
      <c r="E510" s="2373"/>
      <c r="F510" s="2373"/>
      <c r="G510" s="2373"/>
      <c r="H510" s="2373"/>
    </row>
    <row r="511" spans="1:8" ht="12.75" customHeight="1">
      <c r="C511" s="891" t="s">
        <v>3139</v>
      </c>
      <c r="D511" s="926" t="s">
        <v>1939</v>
      </c>
      <c r="E511" s="927"/>
      <c r="F511" s="923" t="s">
        <v>3140</v>
      </c>
      <c r="G511" s="923"/>
      <c r="H511" s="923"/>
    </row>
    <row r="512" spans="1:8" ht="12.75" customHeight="1">
      <c r="C512" s="928" t="s">
        <v>1326</v>
      </c>
      <c r="D512" s="926" t="s">
        <v>1941</v>
      </c>
      <c r="E512" s="4252" t="s">
        <v>3239</v>
      </c>
      <c r="F512" s="4252"/>
      <c r="G512" s="4252"/>
      <c r="H512" s="4252"/>
    </row>
    <row r="513" spans="1:8" ht="12.75" customHeight="1">
      <c r="C513" s="2376" t="s">
        <v>4832</v>
      </c>
      <c r="E513" s="4252" t="s">
        <v>3401</v>
      </c>
      <c r="F513" s="4252"/>
      <c r="G513" s="4252"/>
      <c r="H513" s="4252"/>
    </row>
    <row r="514" spans="1:8" ht="12.75" customHeight="1">
      <c r="C514" s="2377"/>
      <c r="D514" s="2375" t="s">
        <v>3238</v>
      </c>
      <c r="E514" s="4328" t="s">
        <v>3402</v>
      </c>
      <c r="F514" s="4328"/>
      <c r="G514" s="4328"/>
      <c r="H514" s="4328"/>
    </row>
    <row r="515" spans="1:8" ht="3" customHeight="1">
      <c r="D515" s="926"/>
      <c r="E515" s="2373"/>
      <c r="F515" s="2373"/>
      <c r="G515" s="2373"/>
      <c r="H515" s="2373"/>
    </row>
    <row r="516" spans="1:8" ht="12.75" customHeight="1">
      <c r="C516" s="891" t="s">
        <v>3139</v>
      </c>
      <c r="D516" s="926" t="s">
        <v>1939</v>
      </c>
      <c r="E516" s="927"/>
      <c r="F516" s="923" t="s">
        <v>3140</v>
      </c>
      <c r="G516" s="923"/>
      <c r="H516" s="923"/>
    </row>
    <row r="517" spans="1:8" ht="12.75" customHeight="1">
      <c r="C517" s="928" t="s">
        <v>1326</v>
      </c>
      <c r="D517" s="926" t="s">
        <v>1941</v>
      </c>
      <c r="E517" s="4252" t="s">
        <v>3239</v>
      </c>
      <c r="F517" s="4252"/>
      <c r="G517" s="4252"/>
      <c r="H517" s="4252"/>
    </row>
    <row r="518" spans="1:8" ht="12.75" customHeight="1">
      <c r="C518" s="2376" t="s">
        <v>4832</v>
      </c>
      <c r="E518" s="4252" t="s">
        <v>3401</v>
      </c>
      <c r="F518" s="4252"/>
      <c r="G518" s="4252"/>
      <c r="H518" s="4252"/>
    </row>
    <row r="519" spans="1:8" ht="12.75" customHeight="1">
      <c r="C519" s="2377"/>
      <c r="D519" s="2375" t="s">
        <v>3238</v>
      </c>
      <c r="E519" s="4328" t="s">
        <v>3402</v>
      </c>
      <c r="F519" s="4328"/>
      <c r="G519" s="4328"/>
      <c r="H519" s="4328"/>
    </row>
    <row r="520" spans="1:8" ht="6" customHeight="1">
      <c r="D520" s="926"/>
      <c r="E520" s="2373"/>
      <c r="F520" s="2373"/>
      <c r="G520" s="2373"/>
      <c r="H520" s="2373"/>
    </row>
    <row r="521" spans="1:8">
      <c r="A521" s="897" t="s">
        <v>3234</v>
      </c>
      <c r="B521" s="924" t="str">
        <f>IF('Part VI-Revenues &amp; Expenses'!$L$56=0,"",'Part VI-Revenues &amp; Expenses'!$L$56)</f>
        <v/>
      </c>
      <c r="C521" s="897" t="s">
        <v>3235</v>
      </c>
      <c r="D521" s="925" t="s">
        <v>3403</v>
      </c>
    </row>
    <row r="522" spans="1:8" ht="1.8" customHeight="1"/>
    <row r="523" spans="1:8" ht="12.75" customHeight="1">
      <c r="C523" s="891" t="s">
        <v>3139</v>
      </c>
      <c r="D523" s="926" t="s">
        <v>1939</v>
      </c>
      <c r="E523" s="927"/>
      <c r="F523" s="923" t="s">
        <v>3140</v>
      </c>
      <c r="G523" s="923"/>
      <c r="H523" s="923"/>
    </row>
    <row r="524" spans="1:8" ht="12.75" customHeight="1">
      <c r="C524" s="928" t="s">
        <v>1326</v>
      </c>
      <c r="D524" s="926" t="s">
        <v>1941</v>
      </c>
      <c r="E524" s="4252" t="s">
        <v>3239</v>
      </c>
      <c r="F524" s="4252"/>
      <c r="G524" s="4252"/>
      <c r="H524" s="4252"/>
    </row>
    <row r="525" spans="1:8" ht="12.75" customHeight="1">
      <c r="C525" s="2376" t="s">
        <v>4832</v>
      </c>
      <c r="E525" s="4252" t="s">
        <v>3401</v>
      </c>
      <c r="F525" s="4252"/>
      <c r="G525" s="4252"/>
      <c r="H525" s="4252"/>
    </row>
    <row r="526" spans="1:8" ht="12.75" customHeight="1">
      <c r="C526" s="2377"/>
      <c r="D526" s="2374" t="s">
        <v>3238</v>
      </c>
      <c r="E526" s="4327" t="s">
        <v>3402</v>
      </c>
      <c r="F526" s="4327"/>
      <c r="G526" s="4327"/>
      <c r="H526" s="4327"/>
    </row>
    <row r="527" spans="1:8" ht="3" customHeight="1">
      <c r="D527" s="926"/>
      <c r="E527" s="2373"/>
      <c r="F527" s="2373"/>
      <c r="G527" s="2373"/>
      <c r="H527" s="2373"/>
    </row>
    <row r="528" spans="1:8" ht="12.75" customHeight="1">
      <c r="C528" s="891" t="s">
        <v>3139</v>
      </c>
      <c r="D528" s="926" t="s">
        <v>1939</v>
      </c>
      <c r="E528" s="927"/>
      <c r="F528" s="923" t="s">
        <v>3140</v>
      </c>
      <c r="G528" s="923"/>
      <c r="H528" s="923"/>
    </row>
    <row r="529" spans="1:8" ht="12.75" customHeight="1">
      <c r="C529" s="928" t="s">
        <v>1326</v>
      </c>
      <c r="D529" s="926" t="s">
        <v>1941</v>
      </c>
      <c r="E529" s="4252" t="s">
        <v>3239</v>
      </c>
      <c r="F529" s="4252"/>
      <c r="G529" s="4252"/>
      <c r="H529" s="4252"/>
    </row>
    <row r="530" spans="1:8" ht="12.75" customHeight="1">
      <c r="C530" s="2376" t="s">
        <v>4832</v>
      </c>
      <c r="E530" s="4252" t="s">
        <v>3401</v>
      </c>
      <c r="F530" s="4252"/>
      <c r="G530" s="4252"/>
      <c r="H530" s="4252"/>
    </row>
    <row r="531" spans="1:8" ht="12.75" customHeight="1">
      <c r="C531" s="2377"/>
      <c r="D531" s="2375" t="s">
        <v>3238</v>
      </c>
      <c r="E531" s="4328" t="s">
        <v>3402</v>
      </c>
      <c r="F531" s="4328"/>
      <c r="G531" s="4328"/>
      <c r="H531" s="4328"/>
    </row>
    <row r="532" spans="1:8" ht="3" customHeight="1">
      <c r="D532" s="926"/>
      <c r="E532" s="2373"/>
      <c r="F532" s="2373"/>
      <c r="G532" s="2373"/>
      <c r="H532" s="2373"/>
    </row>
    <row r="533" spans="1:8" ht="12.75" customHeight="1">
      <c r="C533" s="891" t="s">
        <v>3139</v>
      </c>
      <c r="D533" s="926" t="s">
        <v>1939</v>
      </c>
      <c r="E533" s="927"/>
      <c r="F533" s="923" t="s">
        <v>3140</v>
      </c>
      <c r="G533" s="923"/>
      <c r="H533" s="923"/>
    </row>
    <row r="534" spans="1:8" ht="12.75" customHeight="1">
      <c r="C534" s="928" t="s">
        <v>1326</v>
      </c>
      <c r="D534" s="926" t="s">
        <v>1941</v>
      </c>
      <c r="E534" s="4252" t="s">
        <v>3239</v>
      </c>
      <c r="F534" s="4252"/>
      <c r="G534" s="4252"/>
      <c r="H534" s="4252"/>
    </row>
    <row r="535" spans="1:8" ht="12.75" customHeight="1">
      <c r="C535" s="2376" t="s">
        <v>4832</v>
      </c>
      <c r="E535" s="4252" t="s">
        <v>3401</v>
      </c>
      <c r="F535" s="4252"/>
      <c r="G535" s="4252"/>
      <c r="H535" s="4252"/>
    </row>
    <row r="536" spans="1:8" ht="12.75" customHeight="1">
      <c r="C536" s="2377"/>
      <c r="D536" s="2375" t="s">
        <v>3238</v>
      </c>
      <c r="E536" s="4328" t="s">
        <v>3402</v>
      </c>
      <c r="F536" s="4328"/>
      <c r="G536" s="4328"/>
      <c r="H536" s="4328"/>
    </row>
    <row r="537" spans="1:8" ht="6" customHeight="1">
      <c r="D537" s="926"/>
      <c r="E537" s="2373"/>
      <c r="F537" s="2373"/>
      <c r="G537" s="2373"/>
      <c r="H537" s="2373"/>
    </row>
    <row r="538" spans="1:8">
      <c r="A538" s="897" t="s">
        <v>3234</v>
      </c>
      <c r="B538" s="924" t="str">
        <f>IF('Part VI-Revenues &amp; Expenses'!$M$56=0,"",'Part VI-Revenues &amp; Expenses'!$M$56)</f>
        <v/>
      </c>
      <c r="C538" s="897" t="s">
        <v>3236</v>
      </c>
      <c r="D538" s="925" t="s">
        <v>3404</v>
      </c>
    </row>
    <row r="539" spans="1:8" ht="1.8" customHeight="1"/>
    <row r="540" spans="1:8" ht="12.75" customHeight="1">
      <c r="C540" s="891" t="s">
        <v>3139</v>
      </c>
      <c r="D540" s="926" t="s">
        <v>1939</v>
      </c>
      <c r="E540" s="927"/>
      <c r="F540" s="923" t="s">
        <v>3140</v>
      </c>
      <c r="G540" s="923"/>
      <c r="H540" s="923"/>
    </row>
    <row r="541" spans="1:8" ht="12.75" customHeight="1">
      <c r="C541" s="928" t="s">
        <v>1326</v>
      </c>
      <c r="D541" s="926" t="s">
        <v>1941</v>
      </c>
      <c r="E541" s="4252" t="s">
        <v>3239</v>
      </c>
      <c r="F541" s="4252"/>
      <c r="G541" s="4252"/>
      <c r="H541" s="4252"/>
    </row>
    <row r="542" spans="1:8" ht="12.75" customHeight="1">
      <c r="C542" s="2376" t="s">
        <v>4832</v>
      </c>
      <c r="E542" s="4252" t="s">
        <v>3401</v>
      </c>
      <c r="F542" s="4252"/>
      <c r="G542" s="4252"/>
      <c r="H542" s="4252"/>
    </row>
    <row r="543" spans="1:8" ht="12.75" customHeight="1">
      <c r="C543" s="2377"/>
      <c r="D543" s="2374" t="s">
        <v>3238</v>
      </c>
      <c r="E543" s="4327" t="s">
        <v>3402</v>
      </c>
      <c r="F543" s="4327"/>
      <c r="G543" s="4327"/>
      <c r="H543" s="4327"/>
    </row>
    <row r="544" spans="1:8" ht="3" customHeight="1">
      <c r="D544" s="926"/>
      <c r="E544" s="2373"/>
      <c r="F544" s="2373"/>
      <c r="G544" s="2373"/>
      <c r="H544" s="2373"/>
    </row>
    <row r="545" spans="1:8" ht="12.75" customHeight="1">
      <c r="C545" s="891" t="s">
        <v>3139</v>
      </c>
      <c r="D545" s="926" t="s">
        <v>1939</v>
      </c>
      <c r="E545" s="927"/>
      <c r="F545" s="923" t="s">
        <v>3140</v>
      </c>
      <c r="G545" s="923"/>
      <c r="H545" s="923"/>
    </row>
    <row r="546" spans="1:8" ht="12.75" customHeight="1">
      <c r="C546" s="928" t="s">
        <v>1326</v>
      </c>
      <c r="D546" s="926" t="s">
        <v>1941</v>
      </c>
      <c r="E546" s="4252" t="s">
        <v>3239</v>
      </c>
      <c r="F546" s="4252"/>
      <c r="G546" s="4252"/>
      <c r="H546" s="4252"/>
    </row>
    <row r="547" spans="1:8" ht="12.75" customHeight="1">
      <c r="C547" s="2376" t="s">
        <v>4832</v>
      </c>
      <c r="E547" s="4252" t="s">
        <v>3401</v>
      </c>
      <c r="F547" s="4252"/>
      <c r="G547" s="4252"/>
      <c r="H547" s="4252"/>
    </row>
    <row r="548" spans="1:8" ht="12.75" customHeight="1">
      <c r="C548" s="2377"/>
      <c r="D548" s="2375" t="s">
        <v>3238</v>
      </c>
      <c r="E548" s="4328" t="s">
        <v>3402</v>
      </c>
      <c r="F548" s="4328"/>
      <c r="G548" s="4328"/>
      <c r="H548" s="4328"/>
    </row>
    <row r="549" spans="1:8" ht="3" customHeight="1">
      <c r="D549" s="926"/>
      <c r="E549" s="2373"/>
      <c r="F549" s="2373"/>
      <c r="G549" s="2373"/>
      <c r="H549" s="2373"/>
    </row>
    <row r="550" spans="1:8" ht="12.75" customHeight="1">
      <c r="C550" s="891" t="s">
        <v>3139</v>
      </c>
      <c r="D550" s="926" t="s">
        <v>1939</v>
      </c>
      <c r="E550" s="927"/>
      <c r="F550" s="923" t="s">
        <v>3140</v>
      </c>
      <c r="G550" s="923"/>
      <c r="H550" s="923"/>
    </row>
    <row r="551" spans="1:8" ht="12.75" customHeight="1">
      <c r="C551" s="928" t="s">
        <v>1326</v>
      </c>
      <c r="D551" s="926" t="s">
        <v>1941</v>
      </c>
      <c r="E551" s="4252" t="s">
        <v>3239</v>
      </c>
      <c r="F551" s="4252"/>
      <c r="G551" s="4252"/>
      <c r="H551" s="4252"/>
    </row>
    <row r="552" spans="1:8" ht="12.75" customHeight="1">
      <c r="C552" s="2376" t="s">
        <v>4832</v>
      </c>
      <c r="E552" s="4252" t="s">
        <v>3401</v>
      </c>
      <c r="F552" s="4252"/>
      <c r="G552" s="4252"/>
      <c r="H552" s="4252"/>
    </row>
    <row r="553" spans="1:8" ht="12.75" customHeight="1">
      <c r="C553" s="2377"/>
      <c r="D553" s="2375" t="s">
        <v>3238</v>
      </c>
      <c r="E553" s="4328" t="s">
        <v>3402</v>
      </c>
      <c r="F553" s="4328"/>
      <c r="G553" s="4328"/>
      <c r="H553" s="4328"/>
    </row>
    <row r="554" spans="1:8" ht="6" customHeight="1">
      <c r="D554" s="926"/>
      <c r="E554" s="2373"/>
      <c r="F554" s="2373"/>
      <c r="G554" s="2373"/>
      <c r="H554" s="2373"/>
    </row>
    <row r="555" spans="1:8">
      <c r="A555" s="897" t="s">
        <v>3234</v>
      </c>
      <c r="B555" s="924" t="str">
        <f>IF('Part VI-Revenues &amp; Expenses'!$N$56=0,"",'Part VI-Revenues &amp; Expenses'!$N$56)</f>
        <v/>
      </c>
      <c r="C555" s="897" t="s">
        <v>3237</v>
      </c>
      <c r="D555" s="925" t="s">
        <v>3405</v>
      </c>
    </row>
    <row r="556" spans="1:8" ht="1.8" customHeight="1"/>
    <row r="557" spans="1:8" ht="12.75" customHeight="1">
      <c r="C557" s="891" t="s">
        <v>3139</v>
      </c>
      <c r="D557" s="926" t="s">
        <v>1939</v>
      </c>
      <c r="E557" s="927"/>
      <c r="F557" s="923" t="s">
        <v>3140</v>
      </c>
      <c r="G557" s="923"/>
      <c r="H557" s="923"/>
    </row>
    <row r="558" spans="1:8" ht="12.75" customHeight="1">
      <c r="C558" s="928" t="s">
        <v>1326</v>
      </c>
      <c r="D558" s="926" t="s">
        <v>1941</v>
      </c>
      <c r="E558" s="4252" t="s">
        <v>3239</v>
      </c>
      <c r="F558" s="4252"/>
      <c r="G558" s="4252"/>
      <c r="H558" s="4252"/>
    </row>
    <row r="559" spans="1:8" ht="12.75" customHeight="1">
      <c r="C559" s="2376" t="s">
        <v>4832</v>
      </c>
      <c r="E559" s="4252" t="s">
        <v>3401</v>
      </c>
      <c r="F559" s="4252"/>
      <c r="G559" s="4252"/>
      <c r="H559" s="4252"/>
    </row>
    <row r="560" spans="1:8" ht="12.75" customHeight="1">
      <c r="C560" s="2377"/>
      <c r="D560" s="2374" t="s">
        <v>3238</v>
      </c>
      <c r="E560" s="4327" t="s">
        <v>3402</v>
      </c>
      <c r="F560" s="4327"/>
      <c r="G560" s="4327"/>
      <c r="H560" s="4327"/>
    </row>
    <row r="561" spans="1:11" ht="3" customHeight="1">
      <c r="D561" s="926"/>
      <c r="E561" s="2373"/>
      <c r="F561" s="2373"/>
      <c r="G561" s="2373"/>
      <c r="H561" s="2373"/>
    </row>
    <row r="562" spans="1:11" ht="12.75" customHeight="1">
      <c r="C562" s="891" t="s">
        <v>3139</v>
      </c>
      <c r="D562" s="926" t="s">
        <v>1939</v>
      </c>
      <c r="E562" s="927"/>
      <c r="F562" s="923" t="s">
        <v>3140</v>
      </c>
      <c r="G562" s="923"/>
      <c r="H562" s="923"/>
    </row>
    <row r="563" spans="1:11" ht="12.75" customHeight="1">
      <c r="C563" s="928" t="s">
        <v>1326</v>
      </c>
      <c r="D563" s="926" t="s">
        <v>1941</v>
      </c>
      <c r="E563" s="4252" t="s">
        <v>3239</v>
      </c>
      <c r="F563" s="4252"/>
      <c r="G563" s="4252"/>
      <c r="H563" s="4252"/>
    </row>
    <row r="564" spans="1:11" ht="12.75" customHeight="1">
      <c r="C564" s="2376" t="s">
        <v>4832</v>
      </c>
      <c r="E564" s="4252" t="s">
        <v>3401</v>
      </c>
      <c r="F564" s="4252"/>
      <c r="G564" s="4252"/>
      <c r="H564" s="4252"/>
    </row>
    <row r="565" spans="1:11" ht="12.75" customHeight="1">
      <c r="C565" s="2377"/>
      <c r="D565" s="2375" t="s">
        <v>3238</v>
      </c>
      <c r="E565" s="4328" t="s">
        <v>3402</v>
      </c>
      <c r="F565" s="4328"/>
      <c r="G565" s="4328"/>
      <c r="H565" s="4328"/>
    </row>
    <row r="566" spans="1:11" ht="3" customHeight="1">
      <c r="D566" s="926"/>
      <c r="E566" s="2373"/>
      <c r="F566" s="2373"/>
      <c r="G566" s="2373"/>
      <c r="H566" s="2373"/>
    </row>
    <row r="567" spans="1:11" ht="12.75" customHeight="1">
      <c r="C567" s="891" t="s">
        <v>3139</v>
      </c>
      <c r="D567" s="926" t="s">
        <v>1939</v>
      </c>
      <c r="E567" s="927"/>
      <c r="F567" s="923" t="s">
        <v>3140</v>
      </c>
      <c r="G567" s="923"/>
      <c r="H567" s="923"/>
    </row>
    <row r="568" spans="1:11" ht="12.75" customHeight="1">
      <c r="C568" s="928" t="s">
        <v>1326</v>
      </c>
      <c r="D568" s="926" t="s">
        <v>1941</v>
      </c>
      <c r="E568" s="4252" t="s">
        <v>3239</v>
      </c>
      <c r="F568" s="4252"/>
      <c r="G568" s="4252"/>
      <c r="H568" s="4252"/>
    </row>
    <row r="569" spans="1:11" ht="12.75" customHeight="1">
      <c r="C569" s="2376" t="s">
        <v>4832</v>
      </c>
      <c r="E569" s="4252" t="s">
        <v>3401</v>
      </c>
      <c r="F569" s="4252"/>
      <c r="G569" s="4252"/>
      <c r="H569" s="4252"/>
    </row>
    <row r="570" spans="1:11" ht="12.75" customHeight="1">
      <c r="C570" s="2377"/>
      <c r="D570" s="2375" t="s">
        <v>3238</v>
      </c>
      <c r="E570" s="4328" t="s">
        <v>3402</v>
      </c>
      <c r="F570" s="4328"/>
      <c r="G570" s="4328"/>
      <c r="H570" s="4328"/>
    </row>
    <row r="571" spans="1:11" ht="6" customHeight="1">
      <c r="D571" s="926"/>
      <c r="E571" s="2373"/>
      <c r="F571" s="2373"/>
      <c r="G571" s="2373"/>
      <c r="H571" s="2373"/>
    </row>
    <row r="572" spans="1:11">
      <c r="A572" s="897" t="s">
        <v>3234</v>
      </c>
      <c r="B572" s="924" t="str">
        <f>IF('Part VI-Revenues &amp; Expenses'!$O$56=0,"",'Part VI-Revenues &amp; Expenses'!$O$56)</f>
        <v/>
      </c>
      <c r="C572" s="897" t="s">
        <v>4830</v>
      </c>
      <c r="D572" s="925" t="s">
        <v>4831</v>
      </c>
    </row>
    <row r="573" spans="1:11" ht="1.8" customHeight="1"/>
    <row r="574" spans="1:11" ht="12.75" customHeight="1">
      <c r="C574" s="891" t="s">
        <v>3139</v>
      </c>
      <c r="D574" s="926" t="s">
        <v>1939</v>
      </c>
      <c r="E574" s="927"/>
      <c r="F574" s="4252" t="s">
        <v>3140</v>
      </c>
      <c r="G574" s="4252"/>
      <c r="H574" s="4252"/>
      <c r="K574" s="842" t="s">
        <v>238</v>
      </c>
    </row>
    <row r="575" spans="1:11" ht="12.75" customHeight="1">
      <c r="C575" s="928" t="s">
        <v>1326</v>
      </c>
      <c r="D575" s="926" t="s">
        <v>1941</v>
      </c>
      <c r="E575" s="4252" t="s">
        <v>3240</v>
      </c>
      <c r="F575" s="4252"/>
      <c r="G575" s="4252"/>
      <c r="H575" s="4252"/>
    </row>
    <row r="576" spans="1:11" ht="12.75" customHeight="1">
      <c r="E576" s="4252" t="s">
        <v>3401</v>
      </c>
      <c r="F576" s="4252"/>
      <c r="G576" s="4252"/>
      <c r="H576" s="4252"/>
    </row>
    <row r="577" spans="4:8" ht="12.75" customHeight="1">
      <c r="D577" s="929" t="s">
        <v>3238</v>
      </c>
      <c r="E577" s="4252" t="s">
        <v>3402</v>
      </c>
      <c r="F577" s="4252"/>
      <c r="G577" s="4252"/>
      <c r="H577" s="4252"/>
    </row>
    <row r="578" spans="4:8" ht="9" customHeight="1"/>
    <row r="579" spans="4:8" ht="7.5" customHeight="1">
      <c r="E579" s="4252"/>
      <c r="F579" s="4252"/>
      <c r="G579" s="4252"/>
      <c r="H579" s="4252"/>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842" customWidth="1"/>
    <col min="2" max="2" width="5" style="842" customWidth="1"/>
    <col min="3" max="3" width="9.109375" style="842" customWidth="1"/>
    <col min="4" max="4" width="6.77734375" style="842" customWidth="1"/>
    <col min="5" max="5" width="7.109375" style="842" customWidth="1"/>
    <col min="6" max="7" width="6.88671875" style="842" customWidth="1"/>
    <col min="8" max="8" width="3.6640625" style="842" customWidth="1"/>
    <col min="9" max="10" width="6.77734375" style="842" customWidth="1"/>
    <col min="11" max="11" width="3.33203125" style="2449" customWidth="1"/>
    <col min="12" max="13" width="6.88671875" style="842" customWidth="1"/>
    <col min="14" max="14" width="8.109375" style="842" customWidth="1"/>
    <col min="15" max="15" width="9.109375" style="842"/>
    <col min="16" max="17" width="5.5546875" style="842" customWidth="1"/>
    <col min="18" max="18" width="8.109375" style="842" customWidth="1"/>
    <col min="19" max="19" width="5.6640625" style="849" customWidth="1"/>
    <col min="20" max="20" width="5.6640625" style="842" customWidth="1"/>
    <col min="21" max="21" width="3.6640625" style="842" customWidth="1"/>
    <col min="22" max="23" width="5.44140625" style="842" customWidth="1"/>
    <col min="24" max="16384" width="9.109375" style="842"/>
  </cols>
  <sheetData>
    <row r="1" spans="1:14">
      <c r="A1" s="779" t="s">
        <v>3133</v>
      </c>
      <c r="H1" s="887" t="str">
        <f>'Sensitivity Analysis'!C8</f>
        <v>Lakeview Terrace</v>
      </c>
    </row>
    <row r="2" spans="1:14">
      <c r="A2" s="779" t="s">
        <v>3134</v>
      </c>
      <c r="H2" s="842" t="str">
        <f>'Sensitivity Analysis'!E8</f>
        <v>2020-5</v>
      </c>
    </row>
    <row r="3" spans="1:14" ht="3" customHeight="1"/>
    <row r="4" spans="1:14" ht="69.599999999999994" customHeight="1">
      <c r="A4" s="4329" t="s">
        <v>3232</v>
      </c>
      <c r="B4" s="4329"/>
      <c r="C4" s="4329"/>
      <c r="D4" s="4329"/>
      <c r="E4" s="4329"/>
      <c r="F4" s="4329"/>
      <c r="G4" s="4329"/>
      <c r="H4" s="4329"/>
      <c r="I4" s="4329"/>
      <c r="J4" s="4329"/>
      <c r="K4" s="4329"/>
      <c r="L4" s="4336">
        <f>SUM('Part VII-Pro Forma'!B14:B16)/12</f>
        <v>155570.4</v>
      </c>
      <c r="M4" s="4336"/>
      <c r="N4" s="2450" t="s">
        <v>4112</v>
      </c>
    </row>
    <row r="5" spans="1:14" ht="1.5" customHeight="1">
      <c r="C5" s="921"/>
      <c r="D5" s="921"/>
      <c r="E5" s="921"/>
      <c r="F5" s="921"/>
      <c r="G5" s="921"/>
      <c r="H5" s="921"/>
    </row>
    <row r="6" spans="1:14" ht="12.75" customHeight="1">
      <c r="B6" s="922" t="s">
        <v>2372</v>
      </c>
      <c r="C6" s="891" t="s">
        <v>3135</v>
      </c>
      <c r="D6" s="891"/>
      <c r="E6" s="891"/>
      <c r="F6" s="891"/>
      <c r="G6" s="891"/>
      <c r="H6" s="891"/>
    </row>
    <row r="7" spans="1:14" ht="12.75" customHeight="1">
      <c r="B7" s="922" t="s">
        <v>2373</v>
      </c>
      <c r="C7" s="4329" t="s">
        <v>3136</v>
      </c>
      <c r="D7" s="4329"/>
      <c r="E7" s="4329"/>
      <c r="F7" s="4329"/>
      <c r="G7" s="4329"/>
      <c r="H7" s="4329"/>
      <c r="I7" s="4329"/>
      <c r="J7" s="4329"/>
      <c r="K7" s="4329"/>
      <c r="L7" s="4329"/>
      <c r="M7" s="4329"/>
    </row>
    <row r="8" spans="1:14" ht="3" customHeight="1"/>
    <row r="9" spans="1:14">
      <c r="A9" s="842" t="s">
        <v>3137</v>
      </c>
    </row>
    <row r="10" spans="1:14" ht="1.5" customHeight="1"/>
    <row r="11" spans="1:14" ht="26.25" customHeight="1">
      <c r="A11" s="923" t="s">
        <v>1936</v>
      </c>
      <c r="B11" s="4329" t="s">
        <v>3229</v>
      </c>
      <c r="C11" s="4329"/>
      <c r="D11" s="4329"/>
      <c r="E11" s="4329"/>
      <c r="F11" s="4329"/>
      <c r="G11" s="4329"/>
      <c r="H11" s="4329"/>
      <c r="I11" s="4329"/>
      <c r="J11" s="4329"/>
      <c r="K11" s="4329"/>
      <c r="L11" s="4330">
        <f>'Part III-Sources of Funds'!I49+'Part III-Sources of Funds'!I50</f>
        <v>28412912</v>
      </c>
      <c r="M11" s="4330"/>
    </row>
    <row r="12" spans="1:14" ht="1.5" customHeight="1">
      <c r="G12" s="891"/>
      <c r="H12" s="891"/>
    </row>
    <row r="13" spans="1:14" ht="25.8" customHeight="1">
      <c r="A13" s="923" t="s">
        <v>1938</v>
      </c>
      <c r="B13" s="4329" t="s">
        <v>3230</v>
      </c>
      <c r="C13" s="4329"/>
      <c r="D13" s="4329"/>
      <c r="E13" s="4329"/>
      <c r="F13" s="4329"/>
      <c r="G13" s="4329"/>
      <c r="H13" s="4329"/>
      <c r="I13" s="4329"/>
      <c r="J13" s="4329"/>
      <c r="K13" s="4329"/>
      <c r="L13" s="4331" t="s">
        <v>3063</v>
      </c>
      <c r="M13" s="4331"/>
    </row>
    <row r="14" spans="1:14">
      <c r="A14" s="923"/>
      <c r="B14" s="4266"/>
      <c r="C14" s="4266"/>
      <c r="D14" s="4266"/>
      <c r="E14" s="4266"/>
      <c r="F14" s="4266"/>
      <c r="G14" s="4266"/>
      <c r="H14" s="4266"/>
    </row>
    <row r="15" spans="1:14" ht="3" customHeight="1"/>
    <row r="16" spans="1:14">
      <c r="A16" s="923" t="s">
        <v>731</v>
      </c>
      <c r="B16" s="842" t="s">
        <v>3233</v>
      </c>
      <c r="F16" s="915"/>
      <c r="L16" s="4249" t="s">
        <v>2889</v>
      </c>
      <c r="M16" s="4249"/>
    </row>
    <row r="17" spans="1:19" ht="1.5" customHeight="1">
      <c r="L17" s="897"/>
    </row>
    <row r="18" spans="1:19" ht="12" customHeight="1">
      <c r="A18" s="923" t="s">
        <v>2065</v>
      </c>
      <c r="B18" s="891" t="s">
        <v>3231</v>
      </c>
      <c r="C18" s="923"/>
      <c r="D18" s="923"/>
      <c r="E18" s="923"/>
      <c r="L18" s="4266" t="s">
        <v>2728</v>
      </c>
      <c r="M18" s="4266"/>
    </row>
    <row r="19" spans="1:19" ht="12" hidden="1" customHeight="1">
      <c r="B19" s="4266"/>
      <c r="C19" s="4266"/>
      <c r="D19" s="4266"/>
      <c r="E19" s="4266"/>
      <c r="F19" s="4266"/>
      <c r="G19" s="4266"/>
      <c r="H19" s="4266"/>
    </row>
    <row r="20" spans="1:19" ht="13.5" customHeight="1"/>
    <row r="21" spans="1:19" ht="12" customHeight="1">
      <c r="A21" s="779" t="s">
        <v>3138</v>
      </c>
    </row>
    <row r="22" spans="1:19" ht="3" customHeight="1"/>
    <row r="23" spans="1:19" ht="42.6" customHeight="1" thickBot="1">
      <c r="A23" s="4333" t="s">
        <v>4829</v>
      </c>
      <c r="B23" s="4333"/>
      <c r="C23" s="4333"/>
      <c r="D23" s="4333"/>
      <c r="E23" s="4333"/>
      <c r="F23" s="4333"/>
      <c r="G23" s="4333"/>
      <c r="H23" s="4333"/>
      <c r="I23" s="4333"/>
      <c r="J23" s="4333"/>
      <c r="K23" s="4333"/>
      <c r="L23" s="4333"/>
      <c r="M23" s="4333"/>
    </row>
    <row r="24" spans="1:19" ht="18" customHeight="1" thickBot="1">
      <c r="A24" s="2449"/>
      <c r="B24" s="4342" t="s">
        <v>6833</v>
      </c>
      <c r="F24" s="4358" t="s">
        <v>6835</v>
      </c>
      <c r="G24" s="4359"/>
      <c r="H24" s="4359"/>
      <c r="I24" s="4359"/>
      <c r="J24" s="4359"/>
      <c r="K24" s="4359"/>
      <c r="L24" s="4359"/>
      <c r="M24" s="4360"/>
      <c r="S24" s="842"/>
    </row>
    <row r="25" spans="1:19" ht="15" customHeight="1">
      <c r="A25" s="2449"/>
      <c r="B25" s="4342"/>
      <c r="D25" s="4342" t="s">
        <v>6831</v>
      </c>
      <c r="E25" s="4342" t="s">
        <v>6834</v>
      </c>
      <c r="F25" s="4343" t="s">
        <v>6838</v>
      </c>
      <c r="G25" s="4344"/>
      <c r="H25" s="4349" t="s">
        <v>1326</v>
      </c>
      <c r="I25" s="4361" t="s">
        <v>6832</v>
      </c>
      <c r="J25" s="4362"/>
      <c r="K25" s="4362"/>
      <c r="L25" s="4362"/>
      <c r="M25" s="4363"/>
      <c r="S25" s="842"/>
    </row>
    <row r="26" spans="1:19" ht="15" customHeight="1">
      <c r="A26" s="4341" t="s">
        <v>1018</v>
      </c>
      <c r="B26" s="4342"/>
      <c r="C26" s="919"/>
      <c r="D26" s="4342"/>
      <c r="E26" s="4342"/>
      <c r="F26" s="4345"/>
      <c r="G26" s="4346"/>
      <c r="H26" s="4350"/>
      <c r="I26" s="4352" t="s">
        <v>6836</v>
      </c>
      <c r="J26" s="4353"/>
      <c r="K26" s="4364" t="s">
        <v>1326</v>
      </c>
      <c r="L26" s="4353" t="s">
        <v>6837</v>
      </c>
      <c r="M26" s="4356"/>
      <c r="S26" s="842"/>
    </row>
    <row r="27" spans="1:19" ht="15" customHeight="1">
      <c r="A27" s="4341"/>
      <c r="B27" s="4342"/>
      <c r="C27" s="4341" t="s">
        <v>6830</v>
      </c>
      <c r="D27" s="4342"/>
      <c r="E27" s="4342"/>
      <c r="F27" s="4345"/>
      <c r="G27" s="4346"/>
      <c r="H27" s="4350"/>
      <c r="I27" s="4352"/>
      <c r="J27" s="4353"/>
      <c r="K27" s="4365"/>
      <c r="L27" s="4353"/>
      <c r="M27" s="4356"/>
      <c r="S27" s="842"/>
    </row>
    <row r="28" spans="1:19" ht="15" customHeight="1" thickBot="1">
      <c r="A28" s="4341"/>
      <c r="B28" s="4341"/>
      <c r="C28" s="4341"/>
      <c r="D28" s="4341"/>
      <c r="E28" s="4341"/>
      <c r="F28" s="4347"/>
      <c r="G28" s="4348"/>
      <c r="H28" s="4351"/>
      <c r="I28" s="4354"/>
      <c r="J28" s="4355"/>
      <c r="K28" s="4366"/>
      <c r="L28" s="4355"/>
      <c r="M28" s="4357"/>
      <c r="S28" s="842"/>
    </row>
    <row r="29" spans="1:19" ht="13.2" customHeight="1">
      <c r="A29" s="2449"/>
      <c r="I29" s="849"/>
      <c r="K29" s="842"/>
      <c r="S29" s="842"/>
    </row>
    <row r="30" spans="1:19" ht="13.2" customHeight="1">
      <c r="A30" s="2454">
        <v>20</v>
      </c>
      <c r="B30" s="2443" t="str">
        <f>IF('Part VI-Revenues &amp; Expenses'!$K$62=0,"",'Part VI-Revenues &amp; Expenses'!$K$62)</f>
        <v/>
      </c>
      <c r="C30" s="860" t="s">
        <v>551</v>
      </c>
      <c r="D30" s="634"/>
      <c r="E30" s="634"/>
      <c r="F30" s="4337"/>
      <c r="G30" s="4338"/>
      <c r="H30" s="634"/>
      <c r="I30" s="849"/>
      <c r="J30" s="634"/>
      <c r="K30" s="634"/>
      <c r="L30" s="634"/>
      <c r="M30" s="634"/>
      <c r="S30" s="842"/>
    </row>
    <row r="31" spans="1:19" ht="13.2" customHeight="1">
      <c r="A31" s="2452"/>
      <c r="B31" s="634"/>
      <c r="C31" s="634" t="s">
        <v>551</v>
      </c>
      <c r="D31" s="2445"/>
      <c r="E31" s="2446"/>
      <c r="F31" s="4339"/>
      <c r="G31" s="4339"/>
      <c r="H31" s="4339"/>
      <c r="I31" s="4339"/>
      <c r="J31" s="4339"/>
      <c r="K31" s="4339"/>
      <c r="L31" s="4339"/>
      <c r="M31" s="4340"/>
      <c r="S31" s="842"/>
    </row>
    <row r="32" spans="1:19" ht="13.2" customHeight="1">
      <c r="A32" s="2452"/>
      <c r="B32" s="634"/>
      <c r="C32" s="634" t="s">
        <v>551</v>
      </c>
      <c r="D32" s="2445"/>
      <c r="E32" s="2446"/>
      <c r="F32" s="4339"/>
      <c r="G32" s="4339"/>
      <c r="H32" s="4339"/>
      <c r="I32" s="4339"/>
      <c r="J32" s="4339"/>
      <c r="K32" s="4339"/>
      <c r="L32" s="4339"/>
      <c r="M32" s="4340"/>
      <c r="S32" s="842"/>
    </row>
    <row r="33" spans="1:19" ht="13.2" customHeight="1">
      <c r="A33" s="2452"/>
      <c r="B33" s="634"/>
      <c r="C33" s="634" t="s">
        <v>551</v>
      </c>
      <c r="D33" s="2445"/>
      <c r="E33" s="2446"/>
      <c r="F33" s="4339"/>
      <c r="G33" s="4339"/>
      <c r="H33" s="4339"/>
      <c r="I33" s="4339"/>
      <c r="J33" s="4339"/>
      <c r="K33" s="4339"/>
      <c r="L33" s="4339"/>
      <c r="M33" s="4340"/>
      <c r="S33" s="842"/>
    </row>
    <row r="34" spans="1:19" ht="13.2" customHeight="1">
      <c r="A34" s="2448">
        <f>A30</f>
        <v>20</v>
      </c>
      <c r="B34" s="924" t="str">
        <f>IF('Part VI-Revenues &amp; Expenses'!$L$62=0,"",'Part VI-Revenues &amp; Expenses'!$L$62)</f>
        <v/>
      </c>
      <c r="C34" s="2444">
        <v>1</v>
      </c>
      <c r="D34" s="634"/>
      <c r="E34" s="634"/>
      <c r="F34" s="4337"/>
      <c r="G34" s="4338"/>
      <c r="H34" s="2444"/>
      <c r="I34" s="2444"/>
      <c r="J34" s="2444"/>
      <c r="K34" s="2444"/>
      <c r="L34" s="2444"/>
      <c r="M34" s="2444"/>
      <c r="S34" s="842"/>
    </row>
    <row r="35" spans="1:19" ht="13.2" customHeight="1">
      <c r="A35" s="2448"/>
      <c r="B35" s="634"/>
      <c r="C35" s="2447">
        <v>1</v>
      </c>
      <c r="D35" s="2445"/>
      <c r="E35" s="2446"/>
      <c r="F35" s="4339"/>
      <c r="G35" s="4339"/>
      <c r="H35" s="4339"/>
      <c r="I35" s="4339"/>
      <c r="J35" s="4339"/>
      <c r="K35" s="4339"/>
      <c r="L35" s="4339"/>
      <c r="M35" s="4340"/>
      <c r="S35" s="842"/>
    </row>
    <row r="36" spans="1:19" ht="13.2" customHeight="1">
      <c r="A36" s="2448"/>
      <c r="B36" s="634"/>
      <c r="C36" s="2447">
        <v>1</v>
      </c>
      <c r="D36" s="2445"/>
      <c r="E36" s="2446"/>
      <c r="F36" s="4339"/>
      <c r="G36" s="4339"/>
      <c r="H36" s="4339"/>
      <c r="I36" s="4339"/>
      <c r="J36" s="4339"/>
      <c r="K36" s="4339"/>
      <c r="L36" s="4339"/>
      <c r="M36" s="4340"/>
      <c r="S36" s="842"/>
    </row>
    <row r="37" spans="1:19" ht="13.2" customHeight="1">
      <c r="A37" s="2448"/>
      <c r="B37" s="634"/>
      <c r="C37" s="2447">
        <v>1</v>
      </c>
      <c r="D37" s="2445"/>
      <c r="E37" s="2446"/>
      <c r="F37" s="4339"/>
      <c r="G37" s="4339"/>
      <c r="H37" s="4339"/>
      <c r="I37" s="4339"/>
      <c r="J37" s="4339"/>
      <c r="K37" s="4339"/>
      <c r="L37" s="4339"/>
      <c r="M37" s="4340"/>
      <c r="S37" s="842"/>
    </row>
    <row r="38" spans="1:19" ht="13.2" customHeight="1">
      <c r="A38" s="2448">
        <f>A30</f>
        <v>20</v>
      </c>
      <c r="B38" s="924" t="str">
        <f>IF('Part VI-Revenues &amp; Expenses'!$M$62=0,"",'Part VI-Revenues &amp; Expenses'!$M$62)</f>
        <v/>
      </c>
      <c r="C38" s="2444">
        <v>2</v>
      </c>
      <c r="D38" s="634"/>
      <c r="E38" s="634"/>
      <c r="F38" s="4337"/>
      <c r="G38" s="4338"/>
      <c r="H38" s="2444"/>
      <c r="I38" s="2444"/>
      <c r="J38" s="2444"/>
      <c r="K38" s="2444"/>
      <c r="L38" s="2444"/>
      <c r="M38" s="2444"/>
      <c r="S38" s="842"/>
    </row>
    <row r="39" spans="1:19" ht="13.2" customHeight="1">
      <c r="A39" s="2448"/>
      <c r="B39" s="634"/>
      <c r="C39" s="2447">
        <v>2</v>
      </c>
      <c r="D39" s="2445"/>
      <c r="E39" s="2446"/>
      <c r="F39" s="4339"/>
      <c r="G39" s="4339"/>
      <c r="H39" s="4339"/>
      <c r="I39" s="4339"/>
      <c r="J39" s="4339"/>
      <c r="K39" s="4339"/>
      <c r="L39" s="4339"/>
      <c r="M39" s="4340"/>
      <c r="S39" s="842"/>
    </row>
    <row r="40" spans="1:19" ht="13.2" customHeight="1">
      <c r="A40" s="2448"/>
      <c r="B40" s="634"/>
      <c r="C40" s="2447">
        <v>2</v>
      </c>
      <c r="D40" s="2445"/>
      <c r="E40" s="2446"/>
      <c r="F40" s="4339"/>
      <c r="G40" s="4339"/>
      <c r="H40" s="4339"/>
      <c r="I40" s="4339"/>
      <c r="J40" s="4339"/>
      <c r="K40" s="4339"/>
      <c r="L40" s="4339"/>
      <c r="M40" s="4340"/>
      <c r="S40" s="842"/>
    </row>
    <row r="41" spans="1:19" ht="13.2" customHeight="1">
      <c r="A41" s="2448"/>
      <c r="B41" s="634"/>
      <c r="C41" s="2447">
        <v>2</v>
      </c>
      <c r="D41" s="2445"/>
      <c r="E41" s="2446"/>
      <c r="F41" s="4339"/>
      <c r="G41" s="4339"/>
      <c r="H41" s="4339"/>
      <c r="I41" s="4339"/>
      <c r="J41" s="4339"/>
      <c r="K41" s="4339"/>
      <c r="L41" s="4339"/>
      <c r="M41" s="4340"/>
      <c r="S41" s="842"/>
    </row>
    <row r="42" spans="1:19" ht="13.2" customHeight="1">
      <c r="A42" s="2448"/>
      <c r="B42" s="634"/>
      <c r="C42" s="2447">
        <v>2</v>
      </c>
      <c r="D42" s="2445"/>
      <c r="E42" s="2446"/>
      <c r="F42" s="4339"/>
      <c r="G42" s="4339"/>
      <c r="H42" s="4339"/>
      <c r="I42" s="4339"/>
      <c r="J42" s="4339"/>
      <c r="K42" s="4339"/>
      <c r="L42" s="4339"/>
      <c r="M42" s="4340"/>
      <c r="S42" s="842"/>
    </row>
    <row r="43" spans="1:19" ht="13.2" customHeight="1">
      <c r="A43" s="2448">
        <f>A30</f>
        <v>20</v>
      </c>
      <c r="B43" s="924" t="str">
        <f>IF('Part VI-Revenues &amp; Expenses'!$N$62=0,"",'Part VI-Revenues &amp; Expenses'!$N$62)</f>
        <v/>
      </c>
      <c r="C43" s="2444">
        <v>3</v>
      </c>
      <c r="D43" s="634"/>
      <c r="E43" s="634"/>
      <c r="F43" s="4337"/>
      <c r="G43" s="4338"/>
      <c r="H43" s="2444"/>
      <c r="I43" s="2444"/>
      <c r="J43" s="2444"/>
      <c r="K43" s="2444"/>
      <c r="L43" s="2444"/>
      <c r="M43" s="2444"/>
      <c r="S43" s="842"/>
    </row>
    <row r="44" spans="1:19" ht="13.2" customHeight="1">
      <c r="A44" s="2448"/>
      <c r="B44" s="634"/>
      <c r="C44" s="2447">
        <v>3</v>
      </c>
      <c r="D44" s="2445"/>
      <c r="E44" s="2446"/>
      <c r="F44" s="4339"/>
      <c r="G44" s="4339"/>
      <c r="H44" s="4339"/>
      <c r="I44" s="4339"/>
      <c r="J44" s="4339"/>
      <c r="K44" s="4339"/>
      <c r="L44" s="4339"/>
      <c r="M44" s="4340"/>
      <c r="S44" s="842"/>
    </row>
    <row r="45" spans="1:19" ht="13.2" customHeight="1">
      <c r="A45" s="2448"/>
      <c r="B45" s="634"/>
      <c r="C45" s="2447">
        <v>3</v>
      </c>
      <c r="D45" s="2445"/>
      <c r="E45" s="2446"/>
      <c r="F45" s="4339"/>
      <c r="G45" s="4339"/>
      <c r="H45" s="4339"/>
      <c r="I45" s="4339"/>
      <c r="J45" s="4339"/>
      <c r="K45" s="4339"/>
      <c r="L45" s="4339"/>
      <c r="M45" s="4340"/>
      <c r="S45" s="842"/>
    </row>
    <row r="46" spans="1:19" ht="13.2" customHeight="1">
      <c r="A46" s="2448"/>
      <c r="B46" s="634"/>
      <c r="C46" s="2447">
        <v>3</v>
      </c>
      <c r="D46" s="2445"/>
      <c r="E46" s="2446"/>
      <c r="F46" s="4339"/>
      <c r="G46" s="4339"/>
      <c r="H46" s="4339"/>
      <c r="I46" s="4339"/>
      <c r="J46" s="4339"/>
      <c r="K46" s="4339"/>
      <c r="L46" s="4339"/>
      <c r="M46" s="4340"/>
      <c r="S46" s="842"/>
    </row>
    <row r="47" spans="1:19" ht="13.2" customHeight="1">
      <c r="A47" s="2448"/>
      <c r="B47" s="634"/>
      <c r="C47" s="2447">
        <v>3</v>
      </c>
      <c r="D47" s="2445"/>
      <c r="E47" s="2446"/>
      <c r="F47" s="4339"/>
      <c r="G47" s="4339"/>
      <c r="H47" s="4339"/>
      <c r="I47" s="4339"/>
      <c r="J47" s="4339"/>
      <c r="K47" s="4339"/>
      <c r="L47" s="4339"/>
      <c r="M47" s="4340"/>
      <c r="S47" s="842"/>
    </row>
    <row r="48" spans="1:19" ht="13.2" customHeight="1">
      <c r="A48" s="2448">
        <f>A30</f>
        <v>20</v>
      </c>
      <c r="B48" s="924" t="str">
        <f>IF('Part VI-Revenues &amp; Expenses'!$O$62=0,"",'Part VI-Revenues &amp; Expenses'!$O$62)</f>
        <v/>
      </c>
      <c r="C48" s="2444">
        <v>4</v>
      </c>
      <c r="D48" s="634"/>
      <c r="E48" s="634"/>
      <c r="F48" s="4337"/>
      <c r="G48" s="4338"/>
      <c r="H48" s="2444"/>
      <c r="I48" s="2444"/>
      <c r="J48" s="2444"/>
      <c r="K48" s="2444"/>
      <c r="L48" s="2444"/>
      <c r="M48" s="2444"/>
      <c r="S48" s="842"/>
    </row>
    <row r="49" spans="1:19" ht="13.2" customHeight="1">
      <c r="A49" s="2452"/>
      <c r="B49" s="634"/>
      <c r="C49" s="2447">
        <v>4</v>
      </c>
      <c r="D49" s="2445"/>
      <c r="E49" s="2446"/>
      <c r="F49" s="4339"/>
      <c r="G49" s="4339"/>
      <c r="H49" s="4339"/>
      <c r="I49" s="4339"/>
      <c r="J49" s="4339"/>
      <c r="K49" s="4339"/>
      <c r="L49" s="4339"/>
      <c r="M49" s="4340"/>
      <c r="S49" s="842"/>
    </row>
    <row r="50" spans="1:19" ht="13.2" customHeight="1">
      <c r="A50" s="2449"/>
      <c r="C50" s="2447">
        <v>4</v>
      </c>
      <c r="D50" s="2445"/>
      <c r="E50" s="2446"/>
      <c r="F50" s="4339"/>
      <c r="G50" s="4339"/>
      <c r="H50" s="4339"/>
      <c r="I50" s="4339"/>
      <c r="J50" s="4339"/>
      <c r="K50" s="4339"/>
      <c r="L50" s="4339"/>
      <c r="M50" s="4340"/>
      <c r="S50" s="842"/>
    </row>
    <row r="51" spans="1:19" ht="13.2" customHeight="1">
      <c r="A51" s="2449"/>
      <c r="C51" s="2447">
        <v>4</v>
      </c>
      <c r="D51" s="2445"/>
      <c r="E51" s="2446"/>
      <c r="F51" s="4339"/>
      <c r="G51" s="4339"/>
      <c r="H51" s="4339"/>
      <c r="I51" s="4339"/>
      <c r="J51" s="4339"/>
      <c r="K51" s="4339"/>
      <c r="L51" s="4339"/>
      <c r="M51" s="4340"/>
      <c r="S51" s="842"/>
    </row>
    <row r="52" spans="1:19" ht="13.2" customHeight="1">
      <c r="A52" s="2451"/>
      <c r="B52" s="2441"/>
      <c r="C52" s="2441"/>
      <c r="D52" s="2441"/>
      <c r="E52" s="2441"/>
      <c r="F52" s="2470"/>
      <c r="G52" s="2470"/>
      <c r="H52" s="2470"/>
      <c r="I52" s="2471"/>
      <c r="J52" s="2470"/>
      <c r="K52" s="2470"/>
      <c r="L52" s="2470"/>
      <c r="M52" s="2470"/>
      <c r="S52" s="842"/>
    </row>
    <row r="53" spans="1:19" ht="13.2" customHeight="1">
      <c r="A53" s="2453"/>
      <c r="B53" s="2442"/>
      <c r="C53" s="2442"/>
      <c r="D53" s="2442"/>
      <c r="E53" s="2442"/>
      <c r="F53" s="889"/>
      <c r="G53" s="889"/>
      <c r="H53" s="889"/>
      <c r="I53" s="2472"/>
      <c r="J53" s="889"/>
      <c r="K53" s="889"/>
      <c r="L53" s="889"/>
      <c r="M53" s="889"/>
      <c r="S53" s="842"/>
    </row>
    <row r="54" spans="1:19" ht="13.2" customHeight="1">
      <c r="A54" s="2454">
        <v>30</v>
      </c>
      <c r="B54" s="2443" t="str">
        <f>IF('Part VI-Revenues &amp; Expenses'!$K$61=0,"",'Part VI-Revenues &amp; Expenses'!$K$61)</f>
        <v/>
      </c>
      <c r="C54" s="860" t="s">
        <v>551</v>
      </c>
      <c r="D54" s="634"/>
      <c r="E54" s="634"/>
      <c r="F54" s="4337"/>
      <c r="G54" s="4338"/>
      <c r="H54" s="634"/>
      <c r="I54" s="849"/>
      <c r="J54" s="634"/>
      <c r="K54" s="634"/>
      <c r="L54" s="634"/>
      <c r="M54" s="634"/>
      <c r="S54" s="842"/>
    </row>
    <row r="55" spans="1:19" ht="13.2" customHeight="1">
      <c r="A55" s="2452"/>
      <c r="B55" s="634"/>
      <c r="C55" s="634" t="s">
        <v>551</v>
      </c>
      <c r="D55" s="2445"/>
      <c r="E55" s="2446"/>
      <c r="F55" s="4339"/>
      <c r="G55" s="4339"/>
      <c r="H55" s="4339"/>
      <c r="I55" s="4339"/>
      <c r="J55" s="4339"/>
      <c r="K55" s="4339"/>
      <c r="L55" s="4339"/>
      <c r="M55" s="4340"/>
      <c r="S55" s="842"/>
    </row>
    <row r="56" spans="1:19" ht="13.2" customHeight="1">
      <c r="A56" s="2452"/>
      <c r="B56" s="634"/>
      <c r="C56" s="634" t="s">
        <v>551</v>
      </c>
      <c r="D56" s="2445"/>
      <c r="E56" s="2446"/>
      <c r="F56" s="4339"/>
      <c r="G56" s="4339"/>
      <c r="H56" s="4339"/>
      <c r="I56" s="4339"/>
      <c r="J56" s="4339"/>
      <c r="K56" s="4339"/>
      <c r="L56" s="4339"/>
      <c r="M56" s="4340"/>
      <c r="S56" s="842"/>
    </row>
    <row r="57" spans="1:19" ht="13.2" customHeight="1">
      <c r="A57" s="2452"/>
      <c r="B57" s="634"/>
      <c r="C57" s="634" t="s">
        <v>551</v>
      </c>
      <c r="D57" s="2445"/>
      <c r="E57" s="2446"/>
      <c r="F57" s="4339"/>
      <c r="G57" s="4339"/>
      <c r="H57" s="4339"/>
      <c r="I57" s="4339"/>
      <c r="J57" s="4339"/>
      <c r="K57" s="4339"/>
      <c r="L57" s="4339"/>
      <c r="M57" s="4340"/>
      <c r="S57" s="842"/>
    </row>
    <row r="58" spans="1:19" ht="13.2" customHeight="1">
      <c r="A58" s="2448">
        <f>A54</f>
        <v>30</v>
      </c>
      <c r="B58" s="924" t="str">
        <f>IF('Part VI-Revenues &amp; Expenses'!$L$61=0,"",'Part VI-Revenues &amp; Expenses'!$L$61)</f>
        <v/>
      </c>
      <c r="C58" s="2444">
        <v>1</v>
      </c>
      <c r="D58" s="634"/>
      <c r="E58" s="634"/>
      <c r="F58" s="4337"/>
      <c r="G58" s="4338"/>
      <c r="H58" s="2444"/>
      <c r="I58" s="2444"/>
      <c r="J58" s="2444"/>
      <c r="K58" s="2444"/>
      <c r="L58" s="2444"/>
      <c r="M58" s="2444"/>
      <c r="S58" s="842"/>
    </row>
    <row r="59" spans="1:19" ht="13.2" customHeight="1">
      <c r="A59" s="2448"/>
      <c r="B59" s="634"/>
      <c r="C59" s="2447">
        <v>1</v>
      </c>
      <c r="D59" s="2445"/>
      <c r="E59" s="2446"/>
      <c r="F59" s="4339"/>
      <c r="G59" s="4339"/>
      <c r="H59" s="4339"/>
      <c r="I59" s="4339"/>
      <c r="J59" s="4339"/>
      <c r="K59" s="4339"/>
      <c r="L59" s="4339"/>
      <c r="M59" s="4340"/>
      <c r="S59" s="842"/>
    </row>
    <row r="60" spans="1:19" ht="13.2" customHeight="1">
      <c r="A60" s="2448"/>
      <c r="B60" s="634"/>
      <c r="C60" s="2447">
        <v>1</v>
      </c>
      <c r="D60" s="2445"/>
      <c r="E60" s="2446"/>
      <c r="F60" s="4339"/>
      <c r="G60" s="4339"/>
      <c r="H60" s="4339"/>
      <c r="I60" s="4339"/>
      <c r="J60" s="4339"/>
      <c r="K60" s="4339"/>
      <c r="L60" s="4339"/>
      <c r="M60" s="4340"/>
      <c r="S60" s="842"/>
    </row>
    <row r="61" spans="1:19" ht="13.2" customHeight="1">
      <c r="A61" s="2448"/>
      <c r="B61" s="634"/>
      <c r="C61" s="2447">
        <v>1</v>
      </c>
      <c r="D61" s="2445"/>
      <c r="E61" s="2446"/>
      <c r="F61" s="4339"/>
      <c r="G61" s="4339"/>
      <c r="H61" s="4339"/>
      <c r="I61" s="4339"/>
      <c r="J61" s="4339"/>
      <c r="K61" s="4339"/>
      <c r="L61" s="4339"/>
      <c r="M61" s="4340"/>
      <c r="S61" s="842"/>
    </row>
    <row r="62" spans="1:19" ht="13.2" customHeight="1">
      <c r="A62" s="2448">
        <f>A54</f>
        <v>30</v>
      </c>
      <c r="B62" s="924" t="str">
        <f>IF('Part VI-Revenues &amp; Expenses'!$M$61=0,"",'Part VI-Revenues &amp; Expenses'!$M$61)</f>
        <v/>
      </c>
      <c r="C62" s="2444">
        <v>2</v>
      </c>
      <c r="D62" s="634"/>
      <c r="E62" s="634"/>
      <c r="F62" s="4337"/>
      <c r="G62" s="4338"/>
      <c r="H62" s="2444"/>
      <c r="I62" s="2444"/>
      <c r="J62" s="2444"/>
      <c r="K62" s="2444"/>
      <c r="L62" s="2444"/>
      <c r="M62" s="2444"/>
      <c r="S62" s="842"/>
    </row>
    <row r="63" spans="1:19" ht="13.2" customHeight="1">
      <c r="A63" s="2448"/>
      <c r="B63" s="634"/>
      <c r="C63" s="2447">
        <v>2</v>
      </c>
      <c r="D63" s="2445"/>
      <c r="E63" s="2446"/>
      <c r="F63" s="4339"/>
      <c r="G63" s="4339"/>
      <c r="H63" s="4339"/>
      <c r="I63" s="4339"/>
      <c r="J63" s="4339"/>
      <c r="K63" s="4339"/>
      <c r="L63" s="4339"/>
      <c r="M63" s="4340"/>
      <c r="S63" s="842"/>
    </row>
    <row r="64" spans="1:19" ht="13.2" customHeight="1">
      <c r="A64" s="2448"/>
      <c r="B64" s="634"/>
      <c r="C64" s="2447">
        <v>2</v>
      </c>
      <c r="D64" s="2445"/>
      <c r="E64" s="2446"/>
      <c r="F64" s="4339"/>
      <c r="G64" s="4339"/>
      <c r="H64" s="4339"/>
      <c r="I64" s="4339"/>
      <c r="J64" s="4339"/>
      <c r="K64" s="4339"/>
      <c r="L64" s="4339"/>
      <c r="M64" s="4340"/>
      <c r="S64" s="842"/>
    </row>
    <row r="65" spans="1:19" ht="13.2" customHeight="1">
      <c r="A65" s="2448"/>
      <c r="B65" s="634"/>
      <c r="C65" s="2447">
        <v>2</v>
      </c>
      <c r="D65" s="2445"/>
      <c r="E65" s="2446"/>
      <c r="F65" s="4339"/>
      <c r="G65" s="4339"/>
      <c r="H65" s="4339"/>
      <c r="I65" s="4339"/>
      <c r="J65" s="4339"/>
      <c r="K65" s="4339"/>
      <c r="L65" s="4339"/>
      <c r="M65" s="4340"/>
      <c r="S65" s="842"/>
    </row>
    <row r="66" spans="1:19" ht="13.2" customHeight="1">
      <c r="A66" s="2448"/>
      <c r="B66" s="634"/>
      <c r="C66" s="2447">
        <v>2</v>
      </c>
      <c r="D66" s="2445"/>
      <c r="E66" s="2446"/>
      <c r="F66" s="4339"/>
      <c r="G66" s="4339"/>
      <c r="H66" s="4339"/>
      <c r="I66" s="4339"/>
      <c r="J66" s="4339"/>
      <c r="K66" s="4339"/>
      <c r="L66" s="4339"/>
      <c r="M66" s="4340"/>
      <c r="S66" s="842"/>
    </row>
    <row r="67" spans="1:19" ht="13.2" customHeight="1">
      <c r="A67" s="2448">
        <f>A54</f>
        <v>30</v>
      </c>
      <c r="B67" s="924" t="str">
        <f>IF('Part VI-Revenues &amp; Expenses'!$N$61=0,"",'Part VI-Revenues &amp; Expenses'!$N$61)</f>
        <v/>
      </c>
      <c r="C67" s="2444">
        <v>3</v>
      </c>
      <c r="D67" s="634"/>
      <c r="E67" s="634"/>
      <c r="F67" s="4337"/>
      <c r="G67" s="4338"/>
      <c r="H67" s="2444"/>
      <c r="I67" s="2444"/>
      <c r="J67" s="2444"/>
      <c r="K67" s="2444"/>
      <c r="L67" s="2444"/>
      <c r="M67" s="2444"/>
      <c r="S67" s="842"/>
    </row>
    <row r="68" spans="1:19" ht="13.2" customHeight="1">
      <c r="A68" s="2448"/>
      <c r="B68" s="634"/>
      <c r="C68" s="2447">
        <v>3</v>
      </c>
      <c r="D68" s="2445"/>
      <c r="E68" s="2446"/>
      <c r="F68" s="4339"/>
      <c r="G68" s="4339"/>
      <c r="H68" s="4339"/>
      <c r="I68" s="4339"/>
      <c r="J68" s="4339"/>
      <c r="K68" s="4339"/>
      <c r="L68" s="4339"/>
      <c r="M68" s="4340"/>
      <c r="S68" s="842"/>
    </row>
    <row r="69" spans="1:19" ht="13.2" customHeight="1">
      <c r="A69" s="2448"/>
      <c r="B69" s="634"/>
      <c r="C69" s="2447">
        <v>3</v>
      </c>
      <c r="D69" s="2445"/>
      <c r="E69" s="2446"/>
      <c r="F69" s="4339"/>
      <c r="G69" s="4339"/>
      <c r="H69" s="4339"/>
      <c r="I69" s="4339"/>
      <c r="J69" s="4339"/>
      <c r="K69" s="4339"/>
      <c r="L69" s="4339"/>
      <c r="M69" s="4340"/>
      <c r="S69" s="842"/>
    </row>
    <row r="70" spans="1:19" ht="13.2" customHeight="1">
      <c r="A70" s="2448"/>
      <c r="B70" s="634"/>
      <c r="C70" s="2447">
        <v>3</v>
      </c>
      <c r="D70" s="2445"/>
      <c r="E70" s="2446"/>
      <c r="F70" s="4339"/>
      <c r="G70" s="4339"/>
      <c r="H70" s="4339"/>
      <c r="I70" s="4339"/>
      <c r="J70" s="4339"/>
      <c r="K70" s="4339"/>
      <c r="L70" s="4339"/>
      <c r="M70" s="4340"/>
      <c r="S70" s="842"/>
    </row>
    <row r="71" spans="1:19" ht="13.2" customHeight="1">
      <c r="A71" s="2448"/>
      <c r="B71" s="634"/>
      <c r="C71" s="2447">
        <v>3</v>
      </c>
      <c r="D71" s="2445"/>
      <c r="E71" s="2446"/>
      <c r="F71" s="4339"/>
      <c r="G71" s="4339"/>
      <c r="H71" s="4339"/>
      <c r="I71" s="4339"/>
      <c r="J71" s="4339"/>
      <c r="K71" s="4339"/>
      <c r="L71" s="4339"/>
      <c r="M71" s="4340"/>
      <c r="S71" s="842"/>
    </row>
    <row r="72" spans="1:19" ht="13.2" customHeight="1">
      <c r="A72" s="2448">
        <f>A54</f>
        <v>30</v>
      </c>
      <c r="B72" s="924" t="str">
        <f>IF('Part VI-Revenues &amp; Expenses'!$O$61=0,"",'Part VI-Revenues &amp; Expenses'!$O$61)</f>
        <v/>
      </c>
      <c r="C72" s="2444">
        <v>4</v>
      </c>
      <c r="D72" s="634"/>
      <c r="E72" s="634"/>
      <c r="F72" s="4337"/>
      <c r="G72" s="4338"/>
      <c r="H72" s="2444"/>
      <c r="I72" s="2444"/>
      <c r="J72" s="2444"/>
      <c r="K72" s="2444"/>
      <c r="L72" s="2444"/>
      <c r="M72" s="2444"/>
      <c r="S72" s="842"/>
    </row>
    <row r="73" spans="1:19" ht="13.2" customHeight="1">
      <c r="A73" s="2452"/>
      <c r="B73" s="634"/>
      <c r="C73" s="2447">
        <v>4</v>
      </c>
      <c r="D73" s="2445"/>
      <c r="E73" s="2446"/>
      <c r="F73" s="4339"/>
      <c r="G73" s="4339"/>
      <c r="H73" s="4339"/>
      <c r="I73" s="4339"/>
      <c r="J73" s="4339"/>
      <c r="K73" s="4339"/>
      <c r="L73" s="4339"/>
      <c r="M73" s="4340"/>
      <c r="S73" s="842"/>
    </row>
    <row r="74" spans="1:19" ht="13.2" customHeight="1">
      <c r="A74" s="2449"/>
      <c r="C74" s="2447">
        <v>4</v>
      </c>
      <c r="D74" s="2445"/>
      <c r="E74" s="2446"/>
      <c r="F74" s="4339"/>
      <c r="G74" s="4339"/>
      <c r="H74" s="4339"/>
      <c r="I74" s="4339"/>
      <c r="J74" s="4339"/>
      <c r="K74" s="4339"/>
      <c r="L74" s="4339"/>
      <c r="M74" s="4340"/>
      <c r="S74" s="842"/>
    </row>
    <row r="75" spans="1:19" ht="13.2" customHeight="1">
      <c r="A75" s="2449"/>
      <c r="C75" s="2447">
        <v>4</v>
      </c>
      <c r="D75" s="2445"/>
      <c r="E75" s="2446"/>
      <c r="F75" s="4339"/>
      <c r="G75" s="4339"/>
      <c r="H75" s="4339"/>
      <c r="I75" s="4339"/>
      <c r="J75" s="4339"/>
      <c r="K75" s="4339"/>
      <c r="L75" s="4339"/>
      <c r="M75" s="4340"/>
      <c r="S75" s="842"/>
    </row>
    <row r="76" spans="1:19" ht="13.2" customHeight="1">
      <c r="A76" s="2451"/>
      <c r="B76" s="2441"/>
      <c r="C76" s="2441"/>
      <c r="D76" s="2441"/>
      <c r="E76" s="2441"/>
      <c r="F76" s="2470"/>
      <c r="G76" s="2470"/>
      <c r="H76" s="2470"/>
      <c r="I76" s="2471"/>
      <c r="J76" s="2470"/>
      <c r="K76" s="2470"/>
      <c r="L76" s="2470"/>
      <c r="M76" s="2470"/>
      <c r="S76" s="842"/>
    </row>
    <row r="77" spans="1:19" ht="13.2" customHeight="1">
      <c r="A77" s="2449"/>
      <c r="F77" s="2396"/>
      <c r="G77" s="2396"/>
      <c r="H77" s="2396"/>
      <c r="I77" s="2444"/>
      <c r="J77" s="2396"/>
      <c r="K77" s="2396"/>
      <c r="L77" s="2396"/>
      <c r="M77" s="2396"/>
      <c r="S77" s="842"/>
    </row>
    <row r="78" spans="1:19" ht="13.2" customHeight="1">
      <c r="A78" s="2454">
        <v>40</v>
      </c>
      <c r="B78" s="2443" t="str">
        <f>IF('Part VI-Revenues &amp; Expenses'!$K$60=0,"",'Part VI-Revenues &amp; Expenses'!$K$60)</f>
        <v/>
      </c>
      <c r="C78" s="860" t="s">
        <v>551</v>
      </c>
      <c r="D78" s="634"/>
      <c r="E78" s="634"/>
      <c r="F78" s="4337"/>
      <c r="G78" s="4338"/>
      <c r="H78" s="634"/>
      <c r="I78" s="849"/>
      <c r="J78" s="634"/>
      <c r="K78" s="634"/>
      <c r="L78" s="634"/>
      <c r="M78" s="634"/>
      <c r="S78" s="842"/>
    </row>
    <row r="79" spans="1:19" ht="13.2" customHeight="1">
      <c r="A79" s="2452"/>
      <c r="B79" s="634"/>
      <c r="C79" s="634" t="s">
        <v>551</v>
      </c>
      <c r="D79" s="2445"/>
      <c r="E79" s="2446"/>
      <c r="F79" s="4339"/>
      <c r="G79" s="4339"/>
      <c r="H79" s="4339"/>
      <c r="I79" s="4339"/>
      <c r="J79" s="4339"/>
      <c r="K79" s="4339"/>
      <c r="L79" s="4339"/>
      <c r="M79" s="4340"/>
      <c r="S79" s="842"/>
    </row>
    <row r="80" spans="1:19" ht="13.2" customHeight="1">
      <c r="A80" s="2452"/>
      <c r="B80" s="634"/>
      <c r="C80" s="634" t="s">
        <v>551</v>
      </c>
      <c r="D80" s="2445"/>
      <c r="E80" s="2446"/>
      <c r="F80" s="4339"/>
      <c r="G80" s="4339"/>
      <c r="H80" s="4339"/>
      <c r="I80" s="4339"/>
      <c r="J80" s="4339"/>
      <c r="K80" s="4339"/>
      <c r="L80" s="4339"/>
      <c r="M80" s="4340"/>
      <c r="S80" s="842"/>
    </row>
    <row r="81" spans="1:19" ht="13.2" customHeight="1">
      <c r="A81" s="2452"/>
      <c r="B81" s="634"/>
      <c r="C81" s="634" t="s">
        <v>551</v>
      </c>
      <c r="D81" s="2445"/>
      <c r="E81" s="2446"/>
      <c r="F81" s="4339"/>
      <c r="G81" s="4339"/>
      <c r="H81" s="4339"/>
      <c r="I81" s="4339"/>
      <c r="J81" s="4339"/>
      <c r="K81" s="4339"/>
      <c r="L81" s="4339"/>
      <c r="M81" s="4340"/>
      <c r="S81" s="842"/>
    </row>
    <row r="82" spans="1:19" ht="13.2" customHeight="1">
      <c r="A82" s="2448">
        <f>A78</f>
        <v>40</v>
      </c>
      <c r="B82" s="924" t="str">
        <f>IF('Part VI-Revenues &amp; Expenses'!$L$60=0,"",'Part VI-Revenues &amp; Expenses'!$L$60)</f>
        <v/>
      </c>
      <c r="C82" s="2444">
        <v>1</v>
      </c>
      <c r="D82" s="634"/>
      <c r="E82" s="634"/>
      <c r="F82" s="4337"/>
      <c r="G82" s="4338"/>
      <c r="H82" s="2444"/>
      <c r="I82" s="2444"/>
      <c r="J82" s="2444"/>
      <c r="K82" s="2444"/>
      <c r="L82" s="2444"/>
      <c r="M82" s="2444"/>
      <c r="S82" s="842"/>
    </row>
    <row r="83" spans="1:19" ht="13.2" customHeight="1">
      <c r="A83" s="2448"/>
      <c r="B83" s="634"/>
      <c r="C83" s="2447">
        <v>1</v>
      </c>
      <c r="D83" s="2445"/>
      <c r="E83" s="2446"/>
      <c r="F83" s="4339"/>
      <c r="G83" s="4339"/>
      <c r="H83" s="4339"/>
      <c r="I83" s="4339"/>
      <c r="J83" s="4339"/>
      <c r="K83" s="4339"/>
      <c r="L83" s="4339"/>
      <c r="M83" s="4340"/>
      <c r="S83" s="842"/>
    </row>
    <row r="84" spans="1:19" ht="13.2" customHeight="1">
      <c r="A84" s="2448"/>
      <c r="B84" s="634"/>
      <c r="C84" s="2447">
        <v>1</v>
      </c>
      <c r="D84" s="2445"/>
      <c r="E84" s="2446"/>
      <c r="F84" s="4339"/>
      <c r="G84" s="4339"/>
      <c r="H84" s="4339"/>
      <c r="I84" s="4339"/>
      <c r="J84" s="4339"/>
      <c r="K84" s="4339"/>
      <c r="L84" s="4339"/>
      <c r="M84" s="4340"/>
      <c r="S84" s="842"/>
    </row>
    <row r="85" spans="1:19" ht="13.2" customHeight="1">
      <c r="A85" s="2448"/>
      <c r="B85" s="634"/>
      <c r="C85" s="2447">
        <v>1</v>
      </c>
      <c r="D85" s="2445"/>
      <c r="E85" s="2446"/>
      <c r="F85" s="4339"/>
      <c r="G85" s="4339"/>
      <c r="H85" s="4339"/>
      <c r="I85" s="4339"/>
      <c r="J85" s="4339"/>
      <c r="K85" s="4339"/>
      <c r="L85" s="4339"/>
      <c r="M85" s="4340"/>
      <c r="S85" s="842"/>
    </row>
    <row r="86" spans="1:19" ht="13.2" customHeight="1">
      <c r="A86" s="2448">
        <f>A78</f>
        <v>40</v>
      </c>
      <c r="B86" s="924" t="str">
        <f>IF('Part VI-Revenues &amp; Expenses'!$M$60=0,"",'Part VI-Revenues &amp; Expenses'!$M$60)</f>
        <v/>
      </c>
      <c r="C86" s="2444">
        <v>2</v>
      </c>
      <c r="D86" s="634"/>
      <c r="E86" s="634"/>
      <c r="F86" s="4337"/>
      <c r="G86" s="4338"/>
      <c r="H86" s="2444"/>
      <c r="I86" s="2444"/>
      <c r="J86" s="2444"/>
      <c r="K86" s="2444"/>
      <c r="L86" s="2444"/>
      <c r="M86" s="2444"/>
      <c r="S86" s="842"/>
    </row>
    <row r="87" spans="1:19" ht="13.2" customHeight="1">
      <c r="A87" s="2448"/>
      <c r="B87" s="634"/>
      <c r="C87" s="2447">
        <v>2</v>
      </c>
      <c r="D87" s="2445"/>
      <c r="E87" s="2446"/>
      <c r="F87" s="4339"/>
      <c r="G87" s="4339"/>
      <c r="H87" s="4339"/>
      <c r="I87" s="4339"/>
      <c r="J87" s="4339"/>
      <c r="K87" s="4339"/>
      <c r="L87" s="4339"/>
      <c r="M87" s="4340"/>
      <c r="S87" s="842"/>
    </row>
    <row r="88" spans="1:19" ht="13.2" customHeight="1">
      <c r="A88" s="2448"/>
      <c r="B88" s="634"/>
      <c r="C88" s="2447">
        <v>2</v>
      </c>
      <c r="D88" s="2445"/>
      <c r="E88" s="2446"/>
      <c r="F88" s="4339"/>
      <c r="G88" s="4339"/>
      <c r="H88" s="4339"/>
      <c r="I88" s="4339"/>
      <c r="J88" s="4339"/>
      <c r="K88" s="4339"/>
      <c r="L88" s="4339"/>
      <c r="M88" s="4340"/>
      <c r="S88" s="842"/>
    </row>
    <row r="89" spans="1:19" ht="13.2" customHeight="1">
      <c r="A89" s="2448"/>
      <c r="B89" s="634"/>
      <c r="C89" s="2447">
        <v>2</v>
      </c>
      <c r="D89" s="2445"/>
      <c r="E89" s="2446"/>
      <c r="F89" s="4339"/>
      <c r="G89" s="4339"/>
      <c r="H89" s="4339"/>
      <c r="I89" s="4339"/>
      <c r="J89" s="4339"/>
      <c r="K89" s="4339"/>
      <c r="L89" s="4339"/>
      <c r="M89" s="4340"/>
      <c r="S89" s="842"/>
    </row>
    <row r="90" spans="1:19" ht="13.2" customHeight="1">
      <c r="A90" s="2448"/>
      <c r="B90" s="634"/>
      <c r="C90" s="2447">
        <v>2</v>
      </c>
      <c r="D90" s="2445"/>
      <c r="E90" s="2446"/>
      <c r="F90" s="4339"/>
      <c r="G90" s="4339"/>
      <c r="H90" s="4339"/>
      <c r="I90" s="4339"/>
      <c r="J90" s="4339"/>
      <c r="K90" s="4339"/>
      <c r="L90" s="4339"/>
      <c r="M90" s="4340"/>
      <c r="S90" s="842"/>
    </row>
    <row r="91" spans="1:19" ht="13.2" customHeight="1">
      <c r="A91" s="2448">
        <f>A78</f>
        <v>40</v>
      </c>
      <c r="B91" s="924" t="str">
        <f>IF('Part VI-Revenues &amp; Expenses'!$N$60=0,"",'Part VI-Revenues &amp; Expenses'!$N$60)</f>
        <v/>
      </c>
      <c r="C91" s="2444">
        <v>3</v>
      </c>
      <c r="D91" s="634"/>
      <c r="E91" s="634"/>
      <c r="F91" s="4337"/>
      <c r="G91" s="4338"/>
      <c r="H91" s="2444"/>
      <c r="I91" s="2444"/>
      <c r="J91" s="2444"/>
      <c r="K91" s="2444"/>
      <c r="L91" s="2444"/>
      <c r="M91" s="2444"/>
      <c r="S91" s="842"/>
    </row>
    <row r="92" spans="1:19" ht="13.2" customHeight="1">
      <c r="A92" s="2448"/>
      <c r="B92" s="634"/>
      <c r="C92" s="2447">
        <v>3</v>
      </c>
      <c r="D92" s="2445"/>
      <c r="E92" s="2446"/>
      <c r="F92" s="4339"/>
      <c r="G92" s="4339"/>
      <c r="H92" s="4339"/>
      <c r="I92" s="4339"/>
      <c r="J92" s="4339"/>
      <c r="K92" s="4339"/>
      <c r="L92" s="4339"/>
      <c r="M92" s="4340"/>
      <c r="S92" s="842"/>
    </row>
    <row r="93" spans="1:19" ht="13.2" customHeight="1">
      <c r="A93" s="2448"/>
      <c r="B93" s="634"/>
      <c r="C93" s="2447">
        <v>3</v>
      </c>
      <c r="D93" s="2445"/>
      <c r="E93" s="2446"/>
      <c r="F93" s="4339"/>
      <c r="G93" s="4339"/>
      <c r="H93" s="4339"/>
      <c r="I93" s="4339"/>
      <c r="J93" s="4339"/>
      <c r="K93" s="4339"/>
      <c r="L93" s="4339"/>
      <c r="M93" s="4340"/>
      <c r="S93" s="842"/>
    </row>
    <row r="94" spans="1:19" ht="13.2" customHeight="1">
      <c r="A94" s="2448"/>
      <c r="B94" s="634"/>
      <c r="C94" s="2447">
        <v>3</v>
      </c>
      <c r="D94" s="2445"/>
      <c r="E94" s="2446"/>
      <c r="F94" s="4339"/>
      <c r="G94" s="4339"/>
      <c r="H94" s="4339"/>
      <c r="I94" s="4339"/>
      <c r="J94" s="4339"/>
      <c r="K94" s="4339"/>
      <c r="L94" s="4339"/>
      <c r="M94" s="4340"/>
      <c r="S94" s="842"/>
    </row>
    <row r="95" spans="1:19" ht="13.2" customHeight="1">
      <c r="A95" s="2448"/>
      <c r="B95" s="634"/>
      <c r="C95" s="2447">
        <v>3</v>
      </c>
      <c r="D95" s="2445"/>
      <c r="E95" s="2446"/>
      <c r="F95" s="4339"/>
      <c r="G95" s="4339"/>
      <c r="H95" s="4339"/>
      <c r="I95" s="4339"/>
      <c r="J95" s="4339"/>
      <c r="K95" s="4339"/>
      <c r="L95" s="4339"/>
      <c r="M95" s="4340"/>
      <c r="S95" s="842"/>
    </row>
    <row r="96" spans="1:19" ht="13.2" customHeight="1">
      <c r="A96" s="2448">
        <f>A78</f>
        <v>40</v>
      </c>
      <c r="B96" s="924" t="str">
        <f>IF('Part VI-Revenues &amp; Expenses'!$O$60=0,"",'Part VI-Revenues &amp; Expenses'!$O$60)</f>
        <v/>
      </c>
      <c r="C96" s="2444">
        <v>4</v>
      </c>
      <c r="D96" s="634"/>
      <c r="E96" s="634"/>
      <c r="F96" s="4337"/>
      <c r="G96" s="4338"/>
      <c r="H96" s="2444"/>
      <c r="I96" s="2444"/>
      <c r="J96" s="2444"/>
      <c r="K96" s="2444"/>
      <c r="L96" s="2444"/>
      <c r="M96" s="2444"/>
      <c r="S96" s="842"/>
    </row>
    <row r="97" spans="1:19" ht="13.2" customHeight="1">
      <c r="A97" s="2452"/>
      <c r="B97" s="634"/>
      <c r="C97" s="2447">
        <v>4</v>
      </c>
      <c r="D97" s="2445"/>
      <c r="E97" s="2446"/>
      <c r="F97" s="4339"/>
      <c r="G97" s="4339"/>
      <c r="H97" s="4339"/>
      <c r="I97" s="4339"/>
      <c r="J97" s="4339"/>
      <c r="K97" s="4339"/>
      <c r="L97" s="4339"/>
      <c r="M97" s="4340"/>
      <c r="S97" s="842"/>
    </row>
    <row r="98" spans="1:19" ht="13.2" customHeight="1">
      <c r="A98" s="2449"/>
      <c r="C98" s="2447">
        <v>4</v>
      </c>
      <c r="D98" s="2445"/>
      <c r="E98" s="2446"/>
      <c r="F98" s="4339"/>
      <c r="G98" s="4339"/>
      <c r="H98" s="4339"/>
      <c r="I98" s="4339"/>
      <c r="J98" s="4339"/>
      <c r="K98" s="4339"/>
      <c r="L98" s="4339"/>
      <c r="M98" s="4340"/>
      <c r="S98" s="842"/>
    </row>
    <row r="99" spans="1:19" ht="13.2" customHeight="1">
      <c r="A99" s="2449"/>
      <c r="C99" s="2447">
        <v>4</v>
      </c>
      <c r="D99" s="2445"/>
      <c r="E99" s="2446"/>
      <c r="F99" s="4339"/>
      <c r="G99" s="4339"/>
      <c r="H99" s="4339"/>
      <c r="I99" s="4339"/>
      <c r="J99" s="4339"/>
      <c r="K99" s="4339"/>
      <c r="L99" s="4339"/>
      <c r="M99" s="4340"/>
      <c r="S99" s="842"/>
    </row>
    <row r="100" spans="1:19" ht="13.2" customHeight="1">
      <c r="A100" s="2451"/>
      <c r="B100" s="2441"/>
      <c r="C100" s="2441"/>
      <c r="D100" s="2441"/>
      <c r="E100" s="2441"/>
      <c r="F100" s="2470"/>
      <c r="G100" s="2470"/>
      <c r="H100" s="2470"/>
      <c r="I100" s="2471"/>
      <c r="J100" s="2470"/>
      <c r="K100" s="2470"/>
      <c r="L100" s="2470"/>
      <c r="M100" s="2470"/>
      <c r="S100" s="842"/>
    </row>
    <row r="101" spans="1:19" ht="13.2" customHeight="1">
      <c r="A101" s="2449"/>
      <c r="F101" s="2396"/>
      <c r="G101" s="2396"/>
      <c r="H101" s="2396"/>
      <c r="I101" s="2444"/>
      <c r="J101" s="2396"/>
      <c r="K101" s="2396"/>
      <c r="L101" s="2396"/>
      <c r="M101" s="2396"/>
      <c r="S101" s="842"/>
    </row>
    <row r="102" spans="1:19" ht="13.2" customHeight="1">
      <c r="A102" s="2454">
        <v>50</v>
      </c>
      <c r="B102" s="2443" t="str">
        <f>IF('Part VI-Revenues &amp; Expenses'!$K$59=0,"",'Part VI-Revenues &amp; Expenses'!$K$59)</f>
        <v/>
      </c>
      <c r="C102" s="860" t="s">
        <v>551</v>
      </c>
      <c r="D102" s="634"/>
      <c r="E102" s="634"/>
      <c r="F102" s="4337"/>
      <c r="G102" s="4338"/>
      <c r="H102" s="634"/>
      <c r="I102" s="849"/>
      <c r="J102" s="634"/>
      <c r="K102" s="634"/>
      <c r="L102" s="634"/>
      <c r="M102" s="634"/>
      <c r="S102" s="842"/>
    </row>
    <row r="103" spans="1:19" ht="13.2" customHeight="1">
      <c r="A103" s="2452"/>
      <c r="B103" s="634"/>
      <c r="C103" s="634" t="s">
        <v>551</v>
      </c>
      <c r="D103" s="2445"/>
      <c r="E103" s="2446"/>
      <c r="F103" s="4339"/>
      <c r="G103" s="4339"/>
      <c r="H103" s="4339"/>
      <c r="I103" s="4339"/>
      <c r="J103" s="4339"/>
      <c r="K103" s="4339"/>
      <c r="L103" s="4339"/>
      <c r="M103" s="4340"/>
      <c r="S103" s="842"/>
    </row>
    <row r="104" spans="1:19" ht="13.2" customHeight="1">
      <c r="A104" s="2452"/>
      <c r="B104" s="634"/>
      <c r="C104" s="634" t="s">
        <v>551</v>
      </c>
      <c r="D104" s="2445"/>
      <c r="E104" s="2446"/>
      <c r="F104" s="4339"/>
      <c r="G104" s="4339"/>
      <c r="H104" s="4339"/>
      <c r="I104" s="4339"/>
      <c r="J104" s="4339"/>
      <c r="K104" s="4339"/>
      <c r="L104" s="4339"/>
      <c r="M104" s="4340"/>
      <c r="S104" s="842"/>
    </row>
    <row r="105" spans="1:19" ht="13.2" customHeight="1">
      <c r="A105" s="2452"/>
      <c r="B105" s="634"/>
      <c r="C105" s="634" t="s">
        <v>551</v>
      </c>
      <c r="D105" s="2445"/>
      <c r="E105" s="2446"/>
      <c r="F105" s="4339"/>
      <c r="G105" s="4339"/>
      <c r="H105" s="4339"/>
      <c r="I105" s="4339"/>
      <c r="J105" s="4339"/>
      <c r="K105" s="4339"/>
      <c r="L105" s="4339"/>
      <c r="M105" s="4340"/>
      <c r="S105" s="842"/>
    </row>
    <row r="106" spans="1:19" ht="13.2" customHeight="1">
      <c r="A106" s="2448">
        <f>A102</f>
        <v>50</v>
      </c>
      <c r="B106" s="924" t="str">
        <f>IF('Part VI-Revenues &amp; Expenses'!$L$59=0,"",'Part VI-Revenues &amp; Expenses'!$L$59)</f>
        <v/>
      </c>
      <c r="C106" s="2444">
        <v>1</v>
      </c>
      <c r="D106" s="634"/>
      <c r="E106" s="634"/>
      <c r="F106" s="4337"/>
      <c r="G106" s="4338"/>
      <c r="H106" s="2444"/>
      <c r="I106" s="2444"/>
      <c r="J106" s="2444"/>
      <c r="K106" s="2444"/>
      <c r="L106" s="2444"/>
      <c r="M106" s="2444"/>
      <c r="S106" s="842"/>
    </row>
    <row r="107" spans="1:19" ht="13.2" customHeight="1">
      <c r="A107" s="2448"/>
      <c r="B107" s="634"/>
      <c r="C107" s="2447">
        <v>1</v>
      </c>
      <c r="D107" s="2445"/>
      <c r="E107" s="2446"/>
      <c r="F107" s="4339"/>
      <c r="G107" s="4339"/>
      <c r="H107" s="4339"/>
      <c r="I107" s="4339"/>
      <c r="J107" s="4339"/>
      <c r="K107" s="4339"/>
      <c r="L107" s="4339"/>
      <c r="M107" s="4340"/>
      <c r="S107" s="842"/>
    </row>
    <row r="108" spans="1:19" ht="13.2" customHeight="1">
      <c r="A108" s="2448"/>
      <c r="B108" s="634"/>
      <c r="C108" s="2447">
        <v>1</v>
      </c>
      <c r="D108" s="2445"/>
      <c r="E108" s="2446"/>
      <c r="F108" s="4339"/>
      <c r="G108" s="4339"/>
      <c r="H108" s="4339"/>
      <c r="I108" s="4339"/>
      <c r="J108" s="4339"/>
      <c r="K108" s="4339"/>
      <c r="L108" s="4339"/>
      <c r="M108" s="4340"/>
      <c r="S108" s="842"/>
    </row>
    <row r="109" spans="1:19" ht="13.2" customHeight="1">
      <c r="A109" s="2448"/>
      <c r="B109" s="634"/>
      <c r="C109" s="2447">
        <v>1</v>
      </c>
      <c r="D109" s="2445"/>
      <c r="E109" s="2446"/>
      <c r="F109" s="4339"/>
      <c r="G109" s="4339"/>
      <c r="H109" s="4339"/>
      <c r="I109" s="4339"/>
      <c r="J109" s="4339"/>
      <c r="K109" s="4339"/>
      <c r="L109" s="4339"/>
      <c r="M109" s="4340"/>
      <c r="S109" s="842"/>
    </row>
    <row r="110" spans="1:19" ht="13.2" customHeight="1">
      <c r="A110" s="2448">
        <f>A102</f>
        <v>50</v>
      </c>
      <c r="B110" s="924" t="str">
        <f>IF('Part VI-Revenues &amp; Expenses'!$M$59=0,"",'Part VI-Revenues &amp; Expenses'!$M$59)</f>
        <v/>
      </c>
      <c r="C110" s="2444">
        <v>2</v>
      </c>
      <c r="D110" s="634"/>
      <c r="E110" s="634"/>
      <c r="F110" s="4337"/>
      <c r="G110" s="4338"/>
      <c r="H110" s="2444"/>
      <c r="I110" s="2444"/>
      <c r="J110" s="2444"/>
      <c r="K110" s="2444"/>
      <c r="L110" s="2444"/>
      <c r="M110" s="2444"/>
      <c r="S110" s="842"/>
    </row>
    <row r="111" spans="1:19" ht="13.2" customHeight="1">
      <c r="A111" s="2448"/>
      <c r="B111" s="634"/>
      <c r="C111" s="2447">
        <v>2</v>
      </c>
      <c r="D111" s="2445"/>
      <c r="E111" s="2446"/>
      <c r="F111" s="4339"/>
      <c r="G111" s="4339"/>
      <c r="H111" s="4339"/>
      <c r="I111" s="4339"/>
      <c r="J111" s="4339"/>
      <c r="K111" s="4339"/>
      <c r="L111" s="4339"/>
      <c r="M111" s="4340"/>
      <c r="S111" s="842"/>
    </row>
    <row r="112" spans="1:19" ht="13.2" customHeight="1">
      <c r="A112" s="2448"/>
      <c r="B112" s="634"/>
      <c r="C112" s="2447">
        <v>2</v>
      </c>
      <c r="D112" s="2445"/>
      <c r="E112" s="2446"/>
      <c r="F112" s="4339"/>
      <c r="G112" s="4339"/>
      <c r="H112" s="4339"/>
      <c r="I112" s="4339"/>
      <c r="J112" s="4339"/>
      <c r="K112" s="4339"/>
      <c r="L112" s="4339"/>
      <c r="M112" s="4340"/>
      <c r="S112" s="842"/>
    </row>
    <row r="113" spans="1:19" ht="13.2" customHeight="1">
      <c r="A113" s="2448"/>
      <c r="B113" s="634"/>
      <c r="C113" s="2447">
        <v>2</v>
      </c>
      <c r="D113" s="2445"/>
      <c r="E113" s="2446"/>
      <c r="F113" s="4339"/>
      <c r="G113" s="4339"/>
      <c r="H113" s="4339"/>
      <c r="I113" s="4339"/>
      <c r="J113" s="4339"/>
      <c r="K113" s="4339"/>
      <c r="L113" s="4339"/>
      <c r="M113" s="4340"/>
      <c r="S113" s="842"/>
    </row>
    <row r="114" spans="1:19" ht="13.2" customHeight="1">
      <c r="A114" s="2448"/>
      <c r="B114" s="634"/>
      <c r="C114" s="2447">
        <v>2</v>
      </c>
      <c r="D114" s="2445"/>
      <c r="E114" s="2446"/>
      <c r="F114" s="4339"/>
      <c r="G114" s="4339"/>
      <c r="H114" s="4339"/>
      <c r="I114" s="4339"/>
      <c r="J114" s="4339"/>
      <c r="K114" s="4339"/>
      <c r="L114" s="4339"/>
      <c r="M114" s="4340"/>
      <c r="S114" s="842"/>
    </row>
    <row r="115" spans="1:19" ht="13.2" customHeight="1">
      <c r="A115" s="2448">
        <f>A102</f>
        <v>50</v>
      </c>
      <c r="B115" s="924" t="str">
        <f>IF('Part VI-Revenues &amp; Expenses'!$N$59=0,"",'Part VI-Revenues &amp; Expenses'!$N$59)</f>
        <v/>
      </c>
      <c r="C115" s="2444">
        <v>3</v>
      </c>
      <c r="D115" s="634"/>
      <c r="E115" s="634"/>
      <c r="F115" s="4337"/>
      <c r="G115" s="4338"/>
      <c r="H115" s="2444"/>
      <c r="I115" s="2444"/>
      <c r="J115" s="2444"/>
      <c r="K115" s="2444"/>
      <c r="L115" s="2444"/>
      <c r="M115" s="2444"/>
      <c r="S115" s="842"/>
    </row>
    <row r="116" spans="1:19" ht="13.2" customHeight="1">
      <c r="A116" s="2448"/>
      <c r="B116" s="634"/>
      <c r="C116" s="2447">
        <v>3</v>
      </c>
      <c r="D116" s="2445"/>
      <c r="E116" s="2446"/>
      <c r="F116" s="4339"/>
      <c r="G116" s="4339"/>
      <c r="H116" s="4339"/>
      <c r="I116" s="4339"/>
      <c r="J116" s="4339"/>
      <c r="K116" s="4339"/>
      <c r="L116" s="4339"/>
      <c r="M116" s="4340"/>
      <c r="S116" s="842"/>
    </row>
    <row r="117" spans="1:19" ht="13.2" customHeight="1">
      <c r="A117" s="2448"/>
      <c r="B117" s="634"/>
      <c r="C117" s="2447">
        <v>3</v>
      </c>
      <c r="D117" s="2445"/>
      <c r="E117" s="2446"/>
      <c r="F117" s="4339"/>
      <c r="G117" s="4339"/>
      <c r="H117" s="4339"/>
      <c r="I117" s="4339"/>
      <c r="J117" s="4339"/>
      <c r="K117" s="4339"/>
      <c r="L117" s="4339"/>
      <c r="M117" s="4340"/>
      <c r="S117" s="842"/>
    </row>
    <row r="118" spans="1:19" ht="13.2" customHeight="1">
      <c r="A118" s="2448"/>
      <c r="B118" s="634"/>
      <c r="C118" s="2447">
        <v>3</v>
      </c>
      <c r="D118" s="2445"/>
      <c r="E118" s="2446"/>
      <c r="F118" s="4339"/>
      <c r="G118" s="4339"/>
      <c r="H118" s="4339"/>
      <c r="I118" s="4339"/>
      <c r="J118" s="4339"/>
      <c r="K118" s="4339"/>
      <c r="L118" s="4339"/>
      <c r="M118" s="4340"/>
      <c r="S118" s="842"/>
    </row>
    <row r="119" spans="1:19" ht="13.2" customHeight="1">
      <c r="A119" s="2448"/>
      <c r="B119" s="634"/>
      <c r="C119" s="2447">
        <v>3</v>
      </c>
      <c r="D119" s="2445"/>
      <c r="E119" s="2446"/>
      <c r="F119" s="4339"/>
      <c r="G119" s="4339"/>
      <c r="H119" s="4339"/>
      <c r="I119" s="4339"/>
      <c r="J119" s="4339"/>
      <c r="K119" s="4339"/>
      <c r="L119" s="4339"/>
      <c r="M119" s="4340"/>
      <c r="S119" s="842"/>
    </row>
    <row r="120" spans="1:19" ht="13.2" customHeight="1">
      <c r="A120" s="2448">
        <f>A102</f>
        <v>50</v>
      </c>
      <c r="B120" s="924" t="str">
        <f>IF('Part VI-Revenues &amp; Expenses'!$O$59=0,"",'Part VI-Revenues &amp; Expenses'!$O$59)</f>
        <v/>
      </c>
      <c r="C120" s="2444">
        <v>4</v>
      </c>
      <c r="D120" s="634"/>
      <c r="E120" s="634"/>
      <c r="F120" s="4337"/>
      <c r="G120" s="4338"/>
      <c r="H120" s="2444"/>
      <c r="I120" s="2444"/>
      <c r="J120" s="2444"/>
      <c r="K120" s="2444"/>
      <c r="L120" s="2444"/>
      <c r="M120" s="2444"/>
      <c r="S120" s="842"/>
    </row>
    <row r="121" spans="1:19" ht="13.2" customHeight="1">
      <c r="A121" s="2452"/>
      <c r="B121" s="634"/>
      <c r="C121" s="2447">
        <v>4</v>
      </c>
      <c r="D121" s="2445"/>
      <c r="E121" s="2446"/>
      <c r="F121" s="4339"/>
      <c r="G121" s="4339"/>
      <c r="H121" s="4339"/>
      <c r="I121" s="4339"/>
      <c r="J121" s="4339"/>
      <c r="K121" s="4339"/>
      <c r="L121" s="4339"/>
      <c r="M121" s="4340"/>
      <c r="S121" s="842"/>
    </row>
    <row r="122" spans="1:19" ht="13.2" customHeight="1">
      <c r="A122" s="2449"/>
      <c r="C122" s="2447">
        <v>4</v>
      </c>
      <c r="D122" s="2445"/>
      <c r="E122" s="2446"/>
      <c r="F122" s="4339"/>
      <c r="G122" s="4339"/>
      <c r="H122" s="4339"/>
      <c r="I122" s="4339"/>
      <c r="J122" s="4339"/>
      <c r="K122" s="4339"/>
      <c r="L122" s="4339"/>
      <c r="M122" s="4340"/>
      <c r="S122" s="842"/>
    </row>
    <row r="123" spans="1:19" ht="13.2" customHeight="1">
      <c r="A123" s="2449"/>
      <c r="C123" s="2447">
        <v>4</v>
      </c>
      <c r="D123" s="2445"/>
      <c r="E123" s="2446"/>
      <c r="F123" s="4339"/>
      <c r="G123" s="4339"/>
      <c r="H123" s="4339"/>
      <c r="I123" s="4339"/>
      <c r="J123" s="4339"/>
      <c r="K123" s="4339"/>
      <c r="L123" s="4339"/>
      <c r="M123" s="4340"/>
      <c r="S123" s="842"/>
    </row>
    <row r="124" spans="1:19" ht="13.2" customHeight="1">
      <c r="A124" s="2451"/>
      <c r="B124" s="2441"/>
      <c r="C124" s="2441"/>
      <c r="D124" s="2441"/>
      <c r="E124" s="2441"/>
      <c r="F124" s="2470"/>
      <c r="G124" s="2470"/>
      <c r="H124" s="2470"/>
      <c r="I124" s="2471"/>
      <c r="J124" s="2470"/>
      <c r="K124" s="2470"/>
      <c r="L124" s="2470"/>
      <c r="M124" s="2470"/>
      <c r="S124" s="842"/>
    </row>
    <row r="125" spans="1:19" ht="13.2" customHeight="1">
      <c r="A125" s="2453"/>
      <c r="B125" s="2442"/>
      <c r="C125" s="2442"/>
      <c r="D125" s="2442"/>
      <c r="E125" s="2442"/>
      <c r="F125" s="889"/>
      <c r="G125" s="889"/>
      <c r="H125" s="889"/>
      <c r="I125" s="2472"/>
      <c r="J125" s="889"/>
      <c r="K125" s="889"/>
      <c r="L125" s="889"/>
      <c r="M125" s="889"/>
      <c r="S125" s="842"/>
    </row>
    <row r="126" spans="1:19" ht="13.2" customHeight="1">
      <c r="A126" s="2454">
        <v>60</v>
      </c>
      <c r="B126" s="924" t="str">
        <f>IF('Part VI-Revenues &amp; Expenses'!$K$58=0,"",'Part VI-Revenues &amp; Expenses'!$K$58)</f>
        <v/>
      </c>
      <c r="C126" s="860" t="s">
        <v>551</v>
      </c>
      <c r="D126" s="634"/>
      <c r="E126" s="634"/>
      <c r="F126" s="4337"/>
      <c r="G126" s="4338"/>
      <c r="H126" s="634"/>
      <c r="I126" s="849"/>
      <c r="J126" s="634"/>
      <c r="K126" s="634"/>
      <c r="L126" s="634"/>
      <c r="M126" s="634"/>
      <c r="S126" s="842"/>
    </row>
    <row r="127" spans="1:19" ht="13.2" customHeight="1">
      <c r="A127" s="2452"/>
      <c r="B127" s="634"/>
      <c r="C127" s="634" t="s">
        <v>551</v>
      </c>
      <c r="D127" s="2445"/>
      <c r="E127" s="2446"/>
      <c r="F127" s="4339"/>
      <c r="G127" s="4339"/>
      <c r="H127" s="4339"/>
      <c r="I127" s="4339"/>
      <c r="J127" s="4339"/>
      <c r="K127" s="4339"/>
      <c r="L127" s="4339"/>
      <c r="M127" s="4340"/>
      <c r="S127" s="842"/>
    </row>
    <row r="128" spans="1:19" ht="13.2" customHeight="1">
      <c r="A128" s="2452"/>
      <c r="B128" s="634"/>
      <c r="C128" s="634" t="s">
        <v>551</v>
      </c>
      <c r="D128" s="2445"/>
      <c r="E128" s="2446"/>
      <c r="F128" s="4339"/>
      <c r="G128" s="4339"/>
      <c r="H128" s="4339"/>
      <c r="I128" s="4339"/>
      <c r="J128" s="4339"/>
      <c r="K128" s="4339"/>
      <c r="L128" s="4339"/>
      <c r="M128" s="4340"/>
      <c r="S128" s="842"/>
    </row>
    <row r="129" spans="1:19" ht="13.2" customHeight="1">
      <c r="A129" s="2452"/>
      <c r="B129" s="634"/>
      <c r="C129" s="634" t="s">
        <v>551</v>
      </c>
      <c r="D129" s="2445"/>
      <c r="E129" s="2446"/>
      <c r="F129" s="4339"/>
      <c r="G129" s="4339"/>
      <c r="H129" s="4339"/>
      <c r="I129" s="4339"/>
      <c r="J129" s="4339"/>
      <c r="K129" s="4339"/>
      <c r="L129" s="4339"/>
      <c r="M129" s="4340"/>
      <c r="S129" s="842"/>
    </row>
    <row r="130" spans="1:19" ht="13.2" customHeight="1">
      <c r="A130" s="2448">
        <f>A126</f>
        <v>60</v>
      </c>
      <c r="B130" s="924">
        <f>IF('Part VI-Revenues &amp; Expenses'!$L$58=0,"",'Part VI-Revenues &amp; Expenses'!$L$58)</f>
        <v>18</v>
      </c>
      <c r="C130" s="2444">
        <v>1</v>
      </c>
      <c r="D130" s="634"/>
      <c r="E130" s="634"/>
      <c r="F130" s="4337"/>
      <c r="G130" s="4338"/>
      <c r="H130" s="2444"/>
      <c r="I130" s="2444"/>
      <c r="J130" s="2444"/>
      <c r="K130" s="2444"/>
      <c r="L130" s="2444"/>
      <c r="M130" s="2444"/>
      <c r="S130" s="842"/>
    </row>
    <row r="131" spans="1:19" ht="13.2" customHeight="1">
      <c r="A131" s="2448"/>
      <c r="B131" s="634"/>
      <c r="C131" s="2447">
        <v>1</v>
      </c>
      <c r="D131" s="2445"/>
      <c r="E131" s="2446"/>
      <c r="F131" s="4339"/>
      <c r="G131" s="4339"/>
      <c r="H131" s="4339"/>
      <c r="I131" s="4339"/>
      <c r="J131" s="4339"/>
      <c r="K131" s="4339"/>
      <c r="L131" s="4339"/>
      <c r="M131" s="4340"/>
      <c r="S131" s="842"/>
    </row>
    <row r="132" spans="1:19" ht="13.2" customHeight="1">
      <c r="A132" s="2448"/>
      <c r="B132" s="634"/>
      <c r="C132" s="2447">
        <v>1</v>
      </c>
      <c r="D132" s="2445"/>
      <c r="E132" s="2446"/>
      <c r="F132" s="4339"/>
      <c r="G132" s="4339"/>
      <c r="H132" s="4339"/>
      <c r="I132" s="4339"/>
      <c r="J132" s="4339"/>
      <c r="K132" s="4339"/>
      <c r="L132" s="4339"/>
      <c r="M132" s="4340"/>
      <c r="S132" s="842"/>
    </row>
    <row r="133" spans="1:19" ht="13.2" customHeight="1">
      <c r="A133" s="2448"/>
      <c r="B133" s="634"/>
      <c r="C133" s="2447">
        <v>1</v>
      </c>
      <c r="D133" s="2445"/>
      <c r="E133" s="2446"/>
      <c r="F133" s="4339"/>
      <c r="G133" s="4339"/>
      <c r="H133" s="4339"/>
      <c r="I133" s="4339"/>
      <c r="J133" s="4339"/>
      <c r="K133" s="4339"/>
      <c r="L133" s="4339"/>
      <c r="M133" s="4340"/>
      <c r="S133" s="842"/>
    </row>
    <row r="134" spans="1:19" ht="13.2" customHeight="1">
      <c r="A134" s="2448">
        <f>A126</f>
        <v>60</v>
      </c>
      <c r="B134" s="924">
        <f>IF('Part VI-Revenues &amp; Expenses'!$M$58=0,"",'Part VI-Revenues &amp; Expenses'!$M$58)</f>
        <v>106</v>
      </c>
      <c r="C134" s="2444">
        <v>2</v>
      </c>
      <c r="D134" s="634"/>
      <c r="E134" s="634"/>
      <c r="F134" s="4337"/>
      <c r="G134" s="4338"/>
      <c r="H134" s="2444"/>
      <c r="I134" s="2444"/>
      <c r="J134" s="2444"/>
      <c r="K134" s="2444"/>
      <c r="L134" s="2444"/>
      <c r="M134" s="2444"/>
      <c r="S134" s="842"/>
    </row>
    <row r="135" spans="1:19" ht="13.2" customHeight="1">
      <c r="A135" s="2448"/>
      <c r="B135" s="634"/>
      <c r="C135" s="2447">
        <v>2</v>
      </c>
      <c r="D135" s="2445"/>
      <c r="E135" s="2446"/>
      <c r="F135" s="4339"/>
      <c r="G135" s="4339"/>
      <c r="H135" s="4339"/>
      <c r="I135" s="4339"/>
      <c r="J135" s="4339"/>
      <c r="K135" s="4339"/>
      <c r="L135" s="4339"/>
      <c r="M135" s="4340"/>
      <c r="S135" s="842"/>
    </row>
    <row r="136" spans="1:19" ht="13.2" customHeight="1">
      <c r="A136" s="2448"/>
      <c r="B136" s="634"/>
      <c r="C136" s="2447">
        <v>2</v>
      </c>
      <c r="D136" s="2445"/>
      <c r="E136" s="2446"/>
      <c r="F136" s="4339"/>
      <c r="G136" s="4339"/>
      <c r="H136" s="4339"/>
      <c r="I136" s="4339"/>
      <c r="J136" s="4339"/>
      <c r="K136" s="4339"/>
      <c r="L136" s="4339"/>
      <c r="M136" s="4340"/>
      <c r="S136" s="842"/>
    </row>
    <row r="137" spans="1:19" ht="13.2" customHeight="1">
      <c r="A137" s="2448"/>
      <c r="B137" s="634"/>
      <c r="C137" s="2447">
        <v>2</v>
      </c>
      <c r="D137" s="2445"/>
      <c r="E137" s="2446"/>
      <c r="F137" s="4339"/>
      <c r="G137" s="4339"/>
      <c r="H137" s="4339"/>
      <c r="I137" s="4339"/>
      <c r="J137" s="4339"/>
      <c r="K137" s="4339"/>
      <c r="L137" s="4339"/>
      <c r="M137" s="4340"/>
      <c r="S137" s="842"/>
    </row>
    <row r="138" spans="1:19" ht="13.2" customHeight="1">
      <c r="A138" s="2448"/>
      <c r="B138" s="634"/>
      <c r="C138" s="2447">
        <v>2</v>
      </c>
      <c r="D138" s="2445"/>
      <c r="E138" s="2446"/>
      <c r="F138" s="4339"/>
      <c r="G138" s="4339"/>
      <c r="H138" s="4339"/>
      <c r="I138" s="4339"/>
      <c r="J138" s="4339"/>
      <c r="K138" s="4339"/>
      <c r="L138" s="4339"/>
      <c r="M138" s="4340"/>
      <c r="S138" s="842"/>
    </row>
    <row r="139" spans="1:19" ht="13.2" customHeight="1">
      <c r="A139" s="2448">
        <f>A126</f>
        <v>60</v>
      </c>
      <c r="B139" s="924">
        <f>IF('Part VI-Revenues &amp; Expenses'!$N$58=0,"",'Part VI-Revenues &amp; Expenses'!$N$58)</f>
        <v>76</v>
      </c>
      <c r="C139" s="2444">
        <v>3</v>
      </c>
      <c r="D139" s="634"/>
      <c r="E139" s="634"/>
      <c r="F139" s="4337"/>
      <c r="G139" s="4338"/>
      <c r="H139" s="2444"/>
      <c r="I139" s="2444"/>
      <c r="J139" s="2444"/>
      <c r="K139" s="2444"/>
      <c r="L139" s="2444"/>
      <c r="M139" s="2444"/>
      <c r="S139" s="842"/>
    </row>
    <row r="140" spans="1:19" ht="13.2" customHeight="1">
      <c r="A140" s="2448"/>
      <c r="B140" s="634"/>
      <c r="C140" s="2447">
        <v>3</v>
      </c>
      <c r="D140" s="2445"/>
      <c r="E140" s="2446"/>
      <c r="F140" s="4339"/>
      <c r="G140" s="4339"/>
      <c r="H140" s="4339"/>
      <c r="I140" s="4339"/>
      <c r="J140" s="4339"/>
      <c r="K140" s="4339"/>
      <c r="L140" s="4339"/>
      <c r="M140" s="4340"/>
      <c r="S140" s="842"/>
    </row>
    <row r="141" spans="1:19" ht="13.2" customHeight="1">
      <c r="A141" s="2448"/>
      <c r="B141" s="634"/>
      <c r="C141" s="2447">
        <v>3</v>
      </c>
      <c r="D141" s="2445"/>
      <c r="E141" s="2446"/>
      <c r="F141" s="4339"/>
      <c r="G141" s="4339"/>
      <c r="H141" s="4339"/>
      <c r="I141" s="4339"/>
      <c r="J141" s="4339"/>
      <c r="K141" s="4339"/>
      <c r="L141" s="4339"/>
      <c r="M141" s="4340"/>
      <c r="S141" s="842"/>
    </row>
    <row r="142" spans="1:19" ht="13.2" customHeight="1">
      <c r="A142" s="2448"/>
      <c r="B142" s="634"/>
      <c r="C142" s="2447">
        <v>3</v>
      </c>
      <c r="D142" s="2445"/>
      <c r="E142" s="2446"/>
      <c r="F142" s="4339"/>
      <c r="G142" s="4339"/>
      <c r="H142" s="4339"/>
      <c r="I142" s="4339"/>
      <c r="J142" s="4339"/>
      <c r="K142" s="4339"/>
      <c r="L142" s="4339"/>
      <c r="M142" s="4340"/>
      <c r="S142" s="842"/>
    </row>
    <row r="143" spans="1:19" ht="13.2" customHeight="1">
      <c r="A143" s="2448"/>
      <c r="B143" s="634"/>
      <c r="C143" s="2447">
        <v>3</v>
      </c>
      <c r="D143" s="2445"/>
      <c r="E143" s="2446"/>
      <c r="F143" s="4339"/>
      <c r="G143" s="4339"/>
      <c r="H143" s="4339"/>
      <c r="I143" s="4339"/>
      <c r="J143" s="4339"/>
      <c r="K143" s="4339"/>
      <c r="L143" s="4339"/>
      <c r="M143" s="4340"/>
      <c r="S143" s="842"/>
    </row>
    <row r="144" spans="1:19" ht="13.2" customHeight="1">
      <c r="A144" s="2448">
        <f>A126</f>
        <v>60</v>
      </c>
      <c r="B144" s="924" t="str">
        <f>IF('Part VI-Revenues &amp; Expenses'!$O$58=0,"",'Part VI-Revenues &amp; Expenses'!$O$58)</f>
        <v/>
      </c>
      <c r="C144" s="2444">
        <v>4</v>
      </c>
      <c r="D144" s="634"/>
      <c r="E144" s="634"/>
      <c r="F144" s="4337"/>
      <c r="G144" s="4338"/>
      <c r="H144" s="2444"/>
      <c r="I144" s="2444"/>
      <c r="J144" s="2444"/>
      <c r="K144" s="2444"/>
      <c r="L144" s="2444"/>
      <c r="M144" s="2444"/>
      <c r="S144" s="842"/>
    </row>
    <row r="145" spans="1:19" ht="13.2" customHeight="1">
      <c r="A145" s="2452"/>
      <c r="B145" s="634"/>
      <c r="C145" s="2447">
        <v>4</v>
      </c>
      <c r="D145" s="2445"/>
      <c r="E145" s="2446"/>
      <c r="F145" s="4339"/>
      <c r="G145" s="4339"/>
      <c r="H145" s="4339"/>
      <c r="I145" s="4339"/>
      <c r="J145" s="4339"/>
      <c r="K145" s="4339"/>
      <c r="L145" s="4339"/>
      <c r="M145" s="4340"/>
      <c r="S145" s="842"/>
    </row>
    <row r="146" spans="1:19" ht="13.2" customHeight="1">
      <c r="A146" s="2449"/>
      <c r="C146" s="2447">
        <v>4</v>
      </c>
      <c r="D146" s="2445"/>
      <c r="E146" s="2446"/>
      <c r="F146" s="4339"/>
      <c r="G146" s="4339"/>
      <c r="H146" s="4339"/>
      <c r="I146" s="4339"/>
      <c r="J146" s="4339"/>
      <c r="K146" s="4339"/>
      <c r="L146" s="4339"/>
      <c r="M146" s="4340"/>
      <c r="S146" s="842"/>
    </row>
    <row r="147" spans="1:19" ht="13.2" customHeight="1">
      <c r="A147" s="2449"/>
      <c r="C147" s="2447">
        <v>4</v>
      </c>
      <c r="D147" s="2445"/>
      <c r="E147" s="2446"/>
      <c r="F147" s="4339"/>
      <c r="G147" s="4339"/>
      <c r="H147" s="4339"/>
      <c r="I147" s="4339"/>
      <c r="J147" s="4339"/>
      <c r="K147" s="4339"/>
      <c r="L147" s="4339"/>
      <c r="M147" s="4340"/>
      <c r="S147" s="842"/>
    </row>
    <row r="148" spans="1:19" ht="13.2" customHeight="1">
      <c r="A148" s="2451"/>
      <c r="B148" s="2441"/>
      <c r="C148" s="2441"/>
      <c r="D148" s="2441"/>
      <c r="E148" s="2441"/>
      <c r="F148" s="2470"/>
      <c r="G148" s="2470"/>
      <c r="H148" s="2470"/>
      <c r="I148" s="2471"/>
      <c r="J148" s="2470"/>
      <c r="K148" s="2470"/>
      <c r="L148" s="2470"/>
      <c r="M148" s="2470"/>
      <c r="S148" s="842"/>
    </row>
    <row r="149" spans="1:19" ht="13.2" customHeight="1">
      <c r="A149" s="2449"/>
      <c r="F149" s="2396"/>
      <c r="G149" s="2396"/>
      <c r="H149" s="2396"/>
      <c r="I149" s="2444"/>
      <c r="J149" s="2396"/>
      <c r="K149" s="2396"/>
      <c r="L149" s="2396"/>
      <c r="M149" s="2396"/>
      <c r="S149" s="842"/>
    </row>
    <row r="150" spans="1:19" ht="13.2" customHeight="1">
      <c r="A150" s="2454">
        <v>70</v>
      </c>
      <c r="B150" s="924" t="str">
        <f>IF('Part VI-Revenues &amp; Expenses'!$K$57=0,"",'Part VI-Revenues &amp; Expenses'!$K$57)</f>
        <v/>
      </c>
      <c r="C150" s="860" t="s">
        <v>551</v>
      </c>
      <c r="D150" s="634"/>
      <c r="E150" s="634"/>
      <c r="F150" s="4337"/>
      <c r="G150" s="4338"/>
      <c r="H150" s="634"/>
      <c r="I150" s="849"/>
      <c r="J150" s="634"/>
      <c r="K150" s="634"/>
      <c r="L150" s="634"/>
      <c r="M150" s="634"/>
      <c r="S150" s="842"/>
    </row>
    <row r="151" spans="1:19" ht="13.2" customHeight="1">
      <c r="A151" s="2452"/>
      <c r="B151" s="634"/>
      <c r="C151" s="634" t="s">
        <v>551</v>
      </c>
      <c r="D151" s="2445"/>
      <c r="E151" s="2446"/>
      <c r="F151" s="4339"/>
      <c r="G151" s="4339"/>
      <c r="H151" s="4339"/>
      <c r="I151" s="4339"/>
      <c r="J151" s="4339"/>
      <c r="K151" s="4339"/>
      <c r="L151" s="4339"/>
      <c r="M151" s="4340"/>
      <c r="S151" s="842"/>
    </row>
    <row r="152" spans="1:19" ht="13.2" customHeight="1">
      <c r="A152" s="2452"/>
      <c r="B152" s="634"/>
      <c r="C152" s="634" t="s">
        <v>551</v>
      </c>
      <c r="D152" s="2445"/>
      <c r="E152" s="2446"/>
      <c r="F152" s="4339"/>
      <c r="G152" s="4339"/>
      <c r="H152" s="4339"/>
      <c r="I152" s="4339"/>
      <c r="J152" s="4339"/>
      <c r="K152" s="4339"/>
      <c r="L152" s="4339"/>
      <c r="M152" s="4340"/>
      <c r="S152" s="842"/>
    </row>
    <row r="153" spans="1:19" ht="13.2" customHeight="1">
      <c r="A153" s="2452"/>
      <c r="B153" s="634"/>
      <c r="C153" s="634" t="s">
        <v>551</v>
      </c>
      <c r="D153" s="2445"/>
      <c r="E153" s="2446"/>
      <c r="F153" s="4339"/>
      <c r="G153" s="4339"/>
      <c r="H153" s="4339"/>
      <c r="I153" s="4339"/>
      <c r="J153" s="4339"/>
      <c r="K153" s="4339"/>
      <c r="L153" s="4339"/>
      <c r="M153" s="4340"/>
      <c r="S153" s="842"/>
    </row>
    <row r="154" spans="1:19" ht="13.2" customHeight="1">
      <c r="A154" s="2448">
        <f>A150</f>
        <v>70</v>
      </c>
      <c r="B154" s="924" t="str">
        <f>IF('Part VI-Revenues &amp; Expenses'!$L$57=0,"",'Part VI-Revenues &amp; Expenses'!$L$57)</f>
        <v/>
      </c>
      <c r="C154" s="2444">
        <v>1</v>
      </c>
      <c r="D154" s="634"/>
      <c r="E154" s="634"/>
      <c r="F154" s="4337"/>
      <c r="G154" s="4338"/>
      <c r="H154" s="2444"/>
      <c r="I154" s="2444"/>
      <c r="J154" s="2444"/>
      <c r="K154" s="2444"/>
      <c r="L154" s="2444"/>
      <c r="M154" s="2444"/>
      <c r="S154" s="842"/>
    </row>
    <row r="155" spans="1:19" ht="13.2" customHeight="1">
      <c r="A155" s="2448"/>
      <c r="B155" s="634"/>
      <c r="C155" s="2447">
        <v>1</v>
      </c>
      <c r="D155" s="2445"/>
      <c r="E155" s="2446"/>
      <c r="F155" s="4339"/>
      <c r="G155" s="4339"/>
      <c r="H155" s="4339"/>
      <c r="I155" s="4339"/>
      <c r="J155" s="4339"/>
      <c r="K155" s="4339"/>
      <c r="L155" s="4339"/>
      <c r="M155" s="4340"/>
      <c r="S155" s="842"/>
    </row>
    <row r="156" spans="1:19" ht="13.2" customHeight="1">
      <c r="A156" s="2448"/>
      <c r="B156" s="634"/>
      <c r="C156" s="2447">
        <v>1</v>
      </c>
      <c r="D156" s="2445"/>
      <c r="E156" s="2446"/>
      <c r="F156" s="4339"/>
      <c r="G156" s="4339"/>
      <c r="H156" s="4339"/>
      <c r="I156" s="4339"/>
      <c r="J156" s="4339"/>
      <c r="K156" s="4339"/>
      <c r="L156" s="4339"/>
      <c r="M156" s="4340"/>
      <c r="S156" s="842"/>
    </row>
    <row r="157" spans="1:19" ht="13.2" customHeight="1">
      <c r="A157" s="2448"/>
      <c r="B157" s="634"/>
      <c r="C157" s="2447">
        <v>1</v>
      </c>
      <c r="D157" s="2445"/>
      <c r="E157" s="2446"/>
      <c r="F157" s="4339"/>
      <c r="G157" s="4339"/>
      <c r="H157" s="4339"/>
      <c r="I157" s="4339"/>
      <c r="J157" s="4339"/>
      <c r="K157" s="4339"/>
      <c r="L157" s="4339"/>
      <c r="M157" s="4340"/>
      <c r="S157" s="842"/>
    </row>
    <row r="158" spans="1:19" ht="13.2" customHeight="1">
      <c r="A158" s="2448">
        <f>A150</f>
        <v>70</v>
      </c>
      <c r="B158" s="924" t="str">
        <f>IF('Part VI-Revenues &amp; Expenses'!$M$57=0,"",'Part VI-Revenues &amp; Expenses'!$M$57)</f>
        <v/>
      </c>
      <c r="C158" s="2444">
        <v>2</v>
      </c>
      <c r="D158" s="634"/>
      <c r="E158" s="634"/>
      <c r="F158" s="4337"/>
      <c r="G158" s="4338"/>
      <c r="H158" s="2444"/>
      <c r="I158" s="2444"/>
      <c r="J158" s="2444"/>
      <c r="K158" s="2444"/>
      <c r="L158" s="2444"/>
      <c r="M158" s="2444"/>
      <c r="S158" s="842"/>
    </row>
    <row r="159" spans="1:19" ht="13.2" customHeight="1">
      <c r="A159" s="2448"/>
      <c r="B159" s="634"/>
      <c r="C159" s="2447">
        <v>2</v>
      </c>
      <c r="D159" s="2445"/>
      <c r="E159" s="2446"/>
      <c r="F159" s="4339"/>
      <c r="G159" s="4339"/>
      <c r="H159" s="4339"/>
      <c r="I159" s="4339"/>
      <c r="J159" s="4339"/>
      <c r="K159" s="4339"/>
      <c r="L159" s="4339"/>
      <c r="M159" s="4340"/>
      <c r="S159" s="842"/>
    </row>
    <row r="160" spans="1:19" ht="13.2" customHeight="1">
      <c r="A160" s="2448"/>
      <c r="B160" s="634"/>
      <c r="C160" s="2447">
        <v>2</v>
      </c>
      <c r="D160" s="2445"/>
      <c r="E160" s="2446"/>
      <c r="F160" s="4339"/>
      <c r="G160" s="4339"/>
      <c r="H160" s="4339"/>
      <c r="I160" s="4339"/>
      <c r="J160" s="4339"/>
      <c r="K160" s="4339"/>
      <c r="L160" s="4339"/>
      <c r="M160" s="4340"/>
      <c r="S160" s="842"/>
    </row>
    <row r="161" spans="1:19" ht="13.2" customHeight="1">
      <c r="A161" s="2448"/>
      <c r="B161" s="634"/>
      <c r="C161" s="2447">
        <v>2</v>
      </c>
      <c r="D161" s="2445"/>
      <c r="E161" s="2446"/>
      <c r="F161" s="4339"/>
      <c r="G161" s="4339"/>
      <c r="H161" s="4339"/>
      <c r="I161" s="4339"/>
      <c r="J161" s="4339"/>
      <c r="K161" s="4339"/>
      <c r="L161" s="4339"/>
      <c r="M161" s="4340"/>
      <c r="S161" s="842"/>
    </row>
    <row r="162" spans="1:19" ht="13.2" customHeight="1">
      <c r="A162" s="2448"/>
      <c r="B162" s="634"/>
      <c r="C162" s="2447">
        <v>2</v>
      </c>
      <c r="D162" s="2445"/>
      <c r="E162" s="2446"/>
      <c r="F162" s="4339"/>
      <c r="G162" s="4339"/>
      <c r="H162" s="4339"/>
      <c r="I162" s="4339"/>
      <c r="J162" s="4339"/>
      <c r="K162" s="4339"/>
      <c r="L162" s="4339"/>
      <c r="M162" s="4340"/>
      <c r="S162" s="842"/>
    </row>
    <row r="163" spans="1:19" ht="13.2" customHeight="1">
      <c r="A163" s="2448">
        <f>A150</f>
        <v>70</v>
      </c>
      <c r="B163" s="924" t="str">
        <f>IF('Part VI-Revenues &amp; Expenses'!$N$57=0,"",'Part VI-Revenues &amp; Expenses'!$N$57)</f>
        <v/>
      </c>
      <c r="C163" s="2444">
        <v>3</v>
      </c>
      <c r="D163" s="634"/>
      <c r="E163" s="634"/>
      <c r="F163" s="4337"/>
      <c r="G163" s="4338"/>
      <c r="H163" s="2444"/>
      <c r="I163" s="2444"/>
      <c r="J163" s="2444"/>
      <c r="K163" s="2444"/>
      <c r="L163" s="2444"/>
      <c r="M163" s="2444"/>
      <c r="S163" s="842"/>
    </row>
    <row r="164" spans="1:19" ht="13.2" customHeight="1">
      <c r="A164" s="2448"/>
      <c r="B164" s="634"/>
      <c r="C164" s="2447">
        <v>3</v>
      </c>
      <c r="D164" s="2445"/>
      <c r="E164" s="2446"/>
      <c r="F164" s="4339"/>
      <c r="G164" s="4339"/>
      <c r="H164" s="4339"/>
      <c r="I164" s="4339"/>
      <c r="J164" s="4339"/>
      <c r="K164" s="4339"/>
      <c r="L164" s="4339"/>
      <c r="M164" s="4340"/>
      <c r="S164" s="842"/>
    </row>
    <row r="165" spans="1:19" ht="13.2" customHeight="1">
      <c r="A165" s="2448"/>
      <c r="B165" s="634"/>
      <c r="C165" s="2447">
        <v>3</v>
      </c>
      <c r="D165" s="2445"/>
      <c r="E165" s="2446"/>
      <c r="F165" s="4339"/>
      <c r="G165" s="4339"/>
      <c r="H165" s="4339"/>
      <c r="I165" s="4339"/>
      <c r="J165" s="4339"/>
      <c r="K165" s="4339"/>
      <c r="L165" s="4339"/>
      <c r="M165" s="4340"/>
      <c r="S165" s="842"/>
    </row>
    <row r="166" spans="1:19" ht="13.2" customHeight="1">
      <c r="A166" s="2448"/>
      <c r="B166" s="634"/>
      <c r="C166" s="2447">
        <v>3</v>
      </c>
      <c r="D166" s="2445"/>
      <c r="E166" s="2446"/>
      <c r="F166" s="4339"/>
      <c r="G166" s="4339"/>
      <c r="H166" s="4339"/>
      <c r="I166" s="4339"/>
      <c r="J166" s="4339"/>
      <c r="K166" s="4339"/>
      <c r="L166" s="4339"/>
      <c r="M166" s="4340"/>
      <c r="S166" s="842"/>
    </row>
    <row r="167" spans="1:19" ht="13.2" customHeight="1">
      <c r="A167" s="2448"/>
      <c r="B167" s="634"/>
      <c r="C167" s="2447">
        <v>3</v>
      </c>
      <c r="D167" s="2445"/>
      <c r="E167" s="2446"/>
      <c r="F167" s="4339"/>
      <c r="G167" s="4339"/>
      <c r="H167" s="4339"/>
      <c r="I167" s="4339"/>
      <c r="J167" s="4339"/>
      <c r="K167" s="4339"/>
      <c r="L167" s="4339"/>
      <c r="M167" s="4340"/>
      <c r="S167" s="842"/>
    </row>
    <row r="168" spans="1:19" ht="13.2" customHeight="1">
      <c r="A168" s="2448">
        <f>A150</f>
        <v>70</v>
      </c>
      <c r="B168" s="924" t="str">
        <f>IF('Part VI-Revenues &amp; Expenses'!$O$57=0,"",'Part VI-Revenues &amp; Expenses'!$O$57)</f>
        <v/>
      </c>
      <c r="C168" s="2444">
        <v>4</v>
      </c>
      <c r="D168" s="634"/>
      <c r="E168" s="634"/>
      <c r="F168" s="4337"/>
      <c r="G168" s="4338"/>
      <c r="H168" s="2444"/>
      <c r="I168" s="2444"/>
      <c r="J168" s="2444"/>
      <c r="K168" s="2444"/>
      <c r="L168" s="2444"/>
      <c r="M168" s="2444"/>
      <c r="S168" s="842"/>
    </row>
    <row r="169" spans="1:19" ht="13.2" customHeight="1">
      <c r="A169" s="2452"/>
      <c r="B169" s="634"/>
      <c r="C169" s="2447">
        <v>4</v>
      </c>
      <c r="D169" s="2445"/>
      <c r="E169" s="2446"/>
      <c r="F169" s="4339"/>
      <c r="G169" s="4339"/>
      <c r="H169" s="4339"/>
      <c r="I169" s="4339"/>
      <c r="J169" s="4339"/>
      <c r="K169" s="4339"/>
      <c r="L169" s="4339"/>
      <c r="M169" s="4340"/>
      <c r="S169" s="842"/>
    </row>
    <row r="170" spans="1:19" ht="13.2" customHeight="1">
      <c r="A170" s="2449"/>
      <c r="C170" s="2447">
        <v>4</v>
      </c>
      <c r="D170" s="2445"/>
      <c r="E170" s="2446"/>
      <c r="F170" s="4339"/>
      <c r="G170" s="4339"/>
      <c r="H170" s="4339"/>
      <c r="I170" s="4339"/>
      <c r="J170" s="4339"/>
      <c r="K170" s="4339"/>
      <c r="L170" s="4339"/>
      <c r="M170" s="4340"/>
      <c r="S170" s="842"/>
    </row>
    <row r="171" spans="1:19" ht="13.2" customHeight="1">
      <c r="A171" s="2449"/>
      <c r="C171" s="2447">
        <v>4</v>
      </c>
      <c r="D171" s="2445"/>
      <c r="E171" s="2446"/>
      <c r="F171" s="4339"/>
      <c r="G171" s="4339"/>
      <c r="H171" s="4339"/>
      <c r="I171" s="4339"/>
      <c r="J171" s="4339"/>
      <c r="K171" s="4339"/>
      <c r="L171" s="4339"/>
      <c r="M171" s="4340"/>
      <c r="S171" s="842"/>
    </row>
    <row r="172" spans="1:19" ht="13.2" customHeight="1">
      <c r="A172" s="2451"/>
      <c r="B172" s="2441"/>
      <c r="C172" s="2441"/>
      <c r="D172" s="2441"/>
      <c r="E172" s="2441"/>
      <c r="F172" s="2470"/>
      <c r="G172" s="2470"/>
      <c r="H172" s="2470"/>
      <c r="I172" s="2471"/>
      <c r="J172" s="2470"/>
      <c r="K172" s="2470"/>
      <c r="L172" s="2470"/>
      <c r="M172" s="2470"/>
      <c r="S172" s="842"/>
    </row>
    <row r="173" spans="1:19" ht="13.2" customHeight="1">
      <c r="A173" s="2449"/>
      <c r="F173" s="2396"/>
      <c r="G173" s="2396"/>
      <c r="H173" s="2396"/>
      <c r="I173" s="2444"/>
      <c r="J173" s="2396"/>
      <c r="K173" s="2396"/>
      <c r="L173" s="2396"/>
      <c r="M173" s="2396"/>
      <c r="S173" s="842"/>
    </row>
    <row r="174" spans="1:19" ht="13.2" customHeight="1">
      <c r="A174" s="2454">
        <v>80</v>
      </c>
      <c r="B174" s="924" t="str">
        <f>IF('Part VI-Revenues &amp; Expenses'!$K$56=0,"",'Part VI-Revenues &amp; Expenses'!$K$56)</f>
        <v/>
      </c>
      <c r="C174" s="860" t="s">
        <v>551</v>
      </c>
      <c r="D174" s="634"/>
      <c r="E174" s="634"/>
      <c r="F174" s="4337"/>
      <c r="G174" s="4338"/>
      <c r="H174" s="634"/>
      <c r="I174" s="849"/>
      <c r="J174" s="634"/>
      <c r="K174" s="634"/>
      <c r="L174" s="634"/>
      <c r="M174" s="634"/>
      <c r="S174" s="842"/>
    </row>
    <row r="175" spans="1:19" ht="13.2" customHeight="1">
      <c r="A175" s="2452"/>
      <c r="B175" s="634"/>
      <c r="C175" s="634" t="s">
        <v>551</v>
      </c>
      <c r="D175" s="2445"/>
      <c r="E175" s="2446"/>
      <c r="F175" s="4339"/>
      <c r="G175" s="4339"/>
      <c r="H175" s="4339"/>
      <c r="I175" s="4339"/>
      <c r="J175" s="4339"/>
      <c r="K175" s="4339"/>
      <c r="L175" s="4339"/>
      <c r="M175" s="4340"/>
      <c r="S175" s="842"/>
    </row>
    <row r="176" spans="1:19" ht="13.2" customHeight="1">
      <c r="A176" s="2452"/>
      <c r="B176" s="634"/>
      <c r="C176" s="634" t="s">
        <v>551</v>
      </c>
      <c r="D176" s="2445"/>
      <c r="E176" s="2446"/>
      <c r="F176" s="4339"/>
      <c r="G176" s="4339"/>
      <c r="H176" s="4339"/>
      <c r="I176" s="4339"/>
      <c r="J176" s="4339"/>
      <c r="K176" s="4339"/>
      <c r="L176" s="4339"/>
      <c r="M176" s="4340"/>
      <c r="S176" s="842"/>
    </row>
    <row r="177" spans="1:19" ht="13.2" customHeight="1">
      <c r="A177" s="2452"/>
      <c r="B177" s="634"/>
      <c r="C177" s="634" t="s">
        <v>551</v>
      </c>
      <c r="D177" s="2445"/>
      <c r="E177" s="2446"/>
      <c r="F177" s="4339"/>
      <c r="G177" s="4339"/>
      <c r="H177" s="4339"/>
      <c r="I177" s="4339"/>
      <c r="J177" s="4339"/>
      <c r="K177" s="4339"/>
      <c r="L177" s="4339"/>
      <c r="M177" s="4340"/>
      <c r="S177" s="842"/>
    </row>
    <row r="178" spans="1:19" ht="13.2" customHeight="1">
      <c r="A178" s="2448">
        <f>A174</f>
        <v>80</v>
      </c>
      <c r="B178" s="924" t="str">
        <f>IF('Part VI-Revenues &amp; Expenses'!$L$56=0,"",'Part VI-Revenues &amp; Expenses'!$L$56)</f>
        <v/>
      </c>
      <c r="C178" s="2444">
        <v>1</v>
      </c>
      <c r="D178" s="634"/>
      <c r="E178" s="634"/>
      <c r="F178" s="4337"/>
      <c r="G178" s="4338"/>
      <c r="H178" s="2444"/>
      <c r="I178" s="2444"/>
      <c r="J178" s="2444"/>
      <c r="K178" s="2444"/>
      <c r="L178" s="2444"/>
      <c r="M178" s="2444"/>
      <c r="S178" s="842"/>
    </row>
    <row r="179" spans="1:19" ht="13.2" customHeight="1">
      <c r="A179" s="2448"/>
      <c r="B179" s="634"/>
      <c r="C179" s="2447">
        <v>1</v>
      </c>
      <c r="D179" s="2445"/>
      <c r="E179" s="2446"/>
      <c r="F179" s="4339"/>
      <c r="G179" s="4339"/>
      <c r="H179" s="4339"/>
      <c r="I179" s="4339"/>
      <c r="J179" s="4339"/>
      <c r="K179" s="4339"/>
      <c r="L179" s="4339"/>
      <c r="M179" s="4340"/>
      <c r="S179" s="842"/>
    </row>
    <row r="180" spans="1:19" ht="13.2" customHeight="1">
      <c r="A180" s="2448"/>
      <c r="B180" s="634"/>
      <c r="C180" s="2447">
        <v>1</v>
      </c>
      <c r="D180" s="2445"/>
      <c r="E180" s="2446"/>
      <c r="F180" s="4339"/>
      <c r="G180" s="4339"/>
      <c r="H180" s="4339"/>
      <c r="I180" s="4339"/>
      <c r="J180" s="4339"/>
      <c r="K180" s="4339"/>
      <c r="L180" s="4339"/>
      <c r="M180" s="4340"/>
      <c r="S180" s="842"/>
    </row>
    <row r="181" spans="1:19" ht="13.2" customHeight="1">
      <c r="A181" s="2448"/>
      <c r="B181" s="634"/>
      <c r="C181" s="2447">
        <v>1</v>
      </c>
      <c r="D181" s="2445"/>
      <c r="E181" s="2446"/>
      <c r="F181" s="4339"/>
      <c r="G181" s="4339"/>
      <c r="H181" s="4339"/>
      <c r="I181" s="4339"/>
      <c r="J181" s="4339"/>
      <c r="K181" s="4339"/>
      <c r="L181" s="4339"/>
      <c r="M181" s="4340"/>
      <c r="S181" s="842"/>
    </row>
    <row r="182" spans="1:19" ht="13.2" customHeight="1">
      <c r="A182" s="2448">
        <f>A174</f>
        <v>80</v>
      </c>
      <c r="B182" s="924" t="str">
        <f>IF('Part VI-Revenues &amp; Expenses'!$M$56=0,"",'Part VI-Revenues &amp; Expenses'!$M$56)</f>
        <v/>
      </c>
      <c r="C182" s="2444">
        <v>2</v>
      </c>
      <c r="D182" s="634"/>
      <c r="E182" s="634"/>
      <c r="F182" s="4337"/>
      <c r="G182" s="4338"/>
      <c r="H182" s="2444"/>
      <c r="I182" s="2444"/>
      <c r="J182" s="2444"/>
      <c r="K182" s="2444"/>
      <c r="L182" s="2444"/>
      <c r="M182" s="2444"/>
      <c r="S182" s="842"/>
    </row>
    <row r="183" spans="1:19" ht="13.2" customHeight="1">
      <c r="A183" s="2448"/>
      <c r="B183" s="634"/>
      <c r="C183" s="2447">
        <v>2</v>
      </c>
      <c r="D183" s="2445"/>
      <c r="E183" s="2446"/>
      <c r="F183" s="4339"/>
      <c r="G183" s="4339"/>
      <c r="H183" s="4339"/>
      <c r="I183" s="4339"/>
      <c r="J183" s="4339"/>
      <c r="K183" s="4339"/>
      <c r="L183" s="4339"/>
      <c r="M183" s="4340"/>
      <c r="S183" s="842"/>
    </row>
    <row r="184" spans="1:19" ht="13.2" customHeight="1">
      <c r="A184" s="2448"/>
      <c r="B184" s="634"/>
      <c r="C184" s="2447">
        <v>2</v>
      </c>
      <c r="D184" s="2445"/>
      <c r="E184" s="2446"/>
      <c r="F184" s="4339"/>
      <c r="G184" s="4339"/>
      <c r="H184" s="4339"/>
      <c r="I184" s="4339"/>
      <c r="J184" s="4339"/>
      <c r="K184" s="4339"/>
      <c r="L184" s="4339"/>
      <c r="M184" s="4340"/>
      <c r="S184" s="842"/>
    </row>
    <row r="185" spans="1:19" ht="13.2" customHeight="1">
      <c r="A185" s="2448"/>
      <c r="B185" s="634"/>
      <c r="C185" s="2447">
        <v>2</v>
      </c>
      <c r="D185" s="2445"/>
      <c r="E185" s="2446"/>
      <c r="F185" s="4339"/>
      <c r="G185" s="4339"/>
      <c r="H185" s="4339"/>
      <c r="I185" s="4339"/>
      <c r="J185" s="4339"/>
      <c r="K185" s="4339"/>
      <c r="L185" s="4339"/>
      <c r="M185" s="4340"/>
      <c r="S185" s="842"/>
    </row>
    <row r="186" spans="1:19" ht="13.2" customHeight="1">
      <c r="A186" s="2448"/>
      <c r="B186" s="634"/>
      <c r="C186" s="2447">
        <v>2</v>
      </c>
      <c r="D186" s="2445"/>
      <c r="E186" s="2446"/>
      <c r="F186" s="4339"/>
      <c r="G186" s="4339"/>
      <c r="H186" s="4339"/>
      <c r="I186" s="4339"/>
      <c r="J186" s="4339"/>
      <c r="K186" s="4339"/>
      <c r="L186" s="4339"/>
      <c r="M186" s="4340"/>
      <c r="S186" s="842"/>
    </row>
    <row r="187" spans="1:19" ht="13.2" customHeight="1">
      <c r="A187" s="2448">
        <f>A174</f>
        <v>80</v>
      </c>
      <c r="B187" s="924" t="str">
        <f>IF('Part VI-Revenues &amp; Expenses'!$N$56=0,"",'Part VI-Revenues &amp; Expenses'!$N$56)</f>
        <v/>
      </c>
      <c r="C187" s="2444">
        <v>3</v>
      </c>
      <c r="D187" s="634"/>
      <c r="E187" s="634"/>
      <c r="F187" s="4337"/>
      <c r="G187" s="4338"/>
      <c r="H187" s="2444"/>
      <c r="I187" s="2444"/>
      <c r="J187" s="2444"/>
      <c r="K187" s="2444"/>
      <c r="L187" s="2444"/>
      <c r="M187" s="2444"/>
      <c r="S187" s="842"/>
    </row>
    <row r="188" spans="1:19" ht="13.2" customHeight="1">
      <c r="A188" s="2448"/>
      <c r="B188" s="634"/>
      <c r="C188" s="2447">
        <v>3</v>
      </c>
      <c r="D188" s="2445"/>
      <c r="E188" s="2446"/>
      <c r="F188" s="4339"/>
      <c r="G188" s="4339"/>
      <c r="H188" s="4339"/>
      <c r="I188" s="4339"/>
      <c r="J188" s="4339"/>
      <c r="K188" s="4339"/>
      <c r="L188" s="4339"/>
      <c r="M188" s="4340"/>
      <c r="S188" s="842"/>
    </row>
    <row r="189" spans="1:19" ht="13.2" customHeight="1">
      <c r="A189" s="2448"/>
      <c r="B189" s="634"/>
      <c r="C189" s="2447">
        <v>3</v>
      </c>
      <c r="D189" s="2445"/>
      <c r="E189" s="2446"/>
      <c r="F189" s="4339"/>
      <c r="G189" s="4339"/>
      <c r="H189" s="4339"/>
      <c r="I189" s="4339"/>
      <c r="J189" s="4339"/>
      <c r="K189" s="4339"/>
      <c r="L189" s="4339"/>
      <c r="M189" s="4340"/>
      <c r="S189" s="842"/>
    </row>
    <row r="190" spans="1:19" ht="13.2" customHeight="1">
      <c r="A190" s="2448"/>
      <c r="B190" s="634"/>
      <c r="C190" s="2447">
        <v>3</v>
      </c>
      <c r="D190" s="2445"/>
      <c r="E190" s="2446"/>
      <c r="F190" s="4339"/>
      <c r="G190" s="4339"/>
      <c r="H190" s="4339"/>
      <c r="I190" s="4339"/>
      <c r="J190" s="4339"/>
      <c r="K190" s="4339"/>
      <c r="L190" s="4339"/>
      <c r="M190" s="4340"/>
      <c r="S190" s="842"/>
    </row>
    <row r="191" spans="1:19" ht="13.2" customHeight="1">
      <c r="A191" s="2448"/>
      <c r="B191" s="634"/>
      <c r="C191" s="2447">
        <v>3</v>
      </c>
      <c r="D191" s="2445"/>
      <c r="E191" s="2446"/>
      <c r="F191" s="4339"/>
      <c r="G191" s="4339"/>
      <c r="H191" s="4339"/>
      <c r="I191" s="4339"/>
      <c r="J191" s="4339"/>
      <c r="K191" s="4339"/>
      <c r="L191" s="4339"/>
      <c r="M191" s="4340"/>
      <c r="S191" s="842"/>
    </row>
    <row r="192" spans="1:19" ht="13.2" customHeight="1">
      <c r="A192" s="2448">
        <f>A174</f>
        <v>80</v>
      </c>
      <c r="B192" s="924" t="str">
        <f>IF('Part VI-Revenues &amp; Expenses'!$O$56=0,"",'Part VI-Revenues &amp; Expenses'!$O$56)</f>
        <v/>
      </c>
      <c r="C192" s="2444">
        <v>4</v>
      </c>
      <c r="D192" s="634"/>
      <c r="E192" s="634"/>
      <c r="F192" s="4337"/>
      <c r="G192" s="4338"/>
      <c r="H192" s="2444"/>
      <c r="I192" s="2444"/>
      <c r="J192" s="2444"/>
      <c r="K192" s="2444"/>
      <c r="L192" s="2444"/>
      <c r="M192" s="2444"/>
      <c r="S192" s="842"/>
    </row>
    <row r="193" spans="1:19" ht="13.2" customHeight="1">
      <c r="A193" s="2452"/>
      <c r="B193" s="634"/>
      <c r="C193" s="2447">
        <v>4</v>
      </c>
      <c r="D193" s="2445"/>
      <c r="E193" s="2446"/>
      <c r="F193" s="4339"/>
      <c r="G193" s="4339"/>
      <c r="H193" s="4339"/>
      <c r="I193" s="4339"/>
      <c r="J193" s="4339"/>
      <c r="K193" s="4339"/>
      <c r="L193" s="4339"/>
      <c r="M193" s="4340"/>
      <c r="S193" s="842"/>
    </row>
    <row r="194" spans="1:19" ht="13.2" customHeight="1">
      <c r="A194" s="2449"/>
      <c r="C194" s="2447">
        <v>4</v>
      </c>
      <c r="D194" s="2445"/>
      <c r="E194" s="2446"/>
      <c r="F194" s="4339"/>
      <c r="G194" s="4339"/>
      <c r="H194" s="4339"/>
      <c r="I194" s="4339"/>
      <c r="J194" s="4339"/>
      <c r="K194" s="4339"/>
      <c r="L194" s="4339"/>
      <c r="M194" s="4340"/>
      <c r="S194" s="842"/>
    </row>
    <row r="195" spans="1:19" ht="13.2" customHeight="1">
      <c r="A195" s="2449"/>
      <c r="C195" s="2447">
        <v>4</v>
      </c>
      <c r="D195" s="2445"/>
      <c r="E195" s="2446"/>
      <c r="F195" s="4339"/>
      <c r="G195" s="4339"/>
      <c r="H195" s="4339"/>
      <c r="I195" s="4339"/>
      <c r="J195" s="4339"/>
      <c r="K195" s="4339"/>
      <c r="L195" s="4339"/>
      <c r="M195" s="4340"/>
      <c r="S195" s="842"/>
    </row>
    <row r="196" spans="1:19" ht="13.2" customHeight="1">
      <c r="C196" s="2449"/>
      <c r="F196" s="2396"/>
      <c r="G196" s="2396"/>
      <c r="H196" s="2396"/>
      <c r="I196" s="2396"/>
      <c r="J196" s="2396"/>
      <c r="K196" s="2444"/>
      <c r="L196" s="2396"/>
      <c r="M196" s="2396"/>
      <c r="S196" s="842"/>
    </row>
    <row r="197" spans="1:19" ht="13.2" customHeight="1">
      <c r="C197" s="2449"/>
      <c r="F197" s="2396"/>
      <c r="G197" s="2396"/>
      <c r="H197" s="2396"/>
      <c r="I197" s="2396"/>
      <c r="J197" s="2396"/>
      <c r="K197" s="2444"/>
      <c r="L197" s="2396"/>
      <c r="M197" s="2396"/>
      <c r="S197" s="842"/>
    </row>
    <row r="198" spans="1:19" ht="13.2" customHeight="1">
      <c r="C198" s="2449"/>
      <c r="F198" s="2396"/>
      <c r="G198" s="2396"/>
      <c r="H198" s="2396"/>
      <c r="I198" s="2396"/>
      <c r="J198" s="2396"/>
      <c r="K198" s="2444"/>
      <c r="L198" s="2396"/>
      <c r="M198" s="2396"/>
      <c r="S198" s="842"/>
    </row>
    <row r="199" spans="1:19" ht="13.2" customHeight="1">
      <c r="C199" s="2449"/>
      <c r="F199" s="2396"/>
      <c r="G199" s="2396"/>
      <c r="H199" s="2396"/>
      <c r="I199" s="2396"/>
      <c r="J199" s="2396"/>
      <c r="K199" s="2444"/>
      <c r="L199" s="2396"/>
      <c r="M199" s="2396"/>
      <c r="S199" s="842"/>
    </row>
    <row r="200" spans="1:19" ht="13.2" customHeight="1">
      <c r="C200" s="2449"/>
      <c r="F200" s="2396"/>
      <c r="G200" s="2396"/>
      <c r="H200" s="2396"/>
      <c r="I200" s="2396"/>
      <c r="J200" s="2396"/>
      <c r="K200" s="2444"/>
      <c r="L200" s="2396"/>
      <c r="M200" s="2396"/>
      <c r="S200" s="842"/>
    </row>
    <row r="201" spans="1:19" ht="13.2" customHeight="1">
      <c r="C201" s="2449"/>
      <c r="F201" s="2396"/>
      <c r="G201" s="2396"/>
      <c r="H201" s="2396"/>
      <c r="I201" s="2396"/>
      <c r="J201" s="2396"/>
      <c r="K201" s="2444"/>
      <c r="L201" s="2396"/>
      <c r="M201" s="2396"/>
      <c r="S201" s="842"/>
    </row>
    <row r="202" spans="1:19" ht="13.2" customHeight="1">
      <c r="C202" s="2449"/>
      <c r="F202" s="2396"/>
      <c r="G202" s="2396"/>
      <c r="H202" s="2396"/>
      <c r="I202" s="2396"/>
      <c r="J202" s="2396"/>
      <c r="K202" s="2444"/>
      <c r="L202" s="2396"/>
      <c r="M202" s="2396"/>
      <c r="S202" s="842"/>
    </row>
    <row r="203" spans="1:19" ht="13.2" customHeight="1">
      <c r="C203" s="2449"/>
      <c r="F203" s="2396"/>
      <c r="G203" s="2396"/>
      <c r="H203" s="2396"/>
      <c r="I203" s="2396"/>
      <c r="J203" s="2396"/>
      <c r="K203" s="2444"/>
      <c r="L203" s="2396"/>
      <c r="M203" s="2396"/>
      <c r="S203" s="842"/>
    </row>
    <row r="204" spans="1:19" ht="13.2" customHeight="1">
      <c r="C204" s="2449"/>
      <c r="F204" s="2396"/>
      <c r="G204" s="2396"/>
      <c r="H204" s="2396"/>
      <c r="I204" s="2396"/>
      <c r="J204" s="2396"/>
      <c r="K204" s="2444"/>
      <c r="L204" s="2396"/>
      <c r="M204" s="2396"/>
      <c r="S204" s="842"/>
    </row>
    <row r="205" spans="1:19" ht="13.2" customHeight="1">
      <c r="C205" s="2449"/>
      <c r="F205" s="2396"/>
      <c r="G205" s="2396"/>
      <c r="H205" s="2396"/>
      <c r="I205" s="2396"/>
      <c r="J205" s="2396"/>
      <c r="K205" s="2444"/>
      <c r="L205" s="2396"/>
      <c r="M205" s="2396"/>
      <c r="S205" s="842"/>
    </row>
    <row r="206" spans="1:19" ht="13.2" customHeight="1">
      <c r="C206" s="2449"/>
      <c r="F206" s="2396"/>
      <c r="G206" s="2396"/>
      <c r="H206" s="2396"/>
      <c r="I206" s="2396"/>
      <c r="J206" s="2396"/>
      <c r="K206" s="2444"/>
      <c r="L206" s="2396"/>
      <c r="M206" s="2396"/>
      <c r="S206" s="842"/>
    </row>
    <row r="207" spans="1:19" ht="13.2" customHeight="1">
      <c r="C207" s="2449"/>
      <c r="F207" s="2396"/>
      <c r="G207" s="2396"/>
      <c r="H207" s="2396"/>
      <c r="I207" s="2396"/>
      <c r="J207" s="2396"/>
      <c r="K207" s="2444"/>
      <c r="L207" s="2396"/>
      <c r="M207" s="2396"/>
      <c r="S207" s="842"/>
    </row>
    <row r="208" spans="1:19" ht="13.2" customHeight="1">
      <c r="C208" s="2449"/>
      <c r="F208" s="2396"/>
      <c r="G208" s="2396"/>
      <c r="H208" s="2396"/>
      <c r="I208" s="2396"/>
      <c r="J208" s="2396"/>
      <c r="K208" s="2444"/>
      <c r="L208" s="2396"/>
      <c r="M208" s="2396"/>
      <c r="S208" s="842"/>
    </row>
    <row r="209" spans="3:19" ht="13.2" customHeight="1">
      <c r="C209" s="2449"/>
      <c r="F209" s="2396"/>
      <c r="G209" s="2396"/>
      <c r="H209" s="2396"/>
      <c r="I209" s="2396"/>
      <c r="J209" s="2396"/>
      <c r="K209" s="2444"/>
      <c r="L209" s="2396"/>
      <c r="M209" s="2396"/>
      <c r="S209" s="842"/>
    </row>
    <row r="210" spans="3:19" ht="13.2" customHeight="1">
      <c r="C210" s="2449"/>
      <c r="F210" s="2396"/>
      <c r="G210" s="2396"/>
      <c r="H210" s="2396"/>
      <c r="I210" s="2396"/>
      <c r="J210" s="2396"/>
      <c r="K210" s="2444"/>
      <c r="L210" s="2396"/>
      <c r="M210" s="2396"/>
      <c r="S210" s="842"/>
    </row>
    <row r="211" spans="3:19" ht="13.2" customHeight="1">
      <c r="C211" s="2449"/>
      <c r="F211" s="2396"/>
      <c r="G211" s="2396"/>
      <c r="H211" s="2396"/>
      <c r="I211" s="2396"/>
      <c r="J211" s="2396"/>
      <c r="K211" s="2444"/>
      <c r="L211" s="2396"/>
      <c r="M211" s="2396"/>
      <c r="S211" s="842"/>
    </row>
    <row r="212" spans="3:19" ht="13.2" customHeight="1">
      <c r="C212" s="2449"/>
      <c r="F212" s="2396"/>
      <c r="G212" s="2396"/>
      <c r="H212" s="2396"/>
      <c r="I212" s="2396"/>
      <c r="J212" s="2396"/>
      <c r="K212" s="2444"/>
      <c r="L212" s="2396"/>
      <c r="M212" s="2396"/>
      <c r="S212" s="842"/>
    </row>
    <row r="213" spans="3:19" ht="13.2" customHeight="1">
      <c r="C213" s="2449"/>
      <c r="F213" s="2396"/>
      <c r="G213" s="2396"/>
      <c r="H213" s="2396"/>
      <c r="I213" s="2396"/>
      <c r="J213" s="2396"/>
      <c r="K213" s="2444"/>
      <c r="L213" s="2396"/>
      <c r="M213" s="2396"/>
      <c r="S213" s="842"/>
    </row>
    <row r="214" spans="3:19" ht="13.2" customHeight="1">
      <c r="C214" s="2449"/>
      <c r="F214" s="2396"/>
      <c r="G214" s="2396"/>
      <c r="H214" s="2396"/>
      <c r="I214" s="2396"/>
      <c r="J214" s="2396"/>
      <c r="K214" s="2444"/>
      <c r="L214" s="2396"/>
      <c r="M214" s="2396"/>
      <c r="S214" s="842"/>
    </row>
    <row r="215" spans="3:19" ht="13.2" customHeight="1">
      <c r="C215" s="2449"/>
      <c r="F215" s="2396"/>
      <c r="G215" s="2396"/>
      <c r="H215" s="2396"/>
      <c r="I215" s="2396"/>
      <c r="J215" s="2396"/>
      <c r="K215" s="2444"/>
      <c r="L215" s="2396"/>
      <c r="M215" s="2396"/>
      <c r="S215" s="842"/>
    </row>
    <row r="216" spans="3:19" ht="13.2" customHeight="1">
      <c r="C216" s="2449"/>
      <c r="F216" s="2396"/>
      <c r="G216" s="2396"/>
      <c r="H216" s="2396"/>
      <c r="I216" s="2396"/>
      <c r="J216" s="2396"/>
      <c r="K216" s="2444"/>
      <c r="L216" s="2396"/>
      <c r="M216" s="2396"/>
      <c r="S216" s="842"/>
    </row>
    <row r="217" spans="3:19" ht="13.2" customHeight="1">
      <c r="C217" s="2449"/>
      <c r="F217" s="2396"/>
      <c r="G217" s="2396"/>
      <c r="H217" s="2396"/>
      <c r="I217" s="2396"/>
      <c r="J217" s="2396"/>
      <c r="K217" s="2444"/>
      <c r="L217" s="2396"/>
      <c r="M217" s="2396"/>
      <c r="S217" s="842"/>
    </row>
    <row r="218" spans="3:19" ht="13.2" customHeight="1">
      <c r="C218" s="2449"/>
      <c r="F218" s="2396"/>
      <c r="G218" s="2396"/>
      <c r="H218" s="2396"/>
      <c r="I218" s="2396"/>
      <c r="J218" s="2396"/>
      <c r="K218" s="2444"/>
      <c r="L218" s="2396"/>
      <c r="M218" s="2396"/>
      <c r="S218" s="842"/>
    </row>
    <row r="219" spans="3:19" ht="13.2" customHeight="1">
      <c r="C219" s="2449"/>
      <c r="F219" s="2396"/>
      <c r="G219" s="2396"/>
      <c r="H219" s="2396"/>
      <c r="I219" s="2396"/>
      <c r="J219" s="2396"/>
      <c r="K219" s="2444"/>
      <c r="L219" s="2396"/>
      <c r="M219" s="2396"/>
      <c r="S219" s="842"/>
    </row>
    <row r="220" spans="3:19" ht="13.2" customHeight="1">
      <c r="C220" s="2449"/>
      <c r="F220" s="2396"/>
      <c r="G220" s="2396"/>
      <c r="H220" s="2396"/>
      <c r="I220" s="2396"/>
      <c r="J220" s="2396"/>
      <c r="K220" s="2444"/>
      <c r="L220" s="2396"/>
      <c r="M220" s="2396"/>
      <c r="S220" s="842"/>
    </row>
    <row r="221" spans="3:19" ht="13.2" customHeight="1">
      <c r="C221" s="2449"/>
      <c r="F221" s="2396"/>
      <c r="G221" s="2396"/>
      <c r="H221" s="2396"/>
      <c r="I221" s="2396"/>
      <c r="J221" s="2396"/>
      <c r="K221" s="2444"/>
      <c r="L221" s="2396"/>
      <c r="M221" s="2396"/>
      <c r="S221" s="842"/>
    </row>
    <row r="222" spans="3:19" ht="13.2" customHeight="1">
      <c r="C222" s="2449"/>
      <c r="F222" s="2396"/>
      <c r="G222" s="2396"/>
      <c r="H222" s="2396"/>
      <c r="I222" s="2396"/>
      <c r="J222" s="2396"/>
      <c r="K222" s="2444"/>
      <c r="L222" s="2396"/>
      <c r="M222" s="2396"/>
      <c r="S222" s="842"/>
    </row>
    <row r="223" spans="3:19" ht="13.2" customHeight="1">
      <c r="C223" s="2449"/>
      <c r="F223" s="2396"/>
      <c r="G223" s="2396"/>
      <c r="H223" s="2396"/>
      <c r="I223" s="2396"/>
      <c r="J223" s="2396"/>
      <c r="K223" s="2444"/>
      <c r="L223" s="2396"/>
      <c r="M223" s="2396"/>
      <c r="S223" s="842"/>
    </row>
    <row r="224" spans="3:19" ht="13.2" customHeight="1">
      <c r="C224" s="2449"/>
      <c r="F224" s="2396"/>
      <c r="G224" s="2396"/>
      <c r="H224" s="2396"/>
      <c r="I224" s="2396"/>
      <c r="J224" s="2396"/>
      <c r="K224" s="2444"/>
      <c r="L224" s="2396"/>
      <c r="M224" s="2396"/>
      <c r="S224" s="842"/>
    </row>
    <row r="225" spans="3:19" ht="13.2" customHeight="1">
      <c r="C225" s="2449"/>
      <c r="F225" s="2396"/>
      <c r="G225" s="2396"/>
      <c r="H225" s="2396"/>
      <c r="I225" s="2396"/>
      <c r="J225" s="2396"/>
      <c r="K225" s="2444"/>
      <c r="L225" s="2396"/>
      <c r="M225" s="2396"/>
      <c r="S225" s="842"/>
    </row>
    <row r="226" spans="3:19" ht="13.2" customHeight="1">
      <c r="C226" s="2449"/>
      <c r="F226" s="2396"/>
      <c r="G226" s="2396"/>
      <c r="H226" s="2396"/>
      <c r="I226" s="2396"/>
      <c r="J226" s="2396"/>
      <c r="K226" s="2444"/>
      <c r="L226" s="2396"/>
      <c r="M226" s="2396"/>
      <c r="S226" s="842"/>
    </row>
    <row r="227" spans="3:19" ht="13.2" customHeight="1">
      <c r="C227" s="2449"/>
      <c r="F227" s="2396"/>
      <c r="G227" s="2396"/>
      <c r="H227" s="2396"/>
      <c r="I227" s="2396"/>
      <c r="J227" s="2396"/>
      <c r="K227" s="2444"/>
      <c r="L227" s="2396"/>
      <c r="M227" s="2396"/>
      <c r="S227" s="842"/>
    </row>
    <row r="228" spans="3:19" ht="13.2" customHeight="1">
      <c r="C228" s="2449"/>
      <c r="F228" s="2396"/>
      <c r="G228" s="2396"/>
      <c r="H228" s="2396"/>
      <c r="I228" s="2396"/>
      <c r="J228" s="2396"/>
      <c r="K228" s="2444"/>
      <c r="L228" s="2396"/>
      <c r="M228" s="2396"/>
      <c r="S228" s="842"/>
    </row>
    <row r="229" spans="3:19" ht="13.2" customHeight="1">
      <c r="C229" s="2449"/>
      <c r="F229" s="2396"/>
      <c r="G229" s="2396"/>
      <c r="H229" s="2396"/>
      <c r="I229" s="2396"/>
      <c r="J229" s="2396"/>
      <c r="K229" s="2444"/>
      <c r="L229" s="2396"/>
      <c r="M229" s="2396"/>
      <c r="S229" s="842"/>
    </row>
    <row r="230" spans="3:19" ht="13.2" customHeight="1">
      <c r="C230" s="2449"/>
      <c r="F230" s="2396"/>
      <c r="G230" s="2396"/>
      <c r="H230" s="2396"/>
      <c r="I230" s="2396"/>
      <c r="J230" s="2396"/>
      <c r="K230" s="2444"/>
      <c r="L230" s="2396"/>
      <c r="M230" s="2396"/>
      <c r="S230" s="842"/>
    </row>
    <row r="231" spans="3:19" ht="13.2" customHeight="1">
      <c r="C231" s="2449"/>
      <c r="F231" s="2396"/>
      <c r="G231" s="2396"/>
      <c r="H231" s="2396"/>
      <c r="I231" s="2396"/>
      <c r="J231" s="2396"/>
      <c r="K231" s="2444"/>
      <c r="L231" s="2396"/>
      <c r="M231" s="2396"/>
      <c r="S231" s="842"/>
    </row>
    <row r="232" spans="3:19" ht="13.2" customHeight="1">
      <c r="C232" s="2449"/>
      <c r="F232" s="2396"/>
      <c r="G232" s="2396"/>
      <c r="H232" s="2396"/>
      <c r="I232" s="2396"/>
      <c r="J232" s="2396"/>
      <c r="K232" s="2444"/>
      <c r="L232" s="2396"/>
      <c r="M232" s="2396"/>
      <c r="S232" s="842"/>
    </row>
    <row r="233" spans="3:19" ht="13.2" customHeight="1">
      <c r="C233" s="2449"/>
      <c r="F233" s="2396"/>
      <c r="G233" s="2396"/>
      <c r="H233" s="2396"/>
      <c r="I233" s="2396"/>
      <c r="J233" s="2396"/>
      <c r="K233" s="2444"/>
      <c r="L233" s="2396"/>
      <c r="M233" s="2396"/>
      <c r="S233" s="842"/>
    </row>
    <row r="234" spans="3:19" ht="13.2" customHeight="1">
      <c r="C234" s="2449"/>
      <c r="F234" s="2396"/>
      <c r="G234" s="2396"/>
      <c r="H234" s="2396"/>
      <c r="I234" s="2396"/>
      <c r="J234" s="2396"/>
      <c r="K234" s="2444"/>
      <c r="L234" s="2396"/>
      <c r="M234" s="2396"/>
      <c r="S234" s="842"/>
    </row>
    <row r="235" spans="3:19" ht="13.2" customHeight="1">
      <c r="C235" s="2449"/>
      <c r="F235" s="2396"/>
      <c r="G235" s="2396"/>
      <c r="H235" s="2396"/>
      <c r="I235" s="2396"/>
      <c r="J235" s="2396"/>
      <c r="K235" s="2444"/>
      <c r="L235" s="2396"/>
      <c r="M235" s="2396"/>
      <c r="S235" s="842"/>
    </row>
    <row r="236" spans="3:19" ht="13.2" customHeight="1">
      <c r="C236" s="2449"/>
      <c r="F236" s="2396"/>
      <c r="G236" s="2396"/>
      <c r="H236" s="2396"/>
      <c r="I236" s="2396"/>
      <c r="J236" s="2396"/>
      <c r="K236" s="2444"/>
      <c r="L236" s="2396"/>
      <c r="M236" s="2396"/>
      <c r="S236" s="842"/>
    </row>
    <row r="237" spans="3:19" ht="13.2" customHeight="1">
      <c r="C237" s="2449"/>
      <c r="F237" s="2396"/>
      <c r="G237" s="2396"/>
      <c r="H237" s="2396"/>
      <c r="I237" s="2396"/>
      <c r="J237" s="2396"/>
      <c r="K237" s="2444"/>
      <c r="L237" s="2396"/>
      <c r="M237" s="2396"/>
      <c r="S237" s="842"/>
    </row>
    <row r="238" spans="3:19" ht="13.2" customHeight="1">
      <c r="C238" s="2449"/>
      <c r="F238" s="2396"/>
      <c r="G238" s="2396"/>
      <c r="H238" s="2396"/>
      <c r="I238" s="2396"/>
      <c r="J238" s="2396"/>
      <c r="K238" s="2444"/>
      <c r="L238" s="2396"/>
      <c r="M238" s="2396"/>
      <c r="S238" s="842"/>
    </row>
    <row r="239" spans="3:19" ht="13.2" customHeight="1">
      <c r="C239" s="2449"/>
      <c r="F239" s="2396"/>
      <c r="G239" s="2396"/>
      <c r="H239" s="2396"/>
      <c r="I239" s="2396"/>
      <c r="J239" s="2396"/>
      <c r="K239" s="2444"/>
      <c r="L239" s="2396"/>
      <c r="M239" s="2396"/>
      <c r="S239" s="842"/>
    </row>
    <row r="240" spans="3:19" ht="13.2" customHeight="1">
      <c r="C240" s="2449"/>
      <c r="F240" s="2396"/>
      <c r="G240" s="2396"/>
      <c r="H240" s="2396"/>
      <c r="I240" s="2396"/>
      <c r="J240" s="2396"/>
      <c r="K240" s="2444"/>
      <c r="L240" s="2396"/>
      <c r="M240" s="2396"/>
      <c r="S240" s="842"/>
    </row>
    <row r="241" spans="3:19" ht="13.2" customHeight="1">
      <c r="C241" s="2449"/>
      <c r="F241" s="2396"/>
      <c r="G241" s="2396"/>
      <c r="H241" s="2396"/>
      <c r="I241" s="2396"/>
      <c r="J241" s="2396"/>
      <c r="K241" s="2444"/>
      <c r="L241" s="2396"/>
      <c r="M241" s="2396"/>
      <c r="S241" s="842"/>
    </row>
    <row r="242" spans="3:19" ht="13.2" customHeight="1">
      <c r="C242" s="2449"/>
      <c r="F242" s="2396"/>
      <c r="G242" s="2396"/>
      <c r="H242" s="2396"/>
      <c r="I242" s="2396"/>
      <c r="J242" s="2396"/>
      <c r="K242" s="2444"/>
      <c r="L242" s="2396"/>
      <c r="M242" s="2396"/>
      <c r="S242" s="842"/>
    </row>
    <row r="243" spans="3:19" ht="13.2" customHeight="1">
      <c r="C243" s="2449"/>
      <c r="F243" s="2396"/>
      <c r="G243" s="2396"/>
      <c r="H243" s="2396"/>
      <c r="I243" s="2396"/>
      <c r="J243" s="2396"/>
      <c r="K243" s="2444"/>
      <c r="L243" s="2396"/>
      <c r="M243" s="2396"/>
      <c r="S243" s="842"/>
    </row>
    <row r="244" spans="3:19" ht="13.2" customHeight="1">
      <c r="C244" s="2449"/>
      <c r="F244" s="2396"/>
      <c r="G244" s="2396"/>
      <c r="H244" s="2396"/>
      <c r="I244" s="2396"/>
      <c r="J244" s="2396"/>
      <c r="K244" s="2444"/>
      <c r="L244" s="2396"/>
      <c r="M244" s="2396"/>
      <c r="S244" s="842"/>
    </row>
    <row r="245" spans="3:19" ht="13.2" customHeight="1">
      <c r="C245" s="2449"/>
      <c r="F245" s="2396"/>
      <c r="G245" s="2396"/>
      <c r="H245" s="2396"/>
      <c r="I245" s="2396"/>
      <c r="J245" s="2396"/>
      <c r="K245" s="2444"/>
      <c r="L245" s="2396"/>
      <c r="M245" s="2396"/>
      <c r="S245" s="842"/>
    </row>
    <row r="246" spans="3:19" ht="13.2" customHeight="1">
      <c r="C246" s="2449"/>
      <c r="F246" s="2396"/>
      <c r="G246" s="2396"/>
      <c r="H246" s="2396"/>
      <c r="I246" s="2396"/>
      <c r="J246" s="2396"/>
      <c r="K246" s="2444"/>
      <c r="L246" s="2396"/>
      <c r="M246" s="2396"/>
      <c r="S246" s="842"/>
    </row>
    <row r="247" spans="3:19" ht="13.2" customHeight="1">
      <c r="C247" s="2449"/>
      <c r="F247" s="2396"/>
      <c r="G247" s="2396"/>
      <c r="H247" s="2396"/>
      <c r="I247" s="2396"/>
      <c r="J247" s="2396"/>
      <c r="K247" s="2444"/>
      <c r="L247" s="2396"/>
      <c r="M247" s="2396"/>
      <c r="S247" s="842"/>
    </row>
    <row r="248" spans="3:19" ht="13.2" customHeight="1">
      <c r="C248" s="2449"/>
      <c r="F248" s="2396"/>
      <c r="G248" s="2396"/>
      <c r="H248" s="2396"/>
      <c r="I248" s="2396"/>
      <c r="J248" s="2396"/>
      <c r="K248" s="2444"/>
      <c r="L248" s="2396"/>
      <c r="M248" s="2396"/>
      <c r="S248" s="842"/>
    </row>
    <row r="249" spans="3:19" ht="13.2" customHeight="1">
      <c r="C249" s="2449"/>
      <c r="F249" s="2396"/>
      <c r="G249" s="2396"/>
      <c r="H249" s="2396"/>
      <c r="I249" s="2396"/>
      <c r="J249" s="2396"/>
      <c r="K249" s="2444"/>
      <c r="L249" s="2396"/>
      <c r="M249" s="2396"/>
      <c r="S249" s="842"/>
    </row>
    <row r="250" spans="3:19" ht="13.2" customHeight="1">
      <c r="C250" s="2449"/>
      <c r="F250" s="2396"/>
      <c r="G250" s="2396"/>
      <c r="H250" s="2396"/>
      <c r="I250" s="2396"/>
      <c r="J250" s="2396"/>
      <c r="K250" s="2444"/>
      <c r="L250" s="2396"/>
      <c r="M250" s="2396"/>
      <c r="S250" s="842"/>
    </row>
    <row r="251" spans="3:19" ht="13.2" customHeight="1">
      <c r="C251" s="2449"/>
      <c r="F251" s="2396"/>
      <c r="G251" s="2396"/>
      <c r="H251" s="2396"/>
      <c r="I251" s="2396"/>
      <c r="J251" s="2396"/>
      <c r="K251" s="2444"/>
      <c r="L251" s="2396"/>
      <c r="M251" s="2396"/>
      <c r="S251" s="842"/>
    </row>
    <row r="252" spans="3:19" ht="13.2" customHeight="1">
      <c r="C252" s="2449"/>
      <c r="F252" s="2396"/>
      <c r="G252" s="2396"/>
      <c r="H252" s="2396"/>
      <c r="I252" s="2396"/>
      <c r="J252" s="2396"/>
      <c r="K252" s="2444"/>
      <c r="L252" s="2396"/>
      <c r="M252" s="2396"/>
      <c r="S252" s="842"/>
    </row>
    <row r="253" spans="3:19" ht="13.2" customHeight="1">
      <c r="C253" s="2449"/>
      <c r="F253" s="2396"/>
      <c r="G253" s="2396"/>
      <c r="H253" s="2396"/>
      <c r="I253" s="2396"/>
      <c r="J253" s="2396"/>
      <c r="K253" s="2444"/>
      <c r="L253" s="2396"/>
      <c r="M253" s="2396"/>
      <c r="S253" s="842"/>
    </row>
    <row r="254" spans="3:19" ht="13.2" customHeight="1">
      <c r="C254" s="2449"/>
      <c r="F254" s="2396"/>
      <c r="G254" s="2396"/>
      <c r="H254" s="2396"/>
      <c r="I254" s="2396"/>
      <c r="J254" s="2396"/>
      <c r="K254" s="2444"/>
      <c r="L254" s="2396"/>
      <c r="M254" s="2396"/>
      <c r="S254" s="842"/>
    </row>
    <row r="255" spans="3:19" ht="13.2" customHeight="1">
      <c r="C255" s="2449"/>
      <c r="F255" s="2396"/>
      <c r="G255" s="2396"/>
      <c r="H255" s="2396"/>
      <c r="I255" s="2396"/>
      <c r="J255" s="2396"/>
      <c r="K255" s="2444"/>
      <c r="L255" s="2396"/>
      <c r="M255" s="2396"/>
      <c r="S255" s="842"/>
    </row>
    <row r="256" spans="3:19" ht="13.2" customHeight="1">
      <c r="C256" s="2449"/>
      <c r="F256" s="2396"/>
      <c r="G256" s="2396"/>
      <c r="H256" s="2396"/>
      <c r="I256" s="2396"/>
      <c r="J256" s="2396"/>
      <c r="K256" s="2444"/>
      <c r="L256" s="2396"/>
      <c r="M256" s="2396"/>
      <c r="S256" s="842"/>
    </row>
    <row r="257" spans="3:19" ht="13.2" customHeight="1">
      <c r="C257" s="2449"/>
      <c r="F257" s="2396"/>
      <c r="G257" s="2396"/>
      <c r="H257" s="2396"/>
      <c r="I257" s="2396"/>
      <c r="J257" s="2396"/>
      <c r="K257" s="2444"/>
      <c r="L257" s="2396"/>
      <c r="M257" s="2396"/>
      <c r="S257" s="842"/>
    </row>
    <row r="258" spans="3:19" ht="13.2" customHeight="1">
      <c r="C258" s="2449" t="s">
        <v>238</v>
      </c>
      <c r="F258" s="2396"/>
      <c r="G258" s="2396"/>
      <c r="H258" s="2396"/>
      <c r="I258" s="2396"/>
      <c r="J258" s="2396"/>
      <c r="K258" s="2444"/>
      <c r="L258" s="2396"/>
      <c r="M258" s="2396"/>
      <c r="S258" s="842"/>
    </row>
    <row r="259" spans="3:19" ht="13.2" customHeight="1">
      <c r="C259" s="2449"/>
      <c r="F259" s="2396"/>
      <c r="G259" s="2396"/>
      <c r="H259" s="2396"/>
      <c r="I259" s="2396"/>
      <c r="J259" s="2396"/>
      <c r="K259" s="2444"/>
      <c r="L259" s="2396"/>
      <c r="M259" s="2396"/>
      <c r="S259" s="842"/>
    </row>
    <row r="260" spans="3:19" ht="13.2" customHeight="1">
      <c r="C260" s="2449"/>
      <c r="F260" s="2396"/>
      <c r="G260" s="2396"/>
      <c r="H260" s="2396"/>
      <c r="I260" s="2396"/>
      <c r="J260" s="2396"/>
      <c r="K260" s="2444"/>
      <c r="L260" s="2396"/>
      <c r="M260" s="2396"/>
      <c r="S260" s="842"/>
    </row>
    <row r="261" spans="3:19" ht="13.2" customHeight="1">
      <c r="C261" s="2449"/>
      <c r="F261" s="2396"/>
      <c r="G261" s="2396"/>
      <c r="H261" s="2396"/>
      <c r="I261" s="2396"/>
      <c r="J261" s="2396"/>
      <c r="K261" s="2444"/>
      <c r="L261" s="2396"/>
      <c r="M261" s="2396"/>
      <c r="S261" s="842"/>
    </row>
    <row r="262" spans="3:19" ht="13.2" customHeight="1">
      <c r="C262" s="2449"/>
      <c r="F262" s="2396"/>
      <c r="G262" s="2396"/>
      <c r="H262" s="2396"/>
      <c r="I262" s="2396"/>
      <c r="J262" s="2396"/>
      <c r="K262" s="2444"/>
      <c r="L262" s="2396"/>
      <c r="M262" s="2396"/>
      <c r="S262" s="842"/>
    </row>
    <row r="263" spans="3:19" ht="13.2" customHeight="1">
      <c r="C263" s="2449"/>
      <c r="F263" s="2396"/>
      <c r="G263" s="2396"/>
      <c r="H263" s="2396"/>
      <c r="I263" s="2396"/>
      <c r="J263" s="2396"/>
      <c r="K263" s="2444"/>
      <c r="L263" s="2396"/>
      <c r="M263" s="2396"/>
      <c r="S263" s="842"/>
    </row>
    <row r="264" spans="3:19" ht="13.2" customHeight="1">
      <c r="C264" s="2449"/>
      <c r="F264" s="2396"/>
      <c r="G264" s="2396"/>
      <c r="H264" s="2396"/>
      <c r="I264" s="2396"/>
      <c r="J264" s="2396"/>
      <c r="K264" s="2444"/>
      <c r="L264" s="2396"/>
      <c r="M264" s="2396"/>
      <c r="S264" s="842"/>
    </row>
    <row r="265" spans="3:19" ht="13.2" customHeight="1">
      <c r="C265" s="2449"/>
      <c r="F265" s="2396"/>
      <c r="G265" s="2396"/>
      <c r="H265" s="2396"/>
      <c r="I265" s="2396"/>
      <c r="J265" s="2396"/>
      <c r="K265" s="2444"/>
      <c r="L265" s="2396"/>
      <c r="M265" s="2396"/>
      <c r="S265" s="842"/>
    </row>
    <row r="266" spans="3:19" ht="13.2" customHeight="1">
      <c r="C266" s="2449"/>
      <c r="F266" s="2396"/>
      <c r="G266" s="2396"/>
      <c r="H266" s="2396"/>
      <c r="I266" s="2396"/>
      <c r="J266" s="2396"/>
      <c r="K266" s="2444"/>
      <c r="L266" s="2396"/>
      <c r="M266" s="2396"/>
      <c r="S266" s="842"/>
    </row>
    <row r="267" spans="3:19" ht="13.2" customHeight="1">
      <c r="C267" s="2449"/>
      <c r="F267" s="2396"/>
      <c r="G267" s="2396"/>
      <c r="H267" s="2396"/>
      <c r="I267" s="2396"/>
      <c r="J267" s="2396"/>
      <c r="K267" s="2444"/>
      <c r="L267" s="2396"/>
      <c r="M267" s="2396"/>
      <c r="S267" s="842"/>
    </row>
    <row r="268" spans="3:19" ht="13.2" customHeight="1">
      <c r="C268" s="2449"/>
      <c r="F268" s="2396"/>
      <c r="G268" s="2396"/>
      <c r="H268" s="2396"/>
      <c r="I268" s="2396"/>
      <c r="J268" s="2396"/>
      <c r="K268" s="2444"/>
      <c r="L268" s="2396"/>
      <c r="M268" s="2396"/>
      <c r="S268" s="842"/>
    </row>
    <row r="269" spans="3:19" ht="13.2" customHeight="1">
      <c r="C269" s="2449"/>
      <c r="F269" s="2396"/>
      <c r="G269" s="2396"/>
      <c r="H269" s="2396"/>
      <c r="I269" s="2396"/>
      <c r="J269" s="2396"/>
      <c r="K269" s="2444"/>
      <c r="L269" s="2396"/>
      <c r="M269" s="2396"/>
      <c r="S269" s="842"/>
    </row>
    <row r="270" spans="3:19" ht="13.2" customHeight="1">
      <c r="C270" s="2449"/>
      <c r="F270" s="2396"/>
      <c r="G270" s="2396"/>
      <c r="H270" s="2396"/>
      <c r="I270" s="2396"/>
      <c r="J270" s="2396"/>
      <c r="K270" s="2444"/>
      <c r="L270" s="2396"/>
      <c r="M270" s="2396"/>
      <c r="S270" s="842"/>
    </row>
    <row r="271" spans="3:19" ht="13.2" customHeight="1">
      <c r="C271" s="2449"/>
      <c r="F271" s="2396"/>
      <c r="G271" s="2396"/>
      <c r="H271" s="2396"/>
      <c r="I271" s="2396"/>
      <c r="J271" s="2396"/>
      <c r="K271" s="2444"/>
      <c r="L271" s="2396"/>
      <c r="M271" s="2396"/>
      <c r="S271" s="842"/>
    </row>
    <row r="272" spans="3:19" ht="13.2" customHeight="1">
      <c r="C272" s="2449"/>
      <c r="F272" s="2396"/>
      <c r="G272" s="2396"/>
      <c r="H272" s="2396"/>
      <c r="I272" s="2396"/>
      <c r="J272" s="2396"/>
      <c r="K272" s="2444"/>
      <c r="L272" s="2396"/>
      <c r="M272" s="2396"/>
      <c r="S272" s="842"/>
    </row>
    <row r="273" spans="3:19" ht="13.2" customHeight="1">
      <c r="C273" s="2449"/>
      <c r="F273" s="2396"/>
      <c r="G273" s="2396"/>
      <c r="H273" s="2396"/>
      <c r="I273" s="2396"/>
      <c r="J273" s="2396"/>
      <c r="K273" s="2444"/>
      <c r="L273" s="2396"/>
      <c r="M273" s="2396"/>
      <c r="S273" s="842"/>
    </row>
    <row r="274" spans="3:19" ht="13.2" customHeight="1">
      <c r="C274" s="2449"/>
      <c r="F274" s="2396"/>
      <c r="G274" s="2396"/>
      <c r="H274" s="2396"/>
      <c r="I274" s="2396"/>
      <c r="J274" s="2396"/>
      <c r="K274" s="2444"/>
      <c r="L274" s="2396"/>
      <c r="M274" s="2396"/>
      <c r="S274" s="842"/>
    </row>
    <row r="275" spans="3:19" ht="13.2" customHeight="1">
      <c r="C275" s="2449"/>
      <c r="F275" s="2396"/>
      <c r="G275" s="2396"/>
      <c r="H275" s="2396"/>
      <c r="I275" s="2396"/>
      <c r="J275" s="2396"/>
      <c r="K275" s="2444"/>
      <c r="L275" s="2396"/>
      <c r="M275" s="2396"/>
      <c r="S275" s="842"/>
    </row>
    <row r="276" spans="3:19" ht="13.2" customHeight="1">
      <c r="C276" s="2449"/>
      <c r="F276" s="2396"/>
      <c r="G276" s="2396"/>
      <c r="H276" s="2396"/>
      <c r="I276" s="2396"/>
      <c r="J276" s="2396"/>
      <c r="K276" s="2444"/>
      <c r="L276" s="2396"/>
      <c r="M276" s="2396"/>
      <c r="S276" s="842"/>
    </row>
    <row r="277" spans="3:19" ht="13.2" customHeight="1">
      <c r="C277" s="2449"/>
      <c r="F277" s="2396"/>
      <c r="G277" s="2396"/>
      <c r="H277" s="2396"/>
      <c r="I277" s="2396"/>
      <c r="J277" s="2396"/>
      <c r="K277" s="2444"/>
      <c r="L277" s="2396"/>
      <c r="M277" s="2396"/>
      <c r="S277" s="842"/>
    </row>
    <row r="278" spans="3:19" ht="13.2" customHeight="1">
      <c r="C278" s="2449"/>
      <c r="F278" s="2396"/>
      <c r="G278" s="2396"/>
      <c r="H278" s="2396"/>
      <c r="I278" s="2396"/>
      <c r="J278" s="2396"/>
      <c r="K278" s="2444"/>
      <c r="L278" s="2396"/>
      <c r="M278" s="2396"/>
      <c r="S278" s="842"/>
    </row>
    <row r="279" spans="3:19" ht="13.2" customHeight="1">
      <c r="C279" s="2449"/>
      <c r="F279" s="2396"/>
      <c r="G279" s="2396"/>
      <c r="H279" s="2396"/>
      <c r="I279" s="2396"/>
      <c r="J279" s="2396"/>
      <c r="K279" s="2444"/>
      <c r="L279" s="2396"/>
      <c r="M279" s="2396"/>
      <c r="S279" s="842"/>
    </row>
    <row r="280" spans="3:19" ht="13.2" customHeight="1">
      <c r="C280" s="2449"/>
      <c r="F280" s="2396"/>
      <c r="G280" s="2396"/>
      <c r="H280" s="2396"/>
      <c r="I280" s="2396"/>
      <c r="J280" s="2396"/>
      <c r="K280" s="2444"/>
      <c r="L280" s="2396"/>
      <c r="M280" s="2396"/>
      <c r="S280" s="842"/>
    </row>
    <row r="281" spans="3:19" ht="13.2" customHeight="1">
      <c r="C281" s="2449"/>
      <c r="F281" s="2396"/>
      <c r="G281" s="2396"/>
      <c r="H281" s="2396"/>
      <c r="I281" s="2396"/>
      <c r="J281" s="2396"/>
      <c r="K281" s="2444"/>
      <c r="L281" s="2396"/>
      <c r="M281" s="2396"/>
      <c r="S281" s="842"/>
    </row>
    <row r="282" spans="3:19" ht="13.2" customHeight="1">
      <c r="C282" s="2449"/>
      <c r="F282" s="2396"/>
      <c r="G282" s="2396"/>
      <c r="H282" s="2396"/>
      <c r="I282" s="2396"/>
      <c r="J282" s="2396"/>
      <c r="K282" s="2444"/>
      <c r="L282" s="2396"/>
      <c r="M282" s="2396"/>
      <c r="S282" s="842"/>
    </row>
    <row r="283" spans="3:19" ht="13.2" customHeight="1">
      <c r="C283" s="2449"/>
      <c r="F283" s="2396"/>
      <c r="G283" s="2396"/>
      <c r="H283" s="2396"/>
      <c r="I283" s="2396"/>
      <c r="J283" s="2396"/>
      <c r="K283" s="2444"/>
      <c r="L283" s="2396"/>
      <c r="M283" s="2396"/>
      <c r="S283" s="842"/>
    </row>
    <row r="284" spans="3:19" ht="13.2" customHeight="1">
      <c r="C284" s="2449"/>
      <c r="F284" s="2396"/>
      <c r="G284" s="2396"/>
      <c r="H284" s="2396"/>
      <c r="I284" s="2396"/>
      <c r="J284" s="2396"/>
      <c r="K284" s="2444"/>
      <c r="L284" s="2396"/>
      <c r="M284" s="2396"/>
      <c r="S284" s="842"/>
    </row>
    <row r="285" spans="3:19" ht="13.2" customHeight="1">
      <c r="C285" s="2449"/>
      <c r="F285" s="2396"/>
      <c r="G285" s="2396"/>
      <c r="H285" s="2396"/>
      <c r="I285" s="2396"/>
      <c r="J285" s="2396"/>
      <c r="K285" s="2444"/>
      <c r="L285" s="2396"/>
      <c r="M285" s="2396"/>
      <c r="S285" s="842"/>
    </row>
    <row r="286" spans="3:19" ht="13.2" customHeight="1">
      <c r="C286" s="2449"/>
      <c r="F286" s="2396"/>
      <c r="G286" s="2396"/>
      <c r="H286" s="2396"/>
      <c r="I286" s="2396"/>
      <c r="J286" s="2396"/>
      <c r="K286" s="2444"/>
      <c r="L286" s="2396"/>
      <c r="M286" s="2396"/>
      <c r="S286" s="842"/>
    </row>
    <row r="287" spans="3:19" ht="13.2" customHeight="1">
      <c r="C287" s="2449"/>
      <c r="F287" s="2396"/>
      <c r="G287" s="2396"/>
      <c r="H287" s="2396"/>
      <c r="I287" s="2396"/>
      <c r="J287" s="2396"/>
      <c r="K287" s="2444"/>
      <c r="L287" s="2396"/>
      <c r="M287" s="2396"/>
      <c r="S287" s="842"/>
    </row>
    <row r="288" spans="3:19" ht="13.2" customHeight="1">
      <c r="C288" s="2449"/>
      <c r="F288" s="2396"/>
      <c r="G288" s="2396"/>
      <c r="H288" s="2396"/>
      <c r="I288" s="2396"/>
      <c r="J288" s="2396"/>
      <c r="K288" s="2444"/>
      <c r="L288" s="2396"/>
      <c r="M288" s="2396"/>
      <c r="S288" s="842"/>
    </row>
    <row r="289" spans="3:19" ht="13.2" customHeight="1">
      <c r="C289" s="2449"/>
      <c r="F289" s="2396"/>
      <c r="G289" s="2396"/>
      <c r="H289" s="2396"/>
      <c r="I289" s="2396"/>
      <c r="J289" s="2396"/>
      <c r="K289" s="2444"/>
      <c r="L289" s="2396"/>
      <c r="M289" s="2396"/>
      <c r="S289" s="842"/>
    </row>
    <row r="290" spans="3:19" ht="13.2" customHeight="1">
      <c r="C290" s="2449"/>
      <c r="F290" s="2396"/>
      <c r="G290" s="2396"/>
      <c r="H290" s="2396"/>
      <c r="I290" s="2396"/>
      <c r="J290" s="2396"/>
      <c r="K290" s="2444"/>
      <c r="L290" s="2396"/>
      <c r="M290" s="2396"/>
      <c r="S290" s="842"/>
    </row>
    <row r="291" spans="3:19" ht="13.2" customHeight="1">
      <c r="C291" s="2449"/>
      <c r="F291" s="2396"/>
      <c r="G291" s="2396"/>
      <c r="H291" s="2396"/>
      <c r="I291" s="2396"/>
      <c r="J291" s="2396"/>
      <c r="K291" s="2444"/>
      <c r="L291" s="2396"/>
      <c r="M291" s="2396"/>
      <c r="S291" s="842"/>
    </row>
    <row r="292" spans="3:19" ht="13.2" customHeight="1">
      <c r="C292" s="2449"/>
      <c r="F292" s="2396"/>
      <c r="G292" s="2396"/>
      <c r="H292" s="2396"/>
      <c r="I292" s="2396"/>
      <c r="J292" s="2396"/>
      <c r="K292" s="2444"/>
      <c r="L292" s="2396"/>
      <c r="M292" s="2396"/>
      <c r="S292" s="842"/>
    </row>
    <row r="293" spans="3:19" ht="13.2" customHeight="1">
      <c r="C293" s="2449"/>
      <c r="F293" s="2396"/>
      <c r="G293" s="2396"/>
      <c r="H293" s="2396"/>
      <c r="I293" s="2396"/>
      <c r="J293" s="2396"/>
      <c r="K293" s="2444"/>
      <c r="L293" s="2396"/>
      <c r="M293" s="2396"/>
      <c r="S293" s="842"/>
    </row>
    <row r="294" spans="3:19" ht="13.2" customHeight="1">
      <c r="C294" s="2449"/>
      <c r="F294" s="2396"/>
      <c r="G294" s="2396"/>
      <c r="H294" s="2396"/>
      <c r="I294" s="2396"/>
      <c r="J294" s="2396"/>
      <c r="K294" s="2444"/>
      <c r="L294" s="2396"/>
      <c r="M294" s="2396"/>
      <c r="S294" s="842"/>
    </row>
    <row r="295" spans="3:19" ht="13.2" customHeight="1">
      <c r="C295" s="2449"/>
      <c r="F295" s="2396"/>
      <c r="G295" s="2396"/>
      <c r="H295" s="2396"/>
      <c r="I295" s="2396"/>
      <c r="J295" s="2396"/>
      <c r="K295" s="2444"/>
      <c r="L295" s="2396"/>
      <c r="M295" s="2396"/>
      <c r="S295" s="842"/>
    </row>
    <row r="296" spans="3:19" ht="13.2" customHeight="1">
      <c r="C296" s="2449"/>
      <c r="F296" s="2396"/>
      <c r="G296" s="2396"/>
      <c r="H296" s="2396"/>
      <c r="I296" s="2396"/>
      <c r="J296" s="2396"/>
      <c r="K296" s="2444"/>
      <c r="L296" s="2396"/>
      <c r="M296" s="2396"/>
      <c r="S296" s="842"/>
    </row>
    <row r="297" spans="3:19" ht="13.2" customHeight="1">
      <c r="C297" s="2449"/>
      <c r="F297" s="2396"/>
      <c r="G297" s="2396"/>
      <c r="H297" s="2396"/>
      <c r="I297" s="2396"/>
      <c r="J297" s="2396"/>
      <c r="K297" s="2444"/>
      <c r="L297" s="2396"/>
      <c r="M297" s="2396"/>
      <c r="S297" s="842"/>
    </row>
    <row r="298" spans="3:19" ht="13.2" customHeight="1">
      <c r="C298" s="2449"/>
      <c r="F298" s="2396"/>
      <c r="G298" s="2396"/>
      <c r="H298" s="2396"/>
      <c r="I298" s="2396"/>
      <c r="J298" s="2396"/>
      <c r="K298" s="2444"/>
      <c r="L298" s="2396"/>
      <c r="M298" s="2396"/>
      <c r="S298" s="842"/>
    </row>
    <row r="299" spans="3:19" ht="13.2" customHeight="1">
      <c r="C299" s="2449"/>
      <c r="F299" s="2396"/>
      <c r="G299" s="2396"/>
      <c r="H299" s="2396"/>
      <c r="I299" s="2396"/>
      <c r="J299" s="2396"/>
      <c r="K299" s="2444"/>
      <c r="L299" s="2396"/>
      <c r="M299" s="2396"/>
      <c r="S299" s="842"/>
    </row>
    <row r="300" spans="3:19" ht="13.2" customHeight="1">
      <c r="C300" s="2449"/>
      <c r="F300" s="2396"/>
      <c r="G300" s="2396"/>
      <c r="H300" s="2396"/>
      <c r="I300" s="2396"/>
      <c r="J300" s="2396"/>
      <c r="K300" s="2444"/>
      <c r="L300" s="2396"/>
      <c r="M300" s="2396"/>
      <c r="S300" s="842"/>
    </row>
    <row r="301" spans="3:19" ht="13.2" customHeight="1">
      <c r="C301" s="2449"/>
      <c r="F301" s="2396"/>
      <c r="G301" s="2396"/>
      <c r="H301" s="2396"/>
      <c r="I301" s="2396"/>
      <c r="J301" s="2396"/>
      <c r="K301" s="2444"/>
      <c r="L301" s="2396"/>
      <c r="M301" s="2396"/>
      <c r="S301" s="842"/>
    </row>
    <row r="302" spans="3:19" ht="13.2" customHeight="1">
      <c r="C302" s="2449"/>
      <c r="F302" s="2396"/>
      <c r="G302" s="2396"/>
      <c r="H302" s="2396"/>
      <c r="I302" s="2396"/>
      <c r="J302" s="2396"/>
      <c r="K302" s="2444"/>
      <c r="L302" s="2396"/>
      <c r="M302" s="2396"/>
      <c r="S302" s="842"/>
    </row>
    <row r="303" spans="3:19" ht="13.2" customHeight="1">
      <c r="C303" s="2449"/>
      <c r="F303" s="2396"/>
      <c r="G303" s="2396"/>
      <c r="H303" s="2396"/>
      <c r="I303" s="2396"/>
      <c r="J303" s="2396"/>
      <c r="K303" s="2444"/>
      <c r="L303" s="2396"/>
      <c r="M303" s="2396"/>
      <c r="S303" s="842"/>
    </row>
    <row r="304" spans="3:19" ht="13.2" customHeight="1">
      <c r="C304" s="2449"/>
      <c r="F304" s="2396"/>
      <c r="G304" s="2396"/>
      <c r="H304" s="2396"/>
      <c r="I304" s="2396"/>
      <c r="J304" s="2396"/>
      <c r="K304" s="2444"/>
      <c r="L304" s="2396"/>
      <c r="M304" s="2396"/>
      <c r="S304" s="842"/>
    </row>
    <row r="305" spans="3:19" ht="13.2" customHeight="1">
      <c r="C305" s="2449"/>
      <c r="F305" s="2396"/>
      <c r="G305" s="2396"/>
      <c r="H305" s="2396"/>
      <c r="I305" s="2396"/>
      <c r="J305" s="2396"/>
      <c r="K305" s="2444"/>
      <c r="L305" s="2396"/>
      <c r="M305" s="2396"/>
      <c r="S305" s="842"/>
    </row>
    <row r="306" spans="3:19" ht="13.2" customHeight="1">
      <c r="C306" s="2449"/>
      <c r="F306" s="2396"/>
      <c r="G306" s="2396"/>
      <c r="H306" s="2396"/>
      <c r="I306" s="2396"/>
      <c r="J306" s="2396"/>
      <c r="K306" s="2444"/>
      <c r="L306" s="2396"/>
      <c r="M306" s="2396"/>
      <c r="S306" s="842"/>
    </row>
    <row r="307" spans="3:19" ht="13.2" customHeight="1">
      <c r="C307" s="2449"/>
      <c r="F307" s="2396"/>
      <c r="G307" s="2396"/>
      <c r="H307" s="2396"/>
      <c r="I307" s="2396"/>
      <c r="J307" s="2396"/>
      <c r="K307" s="2444"/>
      <c r="L307" s="2396"/>
      <c r="M307" s="2396"/>
      <c r="S307" s="842"/>
    </row>
    <row r="308" spans="3:19" ht="13.2" customHeight="1">
      <c r="C308" s="2449"/>
      <c r="F308" s="2396"/>
      <c r="G308" s="2396"/>
      <c r="H308" s="2396"/>
      <c r="I308" s="2396"/>
      <c r="J308" s="2396"/>
      <c r="K308" s="2444"/>
      <c r="L308" s="2396"/>
      <c r="M308" s="2396"/>
      <c r="S308" s="842"/>
    </row>
    <row r="309" spans="3:19" ht="13.2" customHeight="1">
      <c r="C309" s="2449"/>
      <c r="F309" s="2396"/>
      <c r="G309" s="2396"/>
      <c r="H309" s="2396"/>
      <c r="I309" s="2396"/>
      <c r="J309" s="2396"/>
      <c r="K309" s="2444"/>
      <c r="L309" s="2396"/>
      <c r="M309" s="2396"/>
      <c r="S309" s="842"/>
    </row>
    <row r="310" spans="3:19" ht="13.2" customHeight="1">
      <c r="C310" s="2449"/>
      <c r="F310" s="2396"/>
      <c r="G310" s="2396"/>
      <c r="H310" s="2396"/>
      <c r="I310" s="2396"/>
      <c r="J310" s="2396"/>
      <c r="K310" s="2444"/>
      <c r="L310" s="2396"/>
      <c r="M310" s="2396"/>
      <c r="S310" s="842"/>
    </row>
    <row r="311" spans="3:19" ht="13.2" customHeight="1">
      <c r="C311" s="2449"/>
      <c r="F311" s="2396"/>
      <c r="G311" s="2396"/>
      <c r="H311" s="2396"/>
      <c r="I311" s="2396"/>
      <c r="J311" s="2396"/>
      <c r="K311" s="2444"/>
      <c r="L311" s="2396"/>
      <c r="M311" s="2396"/>
      <c r="S311" s="842"/>
    </row>
    <row r="312" spans="3:19" ht="13.2" customHeight="1">
      <c r="C312" s="2449"/>
      <c r="F312" s="2396"/>
      <c r="G312" s="2396"/>
      <c r="H312" s="2396"/>
      <c r="I312" s="2396"/>
      <c r="J312" s="2396"/>
      <c r="K312" s="2444"/>
      <c r="L312" s="2396"/>
      <c r="M312" s="2396"/>
      <c r="S312" s="842"/>
    </row>
    <row r="313" spans="3:19" ht="13.2" customHeight="1">
      <c r="C313" s="2449"/>
      <c r="F313" s="2396"/>
      <c r="G313" s="2396"/>
      <c r="H313" s="2396"/>
      <c r="I313" s="2396"/>
      <c r="J313" s="2396"/>
      <c r="K313" s="2444"/>
      <c r="L313" s="2396"/>
      <c r="M313" s="2396"/>
      <c r="S313" s="842"/>
    </row>
    <row r="314" spans="3:19" ht="13.2" customHeight="1">
      <c r="C314" s="2449"/>
      <c r="F314" s="2396"/>
      <c r="G314" s="2396"/>
      <c r="H314" s="2396"/>
      <c r="I314" s="2396"/>
      <c r="J314" s="2396"/>
      <c r="K314" s="2444"/>
      <c r="L314" s="2396"/>
      <c r="M314" s="2396"/>
      <c r="S314" s="842"/>
    </row>
    <row r="315" spans="3:19" ht="13.2" customHeight="1">
      <c r="C315" s="2449"/>
      <c r="F315" s="2396"/>
      <c r="G315" s="2396"/>
      <c r="H315" s="2396"/>
      <c r="I315" s="2396"/>
      <c r="J315" s="2396"/>
      <c r="K315" s="2444"/>
      <c r="L315" s="2396"/>
      <c r="M315" s="2396"/>
      <c r="S315" s="842"/>
    </row>
    <row r="316" spans="3:19" ht="13.2" customHeight="1">
      <c r="C316" s="2449"/>
      <c r="F316" s="2396"/>
      <c r="G316" s="2396"/>
      <c r="H316" s="2396"/>
      <c r="I316" s="2396"/>
      <c r="J316" s="2396"/>
      <c r="K316" s="2444"/>
      <c r="L316" s="2396"/>
      <c r="M316" s="2396"/>
      <c r="S316" s="842"/>
    </row>
    <row r="317" spans="3:19" ht="13.2" customHeight="1">
      <c r="C317" s="2449"/>
      <c r="F317" s="2396"/>
      <c r="G317" s="2396"/>
      <c r="H317" s="2396"/>
      <c r="I317" s="2396"/>
      <c r="J317" s="2396"/>
      <c r="K317" s="2444"/>
      <c r="L317" s="2396"/>
      <c r="M317" s="2396"/>
      <c r="S317" s="842"/>
    </row>
    <row r="318" spans="3:19" ht="13.2" customHeight="1">
      <c r="C318" s="2449"/>
      <c r="F318" s="2396"/>
      <c r="G318" s="2396"/>
      <c r="H318" s="2396"/>
      <c r="I318" s="2396"/>
      <c r="J318" s="2396"/>
      <c r="K318" s="2444"/>
      <c r="L318" s="2396"/>
      <c r="M318" s="2396"/>
      <c r="S318" s="842"/>
    </row>
    <row r="319" spans="3:19" ht="13.2" customHeight="1">
      <c r="C319" s="2449"/>
      <c r="F319" s="2396"/>
      <c r="G319" s="2396"/>
      <c r="H319" s="2396"/>
      <c r="I319" s="2396"/>
      <c r="J319" s="2396"/>
      <c r="K319" s="2444"/>
      <c r="L319" s="2396"/>
      <c r="M319" s="2396"/>
      <c r="S319" s="842"/>
    </row>
    <row r="320" spans="3:19" ht="13.2" customHeight="1">
      <c r="C320" s="2449"/>
      <c r="F320" s="2396"/>
      <c r="G320" s="2396"/>
      <c r="H320" s="2396"/>
      <c r="I320" s="2396"/>
      <c r="J320" s="2396"/>
      <c r="K320" s="2444"/>
      <c r="L320" s="2396"/>
      <c r="M320" s="2396"/>
      <c r="S320" s="842"/>
    </row>
    <row r="321" spans="3:19" ht="13.2" customHeight="1">
      <c r="C321" s="2449"/>
      <c r="F321" s="2396"/>
      <c r="G321" s="2396"/>
      <c r="H321" s="2396"/>
      <c r="I321" s="2396"/>
      <c r="J321" s="2396"/>
      <c r="K321" s="2444"/>
      <c r="L321" s="2396"/>
      <c r="M321" s="2396"/>
      <c r="S321" s="842"/>
    </row>
    <row r="322" spans="3:19" ht="13.2" customHeight="1">
      <c r="C322" s="2449"/>
      <c r="F322" s="2396"/>
      <c r="G322" s="2396"/>
      <c r="H322" s="2396"/>
      <c r="I322" s="2396"/>
      <c r="J322" s="2396"/>
      <c r="K322" s="2444"/>
      <c r="L322" s="2396"/>
      <c r="M322" s="2396"/>
      <c r="S322" s="842"/>
    </row>
    <row r="323" spans="3:19" ht="13.2" customHeight="1">
      <c r="C323" s="2449"/>
      <c r="F323" s="2396"/>
      <c r="G323" s="2396"/>
      <c r="H323" s="2396"/>
      <c r="I323" s="2396"/>
      <c r="J323" s="2396"/>
      <c r="K323" s="2444"/>
      <c r="L323" s="2396"/>
      <c r="M323" s="2396"/>
      <c r="S323" s="842"/>
    </row>
    <row r="324" spans="3:19" ht="13.2" customHeight="1">
      <c r="C324" s="2449"/>
      <c r="F324" s="2396"/>
      <c r="G324" s="2396"/>
      <c r="H324" s="2396"/>
      <c r="I324" s="2396"/>
      <c r="J324" s="2396"/>
      <c r="K324" s="2444"/>
      <c r="L324" s="2396"/>
      <c r="M324" s="2396"/>
      <c r="S324" s="842"/>
    </row>
    <row r="325" spans="3:19" ht="13.2" customHeight="1">
      <c r="C325" s="2449"/>
      <c r="F325" s="2396"/>
      <c r="G325" s="2396"/>
      <c r="H325" s="2396"/>
      <c r="I325" s="2396"/>
      <c r="J325" s="2396"/>
      <c r="K325" s="2444"/>
      <c r="L325" s="2396"/>
      <c r="M325" s="2396"/>
      <c r="S325" s="842"/>
    </row>
    <row r="326" spans="3:19" ht="13.2" customHeight="1">
      <c r="C326" s="2449"/>
      <c r="F326" s="2396"/>
      <c r="G326" s="2396"/>
      <c r="H326" s="2396"/>
      <c r="I326" s="2396"/>
      <c r="J326" s="2396"/>
      <c r="K326" s="2444"/>
      <c r="L326" s="2396"/>
      <c r="M326" s="2396"/>
      <c r="S326" s="842"/>
    </row>
    <row r="327" spans="3:19" ht="13.2" customHeight="1">
      <c r="C327" s="2449"/>
      <c r="F327" s="2396"/>
      <c r="G327" s="2396"/>
      <c r="H327" s="2396"/>
      <c r="I327" s="2396"/>
      <c r="J327" s="2396"/>
      <c r="K327" s="2444"/>
      <c r="L327" s="2396"/>
      <c r="M327" s="2396"/>
      <c r="S327" s="842"/>
    </row>
    <row r="328" spans="3:19" ht="13.2" customHeight="1">
      <c r="C328" s="2449"/>
      <c r="F328" s="2396"/>
      <c r="G328" s="2396"/>
      <c r="H328" s="2396"/>
      <c r="I328" s="2396"/>
      <c r="J328" s="2396"/>
      <c r="K328" s="2444"/>
      <c r="L328" s="2396"/>
      <c r="M328" s="2396"/>
      <c r="S328" s="842"/>
    </row>
    <row r="329" spans="3:19" ht="13.2" customHeight="1">
      <c r="C329" s="2449"/>
      <c r="F329" s="2396"/>
      <c r="G329" s="2396"/>
      <c r="H329" s="2396"/>
      <c r="I329" s="2396"/>
      <c r="J329" s="2396"/>
      <c r="K329" s="2444"/>
      <c r="L329" s="2396"/>
      <c r="M329" s="2396"/>
      <c r="S329" s="842"/>
    </row>
    <row r="330" spans="3:19" ht="13.2" customHeight="1">
      <c r="C330" s="2449"/>
      <c r="F330" s="2396"/>
      <c r="G330" s="2396"/>
      <c r="H330" s="2396"/>
      <c r="I330" s="2396"/>
      <c r="J330" s="2396"/>
      <c r="K330" s="2444"/>
      <c r="L330" s="2396"/>
      <c r="M330" s="2396"/>
      <c r="S330" s="842"/>
    </row>
    <row r="331" spans="3:19" ht="13.2" customHeight="1">
      <c r="C331" s="2449"/>
      <c r="F331" s="2396"/>
      <c r="G331" s="2396"/>
      <c r="H331" s="2396"/>
      <c r="I331" s="2396"/>
      <c r="J331" s="2396"/>
      <c r="K331" s="2444"/>
      <c r="L331" s="2396"/>
      <c r="M331" s="2396"/>
      <c r="S331" s="842"/>
    </row>
    <row r="332" spans="3:19" ht="13.2" customHeight="1">
      <c r="C332" s="2449"/>
      <c r="F332" s="2396"/>
      <c r="G332" s="2396"/>
      <c r="H332" s="2396"/>
      <c r="I332" s="2396"/>
      <c r="J332" s="2396"/>
      <c r="K332" s="2444"/>
      <c r="L332" s="2396"/>
      <c r="M332" s="2396"/>
      <c r="S332" s="842"/>
    </row>
    <row r="333" spans="3:19" ht="13.2" customHeight="1">
      <c r="C333" s="2449"/>
      <c r="F333" s="2396"/>
      <c r="G333" s="2396"/>
      <c r="H333" s="2396"/>
      <c r="I333" s="2396"/>
      <c r="J333" s="2396"/>
      <c r="K333" s="2444"/>
      <c r="L333" s="2396"/>
      <c r="M333" s="2396"/>
      <c r="S333" s="842"/>
    </row>
    <row r="334" spans="3:19" ht="13.2" customHeight="1">
      <c r="C334" s="2449"/>
      <c r="F334" s="2396"/>
      <c r="G334" s="2396"/>
      <c r="H334" s="2396"/>
      <c r="I334" s="2396"/>
      <c r="J334" s="2396"/>
      <c r="K334" s="2444"/>
      <c r="L334" s="2396"/>
      <c r="M334" s="2396"/>
      <c r="S334" s="842"/>
    </row>
    <row r="335" spans="3:19" ht="13.2" customHeight="1">
      <c r="C335" s="2449"/>
      <c r="F335" s="2396"/>
      <c r="G335" s="2396"/>
      <c r="H335" s="2396"/>
      <c r="I335" s="2396"/>
      <c r="J335" s="2396"/>
      <c r="K335" s="2444"/>
      <c r="L335" s="2396"/>
      <c r="M335" s="2396"/>
      <c r="S335" s="842"/>
    </row>
    <row r="336" spans="3:19" ht="13.2" customHeight="1">
      <c r="C336" s="2449"/>
      <c r="F336" s="2396"/>
      <c r="G336" s="2396"/>
      <c r="H336" s="2396"/>
      <c r="I336" s="2396"/>
      <c r="J336" s="2396"/>
      <c r="K336" s="2444"/>
      <c r="L336" s="2396"/>
      <c r="M336" s="2396"/>
      <c r="S336" s="842"/>
    </row>
    <row r="337" spans="3:19" ht="13.2" customHeight="1">
      <c r="C337" s="2449" t="s">
        <v>238</v>
      </c>
      <c r="F337" s="2396"/>
      <c r="G337" s="2396"/>
      <c r="H337" s="2396"/>
      <c r="I337" s="2396"/>
      <c r="J337" s="2396"/>
      <c r="K337" s="2444"/>
      <c r="L337" s="2396"/>
      <c r="M337" s="2396"/>
      <c r="S337" s="842"/>
    </row>
    <row r="338" spans="3:19" ht="13.2" customHeight="1">
      <c r="C338" s="2449"/>
      <c r="F338" s="2396"/>
      <c r="G338" s="2396"/>
      <c r="H338" s="2396"/>
      <c r="I338" s="2396"/>
      <c r="J338" s="2396"/>
      <c r="K338" s="2444"/>
      <c r="L338" s="2396"/>
      <c r="M338" s="2396"/>
      <c r="S338" s="842"/>
    </row>
    <row r="339" spans="3:19" ht="13.2" customHeight="1">
      <c r="C339" s="2449"/>
      <c r="F339" s="2396"/>
      <c r="G339" s="2396"/>
      <c r="H339" s="2396"/>
      <c r="I339" s="2396"/>
      <c r="J339" s="2396"/>
      <c r="K339" s="2444"/>
      <c r="L339" s="2396"/>
      <c r="M339" s="2396"/>
      <c r="S339" s="842"/>
    </row>
    <row r="340" spans="3:19" ht="13.2" customHeight="1">
      <c r="C340" s="2449"/>
      <c r="F340" s="2396"/>
      <c r="G340" s="2396"/>
      <c r="H340" s="2396"/>
      <c r="I340" s="2396"/>
      <c r="J340" s="2396"/>
      <c r="K340" s="2444"/>
      <c r="L340" s="2396"/>
      <c r="M340" s="2396"/>
      <c r="S340" s="842"/>
    </row>
    <row r="341" spans="3:19" ht="13.2" customHeight="1">
      <c r="C341" s="2449"/>
      <c r="F341" s="2396"/>
      <c r="G341" s="2396"/>
      <c r="H341" s="2396"/>
      <c r="I341" s="2396"/>
      <c r="J341" s="2396"/>
      <c r="K341" s="2444"/>
      <c r="L341" s="2396"/>
      <c r="M341" s="2396"/>
      <c r="S341" s="842"/>
    </row>
    <row r="342" spans="3:19" ht="13.2" customHeight="1">
      <c r="C342" s="2449"/>
      <c r="F342" s="2396"/>
      <c r="G342" s="2396"/>
      <c r="H342" s="2396"/>
      <c r="I342" s="2396"/>
      <c r="J342" s="2396"/>
      <c r="K342" s="2444"/>
      <c r="L342" s="2396"/>
      <c r="M342" s="2396"/>
      <c r="S342" s="842"/>
    </row>
    <row r="343" spans="3:19" ht="13.2" customHeight="1">
      <c r="C343" s="2449"/>
      <c r="F343" s="779"/>
      <c r="G343" s="779"/>
      <c r="H343" s="779"/>
      <c r="I343" s="779"/>
      <c r="J343" s="779"/>
      <c r="K343" s="2444"/>
      <c r="L343" s="779"/>
      <c r="M343" s="779"/>
      <c r="S343" s="842"/>
    </row>
    <row r="344" spans="3:19" ht="13.2" customHeight="1">
      <c r="C344" s="2449"/>
      <c r="F344" s="779"/>
      <c r="G344" s="779"/>
      <c r="H344" s="779"/>
      <c r="I344" s="779"/>
      <c r="J344" s="779"/>
      <c r="K344" s="2444"/>
      <c r="L344" s="779"/>
      <c r="M344" s="779"/>
      <c r="S344" s="842"/>
    </row>
    <row r="345" spans="3:19" ht="13.2" customHeight="1">
      <c r="C345" s="2449"/>
      <c r="F345" s="779"/>
      <c r="G345" s="779"/>
      <c r="H345" s="779"/>
      <c r="I345" s="779"/>
      <c r="J345" s="779"/>
      <c r="K345" s="2444"/>
      <c r="L345" s="779"/>
      <c r="M345" s="779"/>
      <c r="S345" s="842"/>
    </row>
    <row r="346" spans="3:19" ht="13.2" customHeight="1">
      <c r="C346" s="2449"/>
      <c r="F346" s="779"/>
      <c r="G346" s="779"/>
      <c r="H346" s="779"/>
      <c r="I346" s="779"/>
      <c r="J346" s="779"/>
      <c r="K346" s="2444"/>
      <c r="L346" s="779"/>
      <c r="M346" s="779"/>
      <c r="S346" s="842"/>
    </row>
    <row r="347" spans="3:19" ht="13.2" customHeight="1">
      <c r="C347" s="2449"/>
      <c r="F347" s="779"/>
      <c r="G347" s="779"/>
      <c r="H347" s="779"/>
      <c r="I347" s="779"/>
      <c r="J347" s="779"/>
      <c r="K347" s="2444"/>
      <c r="L347" s="779"/>
      <c r="M347" s="779"/>
      <c r="S347" s="842"/>
    </row>
    <row r="348" spans="3:19" ht="13.2" customHeight="1">
      <c r="C348" s="2449"/>
      <c r="F348" s="779"/>
      <c r="G348" s="779"/>
      <c r="H348" s="779"/>
      <c r="I348" s="779"/>
      <c r="J348" s="779"/>
      <c r="K348" s="2444"/>
      <c r="L348" s="779"/>
      <c r="M348" s="779"/>
      <c r="S348" s="842"/>
    </row>
    <row r="349" spans="3:19" ht="13.2" customHeight="1">
      <c r="C349" s="2449"/>
      <c r="F349" s="779"/>
      <c r="G349" s="779"/>
      <c r="H349" s="779"/>
      <c r="I349" s="779"/>
      <c r="J349" s="779"/>
      <c r="K349" s="2444"/>
      <c r="L349" s="779"/>
      <c r="M349" s="779"/>
      <c r="S349" s="842"/>
    </row>
    <row r="350" spans="3:19" ht="13.2" customHeight="1">
      <c r="C350" s="2449"/>
      <c r="F350" s="779"/>
      <c r="G350" s="779"/>
      <c r="H350" s="779"/>
      <c r="I350" s="779"/>
      <c r="J350" s="779"/>
      <c r="K350" s="2444"/>
      <c r="L350" s="779"/>
      <c r="M350" s="779"/>
      <c r="S350" s="842"/>
    </row>
    <row r="351" spans="3:19" ht="13.2" customHeight="1">
      <c r="C351" s="2449"/>
      <c r="F351" s="779"/>
      <c r="G351" s="779"/>
      <c r="H351" s="779"/>
      <c r="I351" s="779"/>
      <c r="J351" s="779"/>
      <c r="K351" s="2444"/>
      <c r="L351" s="779"/>
      <c r="M351" s="779"/>
      <c r="S351" s="842"/>
    </row>
    <row r="352" spans="3:19" ht="13.2" customHeight="1">
      <c r="C352" s="2449"/>
      <c r="F352" s="779"/>
      <c r="G352" s="779"/>
      <c r="H352" s="779"/>
      <c r="I352" s="779"/>
      <c r="J352" s="779"/>
      <c r="K352" s="2444"/>
      <c r="L352" s="779"/>
      <c r="M352" s="779"/>
      <c r="S352" s="842"/>
    </row>
    <row r="353" spans="3:19" ht="13.2" customHeight="1">
      <c r="C353" s="2449"/>
      <c r="F353" s="779"/>
      <c r="G353" s="779"/>
      <c r="H353" s="779"/>
      <c r="I353" s="779"/>
      <c r="J353" s="779"/>
      <c r="K353" s="2444"/>
      <c r="L353" s="779"/>
      <c r="M353" s="779"/>
      <c r="S353" s="842"/>
    </row>
    <row r="354" spans="3:19" ht="13.2" customHeight="1">
      <c r="C354" s="2449"/>
      <c r="F354" s="779"/>
      <c r="G354" s="779"/>
      <c r="H354" s="779"/>
      <c r="I354" s="779"/>
      <c r="J354" s="779"/>
      <c r="K354" s="2444"/>
      <c r="L354" s="779"/>
      <c r="M354" s="779"/>
      <c r="S354" s="842"/>
    </row>
    <row r="355" spans="3:19" ht="13.2" customHeight="1">
      <c r="C355" s="2449"/>
      <c r="F355" s="779"/>
      <c r="G355" s="779"/>
      <c r="H355" s="779"/>
      <c r="I355" s="779"/>
      <c r="J355" s="779"/>
      <c r="K355" s="2444"/>
      <c r="L355" s="779"/>
      <c r="M355" s="779"/>
      <c r="S355" s="842"/>
    </row>
    <row r="356" spans="3:19" ht="13.2" customHeight="1">
      <c r="C356" s="2449"/>
      <c r="F356" s="779"/>
      <c r="G356" s="779"/>
      <c r="H356" s="779"/>
      <c r="I356" s="779"/>
      <c r="J356" s="779"/>
      <c r="K356" s="2444"/>
      <c r="L356" s="779"/>
      <c r="M356" s="779"/>
      <c r="S356" s="842"/>
    </row>
    <row r="357" spans="3:19" ht="13.2" customHeight="1">
      <c r="C357" s="2449"/>
      <c r="F357" s="779"/>
      <c r="G357" s="779"/>
      <c r="H357" s="779"/>
      <c r="I357" s="779"/>
      <c r="J357" s="779"/>
      <c r="K357" s="2444"/>
      <c r="L357" s="779"/>
      <c r="M357" s="779"/>
      <c r="S357" s="842"/>
    </row>
    <row r="358" spans="3:19" ht="13.2" customHeight="1">
      <c r="C358" s="2449"/>
      <c r="F358" s="779"/>
      <c r="G358" s="779"/>
      <c r="H358" s="779"/>
      <c r="I358" s="779"/>
      <c r="J358" s="779"/>
      <c r="K358" s="2444"/>
      <c r="L358" s="779"/>
      <c r="M358" s="779"/>
      <c r="S358" s="842"/>
    </row>
    <row r="359" spans="3:19" ht="13.2" customHeight="1">
      <c r="C359" s="2449"/>
      <c r="F359" s="779"/>
      <c r="G359" s="779"/>
      <c r="H359" s="779"/>
      <c r="I359" s="779"/>
      <c r="J359" s="779"/>
      <c r="K359" s="2444"/>
      <c r="L359" s="779"/>
      <c r="M359" s="779"/>
      <c r="S359" s="842"/>
    </row>
    <row r="360" spans="3:19" ht="13.2" customHeight="1">
      <c r="C360" s="2449"/>
      <c r="F360" s="779"/>
      <c r="G360" s="779"/>
      <c r="H360" s="779"/>
      <c r="I360" s="779"/>
      <c r="J360" s="779"/>
      <c r="K360" s="2444"/>
      <c r="L360" s="779"/>
      <c r="M360" s="779"/>
      <c r="S360" s="842"/>
    </row>
    <row r="361" spans="3:19" ht="13.2" customHeight="1">
      <c r="C361" s="2449"/>
      <c r="F361" s="779"/>
      <c r="G361" s="779"/>
      <c r="H361" s="779"/>
      <c r="I361" s="779"/>
      <c r="J361" s="779"/>
      <c r="K361" s="2444"/>
      <c r="L361" s="779"/>
      <c r="M361" s="779"/>
      <c r="S361" s="842"/>
    </row>
    <row r="362" spans="3:19" ht="13.2" customHeight="1">
      <c r="C362" s="2449"/>
      <c r="F362" s="779"/>
      <c r="G362" s="779"/>
      <c r="H362" s="779"/>
      <c r="I362" s="779"/>
      <c r="J362" s="779"/>
      <c r="K362" s="2444"/>
      <c r="L362" s="779"/>
      <c r="M362" s="779"/>
      <c r="S362" s="842"/>
    </row>
    <row r="363" spans="3:19" ht="13.2" customHeight="1">
      <c r="C363" s="2449"/>
      <c r="F363" s="779"/>
      <c r="G363" s="779"/>
      <c r="H363" s="779"/>
      <c r="I363" s="779"/>
      <c r="J363" s="779"/>
      <c r="K363" s="2444"/>
      <c r="L363" s="779"/>
      <c r="M363" s="779"/>
      <c r="S363" s="842"/>
    </row>
    <row r="364" spans="3:19" ht="13.2" customHeight="1">
      <c r="C364" s="2449"/>
      <c r="F364" s="779"/>
      <c r="G364" s="779"/>
      <c r="H364" s="779"/>
      <c r="I364" s="779"/>
      <c r="J364" s="779"/>
      <c r="K364" s="2444"/>
      <c r="L364" s="779"/>
      <c r="M364" s="779"/>
      <c r="S364" s="842"/>
    </row>
    <row r="365" spans="3:19" ht="13.2" customHeight="1">
      <c r="C365" s="2449"/>
      <c r="F365" s="779"/>
      <c r="G365" s="779"/>
      <c r="H365" s="779"/>
      <c r="I365" s="779"/>
      <c r="J365" s="779"/>
      <c r="K365" s="2444"/>
      <c r="L365" s="779"/>
      <c r="M365" s="779"/>
      <c r="S365" s="842"/>
    </row>
    <row r="366" spans="3:19" ht="13.2" customHeight="1">
      <c r="C366" s="2449"/>
      <c r="F366" s="779"/>
      <c r="G366" s="779"/>
      <c r="H366" s="779"/>
      <c r="I366" s="779"/>
      <c r="J366" s="779"/>
      <c r="K366" s="2444"/>
      <c r="L366" s="779"/>
      <c r="M366" s="779"/>
      <c r="S366" s="842"/>
    </row>
    <row r="367" spans="3:19" ht="13.2" customHeight="1">
      <c r="C367" s="2449"/>
      <c r="F367" s="779"/>
      <c r="G367" s="779"/>
      <c r="H367" s="779"/>
      <c r="I367" s="779"/>
      <c r="J367" s="779"/>
      <c r="K367" s="2444"/>
      <c r="L367" s="779"/>
      <c r="M367" s="779"/>
      <c r="S367" s="842"/>
    </row>
    <row r="368" spans="3:19" ht="13.2" customHeight="1">
      <c r="C368" s="2449"/>
      <c r="F368" s="779"/>
      <c r="G368" s="779"/>
      <c r="H368" s="779"/>
      <c r="I368" s="779"/>
      <c r="J368" s="779"/>
      <c r="K368" s="2444"/>
      <c r="L368" s="779"/>
      <c r="M368" s="779"/>
      <c r="S368" s="842"/>
    </row>
    <row r="369" spans="3:19" ht="13.2" customHeight="1">
      <c r="C369" s="2449"/>
      <c r="F369" s="779"/>
      <c r="G369" s="779"/>
      <c r="H369" s="779"/>
      <c r="I369" s="779"/>
      <c r="J369" s="779"/>
      <c r="K369" s="2444"/>
      <c r="L369" s="779"/>
      <c r="M369" s="779"/>
      <c r="S369" s="842"/>
    </row>
    <row r="370" spans="3:19" ht="13.2" customHeight="1">
      <c r="C370" s="2449"/>
      <c r="F370" s="779"/>
      <c r="G370" s="779"/>
      <c r="H370" s="779"/>
      <c r="I370" s="779"/>
      <c r="J370" s="779"/>
      <c r="K370" s="2444"/>
      <c r="L370" s="779"/>
      <c r="M370" s="779"/>
      <c r="S370" s="842"/>
    </row>
    <row r="371" spans="3:19" ht="13.2" customHeight="1">
      <c r="C371" s="2449"/>
      <c r="F371" s="779"/>
      <c r="G371" s="779"/>
      <c r="H371" s="779"/>
      <c r="I371" s="779"/>
      <c r="J371" s="779"/>
      <c r="K371" s="2444"/>
      <c r="L371" s="779"/>
      <c r="M371" s="779"/>
      <c r="S371" s="842"/>
    </row>
    <row r="372" spans="3:19" ht="13.2" customHeight="1">
      <c r="C372" s="2449"/>
      <c r="F372" s="779"/>
      <c r="G372" s="779"/>
      <c r="H372" s="779"/>
      <c r="I372" s="779"/>
      <c r="J372" s="779"/>
      <c r="K372" s="2444"/>
      <c r="L372" s="779"/>
      <c r="M372" s="779"/>
      <c r="S372" s="842"/>
    </row>
    <row r="373" spans="3:19" ht="13.2" customHeight="1">
      <c r="C373" s="2449"/>
      <c r="F373" s="779"/>
      <c r="G373" s="779"/>
      <c r="H373" s="779"/>
      <c r="I373" s="779"/>
      <c r="J373" s="779"/>
      <c r="K373" s="2444"/>
      <c r="L373" s="779"/>
      <c r="M373" s="779"/>
      <c r="S373" s="842"/>
    </row>
    <row r="374" spans="3:19" ht="13.2" customHeight="1">
      <c r="C374" s="2449"/>
      <c r="F374" s="779"/>
      <c r="G374" s="779"/>
      <c r="H374" s="779"/>
      <c r="I374" s="779"/>
      <c r="J374" s="779"/>
      <c r="K374" s="2444"/>
      <c r="L374" s="779"/>
      <c r="M374" s="779"/>
      <c r="S374" s="842"/>
    </row>
    <row r="375" spans="3:19" ht="13.2" customHeight="1">
      <c r="C375" s="2449"/>
      <c r="F375" s="779"/>
      <c r="G375" s="779"/>
      <c r="H375" s="779"/>
      <c r="I375" s="779"/>
      <c r="J375" s="779"/>
      <c r="K375" s="2444"/>
      <c r="L375" s="779"/>
      <c r="M375" s="779"/>
      <c r="S375" s="842"/>
    </row>
    <row r="376" spans="3:19" ht="13.2" customHeight="1">
      <c r="C376" s="2449"/>
      <c r="F376" s="779"/>
      <c r="G376" s="779"/>
      <c r="H376" s="779"/>
      <c r="I376" s="779"/>
      <c r="J376" s="779"/>
      <c r="K376" s="2444"/>
      <c r="L376" s="779"/>
      <c r="M376" s="779"/>
      <c r="S376" s="842"/>
    </row>
    <row r="377" spans="3:19" ht="13.2" customHeight="1">
      <c r="C377" s="2449"/>
      <c r="F377" s="779"/>
      <c r="G377" s="779"/>
      <c r="H377" s="779"/>
      <c r="I377" s="779"/>
      <c r="J377" s="779"/>
      <c r="K377" s="2444"/>
      <c r="L377" s="779"/>
      <c r="M377" s="779"/>
      <c r="S377" s="842"/>
    </row>
    <row r="378" spans="3:19" ht="13.2" customHeight="1">
      <c r="C378" s="2449"/>
      <c r="F378" s="779"/>
      <c r="G378" s="779"/>
      <c r="H378" s="779"/>
      <c r="I378" s="779"/>
      <c r="J378" s="779"/>
      <c r="K378" s="2444"/>
      <c r="L378" s="779"/>
      <c r="M378" s="779"/>
      <c r="S378" s="842"/>
    </row>
    <row r="379" spans="3:19" ht="13.2" customHeight="1">
      <c r="C379" s="2449"/>
      <c r="F379" s="779"/>
      <c r="G379" s="779"/>
      <c r="H379" s="779"/>
      <c r="I379" s="779"/>
      <c r="J379" s="779"/>
      <c r="K379" s="2444"/>
      <c r="L379" s="779"/>
      <c r="M379" s="779"/>
      <c r="S379" s="842"/>
    </row>
    <row r="380" spans="3:19" ht="13.2" customHeight="1">
      <c r="C380" s="2449"/>
      <c r="F380" s="779"/>
      <c r="G380" s="779"/>
      <c r="H380" s="779"/>
      <c r="I380" s="779"/>
      <c r="J380" s="779"/>
      <c r="K380" s="2444"/>
      <c r="L380" s="779"/>
      <c r="M380" s="779"/>
      <c r="S380" s="842"/>
    </row>
    <row r="381" spans="3:19" ht="13.2" customHeight="1">
      <c r="C381" s="2449"/>
      <c r="F381" s="779"/>
      <c r="G381" s="779"/>
      <c r="H381" s="779"/>
      <c r="I381" s="779"/>
      <c r="J381" s="779"/>
      <c r="K381" s="2444"/>
      <c r="L381" s="779"/>
      <c r="M381" s="779"/>
      <c r="S381" s="842"/>
    </row>
    <row r="382" spans="3:19" ht="13.2" customHeight="1">
      <c r="C382" s="2449"/>
      <c r="F382" s="779"/>
      <c r="G382" s="779"/>
      <c r="H382" s="779"/>
      <c r="I382" s="779"/>
      <c r="J382" s="779"/>
      <c r="K382" s="2444"/>
      <c r="L382" s="779"/>
      <c r="M382" s="779"/>
      <c r="S382" s="842"/>
    </row>
    <row r="383" spans="3:19" ht="13.2" customHeight="1">
      <c r="C383" s="2449"/>
      <c r="F383" s="779"/>
      <c r="G383" s="779"/>
      <c r="H383" s="779"/>
      <c r="I383" s="779"/>
      <c r="J383" s="779"/>
      <c r="K383" s="2444"/>
      <c r="L383" s="779"/>
      <c r="M383" s="779"/>
      <c r="S383" s="842"/>
    </row>
    <row r="384" spans="3:19" ht="13.2" customHeight="1">
      <c r="C384" s="2449"/>
      <c r="F384" s="779"/>
      <c r="G384" s="779"/>
      <c r="H384" s="779"/>
      <c r="I384" s="779"/>
      <c r="J384" s="779"/>
      <c r="K384" s="2444"/>
      <c r="L384" s="779"/>
      <c r="M384" s="779"/>
      <c r="S384" s="842"/>
    </row>
    <row r="385" spans="3:19" ht="13.2" customHeight="1">
      <c r="C385" s="2449"/>
      <c r="F385" s="779"/>
      <c r="G385" s="779"/>
      <c r="H385" s="779"/>
      <c r="I385" s="779"/>
      <c r="J385" s="779"/>
      <c r="K385" s="2444"/>
      <c r="L385" s="779"/>
      <c r="M385" s="779"/>
      <c r="S385" s="842"/>
    </row>
    <row r="386" spans="3:19" ht="13.2" customHeight="1">
      <c r="C386" s="2449"/>
      <c r="F386" s="779"/>
      <c r="G386" s="779"/>
      <c r="H386" s="779"/>
      <c r="I386" s="779"/>
      <c r="J386" s="779"/>
      <c r="K386" s="2444"/>
      <c r="L386" s="779"/>
      <c r="M386" s="779"/>
      <c r="S386" s="842"/>
    </row>
    <row r="387" spans="3:19" ht="13.2" customHeight="1">
      <c r="C387" s="2449"/>
      <c r="F387" s="779"/>
      <c r="G387" s="779"/>
      <c r="H387" s="779"/>
      <c r="I387" s="779"/>
      <c r="J387" s="779"/>
      <c r="K387" s="2444"/>
      <c r="L387" s="779"/>
      <c r="M387" s="779"/>
      <c r="S387" s="842"/>
    </row>
    <row r="388" spans="3:19" ht="13.2" customHeight="1">
      <c r="C388" s="2449"/>
      <c r="F388" s="779"/>
      <c r="G388" s="779"/>
      <c r="H388" s="779"/>
      <c r="I388" s="779"/>
      <c r="J388" s="779"/>
      <c r="K388" s="2444"/>
      <c r="L388" s="779"/>
      <c r="M388" s="779"/>
      <c r="S388" s="842"/>
    </row>
    <row r="389" spans="3:19" ht="13.2" customHeight="1">
      <c r="C389" s="2449"/>
      <c r="F389" s="779"/>
      <c r="G389" s="779"/>
      <c r="H389" s="779"/>
      <c r="I389" s="779"/>
      <c r="J389" s="779"/>
      <c r="K389" s="2444"/>
      <c r="L389" s="779"/>
      <c r="M389" s="779"/>
      <c r="S389" s="842"/>
    </row>
    <row r="390" spans="3:19" ht="13.2" customHeight="1">
      <c r="C390" s="2449"/>
      <c r="F390" s="779"/>
      <c r="G390" s="779"/>
      <c r="H390" s="779"/>
      <c r="I390" s="779"/>
      <c r="J390" s="779"/>
      <c r="K390" s="2444"/>
      <c r="L390" s="779"/>
      <c r="M390" s="779"/>
      <c r="S390" s="842"/>
    </row>
    <row r="391" spans="3:19" ht="13.2" customHeight="1">
      <c r="C391" s="2449"/>
      <c r="F391" s="779"/>
      <c r="G391" s="779"/>
      <c r="H391" s="779"/>
      <c r="I391" s="779"/>
      <c r="J391" s="779"/>
      <c r="K391" s="2444"/>
      <c r="L391" s="779"/>
      <c r="M391" s="779"/>
      <c r="S391" s="842"/>
    </row>
    <row r="392" spans="3:19" ht="13.2" customHeight="1">
      <c r="C392" s="2449"/>
      <c r="F392" s="779"/>
      <c r="G392" s="779"/>
      <c r="H392" s="779"/>
      <c r="I392" s="779"/>
      <c r="J392" s="779"/>
      <c r="K392" s="2444"/>
      <c r="L392" s="779"/>
      <c r="M392" s="779"/>
      <c r="S392" s="842"/>
    </row>
    <row r="393" spans="3:19" ht="13.2" customHeight="1">
      <c r="C393" s="2449"/>
      <c r="F393" s="779"/>
      <c r="G393" s="779"/>
      <c r="H393" s="779"/>
      <c r="I393" s="779"/>
      <c r="J393" s="779"/>
      <c r="K393" s="2444"/>
      <c r="L393" s="779"/>
      <c r="M393" s="779"/>
      <c r="S393" s="842"/>
    </row>
    <row r="394" spans="3:19" ht="13.2" customHeight="1">
      <c r="C394" s="2449"/>
      <c r="F394" s="779"/>
      <c r="G394" s="779"/>
      <c r="H394" s="779"/>
      <c r="I394" s="779"/>
      <c r="J394" s="779"/>
      <c r="K394" s="2444"/>
      <c r="L394" s="779"/>
      <c r="M394" s="779"/>
      <c r="S394" s="842"/>
    </row>
    <row r="395" spans="3:19" ht="13.2" customHeight="1">
      <c r="C395" s="2449"/>
      <c r="F395" s="779"/>
      <c r="G395" s="779"/>
      <c r="H395" s="779"/>
      <c r="I395" s="779"/>
      <c r="J395" s="779"/>
      <c r="K395" s="2444"/>
      <c r="L395" s="779"/>
      <c r="M395" s="779"/>
      <c r="S395" s="842"/>
    </row>
    <row r="396" spans="3:19" ht="13.2" customHeight="1">
      <c r="C396" s="2449"/>
      <c r="K396" s="849"/>
      <c r="S396" s="842"/>
    </row>
    <row r="397" spans="3:19" ht="13.2" customHeight="1">
      <c r="C397" s="2449"/>
      <c r="K397" s="849"/>
      <c r="S397" s="842"/>
    </row>
    <row r="398" spans="3:19" ht="13.2" customHeight="1">
      <c r="C398" s="2449"/>
      <c r="K398" s="849"/>
      <c r="S398" s="842"/>
    </row>
    <row r="399" spans="3:19" ht="13.2" customHeight="1">
      <c r="C399" s="2449"/>
      <c r="K399" s="849"/>
      <c r="S399" s="842"/>
    </row>
    <row r="400" spans="3:19" ht="13.2" customHeight="1">
      <c r="C400" s="2449"/>
      <c r="K400" s="849"/>
      <c r="S400" s="842"/>
    </row>
    <row r="401" spans="3:19" ht="13.2" customHeight="1">
      <c r="C401" s="2449"/>
      <c r="K401" s="849"/>
      <c r="S401" s="842"/>
    </row>
    <row r="402" spans="3:19" ht="13.2" customHeight="1">
      <c r="C402" s="2449"/>
      <c r="K402" s="849"/>
      <c r="S402" s="842"/>
    </row>
    <row r="403" spans="3:19" ht="13.2" customHeight="1">
      <c r="C403" s="2449"/>
      <c r="K403" s="849"/>
      <c r="S403" s="842"/>
    </row>
    <row r="404" spans="3:19" ht="13.2" customHeight="1">
      <c r="C404" s="2449"/>
      <c r="K404" s="849"/>
      <c r="S404" s="842"/>
    </row>
    <row r="405" spans="3:19" ht="13.2" customHeight="1">
      <c r="C405" s="2449"/>
      <c r="K405" s="849"/>
      <c r="S405" s="842"/>
    </row>
    <row r="406" spans="3:19" ht="13.2" customHeight="1">
      <c r="C406" s="2449"/>
      <c r="K406" s="849"/>
      <c r="S406" s="842"/>
    </row>
    <row r="407" spans="3:19" ht="13.2" customHeight="1">
      <c r="C407" s="2449"/>
      <c r="K407" s="849"/>
      <c r="S407" s="842"/>
    </row>
    <row r="408" spans="3:19" ht="13.2" customHeight="1">
      <c r="C408" s="2449"/>
      <c r="K408" s="849"/>
      <c r="S408" s="842"/>
    </row>
    <row r="409" spans="3:19" ht="13.2" customHeight="1">
      <c r="C409" s="2449"/>
      <c r="K409" s="849"/>
      <c r="S409" s="842"/>
    </row>
    <row r="410" spans="3:19" ht="13.2" customHeight="1">
      <c r="C410" s="2449"/>
      <c r="K410" s="849"/>
      <c r="S410" s="842"/>
    </row>
    <row r="411" spans="3:19" ht="13.2" customHeight="1">
      <c r="C411" s="2449"/>
      <c r="K411" s="849"/>
      <c r="S411" s="842"/>
    </row>
    <row r="412" spans="3:19" ht="13.2" customHeight="1">
      <c r="C412" s="2449"/>
      <c r="K412" s="849"/>
      <c r="S412" s="842"/>
    </row>
    <row r="413" spans="3:19" ht="13.2" customHeight="1">
      <c r="C413" s="2449"/>
      <c r="K413" s="849"/>
      <c r="S413" s="842"/>
    </row>
    <row r="414" spans="3:19" ht="13.2" customHeight="1">
      <c r="C414" s="2449"/>
      <c r="K414" s="849"/>
      <c r="S414" s="842"/>
    </row>
    <row r="415" spans="3:19" ht="13.2" customHeight="1">
      <c r="C415" s="2449"/>
      <c r="K415" s="849"/>
      <c r="S415" s="842"/>
    </row>
    <row r="416" spans="3:19" ht="13.2" customHeight="1">
      <c r="C416" s="2449"/>
      <c r="K416" s="849"/>
      <c r="S416" s="842"/>
    </row>
    <row r="417" spans="3:19" ht="13.2" customHeight="1">
      <c r="C417" s="2449" t="s">
        <v>238</v>
      </c>
      <c r="K417" s="849"/>
      <c r="S417" s="842"/>
    </row>
    <row r="418" spans="3:19" ht="13.2" customHeight="1">
      <c r="C418" s="2449"/>
      <c r="K418" s="849"/>
      <c r="S418" s="842"/>
    </row>
    <row r="419" spans="3:19" ht="13.2" customHeight="1">
      <c r="C419" s="2449"/>
      <c r="K419" s="849"/>
      <c r="S419" s="842"/>
    </row>
    <row r="420" spans="3:19" ht="13.2" customHeight="1">
      <c r="C420" s="2449"/>
      <c r="K420" s="849"/>
      <c r="S420" s="842"/>
    </row>
    <row r="421" spans="3:19" ht="13.2" customHeight="1">
      <c r="C421" s="2449"/>
      <c r="K421" s="849"/>
      <c r="S421" s="842"/>
    </row>
    <row r="422" spans="3:19" ht="13.2" customHeight="1">
      <c r="C422" s="2449"/>
      <c r="K422" s="849"/>
      <c r="S422" s="842"/>
    </row>
    <row r="423" spans="3:19" ht="13.2" customHeight="1">
      <c r="C423" s="2449"/>
      <c r="K423" s="849"/>
      <c r="S423" s="842"/>
    </row>
    <row r="424" spans="3:19" ht="13.2" customHeight="1">
      <c r="C424" s="2449"/>
      <c r="K424" s="849"/>
      <c r="S424" s="842"/>
    </row>
    <row r="425" spans="3:19" ht="13.2" customHeight="1">
      <c r="C425" s="2449"/>
      <c r="K425" s="849"/>
      <c r="S425" s="842"/>
    </row>
    <row r="426" spans="3:19" ht="13.2" customHeight="1">
      <c r="C426" s="2449"/>
      <c r="K426" s="849"/>
      <c r="S426" s="842"/>
    </row>
    <row r="427" spans="3:19" ht="13.2" customHeight="1">
      <c r="C427" s="2449"/>
      <c r="K427" s="849"/>
      <c r="S427" s="842"/>
    </row>
    <row r="428" spans="3:19" ht="13.2" customHeight="1">
      <c r="C428" s="2449"/>
      <c r="K428" s="849"/>
      <c r="S428" s="842"/>
    </row>
    <row r="429" spans="3:19" ht="13.2" customHeight="1">
      <c r="C429" s="2449"/>
      <c r="K429" s="849"/>
      <c r="S429" s="842"/>
    </row>
    <row r="430" spans="3:19" ht="13.2" customHeight="1">
      <c r="C430" s="2449"/>
      <c r="K430" s="849"/>
      <c r="S430" s="842"/>
    </row>
    <row r="431" spans="3:19" ht="13.2" customHeight="1">
      <c r="C431" s="2449"/>
      <c r="K431" s="849"/>
      <c r="S431" s="842"/>
    </row>
    <row r="432" spans="3:19" ht="13.2" customHeight="1">
      <c r="C432" s="2449"/>
      <c r="K432" s="849"/>
      <c r="S432" s="842"/>
    </row>
    <row r="433" spans="3:19" ht="13.2" customHeight="1">
      <c r="C433" s="2449"/>
      <c r="K433" s="849"/>
      <c r="S433" s="842"/>
    </row>
    <row r="434" spans="3:19" ht="13.2" customHeight="1">
      <c r="C434" s="2449"/>
      <c r="K434" s="849"/>
      <c r="S434" s="842"/>
    </row>
    <row r="435" spans="3:19" ht="13.2" customHeight="1">
      <c r="C435" s="2449"/>
      <c r="K435" s="849"/>
      <c r="S435" s="842"/>
    </row>
    <row r="436" spans="3:19" ht="13.2" customHeight="1">
      <c r="C436" s="2449"/>
      <c r="K436" s="849"/>
      <c r="S436" s="842"/>
    </row>
    <row r="437" spans="3:19" ht="13.2" customHeight="1">
      <c r="C437" s="2449"/>
      <c r="K437" s="849"/>
      <c r="S437" s="842"/>
    </row>
    <row r="438" spans="3:19" ht="13.2" customHeight="1">
      <c r="C438" s="2449"/>
      <c r="K438" s="849"/>
      <c r="S438" s="842"/>
    </row>
    <row r="439" spans="3:19" ht="13.2" customHeight="1">
      <c r="C439" s="2449"/>
      <c r="K439" s="849"/>
      <c r="S439" s="842"/>
    </row>
    <row r="440" spans="3:19" ht="13.2" customHeight="1">
      <c r="C440" s="2449"/>
      <c r="K440" s="849"/>
      <c r="S440" s="842"/>
    </row>
    <row r="441" spans="3:19" ht="13.2" customHeight="1">
      <c r="C441" s="2449"/>
      <c r="K441" s="849"/>
      <c r="S441" s="842"/>
    </row>
    <row r="442" spans="3:19" ht="13.2" customHeight="1">
      <c r="C442" s="2449"/>
      <c r="K442" s="849"/>
      <c r="S442" s="842"/>
    </row>
    <row r="443" spans="3:19" ht="13.2" customHeight="1">
      <c r="C443" s="2449"/>
      <c r="K443" s="849"/>
      <c r="S443" s="842"/>
    </row>
    <row r="444" spans="3:19" ht="13.2" customHeight="1">
      <c r="C444" s="2449"/>
      <c r="K444" s="849"/>
      <c r="S444" s="842"/>
    </row>
    <row r="445" spans="3:19" ht="13.2" customHeight="1">
      <c r="C445" s="2449"/>
      <c r="K445" s="849"/>
      <c r="S445" s="842"/>
    </row>
    <row r="446" spans="3:19" ht="13.2" customHeight="1">
      <c r="C446" s="2449"/>
      <c r="K446" s="849"/>
      <c r="S446" s="842"/>
    </row>
    <row r="447" spans="3:19" ht="13.2" customHeight="1">
      <c r="C447" s="2449"/>
      <c r="K447" s="849"/>
      <c r="S447" s="842"/>
    </row>
    <row r="448" spans="3:19" ht="13.2" customHeight="1">
      <c r="C448" s="2449"/>
      <c r="K448" s="849"/>
      <c r="S448" s="842"/>
    </row>
    <row r="449" spans="3:19" ht="13.2" customHeight="1">
      <c r="C449" s="2449"/>
      <c r="K449" s="849"/>
      <c r="S449" s="842"/>
    </row>
    <row r="450" spans="3:19" ht="13.2" customHeight="1">
      <c r="C450" s="2449"/>
      <c r="K450" s="849"/>
      <c r="S450" s="842"/>
    </row>
    <row r="451" spans="3:19" ht="13.2" customHeight="1">
      <c r="C451" s="2449"/>
      <c r="K451" s="849"/>
      <c r="S451" s="842"/>
    </row>
    <row r="452" spans="3:19" ht="13.2" customHeight="1">
      <c r="C452" s="2449"/>
      <c r="K452" s="849"/>
      <c r="S452" s="842"/>
    </row>
    <row r="453" spans="3:19" ht="13.2" customHeight="1">
      <c r="C453" s="2449"/>
      <c r="K453" s="849"/>
      <c r="S453" s="842"/>
    </row>
    <row r="454" spans="3:19" ht="13.2" customHeight="1">
      <c r="C454" s="2449"/>
      <c r="K454" s="849"/>
      <c r="S454" s="842"/>
    </row>
    <row r="455" spans="3:19" ht="13.2" customHeight="1">
      <c r="C455" s="2449"/>
      <c r="K455" s="849"/>
      <c r="S455" s="842"/>
    </row>
    <row r="456" spans="3:19" ht="13.2" customHeight="1">
      <c r="C456" s="2449"/>
      <c r="K456" s="849"/>
      <c r="S456" s="842"/>
    </row>
    <row r="457" spans="3:19" ht="13.2" customHeight="1">
      <c r="C457" s="2449"/>
      <c r="K457" s="849"/>
      <c r="S457" s="842"/>
    </row>
    <row r="458" spans="3:19" ht="13.2" customHeight="1">
      <c r="C458" s="2449"/>
      <c r="K458" s="849"/>
      <c r="S458" s="842"/>
    </row>
    <row r="459" spans="3:19" ht="13.2" customHeight="1">
      <c r="C459" s="2449"/>
      <c r="K459" s="849"/>
      <c r="S459" s="842"/>
    </row>
    <row r="460" spans="3:19" ht="13.2" customHeight="1">
      <c r="C460" s="2449"/>
      <c r="K460" s="849"/>
      <c r="S460" s="842"/>
    </row>
    <row r="461" spans="3:19" ht="13.2" customHeight="1">
      <c r="C461" s="2449"/>
      <c r="K461" s="849"/>
      <c r="S461" s="842"/>
    </row>
    <row r="462" spans="3:19" ht="13.2" customHeight="1">
      <c r="C462" s="2449"/>
      <c r="K462" s="849"/>
      <c r="S462" s="842"/>
    </row>
    <row r="463" spans="3:19" ht="13.2" customHeight="1">
      <c r="C463" s="2449"/>
      <c r="K463" s="849"/>
      <c r="S463" s="842"/>
    </row>
    <row r="464" spans="3:19" ht="13.2" customHeight="1">
      <c r="C464" s="2449"/>
      <c r="K464" s="849"/>
      <c r="S464" s="842"/>
    </row>
    <row r="465" spans="3:19" ht="13.2" customHeight="1">
      <c r="C465" s="2449"/>
      <c r="K465" s="849"/>
      <c r="S465" s="842"/>
    </row>
    <row r="466" spans="3:19" ht="13.2" customHeight="1">
      <c r="C466" s="2449"/>
      <c r="K466" s="849"/>
      <c r="S466" s="842"/>
    </row>
    <row r="467" spans="3:19" ht="13.2" customHeight="1">
      <c r="C467" s="2449"/>
      <c r="K467" s="849"/>
      <c r="S467" s="842"/>
    </row>
    <row r="468" spans="3:19" ht="13.2" customHeight="1">
      <c r="C468" s="2449"/>
      <c r="K468" s="849"/>
      <c r="S468" s="842"/>
    </row>
    <row r="469" spans="3:19" ht="13.2" customHeight="1">
      <c r="C469" s="2449"/>
      <c r="K469" s="849"/>
      <c r="S469" s="842"/>
    </row>
    <row r="470" spans="3:19" ht="13.2" customHeight="1">
      <c r="C470" s="2449"/>
      <c r="K470" s="849"/>
      <c r="S470" s="842"/>
    </row>
    <row r="471" spans="3:19" ht="13.2" customHeight="1">
      <c r="C471" s="2449"/>
      <c r="K471" s="849"/>
      <c r="S471" s="842"/>
    </row>
    <row r="472" spans="3:19" ht="13.2" customHeight="1">
      <c r="C472" s="2449"/>
      <c r="K472" s="849"/>
      <c r="S472" s="842"/>
    </row>
    <row r="473" spans="3:19" ht="13.2" customHeight="1">
      <c r="C473" s="2449"/>
      <c r="K473" s="849"/>
      <c r="S473" s="842"/>
    </row>
    <row r="474" spans="3:19" ht="13.2" customHeight="1">
      <c r="C474" s="2449"/>
      <c r="K474" s="849"/>
      <c r="S474" s="842"/>
    </row>
    <row r="475" spans="3:19" ht="13.2" customHeight="1">
      <c r="C475" s="2449"/>
      <c r="K475" s="849"/>
      <c r="S475" s="842"/>
    </row>
    <row r="476" spans="3:19" ht="13.2" customHeight="1">
      <c r="C476" s="2449"/>
      <c r="K476" s="849"/>
      <c r="S476" s="842"/>
    </row>
    <row r="477" spans="3:19" ht="13.2" customHeight="1">
      <c r="C477" s="2449"/>
      <c r="K477" s="849"/>
      <c r="S477" s="842"/>
    </row>
    <row r="478" spans="3:19" ht="13.2" customHeight="1">
      <c r="C478" s="2449"/>
      <c r="K478" s="849"/>
      <c r="S478" s="842"/>
    </row>
    <row r="479" spans="3:19" ht="13.2" customHeight="1">
      <c r="C479" s="2449"/>
      <c r="K479" s="849"/>
      <c r="S479" s="842"/>
    </row>
    <row r="480" spans="3:19" ht="13.2" customHeight="1">
      <c r="C480" s="2449"/>
      <c r="K480" s="849"/>
      <c r="S480" s="842"/>
    </row>
    <row r="481" spans="3:19" ht="13.2" customHeight="1">
      <c r="C481" s="2449"/>
      <c r="K481" s="849"/>
      <c r="S481" s="842"/>
    </row>
    <row r="482" spans="3:19" ht="13.2" customHeight="1">
      <c r="C482" s="2449"/>
      <c r="K482" s="849"/>
      <c r="S482" s="842"/>
    </row>
    <row r="483" spans="3:19" ht="13.2" customHeight="1">
      <c r="C483" s="2449"/>
      <c r="K483" s="849"/>
      <c r="S483" s="842"/>
    </row>
    <row r="484" spans="3:19" ht="13.2" customHeight="1">
      <c r="C484" s="2449"/>
      <c r="K484" s="849"/>
      <c r="S484" s="842"/>
    </row>
    <row r="485" spans="3:19" ht="13.2" customHeight="1">
      <c r="C485" s="2449"/>
      <c r="K485" s="849"/>
      <c r="S485" s="842"/>
    </row>
    <row r="486" spans="3:19" ht="13.2" customHeight="1">
      <c r="C486" s="2449"/>
      <c r="K486" s="849"/>
      <c r="S486" s="842"/>
    </row>
    <row r="487" spans="3:19" ht="13.2" customHeight="1">
      <c r="C487" s="2449"/>
      <c r="K487" s="849"/>
      <c r="S487" s="842"/>
    </row>
    <row r="488" spans="3:19" ht="13.2" customHeight="1">
      <c r="C488" s="2449"/>
      <c r="K488" s="849"/>
      <c r="S488" s="842"/>
    </row>
    <row r="489" spans="3:19" ht="13.2" customHeight="1">
      <c r="C489" s="2449"/>
      <c r="K489" s="849"/>
      <c r="S489" s="842"/>
    </row>
    <row r="490" spans="3:19" ht="13.2" customHeight="1">
      <c r="C490" s="2449"/>
      <c r="K490" s="849"/>
      <c r="S490" s="842"/>
    </row>
    <row r="491" spans="3:19" ht="13.2" customHeight="1">
      <c r="C491" s="2449"/>
      <c r="K491" s="849"/>
      <c r="S491" s="842"/>
    </row>
    <row r="492" spans="3:19" ht="13.2" customHeight="1">
      <c r="C492" s="2449"/>
      <c r="K492" s="849"/>
      <c r="S492" s="842"/>
    </row>
    <row r="493" spans="3:19" ht="13.2" customHeight="1">
      <c r="C493" s="2449"/>
      <c r="K493" s="849"/>
      <c r="S493" s="842"/>
    </row>
    <row r="494" spans="3:19" ht="13.2" customHeight="1">
      <c r="C494" s="2449"/>
      <c r="K494" s="849"/>
      <c r="S494" s="842"/>
    </row>
    <row r="495" spans="3:19" ht="13.2" customHeight="1">
      <c r="C495" s="2449"/>
      <c r="K495" s="849"/>
      <c r="S495" s="842"/>
    </row>
    <row r="496" spans="3:19" ht="13.2" customHeight="1">
      <c r="C496" s="2449" t="s">
        <v>238</v>
      </c>
      <c r="K496" s="849"/>
      <c r="S496" s="842"/>
    </row>
    <row r="497" spans="3:19" ht="13.2" customHeight="1">
      <c r="C497" s="2449"/>
      <c r="K497" s="849"/>
      <c r="S497" s="842"/>
    </row>
    <row r="498" spans="3:19" ht="13.2" customHeight="1">
      <c r="C498" s="2449"/>
      <c r="K498" s="849"/>
      <c r="S498" s="842"/>
    </row>
    <row r="499" spans="3:19" ht="13.2" customHeight="1">
      <c r="C499" s="2449"/>
      <c r="K499" s="849"/>
      <c r="S499" s="842"/>
    </row>
    <row r="500" spans="3:19" ht="13.2" customHeight="1">
      <c r="C500" s="2449"/>
      <c r="K500" s="849"/>
      <c r="S500" s="842"/>
    </row>
    <row r="501" spans="3:19" ht="13.2" customHeight="1">
      <c r="C501" s="2449"/>
      <c r="K501" s="849"/>
      <c r="S501" s="842"/>
    </row>
    <row r="502" spans="3:19" ht="13.2" customHeight="1">
      <c r="C502" s="2449"/>
      <c r="K502" s="849"/>
      <c r="S502" s="842"/>
    </row>
    <row r="503" spans="3:19" ht="13.2" customHeight="1">
      <c r="C503" s="2449"/>
      <c r="K503" s="849"/>
      <c r="S503" s="842"/>
    </row>
    <row r="504" spans="3:19" ht="13.2" customHeight="1">
      <c r="C504" s="2449"/>
      <c r="K504" s="849"/>
      <c r="S504" s="842"/>
    </row>
    <row r="505" spans="3:19" ht="13.2" customHeight="1">
      <c r="C505" s="2449"/>
      <c r="K505" s="849"/>
      <c r="S505" s="842"/>
    </row>
    <row r="506" spans="3:19" ht="13.2" customHeight="1">
      <c r="C506" s="2449"/>
      <c r="K506" s="849"/>
      <c r="S506" s="842"/>
    </row>
    <row r="507" spans="3:19" ht="13.2" customHeight="1">
      <c r="C507" s="2449"/>
      <c r="K507" s="849"/>
      <c r="S507" s="842"/>
    </row>
    <row r="508" spans="3:19" ht="13.2" customHeight="1">
      <c r="C508" s="2449"/>
      <c r="K508" s="849"/>
      <c r="S508" s="842"/>
    </row>
    <row r="509" spans="3:19" ht="13.2" customHeight="1">
      <c r="C509" s="2449"/>
      <c r="K509" s="849"/>
      <c r="S509" s="842"/>
    </row>
    <row r="510" spans="3:19" ht="13.2" customHeight="1">
      <c r="C510" s="2449"/>
      <c r="K510" s="849"/>
      <c r="S510" s="842"/>
    </row>
    <row r="511" spans="3:19" ht="13.2" customHeight="1">
      <c r="C511" s="2449"/>
      <c r="K511" s="849"/>
      <c r="S511" s="842"/>
    </row>
    <row r="512" spans="3:19" ht="13.2" customHeight="1">
      <c r="C512" s="2449"/>
      <c r="K512" s="849"/>
      <c r="S512" s="842"/>
    </row>
    <row r="513" spans="3:19" ht="13.2" customHeight="1">
      <c r="C513" s="2449"/>
      <c r="K513" s="849"/>
      <c r="S513" s="842"/>
    </row>
    <row r="514" spans="3:19" ht="13.2" customHeight="1">
      <c r="C514" s="2449"/>
      <c r="K514" s="849"/>
      <c r="S514" s="842"/>
    </row>
    <row r="515" spans="3:19" ht="13.2" customHeight="1">
      <c r="C515" s="2449"/>
      <c r="K515" s="849"/>
      <c r="S515" s="842"/>
    </row>
    <row r="516" spans="3:19" ht="13.2" customHeight="1">
      <c r="C516" s="2449"/>
      <c r="K516" s="849"/>
      <c r="S516" s="842"/>
    </row>
    <row r="517" spans="3:19" ht="13.2" customHeight="1">
      <c r="C517" s="2449"/>
      <c r="K517" s="849"/>
      <c r="S517" s="842"/>
    </row>
    <row r="518" spans="3:19" ht="13.2" customHeight="1">
      <c r="C518" s="2449"/>
      <c r="K518" s="849"/>
      <c r="S518" s="842"/>
    </row>
    <row r="519" spans="3:19" ht="13.2" customHeight="1">
      <c r="C519" s="2449"/>
      <c r="K519" s="849"/>
      <c r="S519" s="842"/>
    </row>
    <row r="520" spans="3:19" ht="13.2" customHeight="1">
      <c r="C520" s="2449"/>
      <c r="K520" s="849"/>
      <c r="S520" s="842"/>
    </row>
    <row r="521" spans="3:19" ht="13.2" customHeight="1">
      <c r="C521" s="2449"/>
      <c r="K521" s="849"/>
      <c r="S521" s="842"/>
    </row>
    <row r="522" spans="3:19" ht="13.2" customHeight="1">
      <c r="C522" s="2449"/>
      <c r="K522" s="849"/>
      <c r="S522" s="842"/>
    </row>
    <row r="523" spans="3:19" ht="13.2" customHeight="1">
      <c r="C523" s="2449"/>
      <c r="K523" s="849"/>
      <c r="S523" s="842"/>
    </row>
    <row r="524" spans="3:19" ht="13.2" customHeight="1">
      <c r="C524" s="2449"/>
      <c r="K524" s="849"/>
      <c r="S524" s="842"/>
    </row>
    <row r="525" spans="3:19" ht="13.2" customHeight="1">
      <c r="C525" s="2449"/>
      <c r="K525" s="849"/>
      <c r="S525" s="842"/>
    </row>
    <row r="526" spans="3:19" ht="13.2" customHeight="1">
      <c r="C526" s="2449"/>
      <c r="K526" s="849"/>
      <c r="S526" s="842"/>
    </row>
    <row r="527" spans="3:19" ht="13.2" customHeight="1">
      <c r="C527" s="2449"/>
      <c r="K527" s="849"/>
      <c r="S527" s="842"/>
    </row>
    <row r="528" spans="3:19" ht="13.2" customHeight="1">
      <c r="C528" s="2449"/>
      <c r="K528" s="849"/>
      <c r="S528" s="842"/>
    </row>
    <row r="529" spans="3:19" ht="13.2" customHeight="1">
      <c r="C529" s="2449"/>
      <c r="K529" s="849"/>
      <c r="S529" s="842"/>
    </row>
    <row r="530" spans="3:19" ht="13.2" customHeight="1">
      <c r="C530" s="2449"/>
      <c r="K530" s="849"/>
      <c r="S530" s="842"/>
    </row>
    <row r="531" spans="3:19" ht="13.2" customHeight="1">
      <c r="C531" s="2449"/>
      <c r="K531" s="849"/>
      <c r="S531" s="842"/>
    </row>
    <row r="532" spans="3:19" ht="13.2" customHeight="1">
      <c r="C532" s="2449"/>
      <c r="K532" s="849"/>
      <c r="S532" s="842"/>
    </row>
    <row r="533" spans="3:19" ht="13.2" customHeight="1">
      <c r="C533" s="2449"/>
      <c r="K533" s="849"/>
      <c r="S533" s="842"/>
    </row>
    <row r="534" spans="3:19" ht="13.2" customHeight="1">
      <c r="C534" s="2449"/>
      <c r="K534" s="849"/>
      <c r="S534" s="842"/>
    </row>
    <row r="535" spans="3:19" ht="13.2" customHeight="1">
      <c r="C535" s="2449"/>
      <c r="K535" s="849"/>
      <c r="S535" s="842"/>
    </row>
    <row r="536" spans="3:19" ht="13.2" customHeight="1">
      <c r="C536" s="2449"/>
      <c r="K536" s="849"/>
      <c r="S536" s="842"/>
    </row>
    <row r="537" spans="3:19" ht="13.2" customHeight="1">
      <c r="C537" s="2449"/>
      <c r="K537" s="849"/>
      <c r="S537" s="842"/>
    </row>
    <row r="538" spans="3:19" ht="13.2" customHeight="1">
      <c r="C538" s="2449"/>
      <c r="K538" s="849"/>
      <c r="S538" s="842"/>
    </row>
    <row r="539" spans="3:19" ht="13.2" customHeight="1">
      <c r="C539" s="2449"/>
      <c r="K539" s="849"/>
      <c r="S539" s="842"/>
    </row>
    <row r="540" spans="3:19" ht="13.2" customHeight="1">
      <c r="C540" s="2449"/>
      <c r="K540" s="849"/>
      <c r="S540" s="842"/>
    </row>
    <row r="541" spans="3:19" ht="13.2" customHeight="1">
      <c r="C541" s="2449"/>
      <c r="K541" s="849"/>
      <c r="S541" s="842"/>
    </row>
    <row r="542" spans="3:19" ht="13.2" customHeight="1">
      <c r="C542" s="2449"/>
      <c r="K542" s="849"/>
      <c r="S542" s="842"/>
    </row>
    <row r="543" spans="3:19" ht="13.2" customHeight="1">
      <c r="C543" s="2449"/>
      <c r="K543" s="849"/>
      <c r="S543" s="842"/>
    </row>
    <row r="544" spans="3:19" ht="13.2" customHeight="1">
      <c r="C544" s="2449"/>
      <c r="K544" s="849"/>
      <c r="S544" s="842"/>
    </row>
    <row r="545" spans="3:19" ht="13.2" customHeight="1">
      <c r="C545" s="2449"/>
      <c r="K545" s="849"/>
      <c r="S545" s="842"/>
    </row>
    <row r="546" spans="3:19" ht="13.2" customHeight="1">
      <c r="C546" s="2449"/>
      <c r="K546" s="849"/>
      <c r="S546" s="842"/>
    </row>
    <row r="547" spans="3:19" ht="13.2" customHeight="1">
      <c r="C547" s="2449"/>
      <c r="K547" s="849"/>
      <c r="S547" s="842"/>
    </row>
    <row r="548" spans="3:19" ht="13.2" customHeight="1">
      <c r="C548" s="2449"/>
      <c r="K548" s="849"/>
      <c r="S548" s="842"/>
    </row>
    <row r="549" spans="3:19" ht="13.2" customHeight="1">
      <c r="C549" s="2449"/>
      <c r="K549" s="849"/>
      <c r="S549" s="842"/>
    </row>
    <row r="550" spans="3:19" ht="13.2" customHeight="1">
      <c r="C550" s="2449"/>
      <c r="K550" s="849"/>
      <c r="S550" s="842"/>
    </row>
    <row r="551" spans="3:19" ht="13.2" customHeight="1">
      <c r="C551" s="2449"/>
      <c r="K551" s="849"/>
      <c r="S551" s="842"/>
    </row>
    <row r="552" spans="3:19" ht="13.2" customHeight="1">
      <c r="C552" s="2449"/>
      <c r="K552" s="849"/>
      <c r="S552" s="842"/>
    </row>
    <row r="553" spans="3:19" ht="13.2" customHeight="1">
      <c r="C553" s="2449"/>
      <c r="K553" s="849"/>
      <c r="S553" s="842"/>
    </row>
    <row r="554" spans="3:19" ht="13.2" customHeight="1">
      <c r="C554" s="2449"/>
      <c r="K554" s="849"/>
      <c r="S554" s="842"/>
    </row>
    <row r="555" spans="3:19" ht="13.2" customHeight="1">
      <c r="C555" s="2449"/>
      <c r="K555" s="849"/>
      <c r="S555" s="842"/>
    </row>
    <row r="556" spans="3:19" ht="13.2" customHeight="1">
      <c r="C556" s="2449"/>
      <c r="K556" s="849"/>
      <c r="S556" s="842"/>
    </row>
    <row r="557" spans="3:19" ht="13.2" customHeight="1">
      <c r="C557" s="2449"/>
      <c r="K557" s="849"/>
      <c r="S557" s="842"/>
    </row>
    <row r="558" spans="3:19" ht="13.2" customHeight="1">
      <c r="C558" s="2449"/>
      <c r="K558" s="849"/>
      <c r="S558" s="842"/>
    </row>
    <row r="559" spans="3:19" ht="13.2" customHeight="1">
      <c r="C559" s="2449"/>
      <c r="K559" s="849"/>
      <c r="S559" s="842"/>
    </row>
    <row r="560" spans="3:19" ht="13.2" customHeight="1">
      <c r="C560" s="2449"/>
      <c r="K560" s="849"/>
      <c r="S560" s="842"/>
    </row>
    <row r="561" spans="3:19" ht="13.2" customHeight="1">
      <c r="C561" s="2449"/>
      <c r="K561" s="849"/>
      <c r="S561" s="842"/>
    </row>
    <row r="562" spans="3:19" ht="13.2" customHeight="1">
      <c r="C562" s="2449"/>
      <c r="K562" s="849"/>
      <c r="S562" s="842"/>
    </row>
    <row r="563" spans="3:19" ht="13.2" customHeight="1">
      <c r="C563" s="2449"/>
      <c r="K563" s="849"/>
      <c r="S563" s="842"/>
    </row>
    <row r="564" spans="3:19" ht="13.2" customHeight="1">
      <c r="C564" s="2449"/>
      <c r="K564" s="849"/>
      <c r="S564" s="842"/>
    </row>
    <row r="565" spans="3:19" ht="13.2" customHeight="1">
      <c r="C565" s="2449"/>
      <c r="K565" s="849"/>
      <c r="S565" s="842"/>
    </row>
    <row r="566" spans="3:19" ht="13.2" customHeight="1">
      <c r="C566" s="2449"/>
      <c r="K566" s="849"/>
      <c r="S566" s="842"/>
    </row>
    <row r="567" spans="3:19" ht="13.2" customHeight="1">
      <c r="C567" s="2449"/>
      <c r="K567" s="849"/>
      <c r="S567" s="842"/>
    </row>
    <row r="568" spans="3:19" ht="13.2" customHeight="1">
      <c r="C568" s="2449"/>
      <c r="K568" s="849"/>
      <c r="S568" s="842"/>
    </row>
    <row r="569" spans="3:19" ht="13.2" customHeight="1">
      <c r="C569" s="2449"/>
      <c r="K569" s="849"/>
      <c r="S569" s="842"/>
    </row>
    <row r="570" spans="3:19" ht="13.2" customHeight="1">
      <c r="C570" s="2449"/>
      <c r="K570" s="849"/>
      <c r="S570" s="842"/>
    </row>
    <row r="571" spans="3:19" ht="13.2" customHeight="1">
      <c r="C571" s="2449"/>
      <c r="K571" s="849"/>
      <c r="S571" s="842"/>
    </row>
    <row r="572" spans="3:19" ht="13.2" customHeight="1">
      <c r="C572" s="2449"/>
      <c r="K572" s="849"/>
      <c r="S572" s="842"/>
    </row>
    <row r="573" spans="3:19" ht="13.2" customHeight="1">
      <c r="C573" s="2449"/>
      <c r="K573" s="849"/>
      <c r="S573" s="842"/>
    </row>
    <row r="574" spans="3:19" ht="13.2" customHeight="1">
      <c r="C574" s="2449"/>
      <c r="K574" s="849"/>
      <c r="S574" s="842"/>
    </row>
    <row r="575" spans="3:19" ht="13.2" customHeight="1">
      <c r="C575" s="2449" t="s">
        <v>238</v>
      </c>
      <c r="K575" s="849"/>
      <c r="S575" s="842"/>
    </row>
    <row r="576" spans="3:19" ht="13.2" customHeight="1">
      <c r="C576" s="2449"/>
      <c r="K576" s="849"/>
      <c r="S576" s="842"/>
    </row>
    <row r="577" spans="3:19" ht="13.2" customHeight="1">
      <c r="C577" s="2449"/>
      <c r="K577" s="849"/>
      <c r="S577" s="842"/>
    </row>
    <row r="578" spans="3:19" ht="13.2" customHeight="1">
      <c r="C578" s="2449"/>
      <c r="K578" s="849"/>
      <c r="S578" s="842"/>
    </row>
    <row r="579" spans="3:19" ht="9" customHeight="1">
      <c r="C579" s="2449"/>
      <c r="K579" s="849"/>
      <c r="S579" s="842"/>
    </row>
    <row r="580" spans="3:19" ht="7.5" customHeight="1">
      <c r="C580" s="2449"/>
      <c r="K580" s="849"/>
      <c r="S580" s="842"/>
    </row>
    <row r="581" spans="3:19">
      <c r="C581" s="2449"/>
      <c r="K581" s="849"/>
      <c r="S581" s="842"/>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580" customWidth="1"/>
    <col min="2" max="2" width="12.44140625" style="1580" customWidth="1"/>
    <col min="3" max="3" width="12.109375" style="1580" customWidth="1"/>
    <col min="4" max="4" width="9.88671875" style="1580" customWidth="1"/>
    <col min="5" max="5" width="10.44140625" style="1580" customWidth="1"/>
    <col min="6" max="6" width="9.109375" style="1580"/>
    <col min="7" max="7" width="11" style="1580" customWidth="1"/>
    <col min="8" max="8" width="14.44140625" style="1580" customWidth="1"/>
    <col min="9" max="9" width="10.109375" style="1580" customWidth="1"/>
    <col min="10" max="16384" width="9.109375" style="1580"/>
  </cols>
  <sheetData>
    <row r="1" spans="2:13" ht="15.6">
      <c r="B1" s="4382" t="s">
        <v>3922</v>
      </c>
      <c r="C1" s="4382"/>
      <c r="D1" s="4382"/>
      <c r="E1" s="4382"/>
      <c r="F1" s="4382"/>
      <c r="G1" s="4382"/>
      <c r="H1" s="4382"/>
      <c r="I1" s="4382"/>
    </row>
    <row r="2" spans="2:13" ht="13.8">
      <c r="B2" s="1581" t="s">
        <v>3910</v>
      </c>
      <c r="C2" s="890"/>
      <c r="D2" s="890"/>
      <c r="E2" s="890"/>
      <c r="F2" s="890"/>
      <c r="G2" s="890"/>
      <c r="H2" s="890"/>
      <c r="I2" s="890"/>
    </row>
    <row r="3" spans="2:13" ht="13.8">
      <c r="B3" s="1582" t="s">
        <v>3917</v>
      </c>
      <c r="C3" s="890"/>
      <c r="D3" s="890"/>
      <c r="E3" s="890"/>
      <c r="F3" s="890"/>
      <c r="G3" s="890"/>
      <c r="H3" s="890"/>
      <c r="I3" s="890"/>
    </row>
    <row r="4" spans="2:13">
      <c r="B4" s="4383" t="s">
        <v>3141</v>
      </c>
      <c r="C4" s="4383"/>
      <c r="D4" s="4383"/>
      <c r="E4" s="4389" t="s">
        <v>3142</v>
      </c>
      <c r="F4" s="4391"/>
      <c r="G4" s="4389" t="s">
        <v>599</v>
      </c>
      <c r="H4" s="4390"/>
      <c r="I4" s="4391"/>
      <c r="J4" s="1575" t="s">
        <v>2987</v>
      </c>
      <c r="K4" s="1575"/>
      <c r="L4" s="1583"/>
      <c r="M4" s="1583"/>
    </row>
    <row r="5" spans="2:13">
      <c r="B5" s="4384" t="str">
        <f>'Closing term sheet'!C8</f>
        <v>Lakeview Terrace, LP</v>
      </c>
      <c r="C5" s="4385"/>
      <c r="D5" s="4385"/>
      <c r="E5" s="4395"/>
      <c r="F5" s="4396"/>
      <c r="G5" s="4392" t="str">
        <f>'Closing term sheet'!C28</f>
        <v>Lakeview Terrace</v>
      </c>
      <c r="H5" s="4393"/>
      <c r="I5" s="4394"/>
      <c r="K5" s="842"/>
    </row>
    <row r="6" spans="2:13" ht="4.5" customHeight="1">
      <c r="D6" s="1584"/>
      <c r="E6" s="1584"/>
      <c r="F6" s="1584"/>
      <c r="G6" s="1584"/>
      <c r="H6" s="1584"/>
      <c r="I6" s="1584"/>
      <c r="K6" s="842"/>
    </row>
    <row r="7" spans="2:13">
      <c r="B7" s="4386" t="s">
        <v>3143</v>
      </c>
      <c r="C7" s="4386"/>
      <c r="D7" s="1585"/>
      <c r="E7" s="1585"/>
      <c r="F7" s="1585"/>
      <c r="G7" s="1585"/>
      <c r="H7" s="4387" t="str">
        <f>'Preview term'!E9</f>
        <v>TBD</v>
      </c>
      <c r="I7" s="4388"/>
    </row>
    <row r="8" spans="2:13" ht="4.5" customHeight="1">
      <c r="B8" s="1585"/>
      <c r="C8" s="1585"/>
      <c r="D8" s="1585"/>
      <c r="E8" s="1585"/>
      <c r="F8" s="1585"/>
      <c r="G8" s="1585"/>
      <c r="H8" s="1585"/>
      <c r="I8" s="1585"/>
      <c r="J8" s="1585"/>
    </row>
    <row r="9" spans="2:13">
      <c r="B9" s="1586" t="s">
        <v>3144</v>
      </c>
      <c r="C9" s="1586"/>
      <c r="D9" s="1585"/>
      <c r="E9" s="899" t="s">
        <v>3912</v>
      </c>
      <c r="F9" s="1585"/>
      <c r="G9" s="1585"/>
      <c r="H9" s="1585"/>
      <c r="I9" s="1587" t="str">
        <f>'Closing term sheet'!D12</f>
        <v>&lt;&lt;Select&gt;&gt;</v>
      </c>
    </row>
    <row r="10" spans="2:13" ht="7.5" customHeight="1">
      <c r="B10" s="1585"/>
      <c r="C10" s="1585"/>
      <c r="D10" s="1585"/>
      <c r="E10" s="1585"/>
      <c r="F10" s="1585"/>
      <c r="G10" s="1585"/>
      <c r="H10" s="1585"/>
      <c r="I10" s="1585"/>
    </row>
    <row r="11" spans="2:13" ht="13.8">
      <c r="B11" s="1588" t="s">
        <v>3909</v>
      </c>
      <c r="C11" s="1585"/>
      <c r="D11" s="1589"/>
      <c r="E11" s="1585"/>
      <c r="F11" s="1585"/>
      <c r="G11" s="1585"/>
      <c r="H11" s="1585"/>
      <c r="I11" s="1585"/>
    </row>
    <row r="12" spans="2:13">
      <c r="B12" s="1590" t="s">
        <v>3145</v>
      </c>
      <c r="C12" s="1591"/>
      <c r="D12" s="1591"/>
      <c r="E12" s="1591"/>
      <c r="F12" s="1591"/>
      <c r="G12" s="1591"/>
      <c r="H12" s="1591"/>
      <c r="I12" s="1592" t="s">
        <v>1727</v>
      </c>
    </row>
    <row r="13" spans="2:13">
      <c r="B13" s="1593"/>
      <c r="C13" s="1594"/>
      <c r="D13" s="1585"/>
      <c r="E13" s="899" t="s">
        <v>3146</v>
      </c>
      <c r="F13" s="1585"/>
      <c r="G13" s="1585"/>
      <c r="H13" s="1585"/>
      <c r="I13" s="1595"/>
    </row>
    <row r="14" spans="2:13" ht="7.5" customHeight="1">
      <c r="B14" s="1596"/>
      <c r="C14" s="1585"/>
      <c r="D14" s="1585"/>
      <c r="E14" s="1585"/>
      <c r="F14" s="1589"/>
      <c r="G14" s="1585"/>
      <c r="H14" s="1585"/>
      <c r="I14" s="1595"/>
    </row>
    <row r="15" spans="2:13">
      <c r="B15" s="1596" t="s">
        <v>3241</v>
      </c>
      <c r="C15" s="1585"/>
      <c r="D15" s="1585"/>
      <c r="E15" s="1585"/>
      <c r="F15" s="919"/>
      <c r="G15" s="1585"/>
      <c r="H15" s="1585"/>
      <c r="I15" s="1597"/>
    </row>
    <row r="16" spans="2:13">
      <c r="B16" s="1598" t="s">
        <v>3913</v>
      </c>
      <c r="C16" s="1585"/>
      <c r="D16" s="1585"/>
      <c r="E16" s="1599" t="s">
        <v>3328</v>
      </c>
      <c r="F16" s="1585"/>
      <c r="G16" s="1585"/>
      <c r="H16" s="1585"/>
      <c r="I16" s="1597"/>
    </row>
    <row r="17" spans="2:9" ht="7.5" customHeight="1">
      <c r="B17" s="1593"/>
      <c r="C17" s="1585"/>
      <c r="D17" s="1585"/>
      <c r="E17" s="1585"/>
      <c r="F17" s="1585"/>
      <c r="G17" s="1585"/>
      <c r="H17" s="1585"/>
      <c r="I17" s="1595"/>
    </row>
    <row r="18" spans="2:9">
      <c r="B18" s="1596" t="s">
        <v>3147</v>
      </c>
      <c r="C18" s="1585"/>
      <c r="D18" s="1585"/>
      <c r="E18" s="1585"/>
      <c r="F18" s="1585"/>
      <c r="G18" s="1585"/>
      <c r="H18" s="1585"/>
      <c r="I18" s="1600" t="s">
        <v>1727</v>
      </c>
    </row>
    <row r="19" spans="2:9">
      <c r="B19" s="1601" t="s">
        <v>3914</v>
      </c>
      <c r="C19" s="1585"/>
      <c r="D19" s="1585"/>
      <c r="E19" s="1585"/>
      <c r="F19" s="1585"/>
      <c r="G19" s="1585"/>
      <c r="H19" s="1585"/>
      <c r="I19" s="1602"/>
    </row>
    <row r="20" spans="2:9" ht="7.5" customHeight="1">
      <c r="B20" s="1596"/>
      <c r="C20" s="1585"/>
      <c r="D20" s="1585"/>
      <c r="E20" s="1585"/>
      <c r="F20" s="1585"/>
      <c r="G20" s="1585"/>
      <c r="H20" s="1585"/>
      <c r="I20" s="1602"/>
    </row>
    <row r="21" spans="2:9">
      <c r="B21" s="1596" t="s">
        <v>3911</v>
      </c>
      <c r="C21" s="1585"/>
      <c r="D21" s="1585"/>
      <c r="E21" s="1585"/>
      <c r="F21" s="1585"/>
      <c r="G21" s="1585"/>
      <c r="H21" s="1585"/>
      <c r="I21" s="1597"/>
    </row>
    <row r="22" spans="2:9">
      <c r="B22" s="1601" t="s">
        <v>3915</v>
      </c>
      <c r="C22" s="1585"/>
      <c r="D22" s="1585"/>
      <c r="E22" s="1585"/>
      <c r="F22" s="1585"/>
      <c r="G22" s="1585"/>
      <c r="H22" s="1585"/>
      <c r="I22" s="1602"/>
    </row>
    <row r="23" spans="2:9" ht="3" customHeight="1">
      <c r="B23" s="1603"/>
      <c r="C23" s="1604"/>
      <c r="D23" s="1604"/>
      <c r="E23" s="1604"/>
      <c r="F23" s="1604"/>
      <c r="G23" s="1604"/>
      <c r="H23" s="1604"/>
      <c r="I23" s="1605"/>
    </row>
    <row r="24" spans="2:9" ht="7.5" customHeight="1">
      <c r="B24" s="1585"/>
      <c r="C24" s="1585"/>
      <c r="D24" s="1585"/>
      <c r="E24" s="1585"/>
      <c r="F24" s="1585"/>
      <c r="G24" s="1585"/>
      <c r="H24" s="1585"/>
      <c r="I24" s="1585"/>
    </row>
    <row r="25" spans="2:9" ht="15" customHeight="1">
      <c r="B25" s="1588" t="s">
        <v>3916</v>
      </c>
      <c r="C25" s="1585"/>
      <c r="D25" s="1585"/>
      <c r="E25" s="1585"/>
      <c r="F25" s="1585"/>
      <c r="G25" s="1585"/>
      <c r="H25" s="1585"/>
      <c r="I25" s="1585"/>
    </row>
    <row r="26" spans="2:9" ht="3" customHeight="1">
      <c r="B26" s="1606"/>
      <c r="C26" s="1591"/>
      <c r="D26" s="1591"/>
      <c r="E26" s="1591"/>
      <c r="F26" s="1591"/>
      <c r="G26" s="1591"/>
      <c r="H26" s="1591"/>
      <c r="I26" s="1607"/>
    </row>
    <row r="27" spans="2:9">
      <c r="B27" s="1596" t="s">
        <v>3148</v>
      </c>
      <c r="C27" s="1585"/>
      <c r="D27" s="1608">
        <v>2</v>
      </c>
      <c r="F27" s="1585"/>
      <c r="G27" s="919" t="s">
        <v>3149</v>
      </c>
      <c r="H27" s="1585"/>
      <c r="I27" s="1609">
        <v>2</v>
      </c>
    </row>
    <row r="28" spans="2:9">
      <c r="B28" s="1593"/>
      <c r="C28" s="1599" t="s">
        <v>3150</v>
      </c>
      <c r="D28" s="1610"/>
      <c r="E28" s="1610"/>
      <c r="F28" s="1610"/>
      <c r="H28" s="1610" t="s">
        <v>3151</v>
      </c>
      <c r="I28" s="1595"/>
    </row>
    <row r="29" spans="2:9">
      <c r="B29" s="1593"/>
      <c r="C29" s="1599" t="s">
        <v>3152</v>
      </c>
      <c r="D29" s="1610"/>
      <c r="E29" s="1610"/>
      <c r="F29" s="1610"/>
      <c r="H29" s="1610" t="s">
        <v>3153</v>
      </c>
      <c r="I29" s="1595"/>
    </row>
    <row r="30" spans="2:9">
      <c r="B30" s="1593"/>
      <c r="C30" s="1599" t="s">
        <v>3154</v>
      </c>
      <c r="D30" s="1610"/>
      <c r="E30" s="1610"/>
      <c r="F30" s="1610"/>
      <c r="H30" s="1610" t="s">
        <v>3155</v>
      </c>
      <c r="I30" s="1595"/>
    </row>
    <row r="31" spans="2:9" ht="3" customHeight="1">
      <c r="B31" s="1603"/>
      <c r="C31" s="1604"/>
      <c r="D31" s="1604"/>
      <c r="E31" s="1604"/>
      <c r="F31" s="1604"/>
      <c r="G31" s="1604"/>
      <c r="H31" s="1604"/>
      <c r="I31" s="1605"/>
    </row>
    <row r="32" spans="2:9" ht="7.5" customHeight="1"/>
    <row r="33" spans="2:9" ht="15" customHeight="1">
      <c r="B33" s="838" t="s">
        <v>3918</v>
      </c>
    </row>
    <row r="34" spans="2:9" ht="3" customHeight="1">
      <c r="B34" s="1606"/>
      <c r="C34" s="1591"/>
      <c r="D34" s="1591"/>
      <c r="E34" s="1591"/>
      <c r="F34" s="1591"/>
      <c r="G34" s="1591"/>
      <c r="H34" s="1591"/>
      <c r="I34" s="1607"/>
    </row>
    <row r="35" spans="2:9">
      <c r="B35" s="1596" t="s">
        <v>3921</v>
      </c>
      <c r="C35" s="1585"/>
      <c r="D35" s="1585"/>
      <c r="F35" s="1611"/>
      <c r="H35" s="4367" t="s">
        <v>3930</v>
      </c>
      <c r="I35" s="4368"/>
    </row>
    <row r="36" spans="2:9">
      <c r="B36" s="1612" t="s">
        <v>3929</v>
      </c>
      <c r="C36" s="1610"/>
      <c r="D36" s="1610"/>
      <c r="E36" s="1585"/>
      <c r="F36" s="1971"/>
      <c r="G36" s="1613"/>
      <c r="H36" s="4367"/>
      <c r="I36" s="4368"/>
    </row>
    <row r="37" spans="2:9">
      <c r="B37" s="1612" t="s">
        <v>3927</v>
      </c>
      <c r="D37" s="1610"/>
      <c r="E37" s="1585"/>
      <c r="F37" s="1972"/>
      <c r="G37" s="1613"/>
      <c r="H37" s="4367"/>
      <c r="I37" s="4368"/>
    </row>
    <row r="38" spans="2:9">
      <c r="B38" s="1612" t="s">
        <v>3928</v>
      </c>
      <c r="D38" s="1585"/>
      <c r="E38" s="1585"/>
      <c r="F38" s="1972"/>
      <c r="G38" s="1613"/>
      <c r="H38" s="1613"/>
      <c r="I38" s="1614"/>
    </row>
    <row r="39" spans="2:9" ht="12.75" customHeight="1">
      <c r="B39" s="1612" t="s">
        <v>3926</v>
      </c>
      <c r="C39" s="1585"/>
      <c r="D39" s="1585"/>
      <c r="E39" s="1585"/>
      <c r="F39" s="1972"/>
      <c r="G39" s="1613"/>
      <c r="H39" s="1613"/>
      <c r="I39" s="1614"/>
    </row>
    <row r="40" spans="2:9">
      <c r="B40" s="1615" t="s">
        <v>3925</v>
      </c>
      <c r="C40" s="1616"/>
      <c r="D40" s="1617"/>
      <c r="E40" s="1618"/>
      <c r="F40" s="1972"/>
      <c r="G40" s="1618"/>
      <c r="H40" s="1970"/>
      <c r="I40" s="1595"/>
    </row>
    <row r="41" spans="2:9">
      <c r="B41" s="1615" t="s">
        <v>3924</v>
      </c>
      <c r="C41" s="1616"/>
      <c r="D41" s="1617"/>
      <c r="E41" s="1585"/>
      <c r="F41" s="1972"/>
      <c r="G41" s="1585"/>
      <c r="H41" s="1585"/>
      <c r="I41" s="1595"/>
    </row>
    <row r="42" spans="2:9">
      <c r="B42" s="1619" t="s">
        <v>3923</v>
      </c>
      <c r="C42" s="1620"/>
      <c r="D42" s="1620"/>
      <c r="E42" s="1585"/>
      <c r="F42" s="1973"/>
      <c r="G42" s="1585"/>
      <c r="H42" s="1585"/>
      <c r="I42" s="1595"/>
    </row>
    <row r="43" spans="2:9" ht="3" customHeight="1">
      <c r="B43" s="1603"/>
      <c r="C43" s="1604"/>
      <c r="D43" s="1604"/>
      <c r="E43" s="1604"/>
      <c r="F43" s="1604"/>
      <c r="G43" s="1604"/>
      <c r="H43" s="1604"/>
      <c r="I43" s="1605"/>
    </row>
    <row r="44" spans="2:9" ht="7.5" customHeight="1"/>
    <row r="45" spans="2:9" ht="15" customHeight="1">
      <c r="B45" s="838" t="s">
        <v>3920</v>
      </c>
    </row>
    <row r="46" spans="2:9" ht="3" customHeight="1">
      <c r="B46" s="1606"/>
      <c r="C46" s="1591"/>
      <c r="D46" s="1591"/>
      <c r="E46" s="1591"/>
      <c r="F46" s="1591"/>
      <c r="G46" s="1591"/>
      <c r="H46" s="1591"/>
      <c r="I46" s="1607"/>
    </row>
    <row r="47" spans="2:9" ht="19.2">
      <c r="B47" s="1596" t="s">
        <v>3919</v>
      </c>
      <c r="C47" s="1585"/>
      <c r="D47" s="1621"/>
      <c r="E47" s="1622" t="str">
        <f>'Sensitivity Analysis'!H7</f>
        <v>New Construction</v>
      </c>
      <c r="F47" s="866" t="s">
        <v>3931</v>
      </c>
      <c r="H47" s="1585"/>
      <c r="I47" s="1595"/>
    </row>
    <row r="48" spans="2:9">
      <c r="B48" s="1601" t="s">
        <v>3156</v>
      </c>
      <c r="C48" s="1610"/>
      <c r="D48" s="1610" t="s">
        <v>3157</v>
      </c>
      <c r="E48" s="1585"/>
      <c r="F48" s="4376" t="str">
        <f>'Closing term sheet'!$C$30</f>
        <v>2470 Grodon Hwy.</v>
      </c>
      <c r="G48" s="4377"/>
      <c r="H48" s="4377"/>
      <c r="I48" s="4378"/>
    </row>
    <row r="49" spans="2:9">
      <c r="B49" s="1601" t="s">
        <v>3158</v>
      </c>
      <c r="D49" s="1610" t="s">
        <v>3159</v>
      </c>
      <c r="E49" s="1585"/>
      <c r="F49" s="4379"/>
      <c r="G49" s="4380"/>
      <c r="H49" s="4380"/>
      <c r="I49" s="4381"/>
    </row>
    <row r="50" spans="2:9">
      <c r="B50" s="1601" t="s">
        <v>3160</v>
      </c>
      <c r="D50" s="1585"/>
      <c r="E50" s="1585"/>
      <c r="F50" s="1623"/>
      <c r="G50" s="1624"/>
      <c r="H50" s="1624"/>
      <c r="I50" s="1625"/>
    </row>
    <row r="51" spans="2:9" ht="7.5" customHeight="1">
      <c r="B51" s="1593"/>
      <c r="C51" s="1585"/>
      <c r="D51" s="1585"/>
      <c r="E51" s="1585"/>
      <c r="F51" s="1585"/>
      <c r="G51" s="1585"/>
      <c r="H51" s="1585"/>
      <c r="I51" s="1595"/>
    </row>
    <row r="52" spans="2:9">
      <c r="B52" s="1626" t="s">
        <v>3932</v>
      </c>
      <c r="C52" s="4399" t="str">
        <f>'Part I-Project Information'!F38</f>
        <v>Augusta</v>
      </c>
      <c r="D52" s="4400"/>
      <c r="E52" s="1627" t="s">
        <v>3933</v>
      </c>
      <c r="F52" s="1587" t="s">
        <v>828</v>
      </c>
      <c r="G52" s="1627" t="s">
        <v>3934</v>
      </c>
      <c r="H52" s="1628">
        <f>'Part I-Project Information'!J38</f>
        <v>309090000</v>
      </c>
      <c r="I52" s="1595"/>
    </row>
    <row r="53" spans="2:9">
      <c r="B53" s="1626" t="s">
        <v>4096</v>
      </c>
      <c r="D53" s="1629" t="e">
        <f>VLOOKUP("='Part I-Project Information'!$J$39",'DCA Underwriting Assumptions'!$G$173:$O$332,9)</f>
        <v>#N/A</v>
      </c>
      <c r="I53" s="1595"/>
    </row>
    <row r="54" spans="2:9">
      <c r="B54" s="1626" t="s">
        <v>4097</v>
      </c>
      <c r="D54" s="1585"/>
      <c r="E54" s="1585"/>
      <c r="F54" s="1585"/>
      <c r="G54" s="1585"/>
      <c r="I54" s="1595"/>
    </row>
    <row r="55" spans="2:9">
      <c r="B55" s="1619" t="s">
        <v>4098</v>
      </c>
      <c r="D55" s="1630">
        <f>'Closing term sheet'!$D$33</f>
        <v>200</v>
      </c>
      <c r="E55" s="1631"/>
      <c r="F55" s="899" t="s">
        <v>3161</v>
      </c>
      <c r="G55" s="1585"/>
      <c r="H55" s="1585"/>
      <c r="I55" s="1595"/>
    </row>
    <row r="56" spans="2:9">
      <c r="B56" s="1619" t="s">
        <v>4100</v>
      </c>
      <c r="D56" s="1632">
        <f>'Closing term sheet'!$D$62</f>
        <v>33449287</v>
      </c>
      <c r="E56" s="1633"/>
      <c r="F56" s="899" t="s">
        <v>3162</v>
      </c>
      <c r="G56" s="1585"/>
      <c r="H56" s="1585"/>
      <c r="I56" s="1595"/>
    </row>
    <row r="57" spans="2:9">
      <c r="B57" s="1612" t="s">
        <v>4099</v>
      </c>
      <c r="D57" s="1634"/>
      <c r="F57" s="899" t="s">
        <v>3163</v>
      </c>
      <c r="G57" s="1585"/>
      <c r="H57" s="1585"/>
      <c r="I57" s="1595"/>
    </row>
    <row r="58" spans="2:9" ht="7.5" customHeight="1">
      <c r="B58" s="1603"/>
      <c r="C58" s="1604"/>
      <c r="D58" s="1604"/>
      <c r="E58" s="1604"/>
      <c r="F58" s="1604"/>
      <c r="G58" s="1604"/>
      <c r="H58" s="1604"/>
      <c r="I58" s="1605"/>
    </row>
    <row r="59" spans="2:9" ht="15" customHeight="1"/>
    <row r="60" spans="2:9" ht="7.5" customHeight="1">
      <c r="B60" s="1606"/>
      <c r="C60" s="1591"/>
      <c r="D60" s="1591"/>
      <c r="E60" s="1591"/>
      <c r="F60" s="1591"/>
      <c r="G60" s="1591"/>
      <c r="H60" s="1591"/>
      <c r="I60" s="1607"/>
    </row>
    <row r="61" spans="2:9">
      <c r="B61" s="4404" t="s">
        <v>3164</v>
      </c>
      <c r="C61" s="4405"/>
      <c r="D61" s="4405"/>
      <c r="E61" s="4405"/>
      <c r="F61" s="4405"/>
      <c r="G61" s="4405"/>
      <c r="H61" s="4405"/>
      <c r="I61" s="4406"/>
    </row>
    <row r="62" spans="2:9" ht="7.5" customHeight="1">
      <c r="B62" s="4401"/>
      <c r="C62" s="4402"/>
      <c r="D62" s="4402"/>
      <c r="E62" s="1585"/>
      <c r="F62" s="1585"/>
      <c r="G62" s="1635"/>
      <c r="H62" s="1585"/>
      <c r="I62" s="1595"/>
    </row>
    <row r="63" spans="2:9">
      <c r="B63" s="1636" t="s">
        <v>3166</v>
      </c>
      <c r="C63" s="1585"/>
      <c r="D63" s="1630">
        <v>4</v>
      </c>
      <c r="F63" s="1585"/>
      <c r="G63" s="4386" t="s">
        <v>3165</v>
      </c>
      <c r="H63" s="4386"/>
      <c r="I63" s="4403"/>
    </row>
    <row r="64" spans="2:9">
      <c r="B64" s="1593"/>
      <c r="C64" s="1610" t="s">
        <v>3169</v>
      </c>
      <c r="D64" s="1610" t="s">
        <v>3170</v>
      </c>
      <c r="F64" s="1585"/>
      <c r="G64" s="911" t="s">
        <v>3167</v>
      </c>
      <c r="H64" s="1585"/>
      <c r="I64" s="1637">
        <f>'Closing term sheet'!$D$35</f>
        <v>200</v>
      </c>
    </row>
    <row r="65" spans="2:9">
      <c r="B65" s="1593"/>
      <c r="C65" s="1610" t="s">
        <v>3171</v>
      </c>
      <c r="D65" s="1610" t="s">
        <v>3172</v>
      </c>
      <c r="F65" s="1585"/>
      <c r="G65" s="1638" t="s">
        <v>3168</v>
      </c>
      <c r="H65" s="1585"/>
      <c r="I65" s="1637">
        <f>C42</f>
        <v>0</v>
      </c>
    </row>
    <row r="66" spans="2:9">
      <c r="B66" s="1601"/>
      <c r="C66" s="1610" t="s">
        <v>3173</v>
      </c>
      <c r="D66" s="1585"/>
      <c r="E66" s="1610"/>
      <c r="F66" s="1585"/>
      <c r="H66" s="1585"/>
      <c r="I66" s="1639"/>
    </row>
    <row r="67" spans="2:9" ht="7.5" customHeight="1">
      <c r="B67" s="1603"/>
      <c r="C67" s="1604"/>
      <c r="D67" s="1604"/>
      <c r="E67" s="1604"/>
      <c r="F67" s="1604"/>
      <c r="G67" s="1604"/>
      <c r="H67" s="1604"/>
      <c r="I67" s="1605"/>
    </row>
    <row r="68" spans="2:9" ht="15" customHeight="1">
      <c r="B68" s="1585"/>
      <c r="C68" s="1585"/>
      <c r="D68" s="1585"/>
      <c r="E68" s="1585"/>
      <c r="F68" s="1585"/>
      <c r="G68" s="1585"/>
      <c r="H68" s="1585"/>
      <c r="I68" s="1585"/>
    </row>
    <row r="69" spans="2:9" ht="7.5" customHeight="1">
      <c r="B69" s="1606"/>
      <c r="C69" s="1591"/>
      <c r="D69" s="1591"/>
      <c r="E69" s="1591"/>
      <c r="F69" s="1591"/>
      <c r="G69" s="1591"/>
      <c r="H69" s="1591"/>
      <c r="I69" s="1607"/>
    </row>
    <row r="70" spans="2:9">
      <c r="B70" s="1596" t="s">
        <v>3174</v>
      </c>
      <c r="C70" s="1585"/>
      <c r="D70" s="1585"/>
      <c r="E70" s="1585"/>
      <c r="F70" s="1585"/>
      <c r="G70" s="1585"/>
      <c r="H70" s="1585"/>
      <c r="I70" s="1595"/>
    </row>
    <row r="71" spans="2:9" ht="7.5" customHeight="1">
      <c r="B71" s="1593"/>
      <c r="C71" s="1585"/>
      <c r="D71" s="1585"/>
      <c r="E71" s="1585"/>
      <c r="F71" s="1585"/>
      <c r="G71" s="1585"/>
      <c r="H71" s="1585"/>
      <c r="I71" s="1595"/>
    </row>
    <row r="72" spans="2:9">
      <c r="B72" s="1596" t="s">
        <v>3175</v>
      </c>
      <c r="D72" s="1585"/>
      <c r="E72" s="1585"/>
      <c r="F72" s="1585"/>
      <c r="G72" s="1585"/>
      <c r="H72" s="1585"/>
      <c r="I72" s="1621"/>
    </row>
    <row r="73" spans="2:9" ht="7.5" customHeight="1">
      <c r="B73" s="1593"/>
      <c r="C73" s="1585"/>
      <c r="D73" s="1585"/>
      <c r="E73" s="1585"/>
      <c r="F73" s="1585"/>
      <c r="G73" s="1585"/>
      <c r="H73" s="1585"/>
      <c r="I73" s="1595"/>
    </row>
    <row r="74" spans="2:9">
      <c r="B74" s="1593" t="s">
        <v>3176</v>
      </c>
      <c r="D74" s="1585"/>
      <c r="E74" s="1585"/>
      <c r="F74" s="1585" t="s">
        <v>3242</v>
      </c>
      <c r="G74" s="1585"/>
      <c r="H74" s="1585"/>
      <c r="I74" s="1640"/>
    </row>
    <row r="75" spans="2:9">
      <c r="B75" s="1593"/>
      <c r="E75" s="1585"/>
      <c r="F75" s="1585" t="s">
        <v>3243</v>
      </c>
      <c r="G75" s="1585"/>
      <c r="H75" s="1585"/>
      <c r="I75" s="1640"/>
    </row>
    <row r="76" spans="2:9">
      <c r="B76" s="1593"/>
      <c r="E76" s="1585"/>
      <c r="F76" s="1585" t="s">
        <v>3244</v>
      </c>
      <c r="G76" s="1585"/>
      <c r="H76" s="1585"/>
      <c r="I76" s="1640"/>
    </row>
    <row r="77" spans="2:9">
      <c r="B77" s="1593"/>
      <c r="E77" s="1585"/>
      <c r="F77" s="919" t="s">
        <v>3245</v>
      </c>
      <c r="G77" s="1585"/>
      <c r="H77" s="1585"/>
      <c r="I77" s="1640"/>
    </row>
    <row r="78" spans="2:9" ht="7.5" customHeight="1">
      <c r="B78" s="1603"/>
      <c r="C78" s="1604"/>
      <c r="D78" s="1604"/>
      <c r="E78" s="1604"/>
      <c r="F78" s="1604"/>
      <c r="G78" s="1604"/>
      <c r="H78" s="1604"/>
      <c r="I78" s="1605"/>
    </row>
    <row r="79" spans="2:9" ht="7.5" customHeight="1"/>
    <row r="80" spans="2:9">
      <c r="B80" s="1606"/>
      <c r="C80" s="1591"/>
      <c r="D80" s="1591"/>
      <c r="E80" s="1591"/>
      <c r="F80" s="1591"/>
      <c r="G80" s="1591"/>
      <c r="H80" s="1591"/>
      <c r="I80" s="1607"/>
    </row>
    <row r="81" spans="2:9">
      <c r="B81" s="4404" t="s">
        <v>3177</v>
      </c>
      <c r="C81" s="4405"/>
      <c r="D81" s="4405"/>
      <c r="E81" s="4405"/>
      <c r="F81" s="4405"/>
      <c r="G81" s="4405"/>
      <c r="H81" s="4405"/>
      <c r="I81" s="4406"/>
    </row>
    <row r="82" spans="2:9">
      <c r="B82" s="1593"/>
      <c r="C82" s="1585"/>
      <c r="D82" s="1585"/>
      <c r="E82" s="1585"/>
      <c r="F82" s="1585"/>
      <c r="G82" s="1585"/>
      <c r="H82" s="1585"/>
      <c r="I82" s="1595"/>
    </row>
    <row r="83" spans="2:9">
      <c r="B83" s="1596" t="s">
        <v>3178</v>
      </c>
      <c r="C83" s="1585"/>
      <c r="D83" s="1585"/>
      <c r="E83" s="1585"/>
      <c r="F83" s="1585"/>
      <c r="G83" s="1585"/>
      <c r="H83" s="1585"/>
      <c r="I83" s="1595"/>
    </row>
    <row r="84" spans="2:9">
      <c r="B84" s="1593"/>
      <c r="C84" s="919" t="s">
        <v>3179</v>
      </c>
      <c r="D84" s="1585"/>
      <c r="E84" s="1585"/>
      <c r="F84" s="4372">
        <f>'Closing term sheet'!D62</f>
        <v>33449287</v>
      </c>
      <c r="G84" s="4372"/>
      <c r="H84" s="1585"/>
      <c r="I84" s="1595"/>
    </row>
    <row r="85" spans="2:9">
      <c r="B85" s="1593"/>
      <c r="C85" s="919" t="s">
        <v>3180</v>
      </c>
      <c r="D85" s="1585"/>
      <c r="E85" s="1585"/>
      <c r="F85" s="4398" t="e">
        <f>'Part III-Sources of Funds'!I45+'Part III-Sources of Funds'!L45</f>
        <v>#N/A</v>
      </c>
      <c r="G85" s="4398"/>
      <c r="H85" s="1585"/>
      <c r="I85" s="1595"/>
    </row>
    <row r="86" spans="2:9">
      <c r="B86" s="1593"/>
      <c r="C86" s="919" t="s">
        <v>3181</v>
      </c>
      <c r="D86" s="1585"/>
      <c r="E86" s="1585"/>
      <c r="F86" s="4397"/>
      <c r="G86" s="4397"/>
      <c r="H86" s="1585"/>
      <c r="I86" s="1595"/>
    </row>
    <row r="87" spans="2:9">
      <c r="B87" s="1593"/>
      <c r="C87" s="1610" t="s">
        <v>3182</v>
      </c>
      <c r="D87" s="1585"/>
      <c r="E87" s="1585"/>
      <c r="F87" s="4398">
        <v>11000</v>
      </c>
      <c r="G87" s="4398"/>
      <c r="H87" s="1585"/>
      <c r="I87" s="1595"/>
    </row>
    <row r="88" spans="2:9">
      <c r="B88" s="1593"/>
      <c r="C88" s="919" t="s">
        <v>3183</v>
      </c>
      <c r="D88" s="1585"/>
      <c r="E88" s="1585"/>
      <c r="F88" s="4375"/>
      <c r="G88" s="4375"/>
      <c r="H88" s="1585"/>
      <c r="I88" s="1595"/>
    </row>
    <row r="89" spans="2:9">
      <c r="B89" s="1593"/>
      <c r="C89" s="899" t="s">
        <v>3184</v>
      </c>
      <c r="D89" s="1585"/>
      <c r="E89" s="1585"/>
      <c r="F89" s="4370" t="e">
        <f>SUM(F84:G88)</f>
        <v>#N/A</v>
      </c>
      <c r="G89" s="4370"/>
      <c r="H89" s="1585"/>
      <c r="I89" s="1595"/>
    </row>
    <row r="90" spans="2:9">
      <c r="B90" s="1593"/>
      <c r="C90" s="1585"/>
      <c r="D90" s="1585"/>
      <c r="E90" s="1585"/>
      <c r="F90" s="4371"/>
      <c r="G90" s="4371"/>
      <c r="H90" s="1585"/>
      <c r="I90" s="1595"/>
    </row>
    <row r="91" spans="2:9">
      <c r="B91" s="1596" t="s">
        <v>3185</v>
      </c>
      <c r="C91" s="1585"/>
      <c r="D91" s="1585"/>
      <c r="E91" s="1585"/>
      <c r="F91" s="1585"/>
      <c r="G91" s="1585"/>
      <c r="H91" s="1585"/>
      <c r="I91" s="1595"/>
    </row>
    <row r="92" spans="2:9">
      <c r="B92" s="1593"/>
      <c r="C92" s="919" t="s">
        <v>3186</v>
      </c>
      <c r="D92" s="1585"/>
      <c r="E92" s="1585"/>
      <c r="F92" s="4372"/>
      <c r="G92" s="4372"/>
      <c r="H92" s="1585"/>
      <c r="I92" s="1595"/>
    </row>
    <row r="93" spans="2:9">
      <c r="B93" s="1593"/>
      <c r="C93" s="919" t="s">
        <v>3187</v>
      </c>
      <c r="D93" s="1585"/>
      <c r="E93" s="1585"/>
      <c r="F93" s="4373"/>
      <c r="G93" s="4373"/>
      <c r="H93" s="1585"/>
      <c r="I93" s="1595"/>
    </row>
    <row r="94" spans="2:9">
      <c r="B94" s="1593"/>
      <c r="C94" s="919" t="s">
        <v>3188</v>
      </c>
      <c r="D94" s="1585"/>
      <c r="E94" s="1585"/>
      <c r="F94" s="4374" t="s">
        <v>3063</v>
      </c>
      <c r="G94" s="4369"/>
      <c r="H94" s="1585"/>
      <c r="I94" s="1595"/>
    </row>
    <row r="95" spans="2:9">
      <c r="B95" s="1593"/>
      <c r="C95" s="899" t="s">
        <v>3189</v>
      </c>
      <c r="D95" s="1585"/>
      <c r="E95" s="1585"/>
      <c r="F95" s="4370">
        <f>+SUM(F92:G94)</f>
        <v>0</v>
      </c>
      <c r="G95" s="4370"/>
      <c r="H95" s="1585"/>
      <c r="I95" s="1595"/>
    </row>
    <row r="96" spans="2:9">
      <c r="B96" s="1593"/>
      <c r="C96" s="1585"/>
      <c r="D96" s="1585"/>
      <c r="E96" s="1585"/>
      <c r="F96" s="1585"/>
      <c r="G96" s="1585"/>
      <c r="H96" s="1585"/>
      <c r="I96" s="1595"/>
    </row>
    <row r="97" spans="2:9">
      <c r="B97" s="1596" t="s">
        <v>3190</v>
      </c>
      <c r="C97" s="1585"/>
      <c r="D97" s="1585"/>
      <c r="E97" s="1585"/>
      <c r="F97" s="1585"/>
      <c r="G97" s="1585"/>
      <c r="H97" s="1585"/>
      <c r="I97" s="1595"/>
    </row>
    <row r="98" spans="2:9">
      <c r="B98" s="1593"/>
      <c r="C98" s="919" t="s">
        <v>3191</v>
      </c>
      <c r="D98" s="1585"/>
      <c r="E98" s="1585"/>
      <c r="F98" s="4372"/>
      <c r="G98" s="4372"/>
      <c r="H98" s="1585"/>
      <c r="I98" s="1595"/>
    </row>
    <row r="99" spans="2:9">
      <c r="B99" s="1593"/>
      <c r="C99" s="919" t="s">
        <v>3192</v>
      </c>
      <c r="D99" s="1585"/>
      <c r="E99" s="1585"/>
      <c r="F99" s="4373"/>
      <c r="G99" s="4373"/>
      <c r="H99" s="1585"/>
      <c r="I99" s="1595"/>
    </row>
    <row r="100" spans="2:9">
      <c r="B100" s="1593"/>
      <c r="C100" s="919" t="s">
        <v>3193</v>
      </c>
      <c r="D100" s="1585"/>
      <c r="E100" s="1585"/>
      <c r="F100" s="4375"/>
      <c r="G100" s="4375"/>
      <c r="H100" s="1585"/>
      <c r="I100" s="1595"/>
    </row>
    <row r="101" spans="2:9">
      <c r="B101" s="1593"/>
      <c r="C101" s="899" t="s">
        <v>3194</v>
      </c>
      <c r="D101" s="1585"/>
      <c r="E101" s="1585"/>
      <c r="F101" s="4370">
        <f>+SUM(F98:G100)</f>
        <v>0</v>
      </c>
      <c r="G101" s="4370"/>
      <c r="H101" s="1585"/>
      <c r="I101" s="1595"/>
    </row>
    <row r="102" spans="2:9">
      <c r="B102" s="1593"/>
      <c r="C102" s="1585"/>
      <c r="D102" s="1585"/>
      <c r="E102" s="1585"/>
      <c r="F102" s="1585"/>
      <c r="G102" s="1585"/>
      <c r="H102" s="1585"/>
      <c r="I102" s="1595"/>
    </row>
    <row r="103" spans="2:9">
      <c r="B103" s="1636" t="s">
        <v>3195</v>
      </c>
      <c r="C103" s="919"/>
      <c r="D103" s="1585"/>
      <c r="E103" s="1585"/>
      <c r="F103" s="4369">
        <f>'Part III-Sources of Funds'!I46+'Part III-Sources of Funds'!I47</f>
        <v>0</v>
      </c>
      <c r="G103" s="4369"/>
      <c r="H103" s="1585"/>
      <c r="I103" s="1595"/>
    </row>
    <row r="104" spans="2:9">
      <c r="B104" s="1593"/>
      <c r="C104" s="1585"/>
      <c r="D104" s="1585"/>
      <c r="E104" s="1585"/>
      <c r="F104" s="1585"/>
      <c r="G104" s="1585"/>
      <c r="H104" s="1585"/>
      <c r="I104" s="1641" t="s">
        <v>3196</v>
      </c>
    </row>
    <row r="105" spans="2:9">
      <c r="B105" s="1596" t="s">
        <v>3197</v>
      </c>
      <c r="C105" s="1585"/>
      <c r="D105" s="1585"/>
      <c r="E105" s="1585"/>
      <c r="F105" s="4369" t="e">
        <f>+F103+F101+F95+F89</f>
        <v>#N/A</v>
      </c>
      <c r="G105" s="4369"/>
      <c r="H105" s="1585"/>
      <c r="I105" s="1595"/>
    </row>
    <row r="106" spans="2:9">
      <c r="B106" s="1603"/>
      <c r="C106" s="1604"/>
      <c r="D106" s="1604"/>
      <c r="E106" s="1604"/>
      <c r="F106" s="1604"/>
      <c r="G106" s="1604"/>
      <c r="H106" s="1604"/>
      <c r="I106" s="1605"/>
    </row>
    <row r="108" spans="2:9">
      <c r="C108" s="1642" t="s">
        <v>2886</v>
      </c>
    </row>
    <row r="109" spans="2:9">
      <c r="C109" s="1642" t="s">
        <v>2889</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T14" sqref="T14"/>
    </sheetView>
  </sheetViews>
  <sheetFormatPr defaultColWidth="8.88671875" defaultRowHeight="15.6"/>
  <cols>
    <col min="1" max="1" width="2.109375" style="1179" customWidth="1"/>
    <col min="2" max="13" width="7.88671875" style="1179" customWidth="1"/>
    <col min="14" max="15" width="5.88671875" style="1179" customWidth="1"/>
    <col min="16" max="16384" width="8.88671875" style="1179"/>
  </cols>
  <sheetData>
    <row r="1" spans="1:26" ht="18">
      <c r="N1" s="1180" t="s">
        <v>1467</v>
      </c>
      <c r="O1" s="1180"/>
      <c r="P1" s="1180"/>
      <c r="Q1" s="1180"/>
      <c r="R1" s="1180"/>
      <c r="S1" s="1180"/>
      <c r="T1" s="1180"/>
      <c r="U1" s="1180"/>
      <c r="V1" s="1180"/>
      <c r="W1" s="1180"/>
      <c r="X1" s="1180"/>
      <c r="Y1" s="1180"/>
      <c r="Z1" s="1180"/>
    </row>
    <row r="2" spans="1:26">
      <c r="N2" s="1181" t="s">
        <v>1468</v>
      </c>
      <c r="O2" s="1181"/>
      <c r="P2" s="1181"/>
      <c r="Q2" s="1181"/>
      <c r="R2" s="1181"/>
      <c r="S2" s="1181"/>
      <c r="T2" s="1181"/>
      <c r="U2" s="1181"/>
      <c r="V2" s="1181"/>
      <c r="W2" s="1181"/>
      <c r="X2" s="1181"/>
      <c r="Y2" s="1181"/>
      <c r="Z2" s="1181"/>
    </row>
    <row r="3" spans="1:26">
      <c r="N3" s="1182" t="s">
        <v>1469</v>
      </c>
      <c r="O3" s="1182"/>
      <c r="P3" s="1182"/>
      <c r="Q3" s="1182"/>
      <c r="R3" s="1182"/>
      <c r="S3" s="1182"/>
      <c r="T3" s="1182"/>
      <c r="U3" s="1182"/>
      <c r="V3" s="1182"/>
      <c r="W3" s="1182"/>
      <c r="X3" s="1182"/>
      <c r="Y3" s="1182"/>
      <c r="Z3" s="1182"/>
    </row>
    <row r="4" spans="1:26">
      <c r="B4" s="1183"/>
      <c r="C4" s="1183"/>
      <c r="D4" s="1183"/>
      <c r="E4" s="1183"/>
      <c r="F4" s="1183"/>
      <c r="G4" s="1183"/>
      <c r="H4" s="1183"/>
      <c r="I4" s="1183"/>
      <c r="J4" s="1183"/>
      <c r="K4" s="1183"/>
      <c r="L4" s="1183"/>
      <c r="M4" s="1183"/>
      <c r="N4" s="1184" t="s">
        <v>684</v>
      </c>
    </row>
    <row r="5" spans="1:26" ht="59.25" customHeight="1">
      <c r="A5" s="4415" t="s">
        <v>2662</v>
      </c>
      <c r="B5" s="4415"/>
      <c r="C5" s="4415"/>
      <c r="D5" s="4415"/>
      <c r="E5" s="4415"/>
      <c r="F5" s="4415"/>
      <c r="G5" s="4415"/>
      <c r="H5" s="4415"/>
      <c r="I5" s="4415"/>
      <c r="J5" s="4415"/>
      <c r="K5" s="4415"/>
      <c r="L5" s="4415"/>
      <c r="M5" s="4415"/>
    </row>
    <row r="6" spans="1:26" ht="11.4" customHeight="1">
      <c r="A6" s="1183"/>
      <c r="B6" s="1183"/>
      <c r="C6" s="1183"/>
      <c r="D6" s="1183"/>
      <c r="E6" s="1183"/>
      <c r="F6" s="1183"/>
      <c r="G6" s="1183"/>
      <c r="H6" s="1183"/>
      <c r="I6" s="1183"/>
      <c r="J6" s="1183"/>
      <c r="K6" s="1183"/>
      <c r="L6" s="1183"/>
      <c r="M6" s="1183"/>
    </row>
    <row r="7" spans="1:26">
      <c r="A7" s="1183" t="s">
        <v>689</v>
      </c>
      <c r="B7" s="1183"/>
      <c r="C7" s="1183"/>
      <c r="D7" s="1183"/>
      <c r="E7" s="1183"/>
      <c r="F7" s="1183"/>
      <c r="G7" s="1183"/>
      <c r="H7" s="1183"/>
      <c r="I7" s="1183"/>
      <c r="J7" s="1183"/>
      <c r="K7" s="1183"/>
      <c r="L7" s="1183"/>
      <c r="M7" s="1183"/>
    </row>
    <row r="8" spans="1:26" ht="11.4" customHeight="1">
      <c r="A8" s="1183"/>
      <c r="B8" s="1183"/>
      <c r="C8" s="1183"/>
      <c r="D8" s="1183"/>
      <c r="E8" s="1183"/>
      <c r="F8" s="1183"/>
      <c r="G8" s="1183"/>
      <c r="H8" s="1183"/>
      <c r="I8" s="1183"/>
      <c r="J8" s="1183"/>
      <c r="K8" s="1183"/>
      <c r="L8" s="1183"/>
      <c r="M8" s="1183"/>
    </row>
    <row r="9" spans="1:26">
      <c r="A9" s="4411" t="s">
        <v>1859</v>
      </c>
      <c r="B9" s="4411"/>
      <c r="C9" s="4411"/>
      <c r="D9" s="4411"/>
      <c r="E9" s="4411"/>
      <c r="F9" s="4411"/>
      <c r="G9" s="4411"/>
      <c r="H9" s="4411"/>
      <c r="I9" s="4411"/>
      <c r="J9" s="4411"/>
      <c r="K9" s="4411"/>
      <c r="L9" s="4411"/>
      <c r="M9" s="4411"/>
    </row>
    <row r="10" spans="1:26" ht="6.75" customHeight="1">
      <c r="A10" s="4411"/>
      <c r="B10" s="4411"/>
      <c r="C10" s="4411"/>
      <c r="D10" s="4411"/>
      <c r="E10" s="4411"/>
      <c r="F10" s="4411"/>
      <c r="G10" s="4411"/>
      <c r="H10" s="4411"/>
      <c r="I10" s="4411"/>
      <c r="J10" s="4411"/>
      <c r="K10" s="4411"/>
      <c r="L10" s="4411"/>
      <c r="M10" s="4411"/>
    </row>
    <row r="11" spans="1:26" ht="44.25" customHeight="1">
      <c r="A11" s="4416" t="s">
        <v>4498</v>
      </c>
      <c r="B11" s="4416"/>
      <c r="C11" s="4416"/>
      <c r="D11" s="4416"/>
      <c r="E11" s="4416"/>
      <c r="F11" s="4416"/>
      <c r="G11" s="4416"/>
      <c r="H11" s="4416"/>
      <c r="I11" s="4416"/>
      <c r="J11" s="4416"/>
      <c r="K11" s="4416"/>
      <c r="L11" s="4416"/>
      <c r="M11" s="4416"/>
    </row>
    <row r="12" spans="1:26" ht="3" customHeight="1">
      <c r="A12" s="4411"/>
      <c r="B12" s="4411"/>
      <c r="C12" s="4411"/>
      <c r="D12" s="4411"/>
      <c r="E12" s="4411"/>
      <c r="F12" s="4411"/>
      <c r="G12" s="4411"/>
      <c r="H12" s="4411"/>
      <c r="I12" s="4411"/>
      <c r="J12" s="4411"/>
      <c r="K12" s="4411"/>
      <c r="L12" s="4411"/>
      <c r="M12" s="4411"/>
    </row>
    <row r="13" spans="1:26" ht="96" customHeight="1">
      <c r="A13" s="1185" t="s">
        <v>1694</v>
      </c>
      <c r="B13" s="4413" t="s">
        <v>3504</v>
      </c>
      <c r="C13" s="4413"/>
      <c r="D13" s="4413"/>
      <c r="E13" s="4413"/>
      <c r="F13" s="4413"/>
      <c r="G13" s="4413"/>
      <c r="H13" s="4413"/>
      <c r="I13" s="4413"/>
      <c r="J13" s="4413"/>
      <c r="K13" s="4413"/>
      <c r="L13" s="4413"/>
      <c r="M13" s="4413"/>
    </row>
    <row r="14" spans="1:26" ht="47.25" customHeight="1">
      <c r="A14" s="1185" t="s">
        <v>1695</v>
      </c>
      <c r="B14" s="4413" t="s">
        <v>3505</v>
      </c>
      <c r="C14" s="4413"/>
      <c r="D14" s="4413"/>
      <c r="E14" s="4413"/>
      <c r="F14" s="4413"/>
      <c r="G14" s="4413"/>
      <c r="H14" s="4413"/>
      <c r="I14" s="4413"/>
      <c r="J14" s="4413"/>
      <c r="K14" s="4413"/>
      <c r="L14" s="4413"/>
      <c r="M14" s="4413"/>
    </row>
    <row r="15" spans="1:26" ht="117" customHeight="1">
      <c r="A15" s="1185" t="s">
        <v>1696</v>
      </c>
      <c r="B15" s="4413" t="s">
        <v>3506</v>
      </c>
      <c r="C15" s="4413"/>
      <c r="D15" s="4413"/>
      <c r="E15" s="4413"/>
      <c r="F15" s="4413"/>
      <c r="G15" s="4413"/>
      <c r="H15" s="4413"/>
      <c r="I15" s="4413"/>
      <c r="J15" s="4413"/>
      <c r="K15" s="4413"/>
      <c r="L15" s="4413"/>
      <c r="M15" s="4413"/>
    </row>
    <row r="16" spans="1:26" ht="147" customHeight="1">
      <c r="A16" s="1185" t="s">
        <v>2305</v>
      </c>
      <c r="B16" s="4413" t="s">
        <v>3342</v>
      </c>
      <c r="C16" s="4413"/>
      <c r="D16" s="4413"/>
      <c r="E16" s="4413"/>
      <c r="F16" s="4413"/>
      <c r="G16" s="4413"/>
      <c r="H16" s="4413"/>
      <c r="I16" s="4413"/>
      <c r="J16" s="4413"/>
      <c r="K16" s="4413"/>
      <c r="L16" s="4413"/>
      <c r="M16" s="4413"/>
    </row>
    <row r="17" spans="1:13" ht="48.75" customHeight="1">
      <c r="A17" s="1185" t="s">
        <v>1516</v>
      </c>
      <c r="B17" s="4413" t="s">
        <v>665</v>
      </c>
      <c r="C17" s="4413"/>
      <c r="D17" s="4413"/>
      <c r="E17" s="4413"/>
      <c r="F17" s="4413"/>
      <c r="G17" s="4413"/>
      <c r="H17" s="4413"/>
      <c r="I17" s="4413"/>
      <c r="J17" s="4413"/>
      <c r="K17" s="4413"/>
      <c r="L17" s="4413"/>
      <c r="M17" s="4413"/>
    </row>
    <row r="18" spans="1:13" ht="165" customHeight="1">
      <c r="A18" s="1185" t="s">
        <v>1517</v>
      </c>
      <c r="B18" s="4413" t="s">
        <v>3341</v>
      </c>
      <c r="C18" s="4413"/>
      <c r="D18" s="4413"/>
      <c r="E18" s="4413"/>
      <c r="F18" s="4413"/>
      <c r="G18" s="4413"/>
      <c r="H18" s="4413"/>
      <c r="I18" s="4413"/>
      <c r="J18" s="4413"/>
      <c r="K18" s="4413"/>
      <c r="L18" s="4413"/>
      <c r="M18" s="4413"/>
    </row>
    <row r="19" spans="1:13" ht="48.75" customHeight="1">
      <c r="A19" s="1185" t="s">
        <v>96</v>
      </c>
      <c r="B19" s="4414" t="s">
        <v>3507</v>
      </c>
      <c r="C19" s="4414"/>
      <c r="D19" s="4414"/>
      <c r="E19" s="4414"/>
      <c r="F19" s="4414"/>
      <c r="G19" s="4414"/>
      <c r="H19" s="4414"/>
      <c r="I19" s="4414"/>
      <c r="J19" s="4414"/>
      <c r="K19" s="4414"/>
      <c r="L19" s="4414"/>
      <c r="M19" s="4414"/>
    </row>
    <row r="20" spans="1:13" ht="50.25" customHeight="1">
      <c r="A20" s="1185" t="s">
        <v>500</v>
      </c>
      <c r="B20" s="4413" t="s">
        <v>3344</v>
      </c>
      <c r="C20" s="4413"/>
      <c r="D20" s="4413"/>
      <c r="E20" s="4413"/>
      <c r="F20" s="4413"/>
      <c r="G20" s="4413"/>
      <c r="H20" s="4413"/>
      <c r="I20" s="4413"/>
      <c r="J20" s="4413"/>
      <c r="K20" s="4413"/>
      <c r="L20" s="4413"/>
      <c r="M20" s="4413"/>
    </row>
    <row r="21" spans="1:13" ht="31.5" customHeight="1">
      <c r="A21" s="1185" t="s">
        <v>501</v>
      </c>
      <c r="B21" s="4413" t="s">
        <v>3364</v>
      </c>
      <c r="C21" s="4413"/>
      <c r="D21" s="4413"/>
      <c r="E21" s="4413"/>
      <c r="F21" s="4413"/>
      <c r="G21" s="4413"/>
      <c r="H21" s="4413"/>
      <c r="I21" s="4413"/>
      <c r="J21" s="4413"/>
      <c r="K21" s="4413"/>
      <c r="L21" s="4413"/>
      <c r="M21" s="4413"/>
    </row>
    <row r="22" spans="1:13" ht="1.5" customHeight="1">
      <c r="A22" s="4411"/>
      <c r="B22" s="4411"/>
      <c r="C22" s="4411"/>
      <c r="D22" s="4411"/>
      <c r="E22" s="4411"/>
      <c r="F22" s="4411"/>
      <c r="G22" s="4411"/>
      <c r="H22" s="4411"/>
      <c r="I22" s="4411"/>
      <c r="J22" s="4411"/>
      <c r="K22" s="4411"/>
      <c r="L22" s="4411"/>
      <c r="M22" s="4411"/>
    </row>
    <row r="23" spans="1:13" ht="3" customHeight="1">
      <c r="A23" s="4411"/>
      <c r="B23" s="4411"/>
      <c r="C23" s="4411"/>
      <c r="D23" s="4411"/>
      <c r="E23" s="4411"/>
      <c r="F23" s="4411"/>
      <c r="G23" s="4411"/>
      <c r="H23" s="4411"/>
      <c r="I23" s="4411"/>
      <c r="J23" s="4411"/>
      <c r="K23" s="4411"/>
      <c r="L23" s="4411"/>
      <c r="M23" s="4411"/>
    </row>
    <row r="24" spans="1:13" ht="13.5" customHeight="1">
      <c r="A24" s="4411" t="s">
        <v>1436</v>
      </c>
      <c r="B24" s="4411"/>
      <c r="C24" s="4411"/>
      <c r="D24" s="4411"/>
      <c r="E24" s="4411"/>
      <c r="F24" s="4411"/>
      <c r="G24" s="4411"/>
      <c r="H24" s="4411"/>
      <c r="I24" s="4411"/>
      <c r="J24" s="4411"/>
      <c r="K24" s="4411"/>
      <c r="L24" s="4411"/>
      <c r="M24" s="4411"/>
    </row>
    <row r="25" spans="1:13" ht="32.25" customHeight="1">
      <c r="A25" s="1185" t="s">
        <v>1437</v>
      </c>
      <c r="B25" s="4413" t="s">
        <v>3365</v>
      </c>
      <c r="C25" s="4413"/>
      <c r="D25" s="4413"/>
      <c r="E25" s="4413"/>
      <c r="F25" s="4413"/>
      <c r="G25" s="4413"/>
      <c r="H25" s="4413"/>
      <c r="I25" s="4413"/>
      <c r="J25" s="4413"/>
      <c r="K25" s="4413"/>
      <c r="L25" s="4413"/>
      <c r="M25" s="4413"/>
    </row>
    <row r="26" spans="1:13" ht="31.5" customHeight="1">
      <c r="A26" s="1185" t="s">
        <v>1437</v>
      </c>
      <c r="B26" s="4413" t="s">
        <v>3366</v>
      </c>
      <c r="C26" s="4413"/>
      <c r="D26" s="4413"/>
      <c r="E26" s="4413"/>
      <c r="F26" s="4413"/>
      <c r="G26" s="4413"/>
      <c r="H26" s="4413"/>
      <c r="I26" s="4413"/>
      <c r="J26" s="4413"/>
      <c r="K26" s="4413"/>
      <c r="L26" s="4413"/>
      <c r="M26" s="4413"/>
    </row>
    <row r="27" spans="1:13" ht="78.75" customHeight="1">
      <c r="A27" s="1185" t="s">
        <v>1437</v>
      </c>
      <c r="B27" s="4413" t="s">
        <v>2663</v>
      </c>
      <c r="C27" s="4413"/>
      <c r="D27" s="4413"/>
      <c r="E27" s="4413"/>
      <c r="F27" s="4413"/>
      <c r="G27" s="4413"/>
      <c r="H27" s="4413"/>
      <c r="I27" s="4413"/>
      <c r="J27" s="4413"/>
      <c r="K27" s="4413"/>
      <c r="L27" s="4413"/>
      <c r="M27" s="4413"/>
    </row>
    <row r="28" spans="1:13" ht="7.5" customHeight="1">
      <c r="A28" s="4411"/>
      <c r="B28" s="4411"/>
      <c r="C28" s="4411"/>
      <c r="D28" s="4411"/>
      <c r="E28" s="4411"/>
      <c r="F28" s="4411"/>
      <c r="G28" s="4411"/>
      <c r="H28" s="4411"/>
      <c r="I28" s="4411"/>
      <c r="J28" s="4411"/>
      <c r="K28" s="4411"/>
      <c r="L28" s="4411"/>
      <c r="M28" s="4411"/>
    </row>
    <row r="29" spans="1:13" ht="43.5" customHeight="1">
      <c r="A29" s="4413" t="s">
        <v>924</v>
      </c>
      <c r="B29" s="4413"/>
      <c r="C29" s="4413"/>
      <c r="D29" s="4413"/>
      <c r="E29" s="4413"/>
      <c r="F29" s="4413"/>
      <c r="G29" s="4413"/>
      <c r="H29" s="4413"/>
      <c r="I29" s="4413"/>
      <c r="J29" s="4413"/>
      <c r="K29" s="4413"/>
      <c r="L29" s="4413"/>
      <c r="M29" s="4413"/>
    </row>
    <row r="30" spans="1:13" ht="3" customHeight="1">
      <c r="A30" s="4411"/>
      <c r="B30" s="4411"/>
      <c r="C30" s="4411"/>
      <c r="D30" s="4411"/>
      <c r="E30" s="4411"/>
      <c r="F30" s="4411"/>
      <c r="G30" s="4411"/>
      <c r="H30" s="4411"/>
      <c r="I30" s="4411"/>
      <c r="J30" s="4411"/>
      <c r="K30" s="4411"/>
      <c r="L30" s="4411"/>
      <c r="M30" s="4411"/>
    </row>
    <row r="31" spans="1:13" ht="32.25" customHeight="1">
      <c r="A31" s="4413" t="s">
        <v>2664</v>
      </c>
      <c r="B31" s="4413"/>
      <c r="C31" s="4413"/>
      <c r="D31" s="4413"/>
      <c r="E31" s="4413"/>
      <c r="F31" s="4413"/>
      <c r="G31" s="4413"/>
      <c r="H31" s="4413"/>
      <c r="I31" s="4413"/>
      <c r="J31" s="4413"/>
      <c r="K31" s="4413"/>
      <c r="L31" s="4413"/>
      <c r="M31" s="4413"/>
    </row>
    <row r="32" spans="1:13" ht="4.5" customHeight="1">
      <c r="A32" s="4411"/>
      <c r="B32" s="4411"/>
      <c r="C32" s="4411"/>
      <c r="D32" s="4411"/>
      <c r="E32" s="4411"/>
      <c r="F32" s="4411"/>
      <c r="G32" s="4411"/>
      <c r="H32" s="4411"/>
      <c r="I32" s="4411"/>
      <c r="J32" s="4411"/>
      <c r="K32" s="4411"/>
      <c r="L32" s="4411"/>
      <c r="M32" s="4411"/>
    </row>
    <row r="33" spans="1:13">
      <c r="A33" s="4411" t="s">
        <v>901</v>
      </c>
      <c r="B33" s="4411"/>
      <c r="C33" s="4411"/>
      <c r="D33" s="4411"/>
      <c r="E33" s="4411"/>
      <c r="F33" s="4411"/>
      <c r="G33" s="4411"/>
      <c r="H33" s="4411"/>
      <c r="I33" s="4411"/>
      <c r="J33" s="4411"/>
      <c r="K33" s="4411"/>
      <c r="L33" s="4411"/>
      <c r="M33" s="4411"/>
    </row>
    <row r="34" spans="1:13" ht="6" customHeight="1">
      <c r="A34" s="1221"/>
      <c r="B34" s="1221"/>
      <c r="C34" s="1221"/>
      <c r="D34" s="1221"/>
      <c r="E34" s="1221"/>
      <c r="F34" s="1221"/>
      <c r="G34" s="1221"/>
      <c r="H34" s="1221"/>
      <c r="I34" s="1221"/>
      <c r="J34" s="1221"/>
      <c r="K34" s="1221"/>
      <c r="L34" s="1221"/>
      <c r="M34" s="1221"/>
    </row>
    <row r="35" spans="1:13">
      <c r="A35" s="4412"/>
      <c r="B35" s="4412"/>
      <c r="C35" s="4412"/>
      <c r="D35" s="4412"/>
      <c r="E35" s="4412"/>
      <c r="F35" s="4412"/>
      <c r="G35" s="1186"/>
      <c r="H35" s="4412"/>
      <c r="I35" s="4412"/>
      <c r="J35" s="4412"/>
      <c r="K35" s="4412"/>
      <c r="L35" s="4412"/>
      <c r="M35" s="4412"/>
    </row>
    <row r="36" spans="1:13" ht="12" customHeight="1">
      <c r="A36" s="4409" t="s">
        <v>902</v>
      </c>
      <c r="B36" s="4409"/>
      <c r="C36" s="4409"/>
      <c r="D36" s="4409"/>
      <c r="E36" s="4409"/>
      <c r="F36" s="4409"/>
      <c r="G36" s="1186"/>
      <c r="H36" s="4409" t="s">
        <v>1933</v>
      </c>
      <c r="I36" s="4409"/>
      <c r="J36" s="4409"/>
      <c r="K36" s="4409"/>
      <c r="L36" s="4409"/>
      <c r="M36" s="4409"/>
    </row>
    <row r="37" spans="1:13" ht="6" customHeight="1">
      <c r="A37" s="1186"/>
      <c r="B37" s="1186"/>
      <c r="C37" s="1186"/>
      <c r="D37" s="1186"/>
      <c r="E37" s="1186"/>
      <c r="F37" s="1186"/>
      <c r="G37" s="1186"/>
      <c r="H37" s="1186"/>
      <c r="I37" s="1186"/>
      <c r="J37" s="1186"/>
      <c r="K37" s="1186"/>
      <c r="L37" s="1186"/>
      <c r="M37" s="1186"/>
    </row>
    <row r="38" spans="1:13">
      <c r="A38" s="4407"/>
      <c r="B38" s="4407"/>
      <c r="C38" s="4407"/>
      <c r="D38" s="4407"/>
      <c r="E38" s="4407"/>
      <c r="F38" s="4407"/>
      <c r="G38" s="1186"/>
      <c r="H38" s="4408"/>
      <c r="I38" s="4408"/>
      <c r="J38" s="4408"/>
      <c r="K38" s="4408"/>
      <c r="L38" s="4408"/>
      <c r="M38" s="4408"/>
    </row>
    <row r="39" spans="1:13" ht="12" customHeight="1">
      <c r="A39" s="4409" t="s">
        <v>903</v>
      </c>
      <c r="B39" s="4409"/>
      <c r="C39" s="4409"/>
      <c r="D39" s="4409"/>
      <c r="E39" s="4409"/>
      <c r="F39" s="4409"/>
      <c r="G39" s="1186"/>
      <c r="H39" s="4409" t="s">
        <v>904</v>
      </c>
      <c r="I39" s="4409"/>
      <c r="J39" s="4409"/>
      <c r="K39" s="4409"/>
      <c r="L39" s="4409"/>
      <c r="M39" s="4409"/>
    </row>
    <row r="40" spans="1:13" ht="3" customHeight="1">
      <c r="A40" s="1187"/>
      <c r="B40" s="1187"/>
      <c r="C40" s="1187"/>
      <c r="D40" s="1187"/>
      <c r="E40" s="1187"/>
      <c r="F40" s="1187"/>
      <c r="G40" s="1186"/>
      <c r="H40" s="1187"/>
      <c r="I40" s="1187"/>
      <c r="J40" s="1187"/>
      <c r="K40" s="1187"/>
      <c r="L40" s="1187"/>
      <c r="M40" s="1187"/>
    </row>
    <row r="41" spans="1:13" ht="11.4" customHeight="1">
      <c r="A41" s="1183"/>
      <c r="B41" s="1183"/>
      <c r="C41" s="1183"/>
      <c r="D41" s="1183"/>
      <c r="E41" s="1183"/>
      <c r="F41" s="1183"/>
      <c r="G41" s="1183"/>
      <c r="H41" s="4410" t="s">
        <v>905</v>
      </c>
      <c r="I41" s="4410"/>
      <c r="J41" s="4410"/>
      <c r="K41" s="4410"/>
      <c r="L41" s="4410"/>
      <c r="M41" s="4410"/>
    </row>
    <row r="42" spans="1:13" ht="11.4" customHeight="1">
      <c r="A42" s="1183"/>
      <c r="B42" s="1183"/>
      <c r="C42" s="1183"/>
      <c r="D42" s="1183"/>
      <c r="E42" s="1183"/>
      <c r="F42" s="1183"/>
      <c r="G42" s="1183"/>
    </row>
    <row r="43" spans="1:13" ht="11.4" customHeight="1">
      <c r="A43" s="1183"/>
      <c r="B43" s="1183"/>
      <c r="C43" s="1183"/>
      <c r="D43" s="1183"/>
      <c r="E43" s="1183"/>
      <c r="F43" s="1183"/>
      <c r="G43" s="1183"/>
      <c r="H43" s="1183"/>
      <c r="I43" s="1183"/>
      <c r="J43" s="1183"/>
      <c r="K43" s="1183"/>
      <c r="L43" s="1183"/>
      <c r="M43" s="1183"/>
    </row>
    <row r="44" spans="1:13" ht="11.4" customHeight="1">
      <c r="A44" s="1183"/>
      <c r="B44" s="1183"/>
      <c r="C44" s="1183"/>
      <c r="D44" s="1183"/>
      <c r="E44" s="1183"/>
      <c r="F44" s="1183"/>
      <c r="G44" s="1183"/>
      <c r="H44" s="1183"/>
      <c r="I44" s="1183"/>
      <c r="J44" s="1183"/>
      <c r="K44" s="1183"/>
      <c r="L44" s="1183"/>
      <c r="M44" s="1183"/>
    </row>
    <row r="45" spans="1:13" ht="11.4" customHeight="1"/>
    <row r="46" spans="1:13" ht="11.4" customHeight="1"/>
    <row r="47" spans="1:13" ht="11.4" customHeight="1"/>
    <row r="48" spans="1:13" ht="11.4" customHeight="1"/>
    <row r="49" ht="11.4"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RowHeight="13.2"/>
  <cols>
    <col min="1" max="5" width="9" style="2494" bestFit="1" customWidth="1"/>
    <col min="6" max="7" width="9.33203125" style="2494" bestFit="1" customWidth="1"/>
    <col min="8" max="8" width="12.21875" style="2494" bestFit="1" customWidth="1"/>
    <col min="9" max="9" width="14.44140625" style="2494" bestFit="1" customWidth="1"/>
    <col min="10" max="10" width="9.33203125" style="2494" bestFit="1" customWidth="1"/>
    <col min="11" max="11" width="11.6640625" style="2494" bestFit="1" customWidth="1"/>
    <col min="12" max="12" width="9.33203125" style="2494" bestFit="1" customWidth="1"/>
    <col min="13" max="14" width="9" style="2494" bestFit="1" customWidth="1"/>
    <col min="15" max="15" width="12.21875" style="2494" bestFit="1" customWidth="1"/>
    <col min="16" max="22" width="9" style="2494" bestFit="1" customWidth="1"/>
    <col min="23" max="23" width="8.88671875" style="2494"/>
    <col min="24" max="369" width="9" style="2494" bestFit="1" customWidth="1"/>
    <col min="370" max="16384" width="8.88671875" style="2494"/>
  </cols>
  <sheetData>
    <row r="1" spans="1:6" ht="15.6">
      <c r="A1" s="2493" t="s">
        <v>957</v>
      </c>
    </row>
    <row r="2" spans="1:6" ht="13.8">
      <c r="A2" s="2495" t="str">
        <f>'Part I-Project Information'!F34</f>
        <v>Lakeview Terrace</v>
      </c>
    </row>
    <row r="3" spans="1:6" ht="13.8">
      <c r="A3" s="2495" t="str">
        <f>CONCATENATE('Part I-Project Information'!F38,", ", 'Part I-Project Information'!J39," County")</f>
        <v>Augusta, Richmond County</v>
      </c>
    </row>
    <row r="5" spans="1:6" ht="13.2" customHeight="1">
      <c r="A5" s="2496" t="str">
        <f>'Project Narrative'!A5</f>
        <v>Lakeview Terrace is a proposed 200-unit family apartment complex located in Augusta, GA. It will consist of 9 three story tenant buildings to include 18 one bedroom units, 106 two bedroom units and 76 three bedroom units. The development is designed to have many features, services and amenities suitable for families, including a pool, dog park, playground, tot-lot, covered picnic pavilion, exercise room, on-site laundry and a community building. The units are equipped with HVAC units, energy star refrigerators and dishwashers, stove, microwave oven and a powder-based stove top fire suppression canister installed above the range cook-top. The development will have rents that are structured to be affordable for households at or below 60% of the average median income. Based on our experience, we believe the demand is high for affordable housing in this market.</v>
      </c>
      <c r="B5" s="2497" t="s">
        <v>4466</v>
      </c>
      <c r="C5" s="2497"/>
      <c r="D5" s="2497"/>
      <c r="E5" s="2497"/>
      <c r="F5" s="2497"/>
    </row>
    <row r="6" spans="1:6" ht="13.2" customHeight="1">
      <c r="A6" s="2496"/>
      <c r="B6" s="2497"/>
      <c r="C6" s="2497"/>
      <c r="D6" s="2497"/>
      <c r="E6" s="2497"/>
      <c r="F6" s="2497"/>
    </row>
    <row r="7" spans="1:6" ht="13.2" customHeight="1">
      <c r="A7" s="2496"/>
      <c r="B7" s="2497"/>
      <c r="C7" s="2497"/>
      <c r="D7" s="2497"/>
      <c r="E7" s="2497"/>
      <c r="F7" s="2497"/>
    </row>
    <row r="8" spans="1:6" ht="13.2" customHeight="1">
      <c r="A8" s="2496"/>
    </row>
    <row r="9" spans="1:6" ht="13.2" customHeight="1">
      <c r="A9" s="2496"/>
    </row>
    <row r="10" spans="1:6" ht="13.2" customHeight="1">
      <c r="A10" s="2496"/>
    </row>
    <row r="11" spans="1:6" ht="13.2" customHeight="1">
      <c r="A11" s="2496"/>
    </row>
    <row r="12" spans="1:6" ht="13.2" customHeight="1">
      <c r="A12" s="2496"/>
    </row>
    <row r="13" spans="1:6" ht="13.2" customHeight="1">
      <c r="A13" s="2496"/>
    </row>
    <row r="14" spans="1:6" ht="13.2" customHeight="1">
      <c r="A14" s="2496"/>
    </row>
    <row r="15" spans="1:6" ht="13.2" customHeight="1">
      <c r="A15" s="2496"/>
    </row>
    <row r="16" spans="1:6" ht="13.2" customHeight="1">
      <c r="A16" s="2496"/>
    </row>
    <row r="17" spans="1:21" ht="13.2" customHeight="1">
      <c r="A17" s="2496"/>
    </row>
    <row r="18" spans="1:21" ht="13.2" customHeight="1">
      <c r="A18" s="2496"/>
    </row>
    <row r="19" spans="1:21" ht="13.2" customHeight="1">
      <c r="A19" s="2496"/>
    </row>
    <row r="20" spans="1:21" ht="13.2" customHeight="1">
      <c r="A20" s="2496"/>
    </row>
    <row r="21" spans="1:21" ht="13.2" customHeight="1">
      <c r="A21" s="2496"/>
    </row>
    <row r="22" spans="1:21" ht="13.2" customHeight="1">
      <c r="A22" s="2496"/>
    </row>
    <row r="23" spans="1:21" ht="13.2" customHeight="1">
      <c r="A23" s="2496"/>
    </row>
    <row r="26" spans="1:21" ht="13.8">
      <c r="A26" s="2498" t="str">
        <f>CONCATENATE("PART ONE - PROJECT INFORMATION"," - ",$O$6," ",$F$34,", ",'Part I-Project Information'!F63,", ",'Part I-Project Information'!J64," County")</f>
        <v>PART ONE - PROJECT INFORMATION -  LIHTC (auto-filled from later entries), ,  County</v>
      </c>
      <c r="B26" s="2498"/>
      <c r="C26" s="2498"/>
      <c r="D26" s="2498"/>
      <c r="E26" s="2498"/>
      <c r="F26" s="2498"/>
      <c r="G26" s="2498"/>
      <c r="H26" s="2498"/>
      <c r="I26" s="2498"/>
      <c r="J26" s="2498"/>
      <c r="K26" s="2498"/>
      <c r="L26" s="2498"/>
      <c r="M26" s="2498"/>
      <c r="N26" s="2498"/>
      <c r="O26" s="2498"/>
      <c r="P26" s="2498"/>
      <c r="Q26" s="2498"/>
      <c r="R26" s="2498"/>
      <c r="S26" s="2498"/>
      <c r="T26" s="2498"/>
      <c r="U26" s="2498"/>
    </row>
    <row r="27" spans="1:21" ht="13.8">
      <c r="A27" s="2499"/>
      <c r="B27" s="2499"/>
      <c r="C27" s="2499"/>
      <c r="D27" s="2499"/>
      <c r="E27" s="2499"/>
      <c r="F27" s="2499"/>
      <c r="G27" s="2499"/>
      <c r="H27" s="2499"/>
      <c r="I27" s="2499"/>
      <c r="J27" s="2499"/>
      <c r="K27" s="2499"/>
      <c r="L27" s="2499"/>
      <c r="M27" s="2499"/>
      <c r="N27" s="2499"/>
      <c r="O27" s="2499"/>
      <c r="P27" s="2499"/>
      <c r="Q27" s="2498"/>
      <c r="R27" s="2498"/>
      <c r="S27" s="2498"/>
      <c r="T27" s="2498"/>
      <c r="U27" s="2498"/>
    </row>
    <row r="28" spans="1:21" ht="13.8" customHeight="1">
      <c r="A28" s="2498" t="s">
        <v>4102</v>
      </c>
      <c r="B28" s="2498"/>
      <c r="C28" s="2498"/>
      <c r="D28" s="2498"/>
      <c r="E28" s="2498"/>
      <c r="F28" s="2498"/>
      <c r="G28" s="2498"/>
      <c r="H28" s="2498"/>
      <c r="I28" s="2498"/>
      <c r="J28" s="2498"/>
      <c r="K28" s="2498"/>
      <c r="L28" s="2498"/>
      <c r="M28" s="2498"/>
      <c r="N28" s="2498"/>
      <c r="O28" s="2498"/>
      <c r="P28" s="2498"/>
      <c r="Q28" s="2498"/>
      <c r="R28" s="2498"/>
      <c r="S28" s="2498"/>
      <c r="T28" s="2498"/>
      <c r="U28" s="2498"/>
    </row>
    <row r="29" spans="1:21" ht="13.8">
      <c r="A29" s="2499"/>
      <c r="B29" s="2499"/>
      <c r="C29" s="2499"/>
      <c r="D29" s="2499"/>
      <c r="E29" s="2499"/>
      <c r="F29" s="2499"/>
      <c r="G29" s="2499"/>
      <c r="H29" s="2499"/>
      <c r="I29" s="2499"/>
      <c r="J29" s="2499"/>
      <c r="K29" s="2499"/>
      <c r="L29" s="2499"/>
      <c r="M29" s="2499"/>
      <c r="N29" s="2499"/>
      <c r="O29" s="2499"/>
      <c r="P29" s="2499"/>
      <c r="Q29" s="2498"/>
      <c r="R29" s="2498"/>
      <c r="S29" s="2498"/>
      <c r="T29" s="2498"/>
      <c r="U29" s="2498"/>
    </row>
    <row r="30" spans="1:21" ht="13.8">
      <c r="A30" s="2498"/>
      <c r="B30" s="2500" t="s">
        <v>2304</v>
      </c>
      <c r="C30" s="2498"/>
      <c r="D30" s="2498"/>
      <c r="E30" s="2498"/>
      <c r="F30" s="2499"/>
      <c r="G30" s="2501" t="s">
        <v>6909</v>
      </c>
      <c r="H30" s="2498"/>
      <c r="I30" s="2498"/>
      <c r="J30" s="2498"/>
      <c r="K30" s="2498"/>
      <c r="L30" s="2499"/>
      <c r="M30" s="2498"/>
      <c r="N30" s="2498"/>
      <c r="O30" s="2498"/>
      <c r="P30" s="2502" t="s">
        <v>3654</v>
      </c>
      <c r="Q30" s="2498"/>
      <c r="R30" s="2498"/>
      <c r="S30" s="2498"/>
      <c r="T30" s="2498"/>
      <c r="U30" s="2498"/>
    </row>
    <row r="31" spans="1:21" ht="13.8" customHeight="1">
      <c r="A31" s="2498"/>
      <c r="B31" s="2503" t="str">
        <f>'Part I-Project Information'!B6</f>
        <v>July 15, 2020 Version (4%)</v>
      </c>
      <c r="C31" s="2504"/>
      <c r="D31" s="2504"/>
      <c r="E31" s="2408"/>
      <c r="F31" s="2499"/>
      <c r="G31" s="2501" t="s">
        <v>6910</v>
      </c>
      <c r="H31" s="2499"/>
      <c r="I31" s="2499"/>
      <c r="J31" s="2499"/>
      <c r="K31" s="2498"/>
      <c r="L31" s="2498"/>
      <c r="M31" s="2498"/>
      <c r="N31" s="2498"/>
      <c r="O31" s="2498" t="str">
        <f>'Part I-Project Information'!O6</f>
        <v>2020-5</v>
      </c>
      <c r="P31" s="2498"/>
      <c r="Q31" s="2498"/>
      <c r="R31" s="2498"/>
      <c r="S31" s="2498"/>
      <c r="T31" s="2498"/>
      <c r="U31" s="2498"/>
    </row>
    <row r="32" spans="1:21" ht="13.8" customHeight="1">
      <c r="A32" s="2498"/>
      <c r="B32" s="2504"/>
      <c r="C32" s="2504"/>
      <c r="D32" s="2504"/>
      <c r="E32" s="2408"/>
      <c r="F32" s="2498"/>
      <c r="G32" s="2505" t="s">
        <v>3213</v>
      </c>
      <c r="H32" s="2499"/>
      <c r="I32" s="2499"/>
      <c r="J32" s="2499"/>
      <c r="K32" s="2498"/>
      <c r="L32" s="2498"/>
      <c r="M32" s="2498"/>
      <c r="N32" s="2498"/>
      <c r="O32" s="2498"/>
      <c r="P32" s="2498"/>
      <c r="Q32" s="2498"/>
      <c r="R32" s="2498"/>
      <c r="S32" s="2498"/>
      <c r="T32" s="2498"/>
      <c r="U32" s="2498"/>
    </row>
    <row r="33" spans="1:21" ht="13.8" customHeight="1">
      <c r="A33" s="2499"/>
      <c r="B33" s="2504"/>
      <c r="C33" s="2504"/>
      <c r="D33" s="2504"/>
      <c r="E33" s="2499"/>
      <c r="F33" s="2498"/>
      <c r="G33" s="2498"/>
      <c r="H33" s="2499"/>
      <c r="I33" s="2499"/>
      <c r="J33" s="2498"/>
      <c r="K33" s="2498"/>
      <c r="L33" s="2498"/>
      <c r="M33" s="2499"/>
      <c r="N33" s="2498"/>
      <c r="O33" s="2498"/>
      <c r="P33" s="2498"/>
      <c r="Q33" s="2498"/>
      <c r="R33" s="2498"/>
      <c r="S33" s="2498"/>
      <c r="T33" s="2498"/>
      <c r="U33" s="2498"/>
    </row>
    <row r="34" spans="1:21" ht="13.8">
      <c r="A34" s="2498" t="s">
        <v>598</v>
      </c>
      <c r="B34" s="2498" t="s">
        <v>2315</v>
      </c>
      <c r="C34" s="2498"/>
      <c r="D34" s="2506"/>
      <c r="E34" s="2499"/>
      <c r="F34" s="2500" t="s">
        <v>3609</v>
      </c>
      <c r="G34" s="2498"/>
      <c r="H34" s="2498"/>
      <c r="I34" s="2507">
        <f>'Part IV-A-Uses of Funds'!$J$184</f>
        <v>2001110</v>
      </c>
      <c r="J34" s="2507"/>
      <c r="K34" s="2498"/>
      <c r="L34" s="2498" t="s">
        <v>3610</v>
      </c>
      <c r="M34" s="2498"/>
      <c r="N34" s="2498"/>
      <c r="O34" s="2508">
        <f>'Part III-Sources of Funds'!$H$5</f>
        <v>0</v>
      </c>
      <c r="P34" s="2508"/>
      <c r="Q34" s="2498"/>
      <c r="R34" s="2498"/>
      <c r="S34" s="2498"/>
      <c r="T34" s="2498"/>
      <c r="U34" s="2498"/>
    </row>
    <row r="35" spans="1:21" ht="13.8">
      <c r="A35" s="2498"/>
      <c r="B35" s="2498"/>
      <c r="C35" s="2498"/>
      <c r="D35" s="2506"/>
      <c r="E35" s="2499"/>
      <c r="F35" s="2499"/>
      <c r="G35" s="2498"/>
      <c r="H35" s="2498"/>
      <c r="I35" s="2500"/>
      <c r="J35" s="2498"/>
      <c r="K35" s="2498"/>
      <c r="L35" s="2498"/>
      <c r="M35" s="2498"/>
      <c r="N35" s="2502"/>
      <c r="O35" s="2498"/>
      <c r="P35" s="2498"/>
      <c r="Q35" s="2498"/>
      <c r="R35" s="2498"/>
      <c r="S35" s="2498"/>
      <c r="T35" s="2498"/>
      <c r="U35" s="2498"/>
    </row>
    <row r="36" spans="1:21" ht="13.8">
      <c r="A36" s="2500" t="s">
        <v>722</v>
      </c>
      <c r="B36" s="2498" t="s">
        <v>1992</v>
      </c>
      <c r="C36" s="2498"/>
      <c r="D36" s="2498"/>
      <c r="E36" s="2498"/>
      <c r="F36" s="2509" t="str">
        <f>'Part I-Project Information'!F11</f>
        <v>4% Credit/TE Bond</v>
      </c>
      <c r="G36" s="2509"/>
      <c r="H36" s="2509"/>
      <c r="I36" s="2510" t="s">
        <v>3538</v>
      </c>
      <c r="J36" s="2498" t="s">
        <v>6964</v>
      </c>
      <c r="K36" s="2498"/>
      <c r="L36" s="2499"/>
      <c r="M36" s="2498"/>
      <c r="N36" s="2498"/>
      <c r="O36" s="2498" t="str">
        <f>'Part I-Project Information'!O11</f>
        <v>2020PA-517</v>
      </c>
      <c r="P36" s="2498"/>
      <c r="Q36" s="2498"/>
      <c r="R36" s="2498"/>
      <c r="S36" s="2498"/>
      <c r="T36" s="2498"/>
      <c r="U36" s="2498"/>
    </row>
    <row r="37" spans="1:21" ht="13.8">
      <c r="A37" s="2499"/>
      <c r="B37" s="2506"/>
      <c r="C37" s="2506"/>
      <c r="D37" s="2506"/>
      <c r="E37" s="2506"/>
      <c r="F37" s="2498"/>
      <c r="G37" s="2498"/>
      <c r="H37" s="2499"/>
      <c r="I37" s="2498"/>
      <c r="J37" s="2501" t="s">
        <v>6840</v>
      </c>
      <c r="K37" s="2500"/>
      <c r="L37" s="2498"/>
      <c r="M37" s="2499"/>
      <c r="N37" s="2498"/>
      <c r="O37" s="2509" t="str">
        <f>'Part I-Project Information'!O12</f>
        <v>Yes - see Comment</v>
      </c>
      <c r="P37" s="2509"/>
      <c r="Q37" s="2498"/>
      <c r="R37" s="2498"/>
      <c r="S37" s="2498"/>
      <c r="T37" s="2498"/>
      <c r="U37" s="2498"/>
    </row>
    <row r="38" spans="1:21" ht="13.8">
      <c r="A38" s="2499"/>
      <c r="B38" s="2506"/>
      <c r="C38" s="2506"/>
      <c r="D38" s="2506"/>
      <c r="E38" s="2506"/>
      <c r="F38" s="2498"/>
      <c r="G38" s="2498"/>
      <c r="H38" s="2499"/>
      <c r="I38" s="2498"/>
      <c r="J38" s="2500"/>
      <c r="K38" s="2500"/>
      <c r="L38" s="2498"/>
      <c r="M38" s="2499"/>
      <c r="N38" s="2498"/>
      <c r="O38" s="2498"/>
      <c r="P38" s="2498"/>
      <c r="Q38" s="2498"/>
      <c r="R38" s="2498"/>
      <c r="S38" s="2498"/>
      <c r="T38" s="2498"/>
      <c r="U38" s="2498"/>
    </row>
    <row r="39" spans="1:21" ht="13.8">
      <c r="A39" s="2499"/>
      <c r="B39" s="2506" t="s">
        <v>4825</v>
      </c>
      <c r="C39" s="2506"/>
      <c r="D39" s="2506"/>
      <c r="E39" s="2506"/>
      <c r="F39" s="2511" t="str">
        <f>'Part I-Project Information'!F14</f>
        <v>No</v>
      </c>
      <c r="G39" s="2500" t="s">
        <v>4826</v>
      </c>
      <c r="H39" s="2498"/>
      <c r="I39" s="2498"/>
      <c r="J39" s="2498"/>
      <c r="K39" s="2498"/>
      <c r="L39" s="2498"/>
      <c r="M39" s="2498"/>
      <c r="N39" s="2509" t="str">
        <f>'Part I-Project Information'!N14</f>
        <v>&lt;&lt;Select previous Application Type&gt;&gt;</v>
      </c>
      <c r="O39" s="2509"/>
      <c r="P39" s="2509"/>
      <c r="Q39" s="2498"/>
      <c r="R39" s="2498"/>
      <c r="S39" s="2498"/>
      <c r="T39" s="2498"/>
      <c r="U39" s="2498"/>
    </row>
    <row r="40" spans="1:21" ht="13.8">
      <c r="A40" s="2499"/>
      <c r="B40" s="2498" t="s">
        <v>4808</v>
      </c>
      <c r="C40" s="2498"/>
      <c r="D40" s="2498"/>
      <c r="E40" s="2498"/>
      <c r="F40" s="2512">
        <f>'Part I-Project Information'!F15</f>
        <v>0</v>
      </c>
      <c r="G40" s="2512"/>
      <c r="H40" s="2512"/>
      <c r="I40" s="2512"/>
      <c r="J40" s="2498" t="s">
        <v>4522</v>
      </c>
      <c r="K40" s="2498"/>
      <c r="L40" s="2498">
        <f>'Part I-Project Information'!L15</f>
        <v>0</v>
      </c>
      <c r="M40" s="2498"/>
      <c r="N40" s="2498" t="s">
        <v>4521</v>
      </c>
      <c r="O40" s="2498"/>
      <c r="P40" s="2513">
        <f>'Part I-Project Information'!P15</f>
        <v>0</v>
      </c>
      <c r="Q40" s="2498"/>
      <c r="R40" s="2498"/>
      <c r="S40" s="2498"/>
      <c r="T40" s="2498"/>
      <c r="U40" s="2498"/>
    </row>
    <row r="41" spans="1:21" ht="13.8">
      <c r="A41" s="2499"/>
      <c r="B41" s="2498" t="s">
        <v>3608</v>
      </c>
      <c r="C41" s="2498"/>
      <c r="D41" s="2498"/>
      <c r="E41" s="2498"/>
      <c r="F41" s="2511">
        <f>'Part I-Project Information'!F16</f>
        <v>0</v>
      </c>
      <c r="G41" s="2498" t="s">
        <v>4459</v>
      </c>
      <c r="H41" s="2499"/>
      <c r="I41" s="2505"/>
      <c r="J41" s="2500"/>
      <c r="K41" s="2498"/>
      <c r="L41" s="2498"/>
      <c r="M41" s="2498"/>
      <c r="N41" s="2509" t="str">
        <f>'Part I-Project Information'!N16</f>
        <v>&lt;&lt; Select Designation &gt;&gt;</v>
      </c>
      <c r="O41" s="2509"/>
      <c r="P41" s="2509"/>
      <c r="Q41" s="2498"/>
      <c r="R41" s="2498"/>
      <c r="S41" s="2498"/>
      <c r="T41" s="2498"/>
      <c r="U41" s="2498"/>
    </row>
    <row r="42" spans="1:21" ht="13.8">
      <c r="A42" s="2498"/>
      <c r="B42" s="2498"/>
      <c r="C42" s="2498"/>
      <c r="D42" s="2498"/>
      <c r="E42" s="2498"/>
      <c r="F42" s="2498"/>
      <c r="G42" s="2498"/>
      <c r="H42" s="2498"/>
      <c r="I42" s="2506"/>
      <c r="J42" s="2506"/>
      <c r="K42" s="2506"/>
      <c r="L42" s="2506"/>
      <c r="M42" s="2506"/>
      <c r="N42" s="2506"/>
      <c r="O42" s="2506"/>
      <c r="P42" s="2506"/>
      <c r="Q42" s="2498"/>
      <c r="R42" s="2498"/>
      <c r="S42" s="2498"/>
      <c r="T42" s="2498"/>
      <c r="U42" s="2498"/>
    </row>
    <row r="43" spans="1:21" ht="13.8">
      <c r="A43" s="2500" t="s">
        <v>724</v>
      </c>
      <c r="B43" s="2498" t="s">
        <v>4121</v>
      </c>
      <c r="C43" s="2498"/>
      <c r="D43" s="2500"/>
      <c r="E43" s="2499"/>
      <c r="F43" s="2498"/>
      <c r="G43" s="2499"/>
      <c r="H43" s="2499"/>
      <c r="I43" s="2499"/>
      <c r="J43" s="2498"/>
      <c r="K43" s="2498"/>
      <c r="L43" s="2502"/>
      <c r="M43" s="2498"/>
      <c r="N43" s="2498"/>
      <c r="O43" s="2498"/>
      <c r="P43" s="2498"/>
      <c r="Q43" s="2498"/>
      <c r="R43" s="2498"/>
      <c r="S43" s="2498"/>
      <c r="T43" s="2498"/>
      <c r="U43" s="2498"/>
    </row>
    <row r="44" spans="1:21" ht="13.8">
      <c r="A44" s="2500"/>
      <c r="B44" s="2499"/>
      <c r="C44" s="2498"/>
      <c r="D44" s="2500"/>
      <c r="E44" s="2499"/>
      <c r="F44" s="2498"/>
      <c r="G44" s="2499"/>
      <c r="H44" s="2499"/>
      <c r="I44" s="2499"/>
      <c r="J44" s="2498"/>
      <c r="K44" s="2502"/>
      <c r="L44" s="2502"/>
      <c r="M44" s="2498"/>
      <c r="N44" s="2498"/>
      <c r="O44" s="2499"/>
      <c r="P44" s="2498"/>
      <c r="Q44" s="2498"/>
      <c r="R44" s="2498"/>
      <c r="S44" s="2498"/>
      <c r="T44" s="2498"/>
      <c r="U44" s="2498"/>
    </row>
    <row r="45" spans="1:21" ht="13.8">
      <c r="A45" s="2498"/>
      <c r="B45" s="2498" t="s">
        <v>3661</v>
      </c>
      <c r="C45" s="2498"/>
      <c r="D45" s="2498"/>
      <c r="E45" s="2498"/>
      <c r="F45" s="2498" t="str">
        <f>'Part I-Project Information'!F20</f>
        <v>Timshel Partners, LLC</v>
      </c>
      <c r="G45" s="2498"/>
      <c r="H45" s="2498"/>
      <c r="I45" s="2498" t="s">
        <v>1753</v>
      </c>
      <c r="J45" s="2498" t="str">
        <f>'Part I-Project Information'!J20</f>
        <v>Brian Waterfield</v>
      </c>
      <c r="K45" s="2498"/>
      <c r="L45" s="2498"/>
      <c r="M45" s="2500" t="s">
        <v>1933</v>
      </c>
      <c r="N45" s="2498" t="str">
        <f>'Part I-Project Information'!N20</f>
        <v>Manager of the Manager of the Other GP</v>
      </c>
      <c r="O45" s="2498"/>
      <c r="P45" s="2498"/>
      <c r="Q45" s="2498"/>
      <c r="R45" s="2498"/>
      <c r="S45" s="2498"/>
      <c r="T45" s="2498"/>
      <c r="U45" s="2498"/>
    </row>
    <row r="46" spans="1:21" ht="13.8" customHeight="1">
      <c r="A46" s="2498"/>
      <c r="B46" s="2500" t="s">
        <v>1934</v>
      </c>
      <c r="C46" s="2498"/>
      <c r="D46" s="2498"/>
      <c r="E46" s="2498"/>
      <c r="F46" s="2498" t="str">
        <f>'Part I-Project Information'!F21</f>
        <v>310 South Dillard Street, Suite 135</v>
      </c>
      <c r="G46" s="2498"/>
      <c r="H46" s="2498"/>
      <c r="I46" s="2498"/>
      <c r="J46" s="2498"/>
      <c r="K46" s="2498"/>
      <c r="L46" s="2498"/>
      <c r="M46" s="2509" t="s">
        <v>3660</v>
      </c>
      <c r="N46" s="2509"/>
      <c r="O46" s="2509"/>
      <c r="P46" s="2509"/>
      <c r="Q46" s="2498"/>
      <c r="R46" s="2498"/>
      <c r="S46" s="2498"/>
      <c r="T46" s="2498"/>
      <c r="U46" s="2498"/>
    </row>
    <row r="47" spans="1:21" ht="13.8">
      <c r="A47" s="2498"/>
      <c r="B47" s="2500" t="s">
        <v>600</v>
      </c>
      <c r="C47" s="2498"/>
      <c r="D47" s="2498"/>
      <c r="E47" s="2498"/>
      <c r="F47" s="2498" t="str">
        <f>'Part I-Project Information'!F22</f>
        <v>Winter Garden</v>
      </c>
      <c r="G47" s="2498"/>
      <c r="H47" s="2498"/>
      <c r="I47" s="2500" t="s">
        <v>1754</v>
      </c>
      <c r="J47" s="2514" t="str">
        <f>'Part I-Project Information'!J22</f>
        <v>FL</v>
      </c>
      <c r="K47" s="2498"/>
      <c r="L47" s="2498"/>
      <c r="M47" s="2509"/>
      <c r="N47" s="2509"/>
      <c r="O47" s="2509"/>
      <c r="P47" s="2509"/>
      <c r="Q47" s="2498"/>
      <c r="R47" s="2498"/>
      <c r="S47" s="2498"/>
      <c r="T47" s="2498"/>
      <c r="U47" s="2498"/>
    </row>
    <row r="48" spans="1:21" ht="13.8">
      <c r="A48" s="2498"/>
      <c r="B48" s="2500" t="s">
        <v>2173</v>
      </c>
      <c r="C48" s="2498"/>
      <c r="D48" s="2498"/>
      <c r="E48" s="2498"/>
      <c r="F48" s="2515">
        <f>'Part I-Project Information'!F23</f>
        <v>347870000</v>
      </c>
      <c r="G48" s="2515"/>
      <c r="H48" s="2515"/>
      <c r="I48" s="2500" t="s">
        <v>1678</v>
      </c>
      <c r="J48" s="2516">
        <f>'Part I-Project Information'!J23</f>
        <v>4074614651</v>
      </c>
      <c r="K48" s="2516"/>
      <c r="L48" s="2499" t="s">
        <v>1677</v>
      </c>
      <c r="M48" s="2499">
        <f>'Part I-Project Information'!M23</f>
        <v>0</v>
      </c>
      <c r="N48" s="2500" t="s">
        <v>1679</v>
      </c>
      <c r="O48" s="2516">
        <f>'Part I-Project Information'!O23</f>
        <v>4074614651</v>
      </c>
      <c r="P48" s="2516"/>
      <c r="Q48" s="2498"/>
      <c r="R48" s="2498"/>
      <c r="S48" s="2498"/>
      <c r="T48" s="2498"/>
      <c r="U48" s="2498"/>
    </row>
    <row r="49" spans="1:21" ht="13.8">
      <c r="A49" s="2498"/>
      <c r="B49" s="2500" t="s">
        <v>1937</v>
      </c>
      <c r="C49" s="2498"/>
      <c r="D49" s="2498"/>
      <c r="E49" s="2498"/>
      <c r="F49" s="2498" t="str">
        <f>'Part I-Project Information'!F24</f>
        <v>bwaterfield@timsheldevelopment.com</v>
      </c>
      <c r="G49" s="2498"/>
      <c r="H49" s="2498"/>
      <c r="I49" s="2498"/>
      <c r="J49" s="2498"/>
      <c r="K49" s="2498"/>
      <c r="L49" s="2498"/>
      <c r="M49" s="2498"/>
      <c r="N49" s="2500" t="s">
        <v>1932</v>
      </c>
      <c r="O49" s="2516">
        <f>'Part I-Project Information'!O24</f>
        <v>4074614651</v>
      </c>
      <c r="P49" s="2516"/>
      <c r="Q49" s="2498"/>
      <c r="R49" s="2498"/>
      <c r="S49" s="2498"/>
      <c r="T49" s="2498"/>
      <c r="U49" s="2498"/>
    </row>
    <row r="50" spans="1:21" ht="13.8">
      <c r="A50" s="2499"/>
      <c r="B50" s="2498" t="s">
        <v>4120</v>
      </c>
      <c r="C50" s="2506"/>
      <c r="D50" s="2498"/>
      <c r="E50" s="2498"/>
      <c r="F50" s="2498"/>
      <c r="G50" s="2498"/>
      <c r="H50" s="2499"/>
      <c r="I50" s="2498"/>
      <c r="J50" s="2506"/>
      <c r="K50" s="2498"/>
      <c r="L50" s="2498"/>
      <c r="M50" s="2498"/>
      <c r="N50" s="2498"/>
      <c r="O50" s="2498"/>
      <c r="P50" s="2517"/>
      <c r="Q50" s="2498"/>
      <c r="R50" s="2498"/>
      <c r="S50" s="2498"/>
      <c r="T50" s="2498"/>
      <c r="U50" s="2498"/>
    </row>
    <row r="51" spans="1:21" ht="13.8">
      <c r="A51" s="2498"/>
      <c r="B51" s="2498" t="s">
        <v>3661</v>
      </c>
      <c r="C51" s="2498"/>
      <c r="D51" s="2498"/>
      <c r="E51" s="2498"/>
      <c r="F51" s="2498" t="str">
        <f>'Part I-Project Information'!F26</f>
        <v>Parent GP, LLC</v>
      </c>
      <c r="G51" s="2498"/>
      <c r="H51" s="2498"/>
      <c r="I51" s="2498" t="s">
        <v>1753</v>
      </c>
      <c r="J51" s="2498" t="str">
        <f>'Part I-Project Information'!J26</f>
        <v>Brian Parent</v>
      </c>
      <c r="K51" s="2498"/>
      <c r="L51" s="2498"/>
      <c r="M51" s="2500" t="s">
        <v>1933</v>
      </c>
      <c r="N51" s="2498" t="str">
        <f>'Part I-Project Information'!N26</f>
        <v>Manager of the Manager of the Managing GP</v>
      </c>
      <c r="O51" s="2498"/>
      <c r="P51" s="2498"/>
      <c r="Q51" s="2498"/>
      <c r="R51" s="2498"/>
      <c r="S51" s="2498"/>
      <c r="T51" s="2498"/>
      <c r="U51" s="2498"/>
    </row>
    <row r="52" spans="1:21" ht="13.8" customHeight="1">
      <c r="A52" s="2498"/>
      <c r="B52" s="2500" t="s">
        <v>1934</v>
      </c>
      <c r="C52" s="2498"/>
      <c r="D52" s="2498"/>
      <c r="E52" s="2498"/>
      <c r="F52" s="2498" t="str">
        <f>'Part I-Project Information'!F27</f>
        <v>4110 Southpoint Blvd., Suite 206</v>
      </c>
      <c r="G52" s="2498"/>
      <c r="H52" s="2498"/>
      <c r="I52" s="2498"/>
      <c r="J52" s="2498"/>
      <c r="K52" s="2498"/>
      <c r="L52" s="2498"/>
      <c r="M52" s="2509" t="s">
        <v>3660</v>
      </c>
      <c r="N52" s="2509"/>
      <c r="O52" s="2509"/>
      <c r="P52" s="2509"/>
      <c r="Q52" s="2498"/>
      <c r="R52" s="2498"/>
      <c r="S52" s="2498"/>
      <c r="T52" s="2498"/>
      <c r="U52" s="2498"/>
    </row>
    <row r="53" spans="1:21" ht="13.8">
      <c r="A53" s="2498"/>
      <c r="B53" s="2500" t="s">
        <v>600</v>
      </c>
      <c r="C53" s="2498"/>
      <c r="D53" s="2498"/>
      <c r="E53" s="2498"/>
      <c r="F53" s="2498" t="str">
        <f>'Part I-Project Information'!F28</f>
        <v>Jacksonville</v>
      </c>
      <c r="G53" s="2498"/>
      <c r="H53" s="2498"/>
      <c r="I53" s="2500" t="s">
        <v>1754</v>
      </c>
      <c r="J53" s="2514" t="str">
        <f>'Part I-Project Information'!J28</f>
        <v>FL</v>
      </c>
      <c r="K53" s="2498"/>
      <c r="L53" s="2498"/>
      <c r="M53" s="2509"/>
      <c r="N53" s="2509"/>
      <c r="O53" s="2509"/>
      <c r="P53" s="2509"/>
      <c r="Q53" s="2498"/>
      <c r="R53" s="2498"/>
      <c r="S53" s="2498"/>
      <c r="T53" s="2498"/>
      <c r="U53" s="2498"/>
    </row>
    <row r="54" spans="1:21" ht="13.8">
      <c r="A54" s="2498"/>
      <c r="B54" s="2500" t="s">
        <v>2173</v>
      </c>
      <c r="C54" s="2498"/>
      <c r="D54" s="2498"/>
      <c r="E54" s="2498"/>
      <c r="F54" s="2515">
        <f>'Part I-Project Information'!F29</f>
        <v>322160927</v>
      </c>
      <c r="G54" s="2515"/>
      <c r="H54" s="2515"/>
      <c r="I54" s="2500" t="s">
        <v>1678</v>
      </c>
      <c r="J54" s="2516">
        <f>'Part I-Project Information'!J29</f>
        <v>9042790131</v>
      </c>
      <c r="K54" s="2516"/>
      <c r="L54" s="2499" t="s">
        <v>1677</v>
      </c>
      <c r="M54" s="2499">
        <f>'Part I-Project Information'!M29</f>
        <v>0</v>
      </c>
      <c r="N54" s="2500" t="s">
        <v>1679</v>
      </c>
      <c r="O54" s="2516">
        <f>'Part I-Project Information'!O29</f>
        <v>9042790131</v>
      </c>
      <c r="P54" s="2516"/>
      <c r="Q54" s="2498"/>
      <c r="R54" s="2498"/>
      <c r="S54" s="2498"/>
      <c r="T54" s="2498"/>
      <c r="U54" s="2498"/>
    </row>
    <row r="55" spans="1:21" ht="13.8">
      <c r="A55" s="2498"/>
      <c r="B55" s="2500" t="s">
        <v>1937</v>
      </c>
      <c r="C55" s="2498"/>
      <c r="D55" s="2498"/>
      <c r="E55" s="2498"/>
      <c r="F55" s="2498" t="str">
        <f>'Part I-Project Information'!F30</f>
        <v>bjparent@comcast.net</v>
      </c>
      <c r="G55" s="2498"/>
      <c r="H55" s="2498"/>
      <c r="I55" s="2498"/>
      <c r="J55" s="2498"/>
      <c r="K55" s="2498"/>
      <c r="L55" s="2498"/>
      <c r="M55" s="2498"/>
      <c r="N55" s="2500" t="s">
        <v>1932</v>
      </c>
      <c r="O55" s="2516">
        <f>'Part I-Project Information'!O30</f>
        <v>9046730639</v>
      </c>
      <c r="P55" s="2516"/>
      <c r="Q55" s="2498"/>
      <c r="R55" s="2498"/>
      <c r="S55" s="2498"/>
      <c r="T55" s="2498"/>
      <c r="U55" s="2498"/>
    </row>
    <row r="56" spans="1:21" ht="13.8">
      <c r="A56" s="2499"/>
      <c r="B56" s="2499"/>
      <c r="C56" s="2506"/>
      <c r="D56" s="2498"/>
      <c r="E56" s="2498"/>
      <c r="F56" s="2498"/>
      <c r="G56" s="2498"/>
      <c r="H56" s="2499"/>
      <c r="I56" s="2498"/>
      <c r="J56" s="2506"/>
      <c r="K56" s="2498"/>
      <c r="L56" s="2498"/>
      <c r="M56" s="2498"/>
      <c r="N56" s="2498"/>
      <c r="O56" s="2498"/>
      <c r="P56" s="2517"/>
      <c r="Q56" s="2498"/>
      <c r="R56" s="2498"/>
      <c r="S56" s="2498"/>
      <c r="T56" s="2498"/>
      <c r="U56" s="2498"/>
    </row>
    <row r="57" spans="1:21" ht="13.8">
      <c r="A57" s="2500" t="s">
        <v>1748</v>
      </c>
      <c r="B57" s="2498" t="s">
        <v>1443</v>
      </c>
      <c r="C57" s="2498"/>
      <c r="D57" s="2506"/>
      <c r="E57" s="2499"/>
      <c r="F57" s="2499"/>
      <c r="G57" s="2500"/>
      <c r="H57" s="2499"/>
      <c r="I57" s="2499"/>
      <c r="J57" s="2499"/>
      <c r="K57" s="2498"/>
      <c r="L57" s="2502"/>
      <c r="M57" s="2502"/>
      <c r="N57" s="2498"/>
      <c r="O57" s="2498"/>
      <c r="P57" s="2498"/>
      <c r="Q57" s="2498"/>
      <c r="R57" s="2498"/>
      <c r="S57" s="2498"/>
      <c r="T57" s="2498"/>
      <c r="U57" s="2498"/>
    </row>
    <row r="58" spans="1:21" ht="13.8">
      <c r="A58" s="2500"/>
      <c r="B58" s="2498"/>
      <c r="C58" s="2498"/>
      <c r="D58" s="2506"/>
      <c r="E58" s="2499"/>
      <c r="F58" s="2499"/>
      <c r="G58" s="2500"/>
      <c r="H58" s="2499"/>
      <c r="I58" s="2499"/>
      <c r="J58" s="2499"/>
      <c r="K58" s="2498"/>
      <c r="L58" s="2502"/>
      <c r="M58" s="2498"/>
      <c r="N58" s="2498"/>
      <c r="O58" s="2498"/>
      <c r="P58" s="2498"/>
      <c r="Q58" s="2498"/>
      <c r="R58" s="2498"/>
      <c r="S58" s="2498"/>
      <c r="T58" s="2498"/>
      <c r="U58" s="2498"/>
    </row>
    <row r="59" spans="1:21" ht="13.8">
      <c r="A59" s="2498"/>
      <c r="B59" s="2498" t="s">
        <v>599</v>
      </c>
      <c r="C59" s="2498"/>
      <c r="D59" s="2498"/>
      <c r="E59" s="2498"/>
      <c r="F59" s="2512" t="str">
        <f>'Part I-Project Information'!F34</f>
        <v>Lakeview Terrace</v>
      </c>
      <c r="G59" s="2512"/>
      <c r="H59" s="2512"/>
      <c r="I59" s="2512"/>
      <c r="J59" s="2512"/>
      <c r="K59" s="2512"/>
      <c r="L59" s="2500" t="s">
        <v>2142</v>
      </c>
      <c r="M59" s="2498"/>
      <c r="N59" s="2498"/>
      <c r="O59" s="2498" t="str">
        <f>'Part I-Project Information'!O34</f>
        <v>No</v>
      </c>
      <c r="P59" s="2498"/>
      <c r="Q59" s="2498"/>
      <c r="R59" s="2498"/>
      <c r="S59" s="2498"/>
      <c r="T59" s="2498"/>
      <c r="U59" s="2498"/>
    </row>
    <row r="60" spans="1:21" ht="13.8">
      <c r="A60" s="2502"/>
      <c r="B60" s="2498" t="s">
        <v>2620</v>
      </c>
      <c r="C60" s="2498"/>
      <c r="D60" s="2502"/>
      <c r="E60" s="2498"/>
      <c r="F60" s="2512" t="str">
        <f>'Part I-Project Information'!F35</f>
        <v>2470 Grodon Hwy.</v>
      </c>
      <c r="G60" s="2512"/>
      <c r="H60" s="2512"/>
      <c r="I60" s="2512"/>
      <c r="J60" s="2512"/>
      <c r="K60" s="2512"/>
      <c r="L60" s="2498" t="s">
        <v>3510</v>
      </c>
      <c r="M60" s="2498"/>
      <c r="N60" s="2498"/>
      <c r="O60" s="2498">
        <f>'Part I-Project Information'!O35</f>
        <v>0</v>
      </c>
      <c r="P60" s="2498"/>
      <c r="Q60" s="2498"/>
      <c r="R60" s="2498"/>
      <c r="S60" s="2498"/>
      <c r="T60" s="2498"/>
      <c r="U60" s="2498"/>
    </row>
    <row r="61" spans="1:21" ht="13.8">
      <c r="A61" s="2502"/>
      <c r="B61" s="2498" t="s">
        <v>6841</v>
      </c>
      <c r="C61" s="2498"/>
      <c r="D61" s="2502"/>
      <c r="E61" s="2498"/>
      <c r="F61" s="2512">
        <f>'Part I-Project Information'!F36</f>
        <v>0</v>
      </c>
      <c r="G61" s="2512"/>
      <c r="H61" s="2512"/>
      <c r="I61" s="2512"/>
      <c r="J61" s="2512"/>
      <c r="K61" s="2512"/>
      <c r="L61" s="2500" t="s">
        <v>2002</v>
      </c>
      <c r="M61" s="2498"/>
      <c r="N61" s="2499" t="str">
        <f>'Part I-Project Information'!N36</f>
        <v>No</v>
      </c>
      <c r="O61" s="2499" t="s">
        <v>3509</v>
      </c>
      <c r="P61" s="2499">
        <f>'Part I-Project Information'!P36</f>
        <v>0</v>
      </c>
      <c r="Q61" s="2498"/>
      <c r="R61" s="2498"/>
      <c r="S61" s="2498"/>
      <c r="T61" s="2498"/>
      <c r="U61" s="2498"/>
    </row>
    <row r="62" spans="1:21" ht="13.8">
      <c r="A62" s="2502"/>
      <c r="B62" s="2498" t="s">
        <v>3556</v>
      </c>
      <c r="C62" s="2498"/>
      <c r="D62" s="2502"/>
      <c r="E62" s="2498"/>
      <c r="F62" s="2498" t="s">
        <v>3539</v>
      </c>
      <c r="G62" s="2518">
        <f>'Part I-Project Information'!G37</f>
        <v>33.438645000000001</v>
      </c>
      <c r="H62" s="2518"/>
      <c r="I62" s="2499" t="s">
        <v>3540</v>
      </c>
      <c r="J62" s="2518">
        <f>'Part I-Project Information'!J37</f>
        <v>-82.109924000000007</v>
      </c>
      <c r="K62" s="2518"/>
      <c r="L62" s="2500" t="s">
        <v>2225</v>
      </c>
      <c r="M62" s="2498"/>
      <c r="N62" s="2498"/>
      <c r="O62" s="2519">
        <f>'Part I-Project Information'!O37</f>
        <v>32.26</v>
      </c>
      <c r="P62" s="2519"/>
      <c r="Q62" s="2498"/>
      <c r="R62" s="2498"/>
      <c r="S62" s="2498"/>
      <c r="T62" s="2498"/>
      <c r="U62" s="2498"/>
    </row>
    <row r="63" spans="1:21" ht="14.4">
      <c r="A63" s="2499"/>
      <c r="B63" s="2498" t="s">
        <v>600</v>
      </c>
      <c r="C63" s="2498"/>
      <c r="D63" s="2498"/>
      <c r="E63" s="2498"/>
      <c r="F63" s="2498" t="str">
        <f>'Part I-Project Information'!F38</f>
        <v>Augusta</v>
      </c>
      <c r="G63" s="2498"/>
      <c r="H63" s="2498"/>
      <c r="I63" s="2520" t="s">
        <v>6965</v>
      </c>
      <c r="J63" s="2515">
        <f>'Part I-Project Information'!J38</f>
        <v>309090000</v>
      </c>
      <c r="K63" s="2515"/>
      <c r="L63" s="2498" t="str">
        <f>IF(AND(NOT(F59=""),NOT(F63="Select from list"),J63=""),"Enter Zip!","")</f>
        <v/>
      </c>
      <c r="M63" s="2521" t="s">
        <v>2803</v>
      </c>
      <c r="N63" s="2498"/>
      <c r="O63" s="2522" t="str">
        <f>'Part I-Project Information'!O38</f>
        <v>105.04</v>
      </c>
      <c r="P63" s="2512"/>
      <c r="Q63" s="2498"/>
      <c r="R63" s="2498"/>
      <c r="S63" s="2498"/>
      <c r="T63" s="2498"/>
      <c r="U63" s="2498"/>
    </row>
    <row r="64" spans="1:21" ht="13.8">
      <c r="A64" s="2499"/>
      <c r="B64" s="2498" t="s">
        <v>4497</v>
      </c>
      <c r="C64" s="2498"/>
      <c r="D64" s="2498"/>
      <c r="E64" s="2498"/>
      <c r="F64" s="2498" t="str">
        <f>'Part I-Project Information'!F39</f>
        <v>Consolidated Government</v>
      </c>
      <c r="G64" s="2498"/>
      <c r="H64" s="2498"/>
      <c r="I64" s="2523" t="s">
        <v>601</v>
      </c>
      <c r="J64" s="2512" t="str">
        <f>'Part I-Project Information'!J39</f>
        <v>Richmond</v>
      </c>
      <c r="K64" s="2512"/>
      <c r="L64" s="2498"/>
      <c r="M64" s="2500" t="s">
        <v>442</v>
      </c>
      <c r="N64" s="2513" t="str">
        <f>'Part I-Project Information'!N39</f>
        <v>Yes</v>
      </c>
      <c r="O64" s="2499" t="s">
        <v>443</v>
      </c>
      <c r="P64" s="2513" t="str">
        <f>'Part I-Project Information'!P39</f>
        <v>No</v>
      </c>
      <c r="Q64" s="2498"/>
      <c r="R64" s="2498"/>
      <c r="S64" s="2498"/>
      <c r="T64" s="2498"/>
      <c r="U64" s="2498"/>
    </row>
    <row r="65" spans="1:21" ht="13.8">
      <c r="A65" s="2499"/>
      <c r="B65" s="2498"/>
      <c r="C65" s="2498" t="s">
        <v>1525</v>
      </c>
      <c r="D65" s="2498"/>
      <c r="E65" s="2498"/>
      <c r="F65" s="2500" t="str">
        <f>'Part I-Project Information'!F40</f>
        <v>No</v>
      </c>
      <c r="G65" s="2498" t="s">
        <v>2690</v>
      </c>
      <c r="H65" s="2498"/>
      <c r="I65" s="2499" t="str">
        <f>'Part I-Project Information'!I40</f>
        <v>No</v>
      </c>
      <c r="J65" s="2499" t="s">
        <v>2708</v>
      </c>
      <c r="K65" s="2499" t="str">
        <f>'Part I-Project Information'!K40</f>
        <v>Urban</v>
      </c>
      <c r="L65" s="2498"/>
      <c r="M65" s="2500" t="s">
        <v>2544</v>
      </c>
      <c r="N65" s="2499" t="str">
        <f>'Part I-Project Information'!N40</f>
        <v>MSA</v>
      </c>
      <c r="O65" s="2498" t="str">
        <f>'Part I-Project Information'!O40</f>
        <v>Augusta-Richmond Co.</v>
      </c>
      <c r="P65" s="2498"/>
      <c r="Q65" s="2498"/>
      <c r="R65" s="2498"/>
      <c r="S65" s="2498"/>
      <c r="T65" s="2498"/>
      <c r="U65" s="2498"/>
    </row>
    <row r="66" spans="1:21" ht="13.8">
      <c r="A66" s="2499"/>
      <c r="B66" s="2498"/>
      <c r="C66" s="2498"/>
      <c r="D66" s="2498"/>
      <c r="E66" s="2498"/>
      <c r="F66" s="2498"/>
      <c r="G66" s="2498"/>
      <c r="H66" s="2498"/>
      <c r="I66" s="2500"/>
      <c r="J66" s="2498"/>
      <c r="K66" s="2498"/>
      <c r="L66" s="2513"/>
      <c r="M66" s="2513"/>
      <c r="N66" s="2513"/>
      <c r="O66" s="2513"/>
      <c r="P66" s="2513"/>
      <c r="Q66" s="2498"/>
      <c r="R66" s="2498"/>
      <c r="S66" s="2498"/>
      <c r="T66" s="2498"/>
      <c r="U66" s="2498"/>
    </row>
    <row r="67" spans="1:21" ht="13.8">
      <c r="A67" s="2499"/>
      <c r="B67" s="2498"/>
      <c r="C67" s="2498" t="s">
        <v>6966</v>
      </c>
      <c r="D67" s="2498"/>
      <c r="E67" s="2498"/>
      <c r="F67" s="2506" t="s">
        <v>2673</v>
      </c>
      <c r="G67" s="2506"/>
      <c r="H67" s="2498" t="s">
        <v>718</v>
      </c>
      <c r="I67" s="2498"/>
      <c r="J67" s="2498" t="s">
        <v>719</v>
      </c>
      <c r="K67" s="2498"/>
      <c r="L67" s="2524" t="s">
        <v>6967</v>
      </c>
      <c r="M67" s="2498"/>
      <c r="N67" s="2498"/>
      <c r="O67" s="2498"/>
      <c r="P67" s="2498"/>
      <c r="Q67" s="2498"/>
      <c r="R67" s="2498"/>
      <c r="S67" s="2498"/>
      <c r="T67" s="2498"/>
      <c r="U67" s="2498"/>
    </row>
    <row r="68" spans="1:21" ht="13.8">
      <c r="A68" s="2499"/>
      <c r="B68" s="2498" t="s">
        <v>6842</v>
      </c>
      <c r="C68" s="2498"/>
      <c r="D68" s="2498"/>
      <c r="E68" s="2498"/>
      <c r="F68" s="2525">
        <f>'Part I-Project Information'!F43</f>
        <v>12</v>
      </c>
      <c r="G68" s="2525"/>
      <c r="H68" s="2525">
        <f>'Part I-Project Information'!H43</f>
        <v>22</v>
      </c>
      <c r="I68" s="2525"/>
      <c r="J68" s="2525">
        <f>'Part I-Project Information'!J43</f>
        <v>127</v>
      </c>
      <c r="K68" s="2525"/>
      <c r="L68" s="2505" t="s">
        <v>1257</v>
      </c>
      <c r="M68" s="2498"/>
      <c r="N68" s="2526" t="s">
        <v>1258</v>
      </c>
      <c r="O68" s="2526"/>
      <c r="P68" s="2526"/>
      <c r="Q68" s="2498"/>
      <c r="R68" s="2498"/>
      <c r="S68" s="2498"/>
      <c r="T68" s="2498"/>
      <c r="U68" s="2498"/>
    </row>
    <row r="69" spans="1:21" ht="13.8">
      <c r="A69" s="2499"/>
      <c r="B69" s="2500" t="s">
        <v>720</v>
      </c>
      <c r="C69" s="2498"/>
      <c r="D69" s="2498"/>
      <c r="E69" s="2498"/>
      <c r="F69" s="2525">
        <f>'Part I-Project Information'!F44</f>
        <v>0</v>
      </c>
      <c r="G69" s="2525"/>
      <c r="H69" s="2525">
        <f>'Part I-Project Information'!H44</f>
        <v>0</v>
      </c>
      <c r="I69" s="2525"/>
      <c r="J69" s="2525">
        <f>'Part I-Project Information'!J44</f>
        <v>0</v>
      </c>
      <c r="K69" s="2525"/>
      <c r="L69" s="2505" t="s">
        <v>2671</v>
      </c>
      <c r="M69" s="2498"/>
      <c r="N69" s="2527" t="s">
        <v>2670</v>
      </c>
      <c r="O69" s="2527"/>
      <c r="P69" s="2498"/>
      <c r="Q69" s="2498"/>
      <c r="R69" s="2498"/>
      <c r="S69" s="2498"/>
      <c r="T69" s="2498"/>
      <c r="U69" s="2498"/>
    </row>
    <row r="70" spans="1:21" ht="13.8">
      <c r="A70" s="2499"/>
      <c r="B70" s="2498"/>
      <c r="C70" s="2498"/>
      <c r="D70" s="2498"/>
      <c r="E70" s="2498"/>
      <c r="F70" s="2498"/>
      <c r="G70" s="2498"/>
      <c r="H70" s="2498"/>
      <c r="I70" s="2513"/>
      <c r="J70" s="2513"/>
      <c r="K70" s="2513"/>
      <c r="L70" s="2498"/>
      <c r="M70" s="2498"/>
      <c r="N70" s="2498"/>
      <c r="O70" s="2498"/>
      <c r="P70" s="2498"/>
      <c r="Q70" s="2498"/>
      <c r="R70" s="2498"/>
      <c r="S70" s="2498"/>
      <c r="T70" s="2498"/>
      <c r="U70" s="2498"/>
    </row>
    <row r="71" spans="1:21" ht="13.8">
      <c r="A71" s="2499"/>
      <c r="B71" s="2498" t="s">
        <v>619</v>
      </c>
      <c r="C71" s="2498"/>
      <c r="D71" s="2498"/>
      <c r="E71" s="2498"/>
      <c r="F71" s="2528" t="str">
        <f>'Part I-Project Information'!F46</f>
        <v>Augusta-Richmond County</v>
      </c>
      <c r="G71" s="2528"/>
      <c r="H71" s="2528"/>
      <c r="I71" s="2528"/>
      <c r="J71" s="2528"/>
      <c r="K71" s="2528"/>
      <c r="L71" s="2529" t="s">
        <v>2625</v>
      </c>
      <c r="M71" s="2498" t="str">
        <f>'Part I-Project Information'!M46</f>
        <v>https://www.augustaga.gov/2005/Meet-Mayor-Hardie-Davis</v>
      </c>
      <c r="N71" s="2498"/>
      <c r="O71" s="2498"/>
      <c r="P71" s="2498"/>
      <c r="Q71" s="2498"/>
      <c r="R71" s="2498"/>
      <c r="S71" s="2498"/>
      <c r="T71" s="2498"/>
      <c r="U71" s="2498"/>
    </row>
    <row r="72" spans="1:21" ht="13.8">
      <c r="A72" s="2499"/>
      <c r="B72" s="2498" t="s">
        <v>620</v>
      </c>
      <c r="C72" s="2498"/>
      <c r="D72" s="2498"/>
      <c r="E72" s="2498"/>
      <c r="F72" s="2528" t="str">
        <f>'Part I-Project Information'!F47</f>
        <v>Mayor Hardie Davis</v>
      </c>
      <c r="G72" s="2528"/>
      <c r="H72" s="2528"/>
      <c r="I72" s="2499" t="s">
        <v>1933</v>
      </c>
      <c r="J72" s="2498" t="str">
        <f>'Part I-Project Information'!J47</f>
        <v>Mayor</v>
      </c>
      <c r="K72" s="2498"/>
      <c r="L72" s="2529"/>
      <c r="M72" s="2498"/>
      <c r="N72" s="2498"/>
      <c r="O72" s="2498"/>
      <c r="P72" s="2498"/>
      <c r="Q72" s="2498"/>
      <c r="R72" s="2498"/>
      <c r="S72" s="2498"/>
      <c r="T72" s="2498"/>
      <c r="U72" s="2498"/>
    </row>
    <row r="73" spans="1:21" ht="13.8">
      <c r="A73" s="2499"/>
      <c r="B73" s="2498" t="s">
        <v>1934</v>
      </c>
      <c r="C73" s="2498"/>
      <c r="D73" s="2498"/>
      <c r="E73" s="2498"/>
      <c r="F73" s="2528" t="str">
        <f>'Part I-Project Information'!F48</f>
        <v>535 Telfair Street</v>
      </c>
      <c r="G73" s="2528"/>
      <c r="H73" s="2528"/>
      <c r="I73" s="2528"/>
      <c r="J73" s="2528"/>
      <c r="K73" s="2528"/>
      <c r="L73" s="2500" t="s">
        <v>600</v>
      </c>
      <c r="M73" s="2528" t="str">
        <f>'Part I-Project Information'!M48</f>
        <v>Augusta</v>
      </c>
      <c r="N73" s="2528"/>
      <c r="O73" s="2528"/>
      <c r="P73" s="2528"/>
      <c r="Q73" s="2498"/>
      <c r="R73" s="2498"/>
      <c r="S73" s="2498"/>
      <c r="T73" s="2498"/>
      <c r="U73" s="2498"/>
    </row>
    <row r="74" spans="1:21" ht="13.8">
      <c r="A74" s="2499"/>
      <c r="B74" s="2500" t="s">
        <v>2173</v>
      </c>
      <c r="C74" s="2498"/>
      <c r="D74" s="2498"/>
      <c r="E74" s="2498"/>
      <c r="F74" s="2515">
        <f>'Part I-Project Information'!F49</f>
        <v>309010000</v>
      </c>
      <c r="G74" s="2515"/>
      <c r="H74" s="2499" t="s">
        <v>1935</v>
      </c>
      <c r="I74" s="2516">
        <f>'Part I-Project Information'!I49</f>
        <v>7068212300</v>
      </c>
      <c r="J74" s="2516"/>
      <c r="K74" s="2516"/>
      <c r="L74" s="2500" t="s">
        <v>1755</v>
      </c>
      <c r="M74" s="2528" t="str">
        <f>'Part I-Project Information'!M49</f>
        <v>mayordavis@augustaga.gov</v>
      </c>
      <c r="N74" s="2528"/>
      <c r="O74" s="2528"/>
      <c r="P74" s="2528"/>
      <c r="Q74" s="2498"/>
      <c r="R74" s="2498"/>
      <c r="S74" s="2498"/>
      <c r="T74" s="2498"/>
      <c r="U74" s="2498"/>
    </row>
    <row r="75" spans="1:21" ht="13.8">
      <c r="A75" s="2499"/>
      <c r="B75" s="2499"/>
      <c r="C75" s="2520"/>
      <c r="D75" s="2520"/>
      <c r="E75" s="2520"/>
      <c r="F75" s="2499"/>
      <c r="G75" s="2499"/>
      <c r="H75" s="2499"/>
      <c r="I75" s="2499"/>
      <c r="J75" s="2520"/>
      <c r="K75" s="2499"/>
      <c r="L75" s="2499"/>
      <c r="M75" s="2498"/>
      <c r="N75" s="2498"/>
      <c r="O75" s="2498"/>
      <c r="P75" s="2517"/>
      <c r="Q75" s="2498"/>
      <c r="R75" s="2498"/>
      <c r="S75" s="2498"/>
      <c r="T75" s="2498"/>
      <c r="U75" s="2498"/>
    </row>
    <row r="76" spans="1:21" ht="13.8">
      <c r="A76" s="2500" t="s">
        <v>1750</v>
      </c>
      <c r="B76" s="2498" t="s">
        <v>1444</v>
      </c>
      <c r="C76" s="2498"/>
      <c r="D76" s="2498"/>
      <c r="E76" s="2498"/>
      <c r="F76" s="2505"/>
      <c r="G76" s="2498"/>
      <c r="H76" s="2498"/>
      <c r="I76" s="2500"/>
      <c r="J76" s="2498"/>
      <c r="K76" s="2498"/>
      <c r="L76" s="2498"/>
      <c r="M76" s="2498"/>
      <c r="N76" s="2498"/>
      <c r="O76" s="2498"/>
      <c r="P76" s="2498"/>
      <c r="Q76" s="2498"/>
      <c r="R76" s="2498"/>
      <c r="S76" s="2498"/>
      <c r="T76" s="2498"/>
      <c r="U76" s="2498"/>
    </row>
    <row r="77" spans="1:21" ht="13.8">
      <c r="A77" s="2499"/>
      <c r="B77" s="2498"/>
      <c r="C77" s="2498"/>
      <c r="D77" s="2498"/>
      <c r="E77" s="2498"/>
      <c r="F77" s="2498"/>
      <c r="G77" s="2498"/>
      <c r="H77" s="2498"/>
      <c r="I77" s="2500"/>
      <c r="J77" s="2498"/>
      <c r="K77" s="2498"/>
      <c r="L77" s="2498"/>
      <c r="M77" s="2498"/>
      <c r="N77" s="2498"/>
      <c r="O77" s="2498"/>
      <c r="P77" s="2498"/>
      <c r="Q77" s="2498"/>
      <c r="R77" s="2498"/>
      <c r="S77" s="2498"/>
      <c r="T77" s="2498"/>
      <c r="U77" s="2498"/>
    </row>
    <row r="78" spans="1:21" ht="13.8">
      <c r="A78" s="2499"/>
      <c r="B78" s="2499" t="s">
        <v>1936</v>
      </c>
      <c r="C78" s="2498" t="s">
        <v>6843</v>
      </c>
      <c r="D78" s="2498"/>
      <c r="E78" s="2498"/>
      <c r="F78" s="2498"/>
      <c r="G78" s="2498"/>
      <c r="H78" s="2498"/>
      <c r="I78" s="2498"/>
      <c r="J78" s="2498"/>
      <c r="K78" s="2505"/>
      <c r="L78" s="2498"/>
      <c r="M78" s="2526"/>
      <c r="N78" s="2526"/>
      <c r="O78" s="2526"/>
      <c r="P78" s="2526"/>
      <c r="Q78" s="2499"/>
      <c r="R78" s="2498"/>
      <c r="S78" s="2498"/>
      <c r="T78" s="2498"/>
      <c r="U78" s="2498"/>
    </row>
    <row r="79" spans="1:21" ht="13.8">
      <c r="A79" s="2506"/>
      <c r="B79" s="2499"/>
      <c r="C79" s="2498" t="s">
        <v>2237</v>
      </c>
      <c r="D79" s="2498"/>
      <c r="E79" s="2498"/>
      <c r="F79" s="2506"/>
      <c r="G79" s="2506"/>
      <c r="H79" s="2530">
        <f>'Part I-Project Information'!H54</f>
        <v>200</v>
      </c>
      <c r="I79" s="2506"/>
      <c r="J79" s="2506"/>
      <c r="K79" s="2500" t="s">
        <v>3502</v>
      </c>
      <c r="L79" s="2498"/>
      <c r="M79" s="2531" t="s">
        <v>3501</v>
      </c>
      <c r="N79" s="2530">
        <f>'Part I-Project Information'!N54</f>
        <v>0</v>
      </c>
      <c r="O79" s="2532" t="s">
        <v>3251</v>
      </c>
      <c r="P79" s="2530">
        <f>'Part I-Project Information'!P54</f>
        <v>0</v>
      </c>
      <c r="Q79" s="2499"/>
      <c r="R79" s="2506"/>
      <c r="S79" s="2506"/>
      <c r="T79" s="2506"/>
      <c r="U79" s="2506"/>
    </row>
    <row r="80" spans="1:21" ht="13.8">
      <c r="A80" s="2499"/>
      <c r="B80" s="2499"/>
      <c r="C80" s="2533" t="s">
        <v>342</v>
      </c>
      <c r="D80" s="2498"/>
      <c r="E80" s="2498"/>
      <c r="F80" s="2498"/>
      <c r="G80" s="2498"/>
      <c r="H80" s="2530">
        <f>'Part I-Project Information'!H55</f>
        <v>0</v>
      </c>
      <c r="I80" s="2498"/>
      <c r="J80" s="2498"/>
      <c r="K80" s="2533" t="s">
        <v>360</v>
      </c>
      <c r="L80" s="2498"/>
      <c r="M80" s="2498"/>
      <c r="N80" s="2498"/>
      <c r="O80" s="2498"/>
      <c r="P80" s="2530">
        <f>'Part I-Project Information'!P55</f>
        <v>0</v>
      </c>
      <c r="Q80" s="2498"/>
      <c r="R80" s="2498"/>
      <c r="S80" s="2498"/>
      <c r="T80" s="2498"/>
      <c r="U80" s="2498"/>
    </row>
    <row r="81" spans="1:21" ht="13.8">
      <c r="A81" s="2498"/>
      <c r="B81" s="2499"/>
      <c r="C81" s="2500" t="s">
        <v>341</v>
      </c>
      <c r="D81" s="2498"/>
      <c r="E81" s="2498"/>
      <c r="F81" s="2498"/>
      <c r="G81" s="2498"/>
      <c r="H81" s="2530">
        <f>'Part I-Project Information'!H56</f>
        <v>0</v>
      </c>
      <c r="I81" s="2534" t="s">
        <v>2807</v>
      </c>
      <c r="J81" s="2498"/>
      <c r="K81" s="2498" t="s">
        <v>343</v>
      </c>
      <c r="L81" s="2498"/>
      <c r="M81" s="2498"/>
      <c r="N81" s="2498"/>
      <c r="O81" s="2498"/>
      <c r="P81" s="2535">
        <f>'Part I-Project Information'!P56</f>
        <v>0</v>
      </c>
      <c r="Q81" s="2499"/>
      <c r="R81" s="2498"/>
      <c r="S81" s="2498"/>
      <c r="T81" s="2498"/>
      <c r="U81" s="2498"/>
    </row>
    <row r="82" spans="1:21" ht="13.8">
      <c r="A82" s="2499"/>
      <c r="B82" s="2498"/>
      <c r="C82" s="2498"/>
      <c r="D82" s="2498"/>
      <c r="E82" s="2498"/>
      <c r="F82" s="2498"/>
      <c r="G82" s="2498"/>
      <c r="H82" s="2498"/>
      <c r="I82" s="2498"/>
      <c r="J82" s="2498"/>
      <c r="K82" s="2498"/>
      <c r="L82" s="2498"/>
      <c r="M82" s="2498"/>
      <c r="N82" s="2498"/>
      <c r="O82" s="2498"/>
      <c r="P82" s="2498"/>
      <c r="Q82" s="2498"/>
      <c r="R82" s="2498"/>
      <c r="S82" s="2498"/>
      <c r="T82" s="2498"/>
      <c r="U82" s="2498"/>
    </row>
    <row r="83" spans="1:21" ht="13.8">
      <c r="A83" s="2499"/>
      <c r="B83" s="2499" t="s">
        <v>1938</v>
      </c>
      <c r="C83" s="2498" t="s">
        <v>2238</v>
      </c>
      <c r="D83" s="2498"/>
      <c r="E83" s="2498"/>
      <c r="F83" s="2498"/>
      <c r="G83" s="2498"/>
      <c r="H83" s="2499" t="str">
        <f>'Part I-Project Information'!H58</f>
        <v>No</v>
      </c>
      <c r="I83" s="2498"/>
      <c r="J83" s="2498"/>
      <c r="K83" s="2498"/>
      <c r="L83" s="2498"/>
      <c r="M83" s="2498"/>
      <c r="N83" s="2498"/>
      <c r="O83" s="2526"/>
      <c r="P83" s="2505"/>
      <c r="Q83" s="2498"/>
      <c r="R83" s="2498"/>
      <c r="S83" s="2498"/>
      <c r="T83" s="2498"/>
      <c r="U83" s="2498"/>
    </row>
    <row r="84" spans="1:21" ht="13.8">
      <c r="A84" s="2499"/>
      <c r="B84" s="2498"/>
      <c r="C84" s="2498"/>
      <c r="D84" s="2498"/>
      <c r="E84" s="2498"/>
      <c r="F84" s="2498"/>
      <c r="G84" s="2498"/>
      <c r="H84" s="2498"/>
      <c r="I84" s="2498"/>
      <c r="J84" s="2505"/>
      <c r="K84" s="2536"/>
      <c r="L84" s="2505"/>
      <c r="M84" s="2536"/>
      <c r="N84" s="2536"/>
      <c r="O84" s="2536"/>
      <c r="P84" s="2536"/>
      <c r="Q84" s="2498"/>
      <c r="R84" s="2498"/>
      <c r="S84" s="2498"/>
      <c r="T84" s="2498"/>
      <c r="U84" s="2498"/>
    </row>
    <row r="85" spans="1:21" ht="13.8">
      <c r="A85" s="2499"/>
      <c r="B85" s="2502" t="s">
        <v>731</v>
      </c>
      <c r="C85" s="2498" t="s">
        <v>2218</v>
      </c>
      <c r="D85" s="2498"/>
      <c r="E85" s="2498"/>
      <c r="F85" s="2498"/>
      <c r="G85" s="2498"/>
      <c r="H85" s="2498"/>
      <c r="I85" s="2520" t="s">
        <v>3434</v>
      </c>
      <c r="J85" s="2502" t="s">
        <v>2065</v>
      </c>
      <c r="K85" s="2506" t="s">
        <v>2243</v>
      </c>
      <c r="L85" s="2498"/>
      <c r="M85" s="2498"/>
      <c r="N85" s="2498"/>
      <c r="O85" s="2498"/>
      <c r="P85" s="2499"/>
      <c r="Q85" s="2499"/>
      <c r="R85" s="2499"/>
      <c r="S85" s="2498"/>
      <c r="T85" s="2498"/>
      <c r="U85" s="2498"/>
    </row>
    <row r="86" spans="1:21" ht="13.8">
      <c r="A86" s="2499"/>
      <c r="B86" s="2514"/>
      <c r="C86" s="2506" t="s">
        <v>2219</v>
      </c>
      <c r="D86" s="2498"/>
      <c r="E86" s="2498"/>
      <c r="F86" s="2498"/>
      <c r="G86" s="2498"/>
      <c r="H86" s="2537">
        <f>SUM(H87:H93)</f>
        <v>200</v>
      </c>
      <c r="I86" s="2537">
        <f>SUM(I87:I93)</f>
        <v>0</v>
      </c>
      <c r="J86" s="2499"/>
      <c r="K86" s="2506" t="s">
        <v>2682</v>
      </c>
      <c r="L86" s="2498"/>
      <c r="M86" s="2498"/>
      <c r="N86" s="2498"/>
      <c r="O86" s="2498"/>
      <c r="P86" s="2537">
        <f>SUM(P87:P93)</f>
        <v>222230</v>
      </c>
      <c r="Q86" s="2498"/>
      <c r="R86" s="2498"/>
      <c r="S86" s="2498"/>
      <c r="T86" s="2498"/>
      <c r="U86" s="2498"/>
    </row>
    <row r="87" spans="1:21" ht="13.8">
      <c r="A87" s="2499"/>
      <c r="B87" s="2514"/>
      <c r="C87" s="2506"/>
      <c r="D87" s="2506" t="s">
        <v>4222</v>
      </c>
      <c r="E87" s="2498"/>
      <c r="F87" s="2498"/>
      <c r="G87" s="2498"/>
      <c r="H87" s="2530">
        <f>'Part I-Project Information'!H62</f>
        <v>0</v>
      </c>
      <c r="I87" s="2530">
        <f>'Part I-Project Information'!I62</f>
        <v>0</v>
      </c>
      <c r="J87" s="2499"/>
      <c r="K87" s="2506"/>
      <c r="L87" s="2506" t="s">
        <v>4222</v>
      </c>
      <c r="M87" s="2498"/>
      <c r="N87" s="2498"/>
      <c r="O87" s="2498"/>
      <c r="P87" s="2530">
        <f>'Part I-Project Information'!P62</f>
        <v>0</v>
      </c>
      <c r="Q87" s="2498"/>
      <c r="R87" s="2498"/>
      <c r="S87" s="2498"/>
      <c r="T87" s="2498"/>
      <c r="U87" s="2498"/>
    </row>
    <row r="88" spans="1:21" ht="13.8">
      <c r="A88" s="2499"/>
      <c r="B88" s="2514"/>
      <c r="C88" s="2506"/>
      <c r="D88" s="2506" t="s">
        <v>4223</v>
      </c>
      <c r="E88" s="2498"/>
      <c r="F88" s="2498"/>
      <c r="G88" s="2498"/>
      <c r="H88" s="2530">
        <f>'Part I-Project Information'!H63</f>
        <v>0</v>
      </c>
      <c r="I88" s="2530">
        <f>'Part I-Project Information'!I63</f>
        <v>0</v>
      </c>
      <c r="J88" s="2499"/>
      <c r="K88" s="2506"/>
      <c r="L88" s="2506" t="s">
        <v>4223</v>
      </c>
      <c r="M88" s="2498"/>
      <c r="N88" s="2498"/>
      <c r="O88" s="2498"/>
      <c r="P88" s="2530">
        <f>'Part I-Project Information'!P63</f>
        <v>0</v>
      </c>
      <c r="Q88" s="2498"/>
      <c r="R88" s="2498"/>
      <c r="S88" s="2498"/>
      <c r="T88" s="2498"/>
      <c r="U88" s="2498"/>
    </row>
    <row r="89" spans="1:21" ht="13.8">
      <c r="A89" s="2499"/>
      <c r="B89" s="2506"/>
      <c r="C89" s="2498"/>
      <c r="D89" s="2506" t="s">
        <v>4220</v>
      </c>
      <c r="E89" s="2506"/>
      <c r="F89" s="2498"/>
      <c r="G89" s="2498"/>
      <c r="H89" s="2530">
        <f>'Part I-Project Information'!H64</f>
        <v>200</v>
      </c>
      <c r="I89" s="2530">
        <f>'Part I-Project Information'!I64</f>
        <v>0</v>
      </c>
      <c r="J89" s="2498"/>
      <c r="K89" s="2498"/>
      <c r="L89" s="2506" t="s">
        <v>4220</v>
      </c>
      <c r="M89" s="2498"/>
      <c r="N89" s="2498"/>
      <c r="O89" s="2498"/>
      <c r="P89" s="2530">
        <f>'Part I-Project Information'!P64</f>
        <v>222230</v>
      </c>
      <c r="Q89" s="2498"/>
      <c r="R89" s="2498"/>
      <c r="S89" s="2498"/>
      <c r="T89" s="2498"/>
      <c r="U89" s="2498"/>
    </row>
    <row r="90" spans="1:21" ht="13.8">
      <c r="A90" s="2499"/>
      <c r="B90" s="2498"/>
      <c r="C90" s="2498"/>
      <c r="D90" s="2506" t="s">
        <v>4221</v>
      </c>
      <c r="E90" s="2498"/>
      <c r="F90" s="2498"/>
      <c r="G90" s="2498"/>
      <c r="H90" s="2530">
        <f>'Part I-Project Information'!H65</f>
        <v>0</v>
      </c>
      <c r="I90" s="2530">
        <f>'Part I-Project Information'!I65</f>
        <v>0</v>
      </c>
      <c r="J90" s="2498"/>
      <c r="K90" s="2498"/>
      <c r="L90" s="2506" t="s">
        <v>4221</v>
      </c>
      <c r="M90" s="2498"/>
      <c r="N90" s="2498"/>
      <c r="O90" s="2498"/>
      <c r="P90" s="2530">
        <f>'Part I-Project Information'!P65</f>
        <v>0</v>
      </c>
      <c r="Q90" s="2498"/>
      <c r="R90" s="2498"/>
      <c r="S90" s="2498"/>
      <c r="T90" s="2498"/>
      <c r="U90" s="2498"/>
    </row>
    <row r="91" spans="1:21" ht="13.8">
      <c r="A91" s="2499"/>
      <c r="B91" s="2498"/>
      <c r="C91" s="2498"/>
      <c r="D91" s="2506" t="s">
        <v>4224</v>
      </c>
      <c r="E91" s="2506"/>
      <c r="F91" s="2498"/>
      <c r="G91" s="2498"/>
      <c r="H91" s="2530">
        <f>'Part I-Project Information'!H66</f>
        <v>0</v>
      </c>
      <c r="I91" s="2530">
        <f>'Part I-Project Information'!I66</f>
        <v>0</v>
      </c>
      <c r="J91" s="2498"/>
      <c r="K91" s="2498"/>
      <c r="L91" s="2506" t="s">
        <v>4224</v>
      </c>
      <c r="M91" s="2498"/>
      <c r="N91" s="2498"/>
      <c r="O91" s="2498"/>
      <c r="P91" s="2530">
        <f>'Part I-Project Information'!P66</f>
        <v>0</v>
      </c>
      <c r="Q91" s="2498"/>
      <c r="R91" s="2498"/>
      <c r="S91" s="2498"/>
      <c r="T91" s="2498"/>
      <c r="U91" s="2498"/>
    </row>
    <row r="92" spans="1:21" ht="13.8">
      <c r="A92" s="2499"/>
      <c r="B92" s="2498"/>
      <c r="C92" s="2498"/>
      <c r="D92" s="2506" t="s">
        <v>4225</v>
      </c>
      <c r="E92" s="2506"/>
      <c r="F92" s="2498"/>
      <c r="G92" s="2498"/>
      <c r="H92" s="2530">
        <f>'Part I-Project Information'!H67</f>
        <v>0</v>
      </c>
      <c r="I92" s="2530">
        <f>'Part I-Project Information'!I67</f>
        <v>0</v>
      </c>
      <c r="J92" s="2498"/>
      <c r="K92" s="2498"/>
      <c r="L92" s="2506" t="s">
        <v>4225</v>
      </c>
      <c r="M92" s="2498"/>
      <c r="N92" s="2498"/>
      <c r="O92" s="2498"/>
      <c r="P92" s="2530">
        <f>'Part I-Project Information'!P67</f>
        <v>0</v>
      </c>
      <c r="Q92" s="2498"/>
      <c r="R92" s="2498"/>
      <c r="S92" s="2498"/>
      <c r="T92" s="2498"/>
      <c r="U92" s="2498"/>
    </row>
    <row r="93" spans="1:21" ht="13.8">
      <c r="A93" s="2499"/>
      <c r="B93" s="2498"/>
      <c r="C93" s="2498"/>
      <c r="D93" s="2506" t="s">
        <v>4226</v>
      </c>
      <c r="E93" s="2506"/>
      <c r="F93" s="2498"/>
      <c r="G93" s="2498"/>
      <c r="H93" s="2530">
        <f>'Part I-Project Information'!H68</f>
        <v>0</v>
      </c>
      <c r="I93" s="2530">
        <f>'Part I-Project Information'!I68</f>
        <v>0</v>
      </c>
      <c r="J93" s="2498"/>
      <c r="K93" s="2498"/>
      <c r="L93" s="2506" t="s">
        <v>4226</v>
      </c>
      <c r="M93" s="2498"/>
      <c r="N93" s="2498"/>
      <c r="O93" s="2498"/>
      <c r="P93" s="2530">
        <f>'Part I-Project Information'!P68</f>
        <v>0</v>
      </c>
      <c r="Q93" s="2498"/>
      <c r="R93" s="2498"/>
      <c r="S93" s="2498"/>
      <c r="T93" s="2498"/>
      <c r="U93" s="2498"/>
    </row>
    <row r="94" spans="1:21" ht="13.8">
      <c r="A94" s="2499"/>
      <c r="B94" s="2498"/>
      <c r="C94" s="2506" t="s">
        <v>248</v>
      </c>
      <c r="D94" s="2498"/>
      <c r="E94" s="2498"/>
      <c r="F94" s="2498"/>
      <c r="G94" s="2498"/>
      <c r="H94" s="2537">
        <f>'Part VI-Revenues &amp; Expenses'!$P$64</f>
        <v>0</v>
      </c>
      <c r="I94" s="2498"/>
      <c r="J94" s="2499"/>
      <c r="K94" s="2506" t="s">
        <v>2683</v>
      </c>
      <c r="L94" s="2498"/>
      <c r="M94" s="2498"/>
      <c r="N94" s="2498"/>
      <c r="O94" s="2498"/>
      <c r="P94" s="2537">
        <f>'Part VI-Revenues &amp; Expenses'!$P$167</f>
        <v>0</v>
      </c>
      <c r="Q94" s="2498"/>
      <c r="R94" s="2498"/>
      <c r="S94" s="2498"/>
      <c r="T94" s="2498"/>
      <c r="U94" s="2498"/>
    </row>
    <row r="95" spans="1:21" ht="13.8">
      <c r="A95" s="2499"/>
      <c r="B95" s="2498"/>
      <c r="C95" s="2506" t="s">
        <v>2345</v>
      </c>
      <c r="D95" s="2498"/>
      <c r="E95" s="2498"/>
      <c r="F95" s="2498"/>
      <c r="G95" s="2498"/>
      <c r="H95" s="2537">
        <f>H86+H94</f>
        <v>200</v>
      </c>
      <c r="I95" s="2498"/>
      <c r="J95" s="2499"/>
      <c r="K95" s="2506" t="s">
        <v>2684</v>
      </c>
      <c r="L95" s="2498"/>
      <c r="M95" s="2498"/>
      <c r="N95" s="2498"/>
      <c r="O95" s="2498"/>
      <c r="P95" s="2537">
        <f>P86+P94</f>
        <v>222230</v>
      </c>
      <c r="Q95" s="2498"/>
      <c r="R95" s="2498"/>
      <c r="S95" s="2498"/>
      <c r="T95" s="2498"/>
      <c r="U95" s="2498"/>
    </row>
    <row r="96" spans="1:21" ht="13.8">
      <c r="A96" s="2499"/>
      <c r="B96" s="2498"/>
      <c r="C96" s="2506" t="s">
        <v>2346</v>
      </c>
      <c r="D96" s="2498"/>
      <c r="E96" s="2498"/>
      <c r="F96" s="2498"/>
      <c r="G96" s="2498"/>
      <c r="H96" s="2537">
        <f>'Part VI-Revenues &amp; Expenses'!$P$66</f>
        <v>0</v>
      </c>
      <c r="I96" s="2498"/>
      <c r="J96" s="2499"/>
      <c r="K96" s="2506" t="s">
        <v>2685</v>
      </c>
      <c r="L96" s="2498"/>
      <c r="M96" s="2498"/>
      <c r="N96" s="2498"/>
      <c r="O96" s="2498"/>
      <c r="P96" s="2537">
        <f>'Part VI-Revenues &amp; Expenses'!$P$169</f>
        <v>0</v>
      </c>
      <c r="Q96" s="2498"/>
      <c r="R96" s="2498"/>
      <c r="S96" s="2498"/>
      <c r="T96" s="2498"/>
      <c r="U96" s="2498"/>
    </row>
    <row r="97" spans="1:21" ht="13.8">
      <c r="A97" s="2499"/>
      <c r="B97" s="2498"/>
      <c r="C97" s="2506" t="s">
        <v>1749</v>
      </c>
      <c r="D97" s="2498"/>
      <c r="E97" s="2498"/>
      <c r="F97" s="2498"/>
      <c r="G97" s="2498"/>
      <c r="H97" s="2537">
        <f>+H95+H96</f>
        <v>200</v>
      </c>
      <c r="I97" s="2498"/>
      <c r="J97" s="2498"/>
      <c r="K97" s="2506" t="s">
        <v>1392</v>
      </c>
      <c r="L97" s="2498"/>
      <c r="M97" s="2498"/>
      <c r="N97" s="2498"/>
      <c r="O97" s="2498"/>
      <c r="P97" s="2537">
        <f>+P95+P96</f>
        <v>222230</v>
      </c>
      <c r="Q97" s="2498"/>
      <c r="R97" s="2498"/>
      <c r="S97" s="2498"/>
      <c r="T97" s="2498"/>
      <c r="U97" s="2498"/>
    </row>
    <row r="98" spans="1:21" ht="13.8">
      <c r="A98" s="2499"/>
      <c r="B98" s="2498"/>
      <c r="C98" s="2498"/>
      <c r="D98" s="2498"/>
      <c r="E98" s="2498"/>
      <c r="F98" s="2498"/>
      <c r="G98" s="2498"/>
      <c r="H98" s="2498"/>
      <c r="I98" s="2499"/>
      <c r="J98" s="2498"/>
      <c r="K98" s="2498"/>
      <c r="L98" s="2499"/>
      <c r="M98" s="2499"/>
      <c r="N98" s="2498"/>
      <c r="O98" s="2498"/>
      <c r="P98" s="2517"/>
      <c r="Q98" s="2498"/>
      <c r="R98" s="2498"/>
      <c r="S98" s="2498"/>
      <c r="T98" s="2498"/>
      <c r="U98" s="2498"/>
    </row>
    <row r="99" spans="1:21" ht="13.8">
      <c r="A99" s="2499"/>
      <c r="B99" s="2499" t="s">
        <v>1692</v>
      </c>
      <c r="C99" s="2498" t="s">
        <v>2239</v>
      </c>
      <c r="D99" s="2506" t="s">
        <v>1949</v>
      </c>
      <c r="E99" s="2498"/>
      <c r="F99" s="2498"/>
      <c r="G99" s="2498"/>
      <c r="H99" s="2537">
        <f>'Part I-Project Information'!H74</f>
        <v>9</v>
      </c>
      <c r="I99" s="2498"/>
      <c r="J99" s="2498"/>
      <c r="K99" s="2506" t="s">
        <v>6968</v>
      </c>
      <c r="L99" s="2498"/>
      <c r="M99" s="2498"/>
      <c r="N99" s="2498"/>
      <c r="O99" s="2498"/>
      <c r="P99" s="2537">
        <f>'Part I-Project Information'!P74</f>
        <v>2500</v>
      </c>
      <c r="Q99" s="2498"/>
      <c r="R99" s="2498"/>
      <c r="S99" s="2498"/>
      <c r="T99" s="2498"/>
      <c r="U99" s="2498"/>
    </row>
    <row r="100" spans="1:21" ht="13.8">
      <c r="A100" s="2499"/>
      <c r="B100" s="2499"/>
      <c r="C100" s="2498"/>
      <c r="D100" s="2514" t="s">
        <v>1950</v>
      </c>
      <c r="E100" s="2498"/>
      <c r="F100" s="2498"/>
      <c r="G100" s="2498"/>
      <c r="H100" s="2537">
        <f>'Part I-Project Information'!H75</f>
        <v>1</v>
      </c>
      <c r="I100" s="2498"/>
      <c r="J100" s="2498"/>
      <c r="K100" s="2506" t="s">
        <v>247</v>
      </c>
      <c r="L100" s="2498"/>
      <c r="M100" s="2498"/>
      <c r="N100" s="2498"/>
      <c r="O100" s="2498"/>
      <c r="P100" s="2537">
        <f>+P97+P99</f>
        <v>224730</v>
      </c>
      <c r="Q100" s="2498"/>
      <c r="R100" s="2498"/>
      <c r="S100" s="2498"/>
      <c r="T100" s="2498"/>
      <c r="U100" s="2498"/>
    </row>
    <row r="101" spans="1:21" ht="13.8">
      <c r="A101" s="2499"/>
      <c r="B101" s="2499"/>
      <c r="C101" s="2498"/>
      <c r="D101" s="2514" t="s">
        <v>1951</v>
      </c>
      <c r="E101" s="2498"/>
      <c r="F101" s="2498"/>
      <c r="G101" s="2498"/>
      <c r="H101" s="2537">
        <f>+H99+H100</f>
        <v>10</v>
      </c>
      <c r="I101" s="2498"/>
      <c r="J101" s="2498"/>
      <c r="K101" s="2498"/>
      <c r="L101" s="2498"/>
      <c r="M101" s="2498"/>
      <c r="N101" s="2498"/>
      <c r="O101" s="2498"/>
      <c r="P101" s="2498"/>
      <c r="Q101" s="2498"/>
      <c r="R101" s="2498"/>
      <c r="S101" s="2498"/>
      <c r="T101" s="2498"/>
      <c r="U101" s="2498"/>
    </row>
    <row r="102" spans="1:21" ht="13.8">
      <c r="A102" s="2499"/>
      <c r="B102" s="2499"/>
      <c r="C102" s="2498"/>
      <c r="D102" s="2498"/>
      <c r="E102" s="2498"/>
      <c r="F102" s="2498"/>
      <c r="G102" s="2499"/>
      <c r="H102" s="2498"/>
      <c r="I102" s="2506"/>
      <c r="J102" s="2498"/>
      <c r="K102" s="2498"/>
      <c r="L102" s="2498"/>
      <c r="M102" s="2498"/>
      <c r="N102" s="2498"/>
      <c r="O102" s="2498"/>
      <c r="P102" s="2517"/>
      <c r="Q102" s="2498"/>
      <c r="R102" s="2498"/>
      <c r="S102" s="2498"/>
      <c r="T102" s="2498"/>
      <c r="U102" s="2498"/>
    </row>
    <row r="103" spans="1:21" ht="13.8" customHeight="1">
      <c r="A103" s="2499"/>
      <c r="B103" s="2499" t="s">
        <v>1693</v>
      </c>
      <c r="C103" s="2498" t="s">
        <v>2743</v>
      </c>
      <c r="D103" s="2498"/>
      <c r="E103" s="2498"/>
      <c r="F103" s="2498"/>
      <c r="G103" s="2498"/>
      <c r="H103" s="2537">
        <f>'Part I-Project Information'!H78</f>
        <v>441</v>
      </c>
      <c r="I103" s="2498"/>
      <c r="J103" s="2498"/>
      <c r="K103" s="2496" t="s">
        <v>3641</v>
      </c>
      <c r="L103" s="2496"/>
      <c r="M103" s="2496"/>
      <c r="N103" s="2496"/>
      <c r="O103" s="2496"/>
      <c r="P103" s="2496"/>
      <c r="Q103" s="2498"/>
      <c r="R103" s="2498"/>
      <c r="S103" s="2498"/>
      <c r="T103" s="2498"/>
      <c r="U103" s="2498"/>
    </row>
    <row r="104" spans="1:21" ht="13.8">
      <c r="A104" s="2499"/>
      <c r="B104" s="2499"/>
      <c r="C104" s="2506"/>
      <c r="D104" s="2498"/>
      <c r="E104" s="2498"/>
      <c r="F104" s="2498"/>
      <c r="G104" s="2499"/>
      <c r="H104" s="2498"/>
      <c r="I104" s="2506"/>
      <c r="J104" s="2506"/>
      <c r="K104" s="2496"/>
      <c r="L104" s="2496"/>
      <c r="M104" s="2496"/>
      <c r="N104" s="2496"/>
      <c r="O104" s="2496"/>
      <c r="P104" s="2496"/>
      <c r="Q104" s="2498"/>
      <c r="R104" s="2498"/>
      <c r="S104" s="2498"/>
      <c r="T104" s="2498"/>
      <c r="U104" s="2498"/>
    </row>
    <row r="105" spans="1:21" ht="13.8">
      <c r="A105" s="2499" t="s">
        <v>516</v>
      </c>
      <c r="B105" s="2506" t="s">
        <v>1166</v>
      </c>
      <c r="C105" s="2498"/>
      <c r="D105" s="2506"/>
      <c r="E105" s="2506"/>
      <c r="F105" s="2498"/>
      <c r="G105" s="2499"/>
      <c r="H105" s="2498"/>
      <c r="I105" s="2498"/>
      <c r="J105" s="2498"/>
      <c r="K105" s="2496"/>
      <c r="L105" s="2496"/>
      <c r="M105" s="2496"/>
      <c r="N105" s="2496"/>
      <c r="O105" s="2496"/>
      <c r="P105" s="2496"/>
      <c r="Q105" s="2498"/>
      <c r="R105" s="2498"/>
      <c r="S105" s="2498"/>
      <c r="T105" s="2498"/>
      <c r="U105" s="2498"/>
    </row>
    <row r="106" spans="1:21" ht="13.8">
      <c r="A106" s="2499"/>
      <c r="B106" s="2498"/>
      <c r="C106" s="2514"/>
      <c r="D106" s="2514"/>
      <c r="E106" s="2514"/>
      <c r="F106" s="2498"/>
      <c r="G106" s="2499"/>
      <c r="H106" s="2498"/>
      <c r="I106" s="2498"/>
      <c r="J106" s="2498"/>
      <c r="K106" s="2498"/>
      <c r="L106" s="2498"/>
      <c r="M106" s="2498"/>
      <c r="N106" s="2498"/>
      <c r="O106" s="2498"/>
      <c r="P106" s="2517"/>
      <c r="Q106" s="2498"/>
      <c r="R106" s="2498"/>
      <c r="S106" s="2498"/>
      <c r="T106" s="2498"/>
      <c r="U106" s="2498"/>
    </row>
    <row r="107" spans="1:21" ht="13.8">
      <c r="A107" s="2499"/>
      <c r="B107" s="2499" t="s">
        <v>1936</v>
      </c>
      <c r="C107" s="2500" t="s">
        <v>6969</v>
      </c>
      <c r="D107" s="2514"/>
      <c r="E107" s="2514"/>
      <c r="F107" s="2498"/>
      <c r="G107" s="2499"/>
      <c r="H107" s="2498" t="str">
        <f>'Part I-Project Information'!H82</f>
        <v>Family</v>
      </c>
      <c r="I107" s="2498"/>
      <c r="J107" s="2498"/>
      <c r="K107" s="2498" t="s">
        <v>1728</v>
      </c>
      <c r="L107" s="2498"/>
      <c r="M107" s="2498">
        <f>'Part I-Project Information'!M82</f>
        <v>0</v>
      </c>
      <c r="N107" s="2498"/>
      <c r="O107" s="2498"/>
      <c r="P107" s="2498"/>
      <c r="Q107" s="2498"/>
      <c r="R107" s="2498"/>
      <c r="S107" s="2498"/>
      <c r="T107" s="2498"/>
      <c r="U107" s="2498"/>
    </row>
    <row r="108" spans="1:21" ht="13.8">
      <c r="A108" s="2499"/>
      <c r="B108" s="2499"/>
      <c r="C108" s="2498"/>
      <c r="D108" s="2514"/>
      <c r="E108" s="2514"/>
      <c r="F108" s="2514"/>
      <c r="G108" s="2514"/>
      <c r="H108" s="2498"/>
      <c r="I108" s="2499"/>
      <c r="J108" s="2498"/>
      <c r="K108" s="2500"/>
      <c r="L108" s="2500"/>
      <c r="M108" s="2499"/>
      <c r="N108" s="2498"/>
      <c r="O108" s="2498"/>
      <c r="P108" s="2517"/>
      <c r="Q108" s="2498"/>
      <c r="R108" s="2498"/>
      <c r="S108" s="2498"/>
      <c r="T108" s="2498"/>
      <c r="U108" s="2498"/>
    </row>
    <row r="109" spans="1:21" ht="13.8" customHeight="1">
      <c r="A109" s="2499"/>
      <c r="B109" s="2499"/>
      <c r="C109" s="2498"/>
      <c r="D109" s="2498"/>
      <c r="E109" s="2514"/>
      <c r="F109" s="2498"/>
      <c r="G109" s="2498"/>
      <c r="H109" s="2498"/>
      <c r="I109" s="2498"/>
      <c r="J109" s="2498"/>
      <c r="K109" s="2496" t="s">
        <v>4398</v>
      </c>
      <c r="L109" s="2538" t="s">
        <v>2808</v>
      </c>
      <c r="M109" s="2537">
        <f>'Part I-Project Information'!M84</f>
        <v>200</v>
      </c>
      <c r="N109" s="2538" t="s">
        <v>2809</v>
      </c>
      <c r="O109" s="2537">
        <f>'Part I-Project Information'!O84</f>
        <v>0</v>
      </c>
      <c r="P109" s="2500" t="s">
        <v>4397</v>
      </c>
      <c r="Q109" s="2498"/>
      <c r="R109" s="2498"/>
      <c r="S109" s="2498"/>
      <c r="T109" s="2498"/>
      <c r="U109" s="2498"/>
    </row>
    <row r="110" spans="1:21" ht="13.8">
      <c r="A110" s="2499"/>
      <c r="B110" s="2499"/>
      <c r="C110" s="2498"/>
      <c r="D110" s="2500"/>
      <c r="E110" s="2514"/>
      <c r="F110" s="2498"/>
      <c r="G110" s="2498"/>
      <c r="H110" s="2498"/>
      <c r="I110" s="2498"/>
      <c r="J110" s="2496"/>
      <c r="K110" s="2496"/>
      <c r="L110" s="2502" t="s">
        <v>2810</v>
      </c>
      <c r="M110" s="2537">
        <f>'Part I-Project Information'!M85</f>
        <v>0</v>
      </c>
      <c r="N110" s="2502" t="s">
        <v>3657</v>
      </c>
      <c r="O110" s="2537">
        <f>'Part I-Project Information'!O85</f>
        <v>0</v>
      </c>
      <c r="P110" s="2537">
        <f>'Part I-Project Information'!P85</f>
        <v>0</v>
      </c>
      <c r="Q110" s="2498"/>
      <c r="R110" s="2498"/>
      <c r="S110" s="2498"/>
      <c r="T110" s="2498"/>
      <c r="U110" s="2498"/>
    </row>
    <row r="111" spans="1:21" ht="13.8">
      <c r="A111" s="2499"/>
      <c r="B111" s="2499"/>
      <c r="C111" s="2498"/>
      <c r="D111" s="2514"/>
      <c r="E111" s="2514"/>
      <c r="F111" s="2514"/>
      <c r="G111" s="2514"/>
      <c r="H111" s="2498"/>
      <c r="I111" s="2499"/>
      <c r="J111" s="2498"/>
      <c r="K111" s="2500"/>
      <c r="L111" s="2500"/>
      <c r="M111" s="2499"/>
      <c r="N111" s="2498"/>
      <c r="O111" s="2498"/>
      <c r="P111" s="2517"/>
      <c r="Q111" s="2498"/>
      <c r="R111" s="2498"/>
      <c r="S111" s="2498"/>
      <c r="T111" s="2498"/>
      <c r="U111" s="2498"/>
    </row>
    <row r="112" spans="1:21" ht="13.8">
      <c r="A112" s="2499"/>
      <c r="B112" s="2499" t="s">
        <v>1938</v>
      </c>
      <c r="C112" s="2498" t="s">
        <v>1384</v>
      </c>
      <c r="D112" s="2498"/>
      <c r="E112" s="2506"/>
      <c r="F112" s="2514" t="s">
        <v>776</v>
      </c>
      <c r="G112" s="2498"/>
      <c r="H112" s="2530">
        <f>'Part I-Project Information'!H87</f>
        <v>10</v>
      </c>
      <c r="I112" s="2498"/>
      <c r="J112" s="2498"/>
      <c r="K112" s="2498" t="s">
        <v>506</v>
      </c>
      <c r="L112" s="2498"/>
      <c r="M112" s="2498"/>
      <c r="N112" s="2539">
        <f>'Part I-Project Information'!N87</f>
        <v>0.05</v>
      </c>
      <c r="O112" s="2502" t="s">
        <v>3521</v>
      </c>
      <c r="P112" s="2540">
        <f>'DCA Underwriting Assumptions'!$Q$154</f>
        <v>0.05</v>
      </c>
      <c r="Q112" s="2498"/>
      <c r="R112" s="2498"/>
      <c r="S112" s="2498"/>
      <c r="T112" s="2498"/>
      <c r="U112" s="2498"/>
    </row>
    <row r="113" spans="1:21" ht="13.8">
      <c r="A113" s="2499"/>
      <c r="B113" s="2499"/>
      <c r="C113" s="2498"/>
      <c r="D113" s="2514" t="s">
        <v>2741</v>
      </c>
      <c r="E113" s="2514"/>
      <c r="F113" s="2514" t="s">
        <v>776</v>
      </c>
      <c r="G113" s="2498"/>
      <c r="H113" s="2530">
        <f>'Part I-Project Information'!H88</f>
        <v>4</v>
      </c>
      <c r="I113" s="2498"/>
      <c r="J113" s="2498"/>
      <c r="K113" s="2498" t="s">
        <v>2742</v>
      </c>
      <c r="L113" s="2498"/>
      <c r="M113" s="2498"/>
      <c r="N113" s="2539">
        <f>'Part I-Project Information'!N88</f>
        <v>0.4</v>
      </c>
      <c r="O113" s="2502" t="s">
        <v>3521</v>
      </c>
      <c r="P113" s="2540">
        <f>'DCA Underwriting Assumptions'!$Q$155</f>
        <v>0.4</v>
      </c>
      <c r="Q113" s="2498"/>
      <c r="R113" s="2498"/>
      <c r="S113" s="2498"/>
      <c r="T113" s="2498"/>
      <c r="U113" s="2498"/>
    </row>
    <row r="114" spans="1:21" ht="13.8">
      <c r="A114" s="2499"/>
      <c r="B114" s="2499"/>
      <c r="C114" s="2498"/>
      <c r="D114" s="2514"/>
      <c r="E114" s="2514"/>
      <c r="F114" s="2514"/>
      <c r="G114" s="2498"/>
      <c r="H114" s="2498"/>
      <c r="I114" s="2499"/>
      <c r="J114" s="2498"/>
      <c r="K114" s="2500"/>
      <c r="L114" s="2500"/>
      <c r="M114" s="2499"/>
      <c r="N114" s="2499"/>
      <c r="O114" s="2498"/>
      <c r="P114" s="2499"/>
      <c r="Q114" s="2498"/>
      <c r="R114" s="2498"/>
      <c r="S114" s="2498"/>
      <c r="T114" s="2498"/>
      <c r="U114" s="2498"/>
    </row>
    <row r="115" spans="1:21" ht="13.8">
      <c r="A115" s="2499"/>
      <c r="B115" s="2499" t="s">
        <v>731</v>
      </c>
      <c r="C115" s="2498" t="s">
        <v>1798</v>
      </c>
      <c r="D115" s="2506"/>
      <c r="E115" s="2506"/>
      <c r="F115" s="2514" t="s">
        <v>776</v>
      </c>
      <c r="G115" s="2498"/>
      <c r="H115" s="2530">
        <f>'Part I-Project Information'!H90</f>
        <v>4</v>
      </c>
      <c r="I115" s="2498"/>
      <c r="J115" s="2498"/>
      <c r="K115" s="2498" t="s">
        <v>506</v>
      </c>
      <c r="L115" s="2498"/>
      <c r="M115" s="2498"/>
      <c r="N115" s="2539">
        <f>'Part I-Project Information'!N90</f>
        <v>0.02</v>
      </c>
      <c r="O115" s="2502" t="s">
        <v>3521</v>
      </c>
      <c r="P115" s="2540">
        <f>'DCA Underwriting Assumptions'!$Q$156</f>
        <v>0.02</v>
      </c>
      <c r="Q115" s="2498"/>
      <c r="R115" s="2498"/>
      <c r="S115" s="2498"/>
      <c r="T115" s="2498"/>
      <c r="U115" s="2498"/>
    </row>
    <row r="116" spans="1:21" ht="13.8">
      <c r="A116" s="2499"/>
      <c r="B116" s="2499"/>
      <c r="C116" s="2498"/>
      <c r="D116" s="2514"/>
      <c r="E116" s="2514"/>
      <c r="F116" s="2514"/>
      <c r="G116" s="2514"/>
      <c r="H116" s="2498"/>
      <c r="I116" s="2499"/>
      <c r="J116" s="2499"/>
      <c r="K116" s="2499"/>
      <c r="L116" s="2499"/>
      <c r="M116" s="2499"/>
      <c r="N116" s="2498"/>
      <c r="O116" s="2498"/>
      <c r="P116" s="2517"/>
      <c r="Q116" s="2498"/>
      <c r="R116" s="2498"/>
      <c r="S116" s="2498"/>
      <c r="T116" s="2498"/>
      <c r="U116" s="2498"/>
    </row>
    <row r="117" spans="1:21" ht="13.8">
      <c r="A117" s="2506" t="s">
        <v>754</v>
      </c>
      <c r="B117" s="2514" t="s">
        <v>4332</v>
      </c>
      <c r="C117" s="2498"/>
      <c r="D117" s="2514"/>
      <c r="E117" s="2514"/>
      <c r="F117" s="2514"/>
      <c r="G117" s="2514"/>
      <c r="H117" s="2514"/>
      <c r="I117" s="2499"/>
      <c r="J117" s="2498"/>
      <c r="K117" s="2498"/>
      <c r="L117" s="2498"/>
      <c r="M117" s="2499"/>
      <c r="N117" s="2498"/>
      <c r="O117" s="2498"/>
      <c r="P117" s="2517"/>
      <c r="Q117" s="2498"/>
      <c r="R117" s="2498"/>
      <c r="S117" s="2498"/>
      <c r="T117" s="2498"/>
      <c r="U117" s="2498"/>
    </row>
    <row r="118" spans="1:21" ht="13.8">
      <c r="A118" s="2499"/>
      <c r="B118" s="2499"/>
      <c r="C118" s="2514"/>
      <c r="D118" s="2514"/>
      <c r="E118" s="2514"/>
      <c r="F118" s="2514"/>
      <c r="G118" s="2498"/>
      <c r="H118" s="2498"/>
      <c r="I118" s="2498"/>
      <c r="J118" s="2498"/>
      <c r="K118" s="2498"/>
      <c r="L118" s="2499"/>
      <c r="M118" s="2499"/>
      <c r="N118" s="2498"/>
      <c r="O118" s="2498"/>
      <c r="P118" s="2498"/>
      <c r="Q118" s="2498"/>
      <c r="R118" s="2498"/>
      <c r="S118" s="2498"/>
      <c r="T118" s="2498"/>
      <c r="U118" s="2498"/>
    </row>
    <row r="119" spans="1:21" ht="13.8">
      <c r="A119" s="2499"/>
      <c r="B119" s="2499" t="s">
        <v>1936</v>
      </c>
      <c r="C119" s="2500" t="s">
        <v>2316</v>
      </c>
      <c r="D119" s="2514"/>
      <c r="E119" s="2498"/>
      <c r="F119" s="2500"/>
      <c r="G119" s="2498"/>
      <c r="H119" s="2498"/>
      <c r="I119" s="2498"/>
      <c r="J119" s="2498"/>
      <c r="K119" s="2498" t="str">
        <f>'Part I-Project Information'!K94</f>
        <v>40% of Units at 60% of AMI</v>
      </c>
      <c r="L119" s="2498"/>
      <c r="M119" s="2498"/>
      <c r="N119" s="2498"/>
      <c r="O119" s="2498"/>
      <c r="P119" s="2498"/>
      <c r="Q119" s="2498"/>
      <c r="R119" s="2498"/>
      <c r="S119" s="2498"/>
      <c r="T119" s="2498"/>
      <c r="U119" s="2498"/>
    </row>
    <row r="120" spans="1:21" ht="13.8">
      <c r="A120" s="2499"/>
      <c r="B120" s="2499"/>
      <c r="C120" s="2498"/>
      <c r="D120" s="2514"/>
      <c r="E120" s="2498"/>
      <c r="F120" s="2514"/>
      <c r="G120" s="2514"/>
      <c r="H120" s="2534" t="s">
        <v>4493</v>
      </c>
      <c r="I120" s="2498"/>
      <c r="J120" s="2498"/>
      <c r="K120" s="2498"/>
      <c r="L120" s="2499"/>
      <c r="M120" s="2499"/>
      <c r="N120" s="2498"/>
      <c r="O120" s="2498"/>
      <c r="P120" s="2498"/>
      <c r="Q120" s="2498"/>
      <c r="R120" s="2498"/>
      <c r="S120" s="2498"/>
      <c r="T120" s="2498"/>
      <c r="U120" s="2498"/>
    </row>
    <row r="121" spans="1:21" ht="13.8">
      <c r="A121" s="2498"/>
      <c r="B121" s="2499" t="s">
        <v>1938</v>
      </c>
      <c r="C121" s="2498" t="s">
        <v>1502</v>
      </c>
      <c r="D121" s="2498"/>
      <c r="E121" s="2498"/>
      <c r="F121" s="2498"/>
      <c r="G121" s="2498"/>
      <c r="H121" s="2498"/>
      <c r="I121" s="2498"/>
      <c r="J121" s="2498"/>
      <c r="K121" s="2500" t="s">
        <v>4381</v>
      </c>
      <c r="L121" s="2498"/>
      <c r="M121" s="2498"/>
      <c r="N121" s="2541"/>
      <c r="O121" s="2498"/>
      <c r="P121" s="2499" t="str">
        <f>'Part I-Project Information'!P96</f>
        <v>N/a</v>
      </c>
      <c r="Q121" s="2498"/>
      <c r="R121" s="2498"/>
      <c r="S121" s="2498"/>
      <c r="T121" s="2498"/>
      <c r="U121" s="2498"/>
    </row>
    <row r="122" spans="1:21" ht="13.8">
      <c r="A122" s="2499"/>
      <c r="B122" s="2499"/>
      <c r="C122" s="2498"/>
      <c r="D122" s="2514"/>
      <c r="E122" s="2514"/>
      <c r="F122" s="2514"/>
      <c r="G122" s="2514"/>
      <c r="H122" s="2498"/>
      <c r="I122" s="2499"/>
      <c r="J122" s="2499"/>
      <c r="K122" s="2499"/>
      <c r="L122" s="2499"/>
      <c r="M122" s="2499"/>
      <c r="N122" s="2498"/>
      <c r="O122" s="2498"/>
      <c r="P122" s="2517"/>
      <c r="Q122" s="2498"/>
      <c r="R122" s="2498"/>
      <c r="S122" s="2498"/>
      <c r="T122" s="2498"/>
      <c r="U122" s="2498"/>
    </row>
    <row r="123" spans="1:21" ht="13.8">
      <c r="A123" s="2506" t="s">
        <v>287</v>
      </c>
      <c r="B123" s="2514" t="s">
        <v>1993</v>
      </c>
      <c r="C123" s="2498"/>
      <c r="D123" s="2514"/>
      <c r="E123" s="2498"/>
      <c r="F123" s="2498"/>
      <c r="G123" s="2498"/>
      <c r="H123" s="2498"/>
      <c r="I123" s="2498"/>
      <c r="J123" s="2498"/>
      <c r="K123" s="2498"/>
      <c r="L123" s="2498"/>
      <c r="M123" s="2498"/>
      <c r="N123" s="2498"/>
      <c r="O123" s="2498"/>
      <c r="P123" s="2498"/>
      <c r="Q123" s="2498"/>
      <c r="R123" s="2498"/>
      <c r="S123" s="2498"/>
      <c r="T123" s="2498"/>
      <c r="U123" s="2498"/>
    </row>
    <row r="124" spans="1:21" ht="13.8">
      <c r="A124" s="2499"/>
      <c r="B124" s="2499"/>
      <c r="C124" s="2498"/>
      <c r="D124" s="2514"/>
      <c r="E124" s="2498"/>
      <c r="F124" s="2498"/>
      <c r="G124" s="2498"/>
      <c r="H124" s="2498"/>
      <c r="I124" s="2498"/>
      <c r="J124" s="2498"/>
      <c r="K124" s="2498"/>
      <c r="L124" s="2498"/>
      <c r="M124" s="2498"/>
      <c r="N124" s="2498"/>
      <c r="O124" s="2498"/>
      <c r="P124" s="2517"/>
      <c r="Q124" s="2498"/>
      <c r="R124" s="2498"/>
      <c r="S124" s="2498"/>
      <c r="T124" s="2498"/>
      <c r="U124" s="2498"/>
    </row>
    <row r="125" spans="1:21" ht="13.8">
      <c r="A125" s="2506"/>
      <c r="B125" s="2499" t="s">
        <v>1936</v>
      </c>
      <c r="C125" s="2498" t="s">
        <v>2628</v>
      </c>
      <c r="D125" s="2498"/>
      <c r="E125" s="2498"/>
      <c r="F125" s="2506" t="s">
        <v>2533</v>
      </c>
      <c r="G125" s="2498"/>
      <c r="H125" s="2499" t="str">
        <f>'Part I-Project Information'!H100</f>
        <v>No</v>
      </c>
      <c r="I125" s="2498"/>
      <c r="J125" s="2498"/>
      <c r="K125" s="2500" t="s">
        <v>3671</v>
      </c>
      <c r="L125" s="2498"/>
      <c r="M125" s="2498"/>
      <c r="N125" s="2498"/>
      <c r="O125" s="2498"/>
      <c r="P125" s="2499" t="str">
        <f>'Part I-Project Information'!P100</f>
        <v>No</v>
      </c>
      <c r="Q125" s="2498"/>
      <c r="R125" s="2498"/>
      <c r="S125" s="2498"/>
      <c r="T125" s="2498"/>
      <c r="U125" s="2498"/>
    </row>
    <row r="126" spans="1:21" ht="13.8">
      <c r="A126" s="2506"/>
      <c r="B126" s="2499"/>
      <c r="C126" s="2498"/>
      <c r="D126" s="2498"/>
      <c r="E126" s="2498"/>
      <c r="F126" s="2514" t="s">
        <v>3675</v>
      </c>
      <c r="G126" s="2498"/>
      <c r="H126" s="2499" t="str">
        <f>'Part I-Project Information'!H101</f>
        <v>No</v>
      </c>
      <c r="I126" s="2498"/>
      <c r="J126" s="2498"/>
      <c r="K126" s="2500" t="s">
        <v>4234</v>
      </c>
      <c r="L126" s="2498"/>
      <c r="M126" s="2498"/>
      <c r="N126" s="2498"/>
      <c r="O126" s="2498"/>
      <c r="P126" s="2499" t="str">
        <f>'Part I-Project Information'!P101</f>
        <v>No</v>
      </c>
      <c r="Q126" s="2498"/>
      <c r="R126" s="2498"/>
      <c r="S126" s="2498"/>
      <c r="T126" s="2498"/>
      <c r="U126" s="2498"/>
    </row>
    <row r="127" spans="1:21" ht="13.8">
      <c r="A127" s="2499"/>
      <c r="B127" s="2499"/>
      <c r="C127" s="2514"/>
      <c r="D127" s="2498"/>
      <c r="E127" s="2498"/>
      <c r="F127" s="2514"/>
      <c r="G127" s="2498"/>
      <c r="H127" s="2514"/>
      <c r="I127" s="2498"/>
      <c r="J127" s="2499"/>
      <c r="K127" s="2499"/>
      <c r="L127" s="2499"/>
      <c r="M127" s="2499"/>
      <c r="N127" s="2499"/>
      <c r="O127" s="2498"/>
      <c r="P127" s="2517"/>
      <c r="Q127" s="2498"/>
      <c r="R127" s="2498"/>
      <c r="S127" s="2498"/>
      <c r="T127" s="2498"/>
      <c r="U127" s="2498"/>
    </row>
    <row r="128" spans="1:21" ht="13.8">
      <c r="A128" s="2506"/>
      <c r="B128" s="2499" t="s">
        <v>1938</v>
      </c>
      <c r="C128" s="2498" t="s">
        <v>2629</v>
      </c>
      <c r="D128" s="2498"/>
      <c r="E128" s="2498"/>
      <c r="F128" s="2500" t="s">
        <v>2603</v>
      </c>
      <c r="G128" s="2498"/>
      <c r="H128" s="2499" t="str">
        <f>'Part I-Project Information'!H103</f>
        <v>No</v>
      </c>
      <c r="I128" s="2498"/>
      <c r="J128" s="2499"/>
      <c r="K128" s="2542" t="s">
        <v>2630</v>
      </c>
      <c r="L128" s="2499"/>
      <c r="M128" s="2498"/>
      <c r="N128" s="2498"/>
      <c r="O128" s="2498"/>
      <c r="P128" s="2498"/>
      <c r="Q128" s="2498"/>
      <c r="R128" s="2498"/>
      <c r="S128" s="2498"/>
      <c r="T128" s="2498"/>
      <c r="U128" s="2498"/>
    </row>
    <row r="129" spans="1:21" ht="13.8">
      <c r="A129" s="2499"/>
      <c r="B129" s="2499"/>
      <c r="C129" s="2498"/>
      <c r="D129" s="2514"/>
      <c r="E129" s="2514"/>
      <c r="F129" s="2514"/>
      <c r="G129" s="2514"/>
      <c r="H129" s="2498"/>
      <c r="I129" s="2499"/>
      <c r="J129" s="2499"/>
      <c r="K129" s="2499"/>
      <c r="L129" s="2499"/>
      <c r="M129" s="2499"/>
      <c r="N129" s="2498"/>
      <c r="O129" s="2498"/>
      <c r="P129" s="2517"/>
      <c r="Q129" s="2498"/>
      <c r="R129" s="2498"/>
      <c r="S129" s="2498"/>
      <c r="T129" s="2498"/>
      <c r="U129" s="2498"/>
    </row>
    <row r="130" spans="1:21" ht="13.8">
      <c r="A130" s="2506" t="s">
        <v>418</v>
      </c>
      <c r="B130" s="2514" t="s">
        <v>2692</v>
      </c>
      <c r="C130" s="2498"/>
      <c r="D130" s="2514"/>
      <c r="E130" s="2498"/>
      <c r="F130" s="2498"/>
      <c r="G130" s="2498"/>
      <c r="H130" s="2498" t="str">
        <f>'Part I-Project Information'!H105</f>
        <v>N/A - 4% Bond</v>
      </c>
      <c r="I130" s="2498"/>
      <c r="J130" s="2499"/>
      <c r="K130" s="2498"/>
      <c r="L130" s="2498"/>
      <c r="M130" s="2498"/>
      <c r="N130" s="2498"/>
      <c r="O130" s="2498"/>
      <c r="P130" s="2498"/>
      <c r="Q130" s="2498"/>
      <c r="R130" s="2498"/>
      <c r="S130" s="2498"/>
      <c r="T130" s="2498"/>
      <c r="U130" s="2498"/>
    </row>
    <row r="131" spans="1:21" ht="13.8">
      <c r="A131" s="2499"/>
      <c r="B131" s="2498"/>
      <c r="C131" s="2498"/>
      <c r="D131" s="2520"/>
      <c r="E131" s="2498"/>
      <c r="F131" s="2498"/>
      <c r="G131" s="2498"/>
      <c r="H131" s="2498"/>
      <c r="I131" s="2520"/>
      <c r="J131" s="2506"/>
      <c r="K131" s="2498"/>
      <c r="L131" s="2498"/>
      <c r="M131" s="2498"/>
      <c r="N131" s="2498"/>
      <c r="O131" s="2498"/>
      <c r="P131" s="2517"/>
      <c r="Q131" s="2498"/>
      <c r="R131" s="2498"/>
      <c r="S131" s="2498"/>
      <c r="T131" s="2498"/>
      <c r="U131" s="2498"/>
    </row>
    <row r="132" spans="1:21" ht="13.8">
      <c r="A132" s="2506" t="s">
        <v>356</v>
      </c>
      <c r="B132" s="2506" t="s">
        <v>1164</v>
      </c>
      <c r="C132" s="2498"/>
      <c r="D132" s="2498"/>
      <c r="E132" s="2498"/>
      <c r="F132" s="2498"/>
      <c r="G132" s="2498"/>
      <c r="H132" s="2498"/>
      <c r="I132" s="2520"/>
      <c r="J132" s="2506"/>
      <c r="K132" s="2498"/>
      <c r="L132" s="2498"/>
      <c r="M132" s="2498"/>
      <c r="N132" s="2498"/>
      <c r="O132" s="2498"/>
      <c r="P132" s="2517"/>
      <c r="Q132" s="2498"/>
      <c r="R132" s="2498"/>
      <c r="S132" s="2498"/>
      <c r="T132" s="2498"/>
      <c r="U132" s="2498"/>
    </row>
    <row r="133" spans="1:21" ht="13.8">
      <c r="A133" s="2506"/>
      <c r="B133" s="2499"/>
      <c r="C133" s="2506"/>
      <c r="D133" s="2498"/>
      <c r="E133" s="2498"/>
      <c r="F133" s="2498"/>
      <c r="G133" s="2498"/>
      <c r="H133" s="2498"/>
      <c r="I133" s="2520"/>
      <c r="J133" s="2506"/>
      <c r="K133" s="2498"/>
      <c r="L133" s="2498"/>
      <c r="M133" s="2498"/>
      <c r="N133" s="2498"/>
      <c r="O133" s="2498"/>
      <c r="P133" s="2498"/>
      <c r="Q133" s="2498"/>
      <c r="R133" s="2498"/>
      <c r="S133" s="2498"/>
      <c r="T133" s="2498"/>
      <c r="U133" s="2498"/>
    </row>
    <row r="134" spans="1:21" ht="13.8">
      <c r="A134" s="2499"/>
      <c r="B134" s="2499"/>
      <c r="C134" s="2506" t="s">
        <v>536</v>
      </c>
      <c r="D134" s="2498"/>
      <c r="E134" s="2498" t="str">
        <f>'Part I-Project Information'!E109</f>
        <v>Housing Authority of the City of Augusta, Georgia</v>
      </c>
      <c r="F134" s="2498"/>
      <c r="G134" s="2498"/>
      <c r="H134" s="2498"/>
      <c r="I134" s="2498"/>
      <c r="J134" s="2498"/>
      <c r="K134" s="2498"/>
      <c r="L134" s="2498"/>
      <c r="M134" s="2506" t="s">
        <v>537</v>
      </c>
      <c r="N134" s="2506"/>
      <c r="O134" s="2543">
        <f>'Part I-Project Information'!O109</f>
        <v>44399</v>
      </c>
      <c r="P134" s="2543"/>
      <c r="Q134" s="2498"/>
      <c r="R134" s="2498"/>
      <c r="S134" s="2498"/>
      <c r="T134" s="2498"/>
      <c r="U134" s="2498"/>
    </row>
    <row r="135" spans="1:21" ht="13.8">
      <c r="A135" s="2498"/>
      <c r="B135" s="2498"/>
      <c r="C135" s="2500" t="s">
        <v>999</v>
      </c>
      <c r="D135" s="2502"/>
      <c r="E135" s="2498" t="str">
        <f>'Part I-Project Information'!E110</f>
        <v>1435 Walton Way</v>
      </c>
      <c r="F135" s="2498"/>
      <c r="G135" s="2498"/>
      <c r="H135" s="2498"/>
      <c r="I135" s="2498"/>
      <c r="J135" s="2498"/>
      <c r="K135" s="2498"/>
      <c r="L135" s="2498"/>
      <c r="M135" s="2506" t="s">
        <v>788</v>
      </c>
      <c r="N135" s="2506"/>
      <c r="O135" s="2512">
        <f>'Part I-Project Information'!O110</f>
        <v>2020</v>
      </c>
      <c r="P135" s="2512"/>
      <c r="Q135" s="2498"/>
      <c r="R135" s="2498"/>
      <c r="S135" s="2498"/>
      <c r="T135" s="2498"/>
      <c r="U135" s="2498"/>
    </row>
    <row r="136" spans="1:21" ht="13.8">
      <c r="A136" s="2498"/>
      <c r="B136" s="2498"/>
      <c r="C136" s="2500" t="s">
        <v>600</v>
      </c>
      <c r="D136" s="2498"/>
      <c r="E136" s="2498" t="str">
        <f>'Part I-Project Information'!E111</f>
        <v>Augusta</v>
      </c>
      <c r="F136" s="2498"/>
      <c r="G136" s="2498"/>
      <c r="H136" s="2499" t="s">
        <v>1754</v>
      </c>
      <c r="I136" s="2500" t="str">
        <f>'Part I-Project Information'!I111</f>
        <v>GA</v>
      </c>
      <c r="J136" s="2499" t="s">
        <v>2173</v>
      </c>
      <c r="K136" s="2515">
        <f>'Part I-Project Information'!K111</f>
        <v>309010000</v>
      </c>
      <c r="L136" s="2515"/>
      <c r="M136" s="2506" t="s">
        <v>3492</v>
      </c>
      <c r="N136" s="2506"/>
      <c r="O136" s="2544">
        <f>'Part I-Project Information'!O111</f>
        <v>42300000</v>
      </c>
      <c r="P136" s="2544"/>
      <c r="Q136" s="2498"/>
      <c r="R136" s="2498"/>
      <c r="S136" s="2498"/>
      <c r="T136" s="2498"/>
      <c r="U136" s="2498"/>
    </row>
    <row r="137" spans="1:21" ht="13.8">
      <c r="A137" s="2498"/>
      <c r="B137" s="2498"/>
      <c r="C137" s="2498" t="s">
        <v>2144</v>
      </c>
      <c r="D137" s="2498"/>
      <c r="E137" s="2498" t="str">
        <f>'Part I-Project Information'!E112</f>
        <v xml:space="preserve">Jacob L. Oglesby </v>
      </c>
      <c r="F137" s="2498"/>
      <c r="G137" s="2498"/>
      <c r="H137" s="2499" t="s">
        <v>1933</v>
      </c>
      <c r="I137" s="2498" t="str">
        <f>'Part I-Project Information'!I112</f>
        <v>Executive Director</v>
      </c>
      <c r="J137" s="2498"/>
      <c r="K137" s="2498"/>
      <c r="L137" s="2499" t="s">
        <v>1937</v>
      </c>
      <c r="M137" s="2498" t="str">
        <f>'Part I-Project Information'!M112</f>
        <v>joglesby@augustapha.org</v>
      </c>
      <c r="N137" s="2498"/>
      <c r="O137" s="2498"/>
      <c r="P137" s="2498"/>
      <c r="Q137" s="2498"/>
      <c r="R137" s="2498"/>
      <c r="S137" s="2498"/>
      <c r="T137" s="2498"/>
      <c r="U137" s="2498"/>
    </row>
    <row r="138" spans="1:21" ht="13.8">
      <c r="A138" s="2498"/>
      <c r="B138" s="2498"/>
      <c r="C138" s="2500" t="s">
        <v>2143</v>
      </c>
      <c r="D138" s="2498"/>
      <c r="E138" s="2516">
        <f>'Part I-Project Information'!E113</f>
        <v>7063123158</v>
      </c>
      <c r="F138" s="2516"/>
      <c r="G138" s="2516"/>
      <c r="H138" s="2499" t="s">
        <v>1756</v>
      </c>
      <c r="I138" s="2516">
        <f>'Part I-Project Information'!I113</f>
        <v>0</v>
      </c>
      <c r="J138" s="2516"/>
      <c r="K138" s="2499" t="s">
        <v>2625</v>
      </c>
      <c r="L138" s="2512" t="str">
        <f>'Part I-Project Information'!L113</f>
        <v>www.augustapha.org</v>
      </c>
      <c r="M138" s="2512"/>
      <c r="N138" s="2512"/>
      <c r="O138" s="2512"/>
      <c r="P138" s="2512"/>
      <c r="Q138" s="2498"/>
      <c r="R138" s="2498"/>
      <c r="S138" s="2498"/>
      <c r="T138" s="2498"/>
      <c r="U138" s="2498"/>
    </row>
    <row r="139" spans="1:21" ht="13.8">
      <c r="A139" s="2499"/>
      <c r="B139" s="2499"/>
      <c r="C139" s="2498"/>
      <c r="D139" s="2498"/>
      <c r="E139" s="2498"/>
      <c r="F139" s="2498"/>
      <c r="G139" s="2520"/>
      <c r="H139" s="2499"/>
      <c r="I139" s="2499"/>
      <c r="J139" s="2498"/>
      <c r="K139" s="2498"/>
      <c r="L139" s="2498"/>
      <c r="M139" s="2517"/>
      <c r="N139" s="2498"/>
      <c r="O139" s="2498"/>
      <c r="P139" s="2498"/>
      <c r="Q139" s="2498"/>
      <c r="R139" s="2498"/>
      <c r="S139" s="2498"/>
      <c r="T139" s="2498"/>
      <c r="U139" s="2498"/>
    </row>
    <row r="140" spans="1:21" ht="13.8">
      <c r="A140" s="2506" t="s">
        <v>357</v>
      </c>
      <c r="B140" s="2514" t="s">
        <v>1630</v>
      </c>
      <c r="C140" s="2498"/>
      <c r="D140" s="2520"/>
      <c r="E140" s="2520"/>
      <c r="F140" s="2499"/>
      <c r="G140" s="2499"/>
      <c r="H140" s="2499"/>
      <c r="I140" s="2498"/>
      <c r="J140" s="2498"/>
      <c r="K140" s="2498"/>
      <c r="L140" s="2498"/>
      <c r="M140" s="2498"/>
      <c r="N140" s="2498"/>
      <c r="O140" s="2498"/>
      <c r="P140" s="2517"/>
      <c r="Q140" s="2498"/>
      <c r="R140" s="2498"/>
      <c r="S140" s="2498"/>
      <c r="T140" s="2498"/>
      <c r="U140" s="2498"/>
    </row>
    <row r="141" spans="1:21" ht="13.8">
      <c r="A141" s="2506"/>
      <c r="B141" s="2514"/>
      <c r="C141" s="2498"/>
      <c r="D141" s="2520"/>
      <c r="E141" s="2520"/>
      <c r="F141" s="2499"/>
      <c r="G141" s="2499"/>
      <c r="H141" s="2499"/>
      <c r="I141" s="2499"/>
      <c r="J141" s="2520"/>
      <c r="K141" s="2499"/>
      <c r="L141" s="2499"/>
      <c r="M141" s="2498"/>
      <c r="N141" s="2498"/>
      <c r="O141" s="2498"/>
      <c r="P141" s="2517"/>
      <c r="Q141" s="2498"/>
      <c r="R141" s="2498"/>
      <c r="S141" s="2498"/>
      <c r="T141" s="2498"/>
      <c r="U141" s="2498"/>
    </row>
    <row r="142" spans="1:21" ht="13.8">
      <c r="A142" s="2498"/>
      <c r="B142" s="2506" t="s">
        <v>2103</v>
      </c>
      <c r="C142" s="2498"/>
      <c r="D142" s="2506"/>
      <c r="E142" s="2506"/>
      <c r="F142" s="2506"/>
      <c r="G142" s="2506"/>
      <c r="H142" s="2506"/>
      <c r="I142" s="2506"/>
      <c r="J142" s="2506"/>
      <c r="K142" s="2506"/>
      <c r="L142" s="2506"/>
      <c r="M142" s="2506"/>
      <c r="N142" s="2506"/>
      <c r="O142" s="2506"/>
      <c r="P142" s="2506"/>
      <c r="Q142" s="2498"/>
      <c r="R142" s="2498"/>
      <c r="S142" s="2498"/>
      <c r="T142" s="2498"/>
      <c r="U142" s="2498"/>
    </row>
    <row r="143" spans="1:21" ht="13.8">
      <c r="A143" s="2499"/>
      <c r="B143" s="2499"/>
      <c r="C143" s="2514"/>
      <c r="D143" s="2514"/>
      <c r="E143" s="2514"/>
      <c r="F143" s="2514"/>
      <c r="G143" s="2514"/>
      <c r="H143" s="2514"/>
      <c r="I143" s="2514"/>
      <c r="J143" s="2514"/>
      <c r="K143" s="2514"/>
      <c r="L143" s="2514"/>
      <c r="M143" s="2514"/>
      <c r="N143" s="2514"/>
      <c r="O143" s="2514"/>
      <c r="P143" s="2514"/>
      <c r="Q143" s="2498"/>
      <c r="R143" s="2498"/>
      <c r="S143" s="2498"/>
      <c r="T143" s="2498"/>
      <c r="U143" s="2498"/>
    </row>
    <row r="144" spans="1:21" ht="13.8">
      <c r="A144" s="2499"/>
      <c r="B144" s="2499" t="s">
        <v>1936</v>
      </c>
      <c r="C144" s="2514" t="s">
        <v>1385</v>
      </c>
      <c r="D144" s="2514"/>
      <c r="E144" s="2514"/>
      <c r="F144" s="2499"/>
      <c r="G144" s="2499"/>
      <c r="H144" s="2520">
        <f>'Part I-Project Information'!H119</f>
        <v>2</v>
      </c>
      <c r="I144" s="2498"/>
      <c r="J144" s="2498"/>
      <c r="K144" s="2498"/>
      <c r="L144" s="2498"/>
      <c r="M144" s="2498"/>
      <c r="N144" s="2498"/>
      <c r="O144" s="2498"/>
      <c r="P144" s="2498"/>
      <c r="Q144" s="2498"/>
      <c r="R144" s="2498"/>
      <c r="S144" s="2498"/>
      <c r="T144" s="2498"/>
      <c r="U144" s="2498"/>
    </row>
    <row r="145" spans="1:21" ht="13.8">
      <c r="A145" s="2499"/>
      <c r="B145" s="2499"/>
      <c r="C145" s="2514"/>
      <c r="D145" s="2514"/>
      <c r="E145" s="2514"/>
      <c r="F145" s="2514"/>
      <c r="G145" s="2514"/>
      <c r="H145" s="2514"/>
      <c r="I145" s="2498"/>
      <c r="J145" s="2514"/>
      <c r="K145" s="2498"/>
      <c r="L145" s="2498"/>
      <c r="M145" s="2514"/>
      <c r="N145" s="2514"/>
      <c r="O145" s="2514"/>
      <c r="P145" s="2498"/>
      <c r="Q145" s="2498"/>
      <c r="R145" s="2498"/>
      <c r="S145" s="2498"/>
      <c r="T145" s="2498"/>
      <c r="U145" s="2498"/>
    </row>
    <row r="146" spans="1:21" ht="13.8">
      <c r="A146" s="2499"/>
      <c r="B146" s="2499" t="s">
        <v>1938</v>
      </c>
      <c r="C146" s="2514" t="s">
        <v>408</v>
      </c>
      <c r="D146" s="2514"/>
      <c r="E146" s="2514"/>
      <c r="F146" s="2499"/>
      <c r="G146" s="2499"/>
      <c r="H146" s="2520">
        <f>'Part I-Project Information'!H121</f>
        <v>1728000</v>
      </c>
      <c r="I146" s="2498"/>
      <c r="J146" s="2520"/>
      <c r="K146" s="2500"/>
      <c r="L146" s="2498"/>
      <c r="M146" s="2498"/>
      <c r="N146" s="2498"/>
      <c r="O146" s="2498"/>
      <c r="P146" s="2498"/>
      <c r="Q146" s="2498"/>
      <c r="R146" s="2498"/>
      <c r="S146" s="2498"/>
      <c r="T146" s="2498"/>
      <c r="U146" s="2498"/>
    </row>
    <row r="147" spans="1:21" ht="13.8">
      <c r="A147" s="2499"/>
      <c r="B147" s="2499"/>
      <c r="C147" s="2514"/>
      <c r="D147" s="2514"/>
      <c r="E147" s="2514"/>
      <c r="F147" s="2514"/>
      <c r="G147" s="2514"/>
      <c r="H147" s="2514"/>
      <c r="I147" s="2514"/>
      <c r="J147" s="2514"/>
      <c r="K147" s="2514"/>
      <c r="L147" s="2498"/>
      <c r="M147" s="2514"/>
      <c r="N147" s="2514"/>
      <c r="O147" s="2514"/>
      <c r="P147" s="2514"/>
      <c r="Q147" s="2498"/>
      <c r="R147" s="2498"/>
      <c r="S147" s="2498"/>
      <c r="T147" s="2498"/>
      <c r="U147" s="2498"/>
    </row>
    <row r="148" spans="1:21" ht="13.8">
      <c r="A148" s="2498"/>
      <c r="B148" s="2499" t="s">
        <v>731</v>
      </c>
      <c r="C148" s="2514" t="s">
        <v>297</v>
      </c>
      <c r="D148" s="2514"/>
      <c r="E148" s="2514"/>
      <c r="F148" s="2499"/>
      <c r="G148" s="2499"/>
      <c r="H148" s="2499"/>
      <c r="I148" s="2499"/>
      <c r="J148" s="2520"/>
      <c r="K148" s="2499"/>
      <c r="L148" s="2499"/>
      <c r="M148" s="2498"/>
      <c r="N148" s="2498"/>
      <c r="O148" s="2498"/>
      <c r="P148" s="2498"/>
      <c r="Q148" s="2498"/>
      <c r="R148" s="2498"/>
      <c r="S148" s="2498"/>
      <c r="T148" s="2498"/>
      <c r="U148" s="2498"/>
    </row>
    <row r="149" spans="1:21" ht="13.8">
      <c r="A149" s="2498"/>
      <c r="B149" s="2499"/>
      <c r="C149" s="2514" t="s">
        <v>2085</v>
      </c>
      <c r="D149" s="2514"/>
      <c r="E149" s="2498"/>
      <c r="F149" s="2514" t="s">
        <v>1112</v>
      </c>
      <c r="G149" s="2499"/>
      <c r="H149" s="2499"/>
      <c r="I149" s="2499" t="s">
        <v>1268</v>
      </c>
      <c r="J149" s="2514" t="s">
        <v>2085</v>
      </c>
      <c r="K149" s="2514"/>
      <c r="L149" s="2498"/>
      <c r="M149" s="2514" t="s">
        <v>1112</v>
      </c>
      <c r="N149" s="2499"/>
      <c r="O149" s="2499"/>
      <c r="P149" s="2499" t="s">
        <v>1268</v>
      </c>
      <c r="Q149" s="2498"/>
      <c r="R149" s="2498"/>
      <c r="S149" s="2498"/>
      <c r="T149" s="2498"/>
      <c r="U149" s="2498"/>
    </row>
    <row r="150" spans="1:21" ht="13.8">
      <c r="A150" s="2499"/>
      <c r="B150" s="2499"/>
      <c r="C150" s="2509" t="str">
        <f>'Part I-Project Information'!C125</f>
        <v>Brian Parent</v>
      </c>
      <c r="D150" s="2509"/>
      <c r="E150" s="2509"/>
      <c r="F150" s="2509" t="str">
        <f>'Part I-Project Information'!F125</f>
        <v>Woodland Grove Townhomes</v>
      </c>
      <c r="G150" s="2509"/>
      <c r="H150" s="2509"/>
      <c r="I150" s="2545" t="str">
        <f>'Part I-Project Information'!I125</f>
        <v>Direct</v>
      </c>
      <c r="J150" s="2509" t="str">
        <f>'Part I-Project Information'!J125</f>
        <v>Parent Development LLC</v>
      </c>
      <c r="K150" s="2509"/>
      <c r="L150" s="2509"/>
      <c r="M150" s="2509" t="str">
        <f>'Part I-Project Information'!M125</f>
        <v>Chelsea Park Townhomes</v>
      </c>
      <c r="N150" s="2509"/>
      <c r="O150" s="2509"/>
      <c r="P150" s="2545" t="str">
        <f>'Part I-Project Information'!P125</f>
        <v>Indirect</v>
      </c>
      <c r="Q150" s="2498"/>
      <c r="R150" s="2498"/>
      <c r="S150" s="2498"/>
      <c r="T150" s="2498"/>
      <c r="U150" s="2498"/>
    </row>
    <row r="151" spans="1:21" ht="13.8">
      <c r="A151" s="2499"/>
      <c r="B151" s="2499"/>
      <c r="C151" s="2509" t="str">
        <f>'Part I-Project Information'!C126</f>
        <v>Brian Stadler</v>
      </c>
      <c r="D151" s="2509"/>
      <c r="E151" s="2509"/>
      <c r="F151" s="2509" t="str">
        <f>'Part I-Project Information'!F126</f>
        <v>Woodland Grove Townhomes</v>
      </c>
      <c r="G151" s="2509"/>
      <c r="H151" s="2509"/>
      <c r="I151" s="2545" t="str">
        <f>'Part I-Project Information'!I126</f>
        <v>Direct</v>
      </c>
      <c r="J151" s="2509">
        <f>'Part I-Project Information'!J126</f>
        <v>8</v>
      </c>
      <c r="K151" s="2509"/>
      <c r="L151" s="2509"/>
      <c r="M151" s="2509">
        <f>'Part I-Project Information'!M126</f>
        <v>0</v>
      </c>
      <c r="N151" s="2509"/>
      <c r="O151" s="2509"/>
      <c r="P151" s="2545">
        <f>'Part I-Project Information'!P126</f>
        <v>0</v>
      </c>
      <c r="Q151" s="2498"/>
      <c r="R151" s="2498"/>
      <c r="S151" s="2498"/>
      <c r="T151" s="2498"/>
      <c r="U151" s="2498"/>
    </row>
    <row r="152" spans="1:21" ht="13.8">
      <c r="A152" s="2499"/>
      <c r="B152" s="2499"/>
      <c r="C152" s="2509" t="str">
        <f>'Part I-Project Information'!C127</f>
        <v>Outlook Development LLC</v>
      </c>
      <c r="D152" s="2509"/>
      <c r="E152" s="2509"/>
      <c r="F152" s="2509" t="str">
        <f>'Part I-Project Information'!F127</f>
        <v>Woodland Grove Townhomes</v>
      </c>
      <c r="G152" s="2509"/>
      <c r="H152" s="2509"/>
      <c r="I152" s="2545" t="str">
        <f>'Part I-Project Information'!I127</f>
        <v>Indirect</v>
      </c>
      <c r="J152" s="2509">
        <f>'Part I-Project Information'!J127</f>
        <v>9</v>
      </c>
      <c r="K152" s="2509"/>
      <c r="L152" s="2509"/>
      <c r="M152" s="2509">
        <f>'Part I-Project Information'!M127</f>
        <v>0</v>
      </c>
      <c r="N152" s="2509"/>
      <c r="O152" s="2509"/>
      <c r="P152" s="2545">
        <f>'Part I-Project Information'!P127</f>
        <v>0</v>
      </c>
      <c r="Q152" s="2498"/>
      <c r="R152" s="2498"/>
      <c r="S152" s="2498"/>
      <c r="T152" s="2498"/>
      <c r="U152" s="2498"/>
    </row>
    <row r="153" spans="1:21" ht="13.8">
      <c r="A153" s="2499"/>
      <c r="B153" s="2499"/>
      <c r="C153" s="2509" t="str">
        <f>'Part I-Project Information'!C128</f>
        <v>Brian Parent</v>
      </c>
      <c r="D153" s="2509"/>
      <c r="E153" s="2509"/>
      <c r="F153" s="2509" t="str">
        <f>'Part I-Project Information'!F128</f>
        <v>Chelsea Park Townhomes</v>
      </c>
      <c r="G153" s="2509"/>
      <c r="H153" s="2509"/>
      <c r="I153" s="2545" t="str">
        <f>'Part I-Project Information'!I128</f>
        <v>Direct</v>
      </c>
      <c r="J153" s="2509">
        <f>'Part I-Project Information'!J128</f>
        <v>10</v>
      </c>
      <c r="K153" s="2509"/>
      <c r="L153" s="2509"/>
      <c r="M153" s="2509">
        <f>'Part I-Project Information'!M128</f>
        <v>0</v>
      </c>
      <c r="N153" s="2509"/>
      <c r="O153" s="2509"/>
      <c r="P153" s="2545">
        <f>'Part I-Project Information'!P128</f>
        <v>0</v>
      </c>
      <c r="Q153" s="2498"/>
      <c r="R153" s="2498"/>
      <c r="S153" s="2498"/>
      <c r="T153" s="2498"/>
      <c r="U153" s="2498"/>
    </row>
    <row r="154" spans="1:21" ht="13.8">
      <c r="A154" s="2499"/>
      <c r="B154" s="2499"/>
      <c r="C154" s="2509" t="str">
        <f>'Part I-Project Information'!C129</f>
        <v>Brian Stadler</v>
      </c>
      <c r="D154" s="2509"/>
      <c r="E154" s="2509"/>
      <c r="F154" s="2509" t="str">
        <f>'Part I-Project Information'!F129</f>
        <v>Chelsea Park Townhomes</v>
      </c>
      <c r="G154" s="2509"/>
      <c r="H154" s="2509"/>
      <c r="I154" s="2545" t="str">
        <f>'Part I-Project Information'!I129</f>
        <v>Direct</v>
      </c>
      <c r="J154" s="2509">
        <f>'Part I-Project Information'!J129</f>
        <v>11</v>
      </c>
      <c r="K154" s="2509"/>
      <c r="L154" s="2509"/>
      <c r="M154" s="2509">
        <f>'Part I-Project Information'!M129</f>
        <v>0</v>
      </c>
      <c r="N154" s="2509"/>
      <c r="O154" s="2509"/>
      <c r="P154" s="2545">
        <f>'Part I-Project Information'!P129</f>
        <v>0</v>
      </c>
      <c r="Q154" s="2498"/>
      <c r="R154" s="2498"/>
      <c r="S154" s="2498"/>
      <c r="T154" s="2498"/>
      <c r="U154" s="2498"/>
    </row>
    <row r="155" spans="1:21" ht="13.8">
      <c r="A155" s="2499"/>
      <c r="B155" s="2499"/>
      <c r="C155" s="2509" t="str">
        <f>'Part I-Project Information'!C130</f>
        <v>Outlook Development LLC</v>
      </c>
      <c r="D155" s="2509"/>
      <c r="E155" s="2509"/>
      <c r="F155" s="2509" t="str">
        <f>'Part I-Project Information'!F130</f>
        <v>Chelsea Park Townhomes</v>
      </c>
      <c r="G155" s="2509"/>
      <c r="H155" s="2509"/>
      <c r="I155" s="2545" t="str">
        <f>'Part I-Project Information'!I130</f>
        <v>Indirect</v>
      </c>
      <c r="J155" s="2509">
        <f>'Part I-Project Information'!J130</f>
        <v>12</v>
      </c>
      <c r="K155" s="2509"/>
      <c r="L155" s="2509"/>
      <c r="M155" s="2509">
        <f>'Part I-Project Information'!M130</f>
        <v>0</v>
      </c>
      <c r="N155" s="2509"/>
      <c r="O155" s="2509"/>
      <c r="P155" s="2545">
        <f>'Part I-Project Information'!P130</f>
        <v>0</v>
      </c>
      <c r="Q155" s="2498"/>
      <c r="R155" s="2498"/>
      <c r="S155" s="2498"/>
      <c r="T155" s="2498"/>
      <c r="U155" s="2498"/>
    </row>
    <row r="156" spans="1:21" ht="13.8">
      <c r="A156" s="2499"/>
      <c r="B156" s="2499"/>
      <c r="C156" s="2514"/>
      <c r="D156" s="2514"/>
      <c r="E156" s="2514"/>
      <c r="F156" s="2514"/>
      <c r="G156" s="2514"/>
      <c r="H156" s="2514"/>
      <c r="I156" s="2514"/>
      <c r="J156" s="2514"/>
      <c r="K156" s="2514"/>
      <c r="L156" s="2514"/>
      <c r="M156" s="2514"/>
      <c r="N156" s="2514"/>
      <c r="O156" s="2514"/>
      <c r="P156" s="2514"/>
      <c r="Q156" s="2498"/>
      <c r="R156" s="2498"/>
      <c r="S156" s="2498"/>
      <c r="T156" s="2498"/>
      <c r="U156" s="2498"/>
    </row>
    <row r="157" spans="1:21" ht="13.8" customHeight="1">
      <c r="A157" s="2499"/>
      <c r="B157" s="2499" t="s">
        <v>2065</v>
      </c>
      <c r="C157" s="2506" t="s">
        <v>1801</v>
      </c>
      <c r="D157" s="2506"/>
      <c r="E157" s="2506"/>
      <c r="F157" s="2506"/>
      <c r="G157" s="2506"/>
      <c r="H157" s="2506"/>
      <c r="I157" s="2506"/>
      <c r="J157" s="2506"/>
      <c r="K157" s="2506"/>
      <c r="L157" s="2506"/>
      <c r="M157" s="2506"/>
      <c r="N157" s="2506"/>
      <c r="O157" s="2506"/>
      <c r="P157" s="2506"/>
      <c r="Q157" s="2498"/>
      <c r="R157" s="2498"/>
      <c r="S157" s="2498"/>
      <c r="T157" s="2498"/>
      <c r="U157" s="2498"/>
    </row>
    <row r="158" spans="1:21" ht="13.8">
      <c r="A158" s="2499"/>
      <c r="B158" s="2499"/>
      <c r="C158" s="2506"/>
      <c r="D158" s="2506"/>
      <c r="E158" s="2506"/>
      <c r="F158" s="2506"/>
      <c r="G158" s="2506"/>
      <c r="H158" s="2506"/>
      <c r="I158" s="2506"/>
      <c r="J158" s="2506"/>
      <c r="K158" s="2506"/>
      <c r="L158" s="2506"/>
      <c r="M158" s="2506"/>
      <c r="N158" s="2506"/>
      <c r="O158" s="2506"/>
      <c r="P158" s="2506"/>
      <c r="Q158" s="2498"/>
      <c r="R158" s="2498"/>
      <c r="S158" s="2498"/>
      <c r="T158" s="2498"/>
      <c r="U158" s="2498"/>
    </row>
    <row r="159" spans="1:21" ht="13.8">
      <c r="A159" s="2498"/>
      <c r="B159" s="2499"/>
      <c r="C159" s="2514" t="s">
        <v>2085</v>
      </c>
      <c r="D159" s="2514"/>
      <c r="E159" s="2498"/>
      <c r="F159" s="2514" t="s">
        <v>1112</v>
      </c>
      <c r="G159" s="2499"/>
      <c r="H159" s="2499"/>
      <c r="I159" s="2499"/>
      <c r="J159" s="2514" t="s">
        <v>2085</v>
      </c>
      <c r="K159" s="2514"/>
      <c r="L159" s="2498"/>
      <c r="M159" s="2514" t="s">
        <v>1112</v>
      </c>
      <c r="N159" s="2499"/>
      <c r="O159" s="2499"/>
      <c r="P159" s="2499"/>
      <c r="Q159" s="2498"/>
      <c r="R159" s="2498"/>
      <c r="S159" s="2498"/>
      <c r="T159" s="2498"/>
      <c r="U159" s="2498"/>
    </row>
    <row r="160" spans="1:21" ht="13.8">
      <c r="A160" s="2499"/>
      <c r="B160" s="2499"/>
      <c r="C160" s="2509">
        <f>'Part I-Project Information'!C135</f>
        <v>1</v>
      </c>
      <c r="D160" s="2509"/>
      <c r="E160" s="2509"/>
      <c r="F160" s="2509">
        <f>'Part I-Project Information'!F135</f>
        <v>0</v>
      </c>
      <c r="G160" s="2509"/>
      <c r="H160" s="2509"/>
      <c r="I160" s="2509"/>
      <c r="J160" s="2509">
        <f>'Part I-Project Information'!J135</f>
        <v>7</v>
      </c>
      <c r="K160" s="2509"/>
      <c r="L160" s="2509"/>
      <c r="M160" s="2509">
        <f>'Part I-Project Information'!M135</f>
        <v>0</v>
      </c>
      <c r="N160" s="2509"/>
      <c r="O160" s="2509"/>
      <c r="P160" s="2509"/>
      <c r="Q160" s="2498"/>
      <c r="R160" s="2498"/>
      <c r="S160" s="2498"/>
      <c r="T160" s="2498"/>
      <c r="U160" s="2498"/>
    </row>
    <row r="161" spans="1:21" ht="13.8">
      <c r="A161" s="2499"/>
      <c r="B161" s="2499"/>
      <c r="C161" s="2509">
        <f>'Part I-Project Information'!C136</f>
        <v>2</v>
      </c>
      <c r="D161" s="2509"/>
      <c r="E161" s="2509"/>
      <c r="F161" s="2509">
        <f>'Part I-Project Information'!F136</f>
        <v>0</v>
      </c>
      <c r="G161" s="2509"/>
      <c r="H161" s="2509"/>
      <c r="I161" s="2509"/>
      <c r="J161" s="2509">
        <f>'Part I-Project Information'!J136</f>
        <v>8</v>
      </c>
      <c r="K161" s="2509"/>
      <c r="L161" s="2509"/>
      <c r="M161" s="2509">
        <f>'Part I-Project Information'!M136</f>
        <v>0</v>
      </c>
      <c r="N161" s="2509"/>
      <c r="O161" s="2509"/>
      <c r="P161" s="2509"/>
      <c r="Q161" s="2498"/>
      <c r="R161" s="2498"/>
      <c r="S161" s="2498"/>
      <c r="T161" s="2498"/>
      <c r="U161" s="2498"/>
    </row>
    <row r="162" spans="1:21" ht="13.8">
      <c r="A162" s="2499"/>
      <c r="B162" s="2499"/>
      <c r="C162" s="2509">
        <f>'Part I-Project Information'!C137</f>
        <v>3</v>
      </c>
      <c r="D162" s="2509"/>
      <c r="E162" s="2509"/>
      <c r="F162" s="2509">
        <f>'Part I-Project Information'!F137</f>
        <v>0</v>
      </c>
      <c r="G162" s="2509"/>
      <c r="H162" s="2509"/>
      <c r="I162" s="2509"/>
      <c r="J162" s="2509">
        <f>'Part I-Project Information'!J137</f>
        <v>9</v>
      </c>
      <c r="K162" s="2509"/>
      <c r="L162" s="2509"/>
      <c r="M162" s="2509">
        <f>'Part I-Project Information'!M137</f>
        <v>0</v>
      </c>
      <c r="N162" s="2509"/>
      <c r="O162" s="2509"/>
      <c r="P162" s="2509"/>
      <c r="Q162" s="2498"/>
      <c r="R162" s="2498"/>
      <c r="S162" s="2498"/>
      <c r="T162" s="2498"/>
      <c r="U162" s="2498"/>
    </row>
    <row r="163" spans="1:21" ht="13.8">
      <c r="A163" s="2499"/>
      <c r="B163" s="2499"/>
      <c r="C163" s="2509">
        <f>'Part I-Project Information'!C138</f>
        <v>4</v>
      </c>
      <c r="D163" s="2509"/>
      <c r="E163" s="2509"/>
      <c r="F163" s="2509">
        <f>'Part I-Project Information'!F138</f>
        <v>0</v>
      </c>
      <c r="G163" s="2509"/>
      <c r="H163" s="2509"/>
      <c r="I163" s="2509"/>
      <c r="J163" s="2509">
        <f>'Part I-Project Information'!J138</f>
        <v>10</v>
      </c>
      <c r="K163" s="2509"/>
      <c r="L163" s="2509"/>
      <c r="M163" s="2509">
        <f>'Part I-Project Information'!M138</f>
        <v>0</v>
      </c>
      <c r="N163" s="2509"/>
      <c r="O163" s="2509"/>
      <c r="P163" s="2509"/>
      <c r="Q163" s="2498"/>
      <c r="R163" s="2498"/>
      <c r="S163" s="2498"/>
      <c r="T163" s="2498"/>
      <c r="U163" s="2498"/>
    </row>
    <row r="164" spans="1:21" ht="13.8">
      <c r="A164" s="2499"/>
      <c r="B164" s="2499"/>
      <c r="C164" s="2509">
        <f>'Part I-Project Information'!C139</f>
        <v>5</v>
      </c>
      <c r="D164" s="2509"/>
      <c r="E164" s="2509"/>
      <c r="F164" s="2509">
        <f>'Part I-Project Information'!F139</f>
        <v>0</v>
      </c>
      <c r="G164" s="2509"/>
      <c r="H164" s="2509"/>
      <c r="I164" s="2509"/>
      <c r="J164" s="2509">
        <f>'Part I-Project Information'!J139</f>
        <v>11</v>
      </c>
      <c r="K164" s="2509"/>
      <c r="L164" s="2509"/>
      <c r="M164" s="2509">
        <f>'Part I-Project Information'!M139</f>
        <v>0</v>
      </c>
      <c r="N164" s="2509"/>
      <c r="O164" s="2509"/>
      <c r="P164" s="2509"/>
      <c r="Q164" s="2498"/>
      <c r="R164" s="2498"/>
      <c r="S164" s="2498"/>
      <c r="T164" s="2498"/>
      <c r="U164" s="2498"/>
    </row>
    <row r="165" spans="1:21" ht="13.8">
      <c r="A165" s="2499"/>
      <c r="B165" s="2499"/>
      <c r="C165" s="2509">
        <f>'Part I-Project Information'!C140</f>
        <v>6</v>
      </c>
      <c r="D165" s="2509"/>
      <c r="E165" s="2509"/>
      <c r="F165" s="2509">
        <f>'Part I-Project Information'!F140</f>
        <v>0</v>
      </c>
      <c r="G165" s="2509"/>
      <c r="H165" s="2509"/>
      <c r="I165" s="2509"/>
      <c r="J165" s="2509">
        <f>'Part I-Project Information'!J140</f>
        <v>12</v>
      </c>
      <c r="K165" s="2509"/>
      <c r="L165" s="2509"/>
      <c r="M165" s="2509">
        <f>'Part I-Project Information'!M140</f>
        <v>0</v>
      </c>
      <c r="N165" s="2509"/>
      <c r="O165" s="2509"/>
      <c r="P165" s="2509"/>
      <c r="Q165" s="2498"/>
      <c r="R165" s="2498"/>
      <c r="S165" s="2498"/>
      <c r="T165" s="2498"/>
      <c r="U165" s="2498"/>
    </row>
    <row r="166" spans="1:21" ht="13.8">
      <c r="A166" s="2499"/>
      <c r="B166" s="2499"/>
      <c r="C166" s="2514"/>
      <c r="D166" s="2514"/>
      <c r="E166" s="2514"/>
      <c r="F166" s="2499"/>
      <c r="G166" s="2499"/>
      <c r="H166" s="2499"/>
      <c r="I166" s="2499"/>
      <c r="J166" s="2520"/>
      <c r="K166" s="2499"/>
      <c r="L166" s="2499"/>
      <c r="M166" s="2498"/>
      <c r="N166" s="2498"/>
      <c r="O166" s="2498"/>
      <c r="P166" s="2517"/>
      <c r="Q166" s="2498"/>
      <c r="R166" s="2498"/>
      <c r="S166" s="2498"/>
      <c r="T166" s="2498"/>
      <c r="U166" s="2498"/>
    </row>
    <row r="167" spans="1:21" ht="13.8">
      <c r="A167" s="2498" t="s">
        <v>358</v>
      </c>
      <c r="B167" s="2498" t="s">
        <v>6844</v>
      </c>
      <c r="C167" s="2498"/>
      <c r="D167" s="2498"/>
      <c r="E167" s="2498"/>
      <c r="F167" s="2498"/>
      <c r="G167" s="2498"/>
      <c r="H167" s="2498"/>
      <c r="I167" s="2499" t="str">
        <f>'Part I-Project Information'!I142</f>
        <v>No</v>
      </c>
      <c r="J167" s="2498"/>
      <c r="K167" s="2498"/>
      <c r="L167" s="2498"/>
      <c r="M167" s="2499"/>
      <c r="N167" s="2498"/>
      <c r="O167" s="2498"/>
      <c r="P167" s="2517"/>
      <c r="Q167" s="2498"/>
      <c r="R167" s="2498"/>
      <c r="S167" s="2498"/>
      <c r="T167" s="2498"/>
      <c r="U167" s="2498"/>
    </row>
    <row r="168" spans="1:21" ht="13.8">
      <c r="A168" s="2506"/>
      <c r="B168" s="2499"/>
      <c r="C168" s="2514"/>
      <c r="D168" s="2514"/>
      <c r="E168" s="2514"/>
      <c r="F168" s="2514"/>
      <c r="G168" s="2499"/>
      <c r="H168" s="2498"/>
      <c r="I168" s="2498"/>
      <c r="J168" s="2498"/>
      <c r="K168" s="2498"/>
      <c r="L168" s="2498"/>
      <c r="M168" s="2499"/>
      <c r="N168" s="2498"/>
      <c r="O168" s="2498"/>
      <c r="P168" s="2498"/>
      <c r="Q168" s="2498"/>
      <c r="R168" s="2498"/>
      <c r="S168" s="2498"/>
      <c r="T168" s="2498"/>
      <c r="U168" s="2498"/>
    </row>
    <row r="169" spans="1:21" ht="13.8">
      <c r="A169" s="2499"/>
      <c r="B169" s="2499" t="s">
        <v>1936</v>
      </c>
      <c r="C169" s="2500" t="s">
        <v>1671</v>
      </c>
      <c r="D169" s="2498"/>
      <c r="E169" s="2498"/>
      <c r="F169" s="2498"/>
      <c r="G169" s="2498"/>
      <c r="H169" s="2498"/>
      <c r="I169" s="2499">
        <f>'Part I-Project Information'!I144</f>
        <v>0</v>
      </c>
      <c r="J169" s="2498"/>
      <c r="K169" s="2498"/>
      <c r="L169" s="2498"/>
      <c r="M169" s="2499"/>
      <c r="N169" s="2498"/>
      <c r="O169" s="2498"/>
      <c r="P169" s="2517"/>
      <c r="Q169" s="2498"/>
      <c r="R169" s="2498"/>
      <c r="S169" s="2498"/>
      <c r="T169" s="2498"/>
      <c r="U169" s="2498"/>
    </row>
    <row r="170" spans="1:21" ht="13.8">
      <c r="A170" s="2499"/>
      <c r="B170" s="2499"/>
      <c r="C170" s="2514" t="s">
        <v>2357</v>
      </c>
      <c r="D170" s="2514"/>
      <c r="E170" s="2514"/>
      <c r="F170" s="2499"/>
      <c r="G170" s="2498"/>
      <c r="H170" s="2498"/>
      <c r="I170" s="2546">
        <f>'Part I-Project Information'!I145</f>
        <v>0</v>
      </c>
      <c r="J170" s="2498"/>
      <c r="K170" s="2498"/>
      <c r="L170" s="2498"/>
      <c r="M170" s="2498"/>
      <c r="N170" s="2498"/>
      <c r="O170" s="2498"/>
      <c r="P170" s="2517"/>
      <c r="Q170" s="2498"/>
      <c r="R170" s="2498"/>
      <c r="S170" s="2498"/>
      <c r="T170" s="2498"/>
      <c r="U170" s="2498"/>
    </row>
    <row r="171" spans="1:21" ht="13.8">
      <c r="A171" s="2499"/>
      <c r="B171" s="2499"/>
      <c r="C171" s="2496" t="s">
        <v>1670</v>
      </c>
      <c r="D171" s="2500"/>
      <c r="E171" s="2498"/>
      <c r="F171" s="2498"/>
      <c r="G171" s="2498"/>
      <c r="H171" s="2498"/>
      <c r="I171" s="2499">
        <f>'Part I-Project Information'!I146</f>
        <v>0</v>
      </c>
      <c r="J171" s="2498"/>
      <c r="K171" s="2498"/>
      <c r="L171" s="2498"/>
      <c r="M171" s="2498"/>
      <c r="N171" s="2498"/>
      <c r="O171" s="2498"/>
      <c r="P171" s="2517"/>
      <c r="Q171" s="2498"/>
      <c r="R171" s="2498"/>
      <c r="S171" s="2498"/>
      <c r="T171" s="2498"/>
      <c r="U171" s="2498"/>
    </row>
    <row r="172" spans="1:21" ht="13.8">
      <c r="A172" s="2499"/>
      <c r="B172" s="2499"/>
      <c r="C172" s="2514" t="s">
        <v>2358</v>
      </c>
      <c r="D172" s="2514"/>
      <c r="E172" s="2514"/>
      <c r="F172" s="2499"/>
      <c r="G172" s="2498"/>
      <c r="H172" s="2498"/>
      <c r="I172" s="2546">
        <f>'Part I-Project Information'!I147</f>
        <v>0</v>
      </c>
      <c r="J172" s="2498"/>
      <c r="K172" s="2506" t="s">
        <v>2188</v>
      </c>
      <c r="L172" s="2498"/>
      <c r="M172" s="2498"/>
      <c r="N172" s="2498"/>
      <c r="O172" s="2498" t="str">
        <f>'Part I-Project Information'!O147</f>
        <v>GA-</v>
      </c>
      <c r="P172" s="2498"/>
      <c r="Q172" s="2498"/>
      <c r="R172" s="2498"/>
      <c r="S172" s="2498"/>
      <c r="T172" s="2498"/>
      <c r="U172" s="2498"/>
    </row>
    <row r="173" spans="1:21" ht="13.8">
      <c r="A173" s="2499"/>
      <c r="B173" s="2499"/>
      <c r="C173" s="2514" t="s">
        <v>2356</v>
      </c>
      <c r="D173" s="2498"/>
      <c r="E173" s="2498"/>
      <c r="F173" s="2499"/>
      <c r="G173" s="2498"/>
      <c r="H173" s="2498"/>
      <c r="I173" s="2520">
        <f>'Part I-Project Information'!I148</f>
        <v>0</v>
      </c>
      <c r="J173" s="2498"/>
      <c r="K173" s="2506" t="s">
        <v>2189</v>
      </c>
      <c r="L173" s="2498"/>
      <c r="M173" s="2498"/>
      <c r="N173" s="2498"/>
      <c r="O173" s="2498" t="str">
        <f>'Part I-Project Information'!O148</f>
        <v>GA-</v>
      </c>
      <c r="P173" s="2498"/>
      <c r="Q173" s="2498"/>
      <c r="R173" s="2498"/>
      <c r="S173" s="2498"/>
      <c r="T173" s="2498"/>
      <c r="U173" s="2498"/>
    </row>
    <row r="174" spans="1:21" ht="13.8">
      <c r="A174" s="2499"/>
      <c r="B174" s="2499"/>
      <c r="C174" s="2514" t="s">
        <v>2116</v>
      </c>
      <c r="D174" s="2514"/>
      <c r="E174" s="2514"/>
      <c r="F174" s="2499"/>
      <c r="G174" s="2498"/>
      <c r="H174" s="2498"/>
      <c r="I174" s="2543">
        <f>'Part I-Project Information'!I149</f>
        <v>0</v>
      </c>
      <c r="J174" s="2543"/>
      <c r="K174" s="2498"/>
      <c r="L174" s="2498"/>
      <c r="M174" s="2498"/>
      <c r="N174" s="2498"/>
      <c r="O174" s="2498"/>
      <c r="P174" s="2517"/>
      <c r="Q174" s="2498"/>
      <c r="R174" s="2498"/>
      <c r="S174" s="2498"/>
      <c r="T174" s="2498"/>
      <c r="U174" s="2498"/>
    </row>
    <row r="175" spans="1:21" ht="13.8">
      <c r="A175" s="2499"/>
      <c r="B175" s="2499"/>
      <c r="C175" s="2514"/>
      <c r="D175" s="2514"/>
      <c r="E175" s="2514"/>
      <c r="F175" s="2499"/>
      <c r="G175" s="2499"/>
      <c r="H175" s="2498"/>
      <c r="I175" s="2498"/>
      <c r="J175" s="2498"/>
      <c r="K175" s="2498"/>
      <c r="L175" s="2498"/>
      <c r="M175" s="2499"/>
      <c r="N175" s="2498"/>
      <c r="O175" s="2498"/>
      <c r="P175" s="2517"/>
      <c r="Q175" s="2498"/>
      <c r="R175" s="2498"/>
      <c r="S175" s="2498"/>
      <c r="T175" s="2498"/>
      <c r="U175" s="2498"/>
    </row>
    <row r="176" spans="1:21" ht="13.8">
      <c r="A176" s="2499"/>
      <c r="B176" s="2499" t="s">
        <v>1938</v>
      </c>
      <c r="C176" s="2547" t="s">
        <v>2622</v>
      </c>
      <c r="D176" s="2514"/>
      <c r="E176" s="2506" t="s">
        <v>6911</v>
      </c>
      <c r="F176" s="2506"/>
      <c r="G176" s="2506"/>
      <c r="H176" s="2498"/>
      <c r="I176" s="2520" t="str">
        <f>'Part I-Project Information'!I151</f>
        <v>No</v>
      </c>
      <c r="J176" s="2498"/>
      <c r="K176" s="2506" t="s">
        <v>4473</v>
      </c>
      <c r="L176" s="2506"/>
      <c r="M176" s="2506"/>
      <c r="N176" s="2498"/>
      <c r="O176" s="2520" t="str">
        <f>'Part I-Project Information'!O151</f>
        <v>No</v>
      </c>
      <c r="P176" s="2517"/>
      <c r="Q176" s="2498"/>
      <c r="R176" s="2498"/>
      <c r="S176" s="2498"/>
      <c r="T176" s="2498"/>
      <c r="U176" s="2498"/>
    </row>
    <row r="177" spans="1:21" ht="13.8">
      <c r="A177" s="2499"/>
      <c r="B177" s="2498"/>
      <c r="C177" s="2514"/>
      <c r="D177" s="2514"/>
      <c r="E177" s="2506" t="s">
        <v>6912</v>
      </c>
      <c r="F177" s="2506"/>
      <c r="G177" s="2506"/>
      <c r="H177" s="2498"/>
      <c r="I177" s="2520" t="str">
        <f>'Part I-Project Information'!I152</f>
        <v>No</v>
      </c>
      <c r="J177" s="2498"/>
      <c r="K177" s="2506"/>
      <c r="L177" s="2506"/>
      <c r="M177" s="2506"/>
      <c r="N177" s="2498"/>
      <c r="O177" s="2498"/>
      <c r="P177" s="2517"/>
      <c r="Q177" s="2498"/>
      <c r="R177" s="2498"/>
      <c r="S177" s="2498"/>
      <c r="T177" s="2498"/>
      <c r="U177" s="2498"/>
    </row>
    <row r="178" spans="1:21" ht="13.8">
      <c r="A178" s="2499"/>
      <c r="B178" s="2499"/>
      <c r="C178" s="2514"/>
      <c r="D178" s="2514"/>
      <c r="E178" s="2514"/>
      <c r="F178" s="2499"/>
      <c r="G178" s="2498"/>
      <c r="H178" s="2498"/>
      <c r="I178" s="2498"/>
      <c r="J178" s="2498"/>
      <c r="K178" s="2498"/>
      <c r="L178" s="2498"/>
      <c r="M178" s="2498"/>
      <c r="N178" s="2498"/>
      <c r="O178" s="2498"/>
      <c r="P178" s="2517"/>
      <c r="Q178" s="2498"/>
      <c r="R178" s="2498"/>
      <c r="S178" s="2498"/>
      <c r="T178" s="2498"/>
      <c r="U178" s="2498"/>
    </row>
    <row r="179" spans="1:21" ht="13.8">
      <c r="A179" s="2499"/>
      <c r="B179" s="2499" t="s">
        <v>731</v>
      </c>
      <c r="C179" s="2514" t="s">
        <v>4470</v>
      </c>
      <c r="D179" s="2514"/>
      <c r="E179" s="2514"/>
      <c r="F179" s="2499"/>
      <c r="G179" s="2498"/>
      <c r="H179" s="2498"/>
      <c r="I179" s="2520" t="str">
        <f>'Part I-Project Information'!I154</f>
        <v>No</v>
      </c>
      <c r="J179" s="2498"/>
      <c r="K179" s="2498"/>
      <c r="L179" s="2498"/>
      <c r="M179" s="2498"/>
      <c r="N179" s="2498"/>
      <c r="O179" s="2498"/>
      <c r="P179" s="2517"/>
      <c r="Q179" s="2498"/>
      <c r="R179" s="2498"/>
      <c r="S179" s="2498"/>
      <c r="T179" s="2498"/>
      <c r="U179" s="2498"/>
    </row>
    <row r="180" spans="1:21" ht="13.8">
      <c r="A180" s="2499"/>
      <c r="B180" s="2499"/>
      <c r="C180" s="2514"/>
      <c r="D180" s="2514"/>
      <c r="E180" s="2514"/>
      <c r="F180" s="2499"/>
      <c r="G180" s="2499"/>
      <c r="H180" s="2499"/>
      <c r="I180" s="2499"/>
      <c r="J180" s="2520"/>
      <c r="K180" s="2499"/>
      <c r="L180" s="2499"/>
      <c r="M180" s="2498"/>
      <c r="N180" s="2498"/>
      <c r="O180" s="2498"/>
      <c r="P180" s="2517"/>
      <c r="Q180" s="2498"/>
      <c r="R180" s="2498"/>
      <c r="S180" s="2498"/>
      <c r="T180" s="2498"/>
      <c r="U180" s="2498"/>
    </row>
    <row r="181" spans="1:21" ht="13.8">
      <c r="A181" s="2506" t="s">
        <v>1683</v>
      </c>
      <c r="B181" s="2506" t="s">
        <v>1165</v>
      </c>
      <c r="C181" s="2498"/>
      <c r="D181" s="2506"/>
      <c r="E181" s="2506"/>
      <c r="F181" s="2506"/>
      <c r="G181" s="2499"/>
      <c r="H181" s="2499"/>
      <c r="I181" s="2499"/>
      <c r="J181" s="2520"/>
      <c r="K181" s="2499"/>
      <c r="L181" s="2499"/>
      <c r="M181" s="2498"/>
      <c r="N181" s="2498"/>
      <c r="O181" s="2498"/>
      <c r="P181" s="2517"/>
      <c r="Q181" s="2498"/>
      <c r="R181" s="2498"/>
      <c r="S181" s="2498"/>
      <c r="T181" s="2498"/>
      <c r="U181" s="2498"/>
    </row>
    <row r="182" spans="1:21" ht="13.8">
      <c r="A182" s="2506"/>
      <c r="B182" s="2499"/>
      <c r="C182" s="2514"/>
      <c r="D182" s="2514"/>
      <c r="E182" s="2514"/>
      <c r="F182" s="2514"/>
      <c r="G182" s="2499"/>
      <c r="H182" s="2499"/>
      <c r="I182" s="2499"/>
      <c r="J182" s="2520"/>
      <c r="K182" s="2499"/>
      <c r="L182" s="2499"/>
      <c r="M182" s="2498"/>
      <c r="N182" s="2498"/>
      <c r="O182" s="2498"/>
      <c r="P182" s="2498"/>
      <c r="Q182" s="2498"/>
      <c r="R182" s="2498"/>
      <c r="S182" s="2498"/>
      <c r="T182" s="2498"/>
      <c r="U182" s="2498"/>
    </row>
    <row r="183" spans="1:21" ht="13.8">
      <c r="A183" s="2499"/>
      <c r="B183" s="2499" t="s">
        <v>1936</v>
      </c>
      <c r="C183" s="2520" t="s">
        <v>1775</v>
      </c>
      <c r="D183" s="2498"/>
      <c r="E183" s="2498"/>
      <c r="F183" s="2499"/>
      <c r="G183" s="2499"/>
      <c r="H183" s="2499"/>
      <c r="I183" s="2499"/>
      <c r="J183" s="2520"/>
      <c r="K183" s="2499"/>
      <c r="L183" s="2499"/>
      <c r="M183" s="2498"/>
      <c r="N183" s="2498"/>
      <c r="O183" s="2498"/>
      <c r="P183" s="2517"/>
      <c r="Q183" s="2498"/>
      <c r="R183" s="2498"/>
      <c r="S183" s="2498"/>
      <c r="T183" s="2498"/>
      <c r="U183" s="2498"/>
    </row>
    <row r="184" spans="1:21" ht="13.8">
      <c r="A184" s="2499"/>
      <c r="B184" s="2499"/>
      <c r="C184" s="2506" t="s">
        <v>1495</v>
      </c>
      <c r="D184" s="2520"/>
      <c r="E184" s="2520"/>
      <c r="F184" s="2499"/>
      <c r="G184" s="2499"/>
      <c r="H184" s="2499"/>
      <c r="I184" s="2520" t="str">
        <f>'Part I-Project Information'!I159</f>
        <v>No</v>
      </c>
      <c r="J184" s="2498"/>
      <c r="K184" s="2498"/>
      <c r="L184" s="2498"/>
      <c r="M184" s="2498"/>
      <c r="N184" s="2498"/>
      <c r="O184" s="2498"/>
      <c r="P184" s="2517"/>
      <c r="Q184" s="2498"/>
      <c r="R184" s="2498"/>
      <c r="S184" s="2498"/>
      <c r="T184" s="2498"/>
      <c r="U184" s="2498"/>
    </row>
    <row r="185" spans="1:21" ht="13.8" customHeight="1">
      <c r="A185" s="2499"/>
      <c r="B185" s="2499"/>
      <c r="C185" s="2496" t="s">
        <v>6813</v>
      </c>
      <c r="D185" s="2496"/>
      <c r="E185" s="2496"/>
      <c r="F185" s="2496"/>
      <c r="G185" s="2498" t="s">
        <v>4278</v>
      </c>
      <c r="H185" s="2498"/>
      <c r="I185" s="2537">
        <f>'Part I-Project Information'!I160</f>
        <v>0</v>
      </c>
      <c r="J185" s="2498"/>
      <c r="K185" s="2500" t="s">
        <v>1751</v>
      </c>
      <c r="L185" s="2498"/>
      <c r="M185" s="2498"/>
      <c r="N185" s="2498"/>
      <c r="O185" s="2498"/>
      <c r="P185" s="2548">
        <f>'Part I-Project Information'!P160</f>
        <v>0</v>
      </c>
      <c r="Q185" s="2498"/>
      <c r="R185" s="2498"/>
      <c r="S185" s="2498"/>
      <c r="T185" s="2498"/>
      <c r="U185" s="2498"/>
    </row>
    <row r="186" spans="1:21" ht="13.8">
      <c r="A186" s="2499"/>
      <c r="B186" s="2499"/>
      <c r="C186" s="2496"/>
      <c r="D186" s="2496"/>
      <c r="E186" s="2496"/>
      <c r="F186" s="2496"/>
      <c r="G186" s="2498" t="s">
        <v>4277</v>
      </c>
      <c r="H186" s="2498"/>
      <c r="I186" s="2537">
        <f>'Part I-Project Information'!I161</f>
        <v>0</v>
      </c>
      <c r="J186" s="2498"/>
      <c r="K186" s="2500" t="s">
        <v>1751</v>
      </c>
      <c r="L186" s="2498"/>
      <c r="M186" s="2498"/>
      <c r="N186" s="2498"/>
      <c r="O186" s="2498"/>
      <c r="P186" s="2548">
        <f>'Part I-Project Information'!P161</f>
        <v>0</v>
      </c>
      <c r="Q186" s="2498"/>
      <c r="R186" s="2498"/>
      <c r="S186" s="2498"/>
      <c r="T186" s="2498"/>
      <c r="U186" s="2498"/>
    </row>
    <row r="187" spans="1:21" ht="13.8">
      <c r="A187" s="2499"/>
      <c r="B187" s="2499"/>
      <c r="C187" s="2500" t="s">
        <v>4279</v>
      </c>
      <c r="D187" s="2498"/>
      <c r="E187" s="2498"/>
      <c r="F187" s="2498"/>
      <c r="G187" s="2498"/>
      <c r="H187" s="2498"/>
      <c r="I187" s="2537">
        <f>'Part I-Project Information'!I162</f>
        <v>0</v>
      </c>
      <c r="J187" s="2498"/>
      <c r="K187" s="2500" t="s">
        <v>1751</v>
      </c>
      <c r="L187" s="2498"/>
      <c r="M187" s="2498"/>
      <c r="N187" s="2498"/>
      <c r="O187" s="2548"/>
      <c r="P187" s="2548">
        <f>'Part I-Project Information'!P162</f>
        <v>0</v>
      </c>
      <c r="Q187" s="2498"/>
      <c r="R187" s="2498"/>
      <c r="S187" s="2498"/>
      <c r="T187" s="2498"/>
      <c r="U187" s="2498"/>
    </row>
    <row r="188" spans="1:21" ht="13.8">
      <c r="A188" s="2499"/>
      <c r="B188" s="2499"/>
      <c r="C188" s="2498"/>
      <c r="D188" s="2498"/>
      <c r="E188" s="2498"/>
      <c r="F188" s="2498"/>
      <c r="G188" s="2498"/>
      <c r="H188" s="2498"/>
      <c r="I188" s="2498"/>
      <c r="J188" s="2498"/>
      <c r="K188" s="2498"/>
      <c r="L188" s="2498"/>
      <c r="M188" s="2498"/>
      <c r="N188" s="2498"/>
      <c r="O188" s="2498"/>
      <c r="P188" s="2498"/>
      <c r="Q188" s="2498"/>
      <c r="R188" s="2498"/>
      <c r="S188" s="2498"/>
      <c r="T188" s="2498"/>
      <c r="U188" s="2498"/>
    </row>
    <row r="189" spans="1:21" ht="13.8">
      <c r="A189" s="2499"/>
      <c r="B189" s="2499"/>
      <c r="C189" s="2498" t="s">
        <v>1752</v>
      </c>
      <c r="D189" s="2498">
        <f>'Part I-Project Information'!D164</f>
        <v>0</v>
      </c>
      <c r="E189" s="2498"/>
      <c r="F189" s="2498"/>
      <c r="G189" s="2498"/>
      <c r="H189" s="2498"/>
      <c r="I189" s="2500" t="s">
        <v>4232</v>
      </c>
      <c r="J189" s="2498"/>
      <c r="K189" s="2498"/>
      <c r="L189" s="2498"/>
      <c r="M189" s="2498"/>
      <c r="N189" s="2516">
        <f>'Part I-Project Information'!N164</f>
        <v>0</v>
      </c>
      <c r="O189" s="2516"/>
      <c r="P189" s="2516"/>
      <c r="Q189" s="2498"/>
      <c r="R189" s="2498"/>
      <c r="S189" s="2498"/>
      <c r="T189" s="2498"/>
      <c r="U189" s="2498"/>
    </row>
    <row r="190" spans="1:21" ht="13.8">
      <c r="A190" s="2499"/>
      <c r="B190" s="2499"/>
      <c r="C190" s="2500" t="s">
        <v>4233</v>
      </c>
      <c r="D190" s="2498">
        <f>'Part I-Project Information'!D165</f>
        <v>0</v>
      </c>
      <c r="E190" s="2498"/>
      <c r="F190" s="2498"/>
      <c r="G190" s="2498"/>
      <c r="H190" s="2498"/>
      <c r="I190" s="2498" t="s">
        <v>1753</v>
      </c>
      <c r="J190" s="2498">
        <f>'Part I-Project Information'!J165</f>
        <v>0</v>
      </c>
      <c r="K190" s="2498"/>
      <c r="L190" s="2498"/>
      <c r="M190" s="2498" t="s">
        <v>1933</v>
      </c>
      <c r="N190" s="2498">
        <f>'Part I-Project Information'!N165</f>
        <v>0</v>
      </c>
      <c r="O190" s="2498"/>
      <c r="P190" s="2498"/>
      <c r="Q190" s="2498"/>
      <c r="R190" s="2498"/>
      <c r="S190" s="2498"/>
      <c r="T190" s="2498"/>
      <c r="U190" s="2498"/>
    </row>
    <row r="191" spans="1:21" ht="13.8">
      <c r="A191" s="2499"/>
      <c r="B191" s="2499"/>
      <c r="C191" s="2500" t="s">
        <v>600</v>
      </c>
      <c r="D191" s="2498">
        <f>'Part I-Project Information'!D166</f>
        <v>0</v>
      </c>
      <c r="E191" s="2498"/>
      <c r="F191" s="2498" t="s">
        <v>2173</v>
      </c>
      <c r="G191" s="2515">
        <f>'Part I-Project Information'!G166</f>
        <v>0</v>
      </c>
      <c r="H191" s="2515"/>
      <c r="I191" s="2500" t="s">
        <v>1756</v>
      </c>
      <c r="J191" s="2516">
        <f>'Part I-Project Information'!J166</f>
        <v>0</v>
      </c>
      <c r="K191" s="2516"/>
      <c r="L191" s="2516"/>
      <c r="M191" s="2498" t="s">
        <v>1932</v>
      </c>
      <c r="N191" s="2516">
        <f>'Part I-Project Information'!N166</f>
        <v>0</v>
      </c>
      <c r="O191" s="2516"/>
      <c r="P191" s="2516"/>
      <c r="Q191" s="2498"/>
      <c r="R191" s="2498"/>
      <c r="S191" s="2498"/>
      <c r="T191" s="2498"/>
      <c r="U191" s="2498"/>
    </row>
    <row r="192" spans="1:21" ht="13.8">
      <c r="A192" s="2499"/>
      <c r="B192" s="2499"/>
      <c r="C192" s="2498" t="s">
        <v>2625</v>
      </c>
      <c r="D192" s="2498">
        <f>'Part I-Project Information'!D167</f>
        <v>0</v>
      </c>
      <c r="E192" s="2498"/>
      <c r="F192" s="2498"/>
      <c r="G192" s="2498"/>
      <c r="H192" s="2498"/>
      <c r="I192" s="2500" t="s">
        <v>1755</v>
      </c>
      <c r="J192" s="2512">
        <f>'Part I-Project Information'!J167</f>
        <v>0</v>
      </c>
      <c r="K192" s="2512"/>
      <c r="L192" s="2512"/>
      <c r="M192" s="2512"/>
      <c r="N192" s="2512"/>
      <c r="O192" s="2512"/>
      <c r="P192" s="2512"/>
      <c r="Q192" s="2498"/>
      <c r="R192" s="2498"/>
      <c r="S192" s="2498"/>
      <c r="T192" s="2498"/>
      <c r="U192" s="2498"/>
    </row>
    <row r="193" spans="1:21" ht="13.8">
      <c r="A193" s="2499"/>
      <c r="B193" s="2499"/>
      <c r="C193" s="2498" t="s">
        <v>4280</v>
      </c>
      <c r="D193" s="2498"/>
      <c r="E193" s="2549"/>
      <c r="F193" s="2549"/>
      <c r="G193" s="2549"/>
      <c r="H193" s="2499"/>
      <c r="I193" s="2520">
        <f>'Part I-Project Information'!I168</f>
        <v>0</v>
      </c>
      <c r="J193" s="2506" t="s">
        <v>743</v>
      </c>
      <c r="K193" s="2506"/>
      <c r="L193" s="2520">
        <f>'Part I-Project Information'!L168</f>
        <v>0</v>
      </c>
      <c r="M193" s="2549"/>
      <c r="N193" s="2499"/>
      <c r="O193" s="2549"/>
      <c r="P193" s="2549"/>
      <c r="Q193" s="2498"/>
      <c r="R193" s="2498"/>
      <c r="S193" s="2498"/>
      <c r="T193" s="2498"/>
      <c r="U193" s="2498"/>
    </row>
    <row r="194" spans="1:21" ht="13.8">
      <c r="A194" s="2499"/>
      <c r="B194" s="2499"/>
      <c r="C194" s="2498"/>
      <c r="D194" s="2498"/>
      <c r="E194" s="2498"/>
      <c r="F194" s="2498"/>
      <c r="G194" s="2498"/>
      <c r="H194" s="2498"/>
      <c r="I194" s="2498"/>
      <c r="J194" s="2498"/>
      <c r="K194" s="2498"/>
      <c r="L194" s="2498"/>
      <c r="M194" s="2498"/>
      <c r="N194" s="2498"/>
      <c r="O194" s="2498"/>
      <c r="P194" s="2498"/>
      <c r="Q194" s="2498"/>
      <c r="R194" s="2498"/>
      <c r="S194" s="2498"/>
      <c r="T194" s="2498"/>
      <c r="U194" s="2498"/>
    </row>
    <row r="195" spans="1:21" ht="13.8">
      <c r="A195" s="2499"/>
      <c r="B195" s="2499" t="s">
        <v>1938</v>
      </c>
      <c r="C195" s="2500" t="s">
        <v>2623</v>
      </c>
      <c r="D195" s="2500"/>
      <c r="E195" s="2500"/>
      <c r="F195" s="2500"/>
      <c r="G195" s="2500"/>
      <c r="H195" s="2498"/>
      <c r="I195" s="2520" t="str">
        <f>'Part I-Project Information'!I170</f>
        <v>No</v>
      </c>
      <c r="J195" s="2498" t="s">
        <v>743</v>
      </c>
      <c r="K195" s="2498"/>
      <c r="L195" s="2520">
        <f>'Part I-Project Information'!L170</f>
        <v>0</v>
      </c>
      <c r="M195" s="2498" t="s">
        <v>2267</v>
      </c>
      <c r="N195" s="2498"/>
      <c r="O195" s="2498"/>
      <c r="P195" s="2520">
        <f>'Part I-Project Information'!P170</f>
        <v>0</v>
      </c>
      <c r="Q195" s="2498"/>
      <c r="R195" s="2498"/>
      <c r="S195" s="2498"/>
      <c r="T195" s="2498"/>
      <c r="U195" s="2498"/>
    </row>
    <row r="196" spans="1:21" ht="13.8">
      <c r="A196" s="2499"/>
      <c r="B196" s="2499"/>
      <c r="C196" s="2500" t="s">
        <v>2624</v>
      </c>
      <c r="D196" s="2500"/>
      <c r="E196" s="2500"/>
      <c r="F196" s="2500"/>
      <c r="G196" s="2500"/>
      <c r="H196" s="2498"/>
      <c r="I196" s="2520" t="str">
        <f>'Part I-Project Information'!I171</f>
        <v>No</v>
      </c>
      <c r="J196" s="2498" t="s">
        <v>743</v>
      </c>
      <c r="K196" s="2498"/>
      <c r="L196" s="2520">
        <f>'Part I-Project Information'!L171</f>
        <v>0</v>
      </c>
      <c r="M196" s="2498" t="s">
        <v>2267</v>
      </c>
      <c r="N196" s="2498"/>
      <c r="O196" s="2498"/>
      <c r="P196" s="2520">
        <f>'Part I-Project Information'!P171</f>
        <v>0</v>
      </c>
      <c r="Q196" s="2498"/>
      <c r="R196" s="2498"/>
      <c r="S196" s="2498"/>
      <c r="T196" s="2498"/>
      <c r="U196" s="2498"/>
    </row>
    <row r="197" spans="1:21" ht="13.8">
      <c r="A197" s="2499"/>
      <c r="B197" s="2499"/>
      <c r="C197" s="2500"/>
      <c r="D197" s="2500"/>
      <c r="E197" s="2498"/>
      <c r="F197" s="2500"/>
      <c r="G197" s="2500"/>
      <c r="H197" s="2498"/>
      <c r="I197" s="2498"/>
      <c r="J197" s="2498"/>
      <c r="K197" s="2499"/>
      <c r="L197" s="2498"/>
      <c r="M197" s="2498"/>
      <c r="N197" s="2498"/>
      <c r="O197" s="2499"/>
      <c r="P197" s="2517"/>
      <c r="Q197" s="2498"/>
      <c r="R197" s="2498"/>
      <c r="S197" s="2498"/>
      <c r="T197" s="2498"/>
      <c r="U197" s="2498"/>
    </row>
    <row r="198" spans="1:21" ht="13.8">
      <c r="A198" s="2499"/>
      <c r="B198" s="2499" t="s">
        <v>731</v>
      </c>
      <c r="C198" s="2500" t="s">
        <v>1713</v>
      </c>
      <c r="D198" s="2500"/>
      <c r="E198" s="2500"/>
      <c r="F198" s="2500"/>
      <c r="G198" s="2500"/>
      <c r="H198" s="2498"/>
      <c r="I198" s="2520" t="str">
        <f>'Part I-Project Information'!I173</f>
        <v>No</v>
      </c>
      <c r="J198" s="2498"/>
      <c r="K198" s="2498"/>
      <c r="L198" s="2498"/>
      <c r="M198" s="2498"/>
      <c r="N198" s="2498"/>
      <c r="O198" s="2498"/>
      <c r="P198" s="2517"/>
      <c r="Q198" s="2498"/>
      <c r="R198" s="2498"/>
      <c r="S198" s="2498"/>
      <c r="T198" s="2498"/>
      <c r="U198" s="2498"/>
    </row>
    <row r="199" spans="1:21" ht="13.8">
      <c r="A199" s="2499"/>
      <c r="B199" s="2499"/>
      <c r="C199" s="2500"/>
      <c r="D199" s="2498"/>
      <c r="E199" s="2549"/>
      <c r="F199" s="2549"/>
      <c r="G199" s="2549"/>
      <c r="H199" s="2498"/>
      <c r="I199" s="2549"/>
      <c r="J199" s="2549"/>
      <c r="K199" s="2499"/>
      <c r="L199" s="2549"/>
      <c r="M199" s="2549"/>
      <c r="N199" s="2499"/>
      <c r="O199" s="2549"/>
      <c r="P199" s="2549"/>
      <c r="Q199" s="2498"/>
      <c r="R199" s="2498"/>
      <c r="S199" s="2498"/>
      <c r="T199" s="2498"/>
      <c r="U199" s="2498"/>
    </row>
    <row r="200" spans="1:21" ht="13.8">
      <c r="A200" s="2499"/>
      <c r="B200" s="2499" t="s">
        <v>2065</v>
      </c>
      <c r="C200" s="2498" t="s">
        <v>1931</v>
      </c>
      <c r="D200" s="2498"/>
      <c r="E200" s="2498"/>
      <c r="F200" s="2498"/>
      <c r="G200" s="2500"/>
      <c r="H200" s="2498"/>
      <c r="I200" s="2520" t="str">
        <f>'Part I-Project Information'!I175</f>
        <v>No</v>
      </c>
      <c r="J200" s="2550" t="s">
        <v>2665</v>
      </c>
      <c r="K200" s="2498"/>
      <c r="L200" s="2498" t="s">
        <v>6913</v>
      </c>
      <c r="M200" s="2498"/>
      <c r="N200" s="2500"/>
      <c r="O200" s="2500"/>
      <c r="P200" s="2520">
        <f>'Part I-Project Information'!P175</f>
        <v>0</v>
      </c>
      <c r="Q200" s="2498"/>
      <c r="R200" s="2498"/>
      <c r="S200" s="2498"/>
      <c r="T200" s="2498"/>
      <c r="U200" s="2498"/>
    </row>
    <row r="201" spans="1:21" ht="13.8">
      <c r="A201" s="2498"/>
      <c r="B201" s="2499"/>
      <c r="C201" s="2498"/>
      <c r="D201" s="2498"/>
      <c r="E201" s="2498"/>
      <c r="F201" s="2498"/>
      <c r="G201" s="2498"/>
      <c r="H201" s="2498"/>
      <c r="I201" s="2498"/>
      <c r="J201" s="2498"/>
      <c r="K201" s="2498"/>
      <c r="L201" s="2498" t="s">
        <v>777</v>
      </c>
      <c r="M201" s="2498"/>
      <c r="N201" s="2514"/>
      <c r="O201" s="2514"/>
      <c r="P201" s="2520">
        <f>'Part I-Project Information'!P176</f>
        <v>0</v>
      </c>
      <c r="Q201" s="2498"/>
      <c r="R201" s="2498"/>
      <c r="S201" s="2498"/>
      <c r="T201" s="2498"/>
      <c r="U201" s="2498"/>
    </row>
    <row r="202" spans="1:21" ht="13.8">
      <c r="A202" s="2499"/>
      <c r="B202" s="2499"/>
      <c r="C202" s="2498"/>
      <c r="D202" s="2498"/>
      <c r="E202" s="2498"/>
      <c r="F202" s="2498"/>
      <c r="G202" s="2498"/>
      <c r="H202" s="2498"/>
      <c r="I202" s="2498"/>
      <c r="J202" s="2498"/>
      <c r="K202" s="2498"/>
      <c r="L202" s="2498" t="s">
        <v>1747</v>
      </c>
      <c r="M202" s="2498"/>
      <c r="N202" s="2514"/>
      <c r="O202" s="2514"/>
      <c r="P202" s="2551" t="e">
        <f>IF(P200="","",P201/P200)</f>
        <v>#DIV/0!</v>
      </c>
      <c r="Q202" s="2498"/>
      <c r="R202" s="2498"/>
      <c r="S202" s="2498"/>
      <c r="T202" s="2498"/>
      <c r="U202" s="2498"/>
    </row>
    <row r="203" spans="1:21" ht="13.8">
      <c r="A203" s="2499"/>
      <c r="B203" s="2499" t="s">
        <v>1692</v>
      </c>
      <c r="C203" s="2500" t="s">
        <v>1576</v>
      </c>
      <c r="D203" s="2514"/>
      <c r="E203" s="2514"/>
      <c r="F203" s="2514"/>
      <c r="G203" s="2514"/>
      <c r="H203" s="2499"/>
      <c r="I203" s="2498"/>
      <c r="J203" s="2506"/>
      <c r="K203" s="2520"/>
      <c r="L203" s="2498"/>
      <c r="M203" s="2498"/>
      <c r="N203" s="2498"/>
      <c r="O203" s="2499"/>
      <c r="P203" s="2517"/>
      <c r="Q203" s="2498"/>
      <c r="R203" s="2498"/>
      <c r="S203" s="2498"/>
      <c r="T203" s="2498"/>
      <c r="U203" s="2498"/>
    </row>
    <row r="204" spans="1:21" ht="13.8">
      <c r="A204" s="2499"/>
      <c r="B204" s="2499"/>
      <c r="C204" s="2498" t="s">
        <v>2156</v>
      </c>
      <c r="D204" s="2498"/>
      <c r="E204" s="2498"/>
      <c r="F204" s="2498"/>
      <c r="G204" s="2498"/>
      <c r="H204" s="2498"/>
      <c r="I204" s="2520" t="str">
        <f>'Part I-Project Information'!I179</f>
        <v>No</v>
      </c>
      <c r="J204" s="2498"/>
      <c r="K204" s="2498"/>
      <c r="L204" s="2498" t="s">
        <v>1577</v>
      </c>
      <c r="M204" s="2498"/>
      <c r="N204" s="2498"/>
      <c r="O204" s="2498"/>
      <c r="P204" s="2520" t="str">
        <f>'Part I-Project Information'!P179</f>
        <v>Yes</v>
      </c>
      <c r="Q204" s="2498"/>
      <c r="R204" s="2498"/>
      <c r="S204" s="2498"/>
      <c r="T204" s="2498"/>
      <c r="U204" s="2498"/>
    </row>
    <row r="205" spans="1:21" ht="13.8">
      <c r="A205" s="2499"/>
      <c r="B205" s="2499"/>
      <c r="C205" s="2498" t="s">
        <v>2157</v>
      </c>
      <c r="D205" s="2498"/>
      <c r="E205" s="2498"/>
      <c r="F205" s="2498"/>
      <c r="G205" s="2498"/>
      <c r="H205" s="2498"/>
      <c r="I205" s="2520" t="str">
        <f>'Part I-Project Information'!I180</f>
        <v>No</v>
      </c>
      <c r="J205" s="2498"/>
      <c r="K205" s="2498"/>
      <c r="L205" s="2498" t="s">
        <v>2746</v>
      </c>
      <c r="M205" s="2498"/>
      <c r="N205" s="2498"/>
      <c r="O205" s="2498"/>
      <c r="P205" s="2520" t="str">
        <f>'Part I-Project Information'!P180</f>
        <v>No</v>
      </c>
      <c r="Q205" s="2498"/>
      <c r="R205" s="2498"/>
      <c r="S205" s="2498"/>
      <c r="T205" s="2498"/>
      <c r="U205" s="2498"/>
    </row>
    <row r="206" spans="1:21" ht="13.8">
      <c r="A206" s="2499"/>
      <c r="B206" s="2498"/>
      <c r="C206" s="2498" t="s">
        <v>2641</v>
      </c>
      <c r="D206" s="2498"/>
      <c r="E206" s="2498"/>
      <c r="F206" s="2498"/>
      <c r="G206" s="2498"/>
      <c r="H206" s="2498"/>
      <c r="I206" s="2520" t="str">
        <f>'Part I-Project Information'!I181</f>
        <v>No</v>
      </c>
      <c r="J206" s="2498"/>
      <c r="K206" s="2498"/>
      <c r="L206" s="2498" t="s">
        <v>2612</v>
      </c>
      <c r="M206" s="2498"/>
      <c r="N206" s="2552">
        <f>'Part I-Project Information'!N181</f>
        <v>0</v>
      </c>
      <c r="O206" s="2552"/>
      <c r="P206" s="2520" t="str">
        <f>'Part I-Project Information'!P181</f>
        <v>No</v>
      </c>
      <c r="Q206" s="2498"/>
      <c r="R206" s="2498"/>
      <c r="S206" s="2498"/>
      <c r="T206" s="2498"/>
      <c r="U206" s="2498"/>
    </row>
    <row r="207" spans="1:21" ht="13.8">
      <c r="A207" s="2499"/>
      <c r="B207" s="2499"/>
      <c r="C207" s="2498" t="s">
        <v>1259</v>
      </c>
      <c r="D207" s="2509"/>
      <c r="E207" s="2498"/>
      <c r="F207" s="2498"/>
      <c r="G207" s="2498"/>
      <c r="H207" s="2498"/>
      <c r="I207" s="2520" t="str">
        <f>'Part I-Project Information'!I182</f>
        <v>No</v>
      </c>
      <c r="J207" s="2498"/>
      <c r="K207" s="2498"/>
      <c r="L207" s="2498" t="s">
        <v>3362</v>
      </c>
      <c r="M207" s="2498"/>
      <c r="N207" s="2498"/>
      <c r="O207" s="2498"/>
      <c r="P207" s="2520" t="str">
        <f>'Part I-Project Information'!P182</f>
        <v>No</v>
      </c>
      <c r="Q207" s="2498"/>
      <c r="R207" s="2498"/>
      <c r="S207" s="2498"/>
      <c r="T207" s="2498"/>
      <c r="U207" s="2498"/>
    </row>
    <row r="208" spans="1:21" ht="13.8">
      <c r="A208" s="2499"/>
      <c r="B208" s="2498"/>
      <c r="C208" s="2498" t="s">
        <v>4530</v>
      </c>
      <c r="D208" s="2498"/>
      <c r="E208" s="2498"/>
      <c r="F208" s="2498"/>
      <c r="G208" s="2498"/>
      <c r="H208" s="2498"/>
      <c r="I208" s="2520" t="str">
        <f>'Part I-Project Information'!I183</f>
        <v>No</v>
      </c>
      <c r="J208" s="2550" t="s">
        <v>2666</v>
      </c>
      <c r="K208" s="2498"/>
      <c r="L208" s="2498"/>
      <c r="M208" s="2498"/>
      <c r="N208" s="2498"/>
      <c r="O208" s="2553">
        <f>'Part I-Project Information'!O183</f>
        <v>0</v>
      </c>
      <c r="P208" s="2553"/>
      <c r="Q208" s="2498"/>
      <c r="R208" s="2498"/>
      <c r="S208" s="2498"/>
      <c r="T208" s="2498"/>
      <c r="U208" s="2498"/>
    </row>
    <row r="209" spans="1:21" ht="13.8">
      <c r="A209" s="2499"/>
      <c r="B209" s="2498"/>
      <c r="C209" s="2498" t="s">
        <v>1761</v>
      </c>
      <c r="D209" s="2498"/>
      <c r="E209" s="2498"/>
      <c r="F209" s="2498"/>
      <c r="G209" s="2498"/>
      <c r="H209" s="2498"/>
      <c r="I209" s="2520" t="str">
        <f>'Part I-Project Information'!I184</f>
        <v>No</v>
      </c>
      <c r="J209" s="2550" t="s">
        <v>2666</v>
      </c>
      <c r="K209" s="2498"/>
      <c r="L209" s="2498"/>
      <c r="M209" s="2498"/>
      <c r="N209" s="2498"/>
      <c r="O209" s="2553">
        <f>'Part I-Project Information'!O184</f>
        <v>0</v>
      </c>
      <c r="P209" s="2553"/>
      <c r="Q209" s="2498"/>
      <c r="R209" s="2498"/>
      <c r="S209" s="2498"/>
      <c r="T209" s="2498"/>
      <c r="U209" s="2498"/>
    </row>
    <row r="210" spans="1:21" ht="13.8">
      <c r="A210" s="2499"/>
      <c r="B210" s="2499"/>
      <c r="C210" s="2498" t="s">
        <v>2800</v>
      </c>
      <c r="D210" s="2498"/>
      <c r="E210" s="2498"/>
      <c r="F210" s="2498"/>
      <c r="G210" s="2498"/>
      <c r="H210" s="2498"/>
      <c r="I210" s="2520" t="str">
        <f>'Part I-Project Information'!I185</f>
        <v>No</v>
      </c>
      <c r="J210" s="2550" t="s">
        <v>2666</v>
      </c>
      <c r="K210" s="2498"/>
      <c r="L210" s="2498"/>
      <c r="M210" s="2498"/>
      <c r="N210" s="2498"/>
      <c r="O210" s="2553">
        <f>'Part I-Project Information'!O185</f>
        <v>0</v>
      </c>
      <c r="P210" s="2553"/>
      <c r="Q210" s="2498"/>
      <c r="R210" s="2498"/>
      <c r="S210" s="2498"/>
      <c r="T210" s="2498"/>
      <c r="U210" s="2498"/>
    </row>
    <row r="211" spans="1:21" ht="13.8">
      <c r="A211" s="2499"/>
      <c r="B211" s="2499"/>
      <c r="C211" s="2498"/>
      <c r="D211" s="2498"/>
      <c r="E211" s="2498"/>
      <c r="F211" s="2498"/>
      <c r="G211" s="2498"/>
      <c r="H211" s="2498"/>
      <c r="I211" s="2498"/>
      <c r="J211" s="2498"/>
      <c r="K211" s="2498"/>
      <c r="L211" s="2498"/>
      <c r="M211" s="2498"/>
      <c r="N211" s="2498"/>
      <c r="O211" s="2498"/>
      <c r="P211" s="2506"/>
      <c r="Q211" s="2498"/>
      <c r="R211" s="2498"/>
      <c r="S211" s="2498"/>
      <c r="T211" s="2498"/>
      <c r="U211" s="2498"/>
    </row>
    <row r="212" spans="1:21" ht="13.8">
      <c r="A212" s="2498"/>
      <c r="B212" s="2499" t="s">
        <v>1693</v>
      </c>
      <c r="C212" s="2500" t="s">
        <v>721</v>
      </c>
      <c r="D212" s="2498"/>
      <c r="E212" s="2498"/>
      <c r="F212" s="2498"/>
      <c r="G212" s="2498"/>
      <c r="H212" s="2498"/>
      <c r="I212" s="2498"/>
      <c r="J212" s="2498"/>
      <c r="K212" s="2498"/>
      <c r="L212" s="2498"/>
      <c r="M212" s="2498"/>
      <c r="N212" s="2498"/>
      <c r="O212" s="2498"/>
      <c r="P212" s="2498"/>
      <c r="Q212" s="2498"/>
      <c r="R212" s="2498"/>
      <c r="S212" s="2498"/>
      <c r="T212" s="2498"/>
      <c r="U212" s="2498"/>
    </row>
    <row r="213" spans="1:21" ht="13.8">
      <c r="A213" s="2499"/>
      <c r="B213" s="2499"/>
      <c r="C213" s="2500" t="s">
        <v>621</v>
      </c>
      <c r="D213" s="2514"/>
      <c r="E213" s="2514"/>
      <c r="F213" s="2499"/>
      <c r="G213" s="2499"/>
      <c r="H213" s="2543">
        <f>'Part I-Project Information'!H188</f>
        <v>0</v>
      </c>
      <c r="I213" s="2543"/>
      <c r="J213" s="2498"/>
      <c r="K213" s="2498"/>
      <c r="L213" s="2498"/>
      <c r="M213" s="2498"/>
      <c r="N213" s="2498"/>
      <c r="O213" s="2498"/>
      <c r="P213" s="2517"/>
      <c r="Q213" s="2498"/>
      <c r="R213" s="2498"/>
      <c r="S213" s="2498"/>
      <c r="T213" s="2498"/>
      <c r="U213" s="2498"/>
    </row>
    <row r="214" spans="1:21" ht="13.8">
      <c r="A214" s="2499"/>
      <c r="B214" s="2499"/>
      <c r="C214" s="2500" t="s">
        <v>271</v>
      </c>
      <c r="D214" s="2514"/>
      <c r="E214" s="2514"/>
      <c r="F214" s="2499"/>
      <c r="G214" s="2499"/>
      <c r="H214" s="2543">
        <f>'Part I-Project Information'!H189</f>
        <v>0</v>
      </c>
      <c r="I214" s="2543"/>
      <c r="J214" s="2498"/>
      <c r="K214" s="2498"/>
      <c r="L214" s="2498"/>
      <c r="M214" s="2498"/>
      <c r="N214" s="2498"/>
      <c r="O214" s="2498"/>
      <c r="P214" s="2517"/>
      <c r="Q214" s="2498"/>
      <c r="R214" s="2498"/>
      <c r="S214" s="2498"/>
      <c r="T214" s="2498"/>
      <c r="U214" s="2498"/>
    </row>
    <row r="215" spans="1:21" ht="13.8">
      <c r="A215" s="2499"/>
      <c r="B215" s="2499"/>
      <c r="C215" s="2500" t="s">
        <v>2237</v>
      </c>
      <c r="D215" s="2514"/>
      <c r="E215" s="2514"/>
      <c r="F215" s="2499"/>
      <c r="G215" s="2499"/>
      <c r="H215" s="2543">
        <f>'Part I-Project Information'!H190</f>
        <v>45231</v>
      </c>
      <c r="I215" s="2543"/>
      <c r="J215" s="2498"/>
      <c r="K215" s="2498"/>
      <c r="L215" s="2498"/>
      <c r="M215" s="2498"/>
      <c r="N215" s="2498"/>
      <c r="O215" s="2498"/>
      <c r="P215" s="2517"/>
      <c r="Q215" s="2498"/>
      <c r="R215" s="2498"/>
      <c r="S215" s="2498"/>
      <c r="T215" s="2498"/>
      <c r="U215" s="2498"/>
    </row>
    <row r="216" spans="1:21" ht="13.8">
      <c r="A216" s="2498"/>
      <c r="B216" s="2498"/>
      <c r="C216" s="2498"/>
      <c r="D216" s="2498"/>
      <c r="E216" s="2498"/>
      <c r="F216" s="2498"/>
      <c r="G216" s="2498"/>
      <c r="H216" s="2498"/>
      <c r="I216" s="2498"/>
      <c r="J216" s="2498"/>
      <c r="K216" s="2498"/>
      <c r="L216" s="2506"/>
      <c r="M216" s="2506"/>
      <c r="N216" s="2506"/>
      <c r="O216" s="2506"/>
      <c r="P216" s="2502"/>
      <c r="Q216" s="2498"/>
      <c r="R216" s="2498"/>
      <c r="S216" s="2498"/>
      <c r="T216" s="2498"/>
      <c r="U216" s="2498"/>
    </row>
    <row r="217" spans="1:21" ht="13.8">
      <c r="A217" s="2506" t="s">
        <v>2691</v>
      </c>
      <c r="B217" s="2506"/>
      <c r="C217" s="2506" t="s">
        <v>555</v>
      </c>
      <c r="D217" s="2506"/>
      <c r="E217" s="2506"/>
      <c r="F217" s="2506"/>
      <c r="G217" s="2506"/>
      <c r="H217" s="2506"/>
      <c r="I217" s="2506"/>
      <c r="J217" s="2506"/>
      <c r="K217" s="2506"/>
      <c r="L217" s="2506"/>
      <c r="M217" s="2506" t="s">
        <v>2194</v>
      </c>
      <c r="N217" s="2506" t="s">
        <v>77</v>
      </c>
      <c r="O217" s="2506"/>
      <c r="P217" s="2506"/>
      <c r="Q217" s="2506"/>
      <c r="R217" s="2506"/>
      <c r="S217" s="2506"/>
      <c r="T217" s="2506"/>
      <c r="U217" s="2506"/>
    </row>
    <row r="218" spans="1:21" ht="13.2" customHeight="1">
      <c r="A218" s="2524" t="str">
        <f>'Part I-Project Information'!A193</f>
        <v xml:space="preserve">Changes in Project - South Creek Ventures, LLC was included in the Org. Chart of our preapplication as a minority partner of the GP and Developer. South Creek assisted in finding and securing the development site and although they will not be part of the GP/Development team they will be paid a fee out of our developer fee for their assistance. All partners, including South Creek, are in agreement with this arrangement. </v>
      </c>
      <c r="B218" s="2524"/>
      <c r="C218" s="2524"/>
      <c r="D218" s="2524"/>
      <c r="E218" s="2524"/>
      <c r="F218" s="2524"/>
      <c r="G218" s="2524"/>
      <c r="H218" s="2524"/>
      <c r="I218" s="2524"/>
      <c r="J218" s="2524"/>
      <c r="K218" s="2524"/>
      <c r="L218" s="2524"/>
      <c r="M218" s="2524">
        <f>'Part I-Project Information'!M193</f>
        <v>0</v>
      </c>
      <c r="N218" s="2524"/>
      <c r="O218" s="2524"/>
      <c r="P218" s="2524"/>
      <c r="Q218" s="2497" t="s">
        <v>2614</v>
      </c>
      <c r="R218" s="2497"/>
      <c r="S218" s="2497"/>
      <c r="T218" s="2497"/>
      <c r="U218" s="2497"/>
    </row>
    <row r="219" spans="1:21" ht="13.8" customHeight="1">
      <c r="A219" s="2506"/>
      <c r="B219" s="2506"/>
      <c r="C219" s="2506"/>
      <c r="D219" s="2506"/>
      <c r="E219" s="2506"/>
      <c r="F219" s="2506"/>
      <c r="G219" s="2506"/>
      <c r="H219" s="2506"/>
      <c r="I219" s="2506"/>
      <c r="J219" s="2506"/>
      <c r="K219" s="2506"/>
      <c r="L219" s="2506"/>
      <c r="M219" s="2506"/>
      <c r="N219" s="2506"/>
      <c r="O219" s="2506"/>
      <c r="P219" s="2506"/>
      <c r="Q219" s="2497"/>
      <c r="R219" s="2497"/>
      <c r="S219" s="2497"/>
      <c r="T219" s="2497"/>
      <c r="U219" s="2497"/>
    </row>
    <row r="222" spans="1:21" ht="13.8">
      <c r="A222" s="2498" t="str">
        <f>CONCATENATE("PART TWO - DEVELOPMENT TEAM INFORMATION","  -  ",'Part I-Project Information'!$O$6," ",'Part I-Project Information'!$F$34,", ",'Part I-Project Information'!F259,", ",'Part I-Project Information'!J260," County")</f>
        <v>PART TWO - DEVELOPMENT TEAM INFORMATION  -  2020-5 Lakeview Terrace, ,  County</v>
      </c>
      <c r="B222" s="2498"/>
      <c r="C222" s="2498"/>
      <c r="D222" s="2498"/>
      <c r="E222" s="2498"/>
      <c r="F222" s="2498"/>
      <c r="G222" s="2498"/>
      <c r="H222" s="2498"/>
      <c r="I222" s="2498"/>
      <c r="J222" s="2498"/>
      <c r="K222" s="2498"/>
      <c r="L222" s="2498"/>
      <c r="M222" s="2498"/>
      <c r="N222" s="2498"/>
      <c r="O222" s="2498"/>
      <c r="P222" s="2498"/>
      <c r="Q222" s="2498"/>
      <c r="R222" s="2498"/>
      <c r="S222" s="2498"/>
    </row>
    <row r="223" spans="1:21" ht="13.8">
      <c r="A223" s="2500" t="s">
        <v>4101</v>
      </c>
      <c r="B223" s="2506"/>
      <c r="C223" s="2506"/>
      <c r="D223" s="2506"/>
      <c r="E223" s="2506"/>
      <c r="F223" s="2506"/>
      <c r="G223" s="2506"/>
      <c r="H223" s="2506"/>
      <c r="I223" s="2506"/>
      <c r="J223" s="2506"/>
      <c r="K223" s="2506"/>
      <c r="L223" s="2506"/>
      <c r="M223" s="2506"/>
      <c r="N223" s="2506"/>
      <c r="O223" s="2506"/>
      <c r="P223" s="2506"/>
      <c r="Q223" s="2506"/>
      <c r="R223" s="2506"/>
      <c r="S223" s="2506"/>
    </row>
    <row r="224" spans="1:21" ht="13.8">
      <c r="A224" s="2498" t="s">
        <v>598</v>
      </c>
      <c r="B224" s="2500" t="s">
        <v>1812</v>
      </c>
      <c r="C224" s="2500"/>
      <c r="D224" s="2498"/>
      <c r="E224" s="2500"/>
      <c r="F224" s="2500"/>
      <c r="G224" s="2500"/>
      <c r="H224" s="2501" t="s">
        <v>3900</v>
      </c>
      <c r="I224" s="2498"/>
      <c r="J224" s="2498"/>
      <c r="K224" s="2498"/>
      <c r="L224" s="2498"/>
      <c r="M224" s="2498"/>
      <c r="N224" s="2498"/>
      <c r="O224" s="2522" t="str">
        <f>'Part I-Project Information'!$B$6</f>
        <v>July 15, 2020 Version (4%)</v>
      </c>
      <c r="P224" s="2522"/>
      <c r="Q224" s="2522"/>
      <c r="R224" s="2522"/>
      <c r="S224" s="2522"/>
    </row>
    <row r="225" spans="1:19" ht="13.8">
      <c r="A225" s="2498"/>
      <c r="B225" s="2498"/>
      <c r="C225" s="2498"/>
      <c r="D225" s="2500"/>
      <c r="E225" s="2500"/>
      <c r="F225" s="2500"/>
      <c r="G225" s="2500"/>
      <c r="H225" s="2500"/>
      <c r="I225" s="2500"/>
      <c r="J225" s="2500"/>
      <c r="K225" s="2498"/>
      <c r="L225" s="2498"/>
      <c r="M225" s="2498"/>
      <c r="N225" s="2498"/>
      <c r="O225" s="2498"/>
      <c r="P225" s="2498"/>
      <c r="Q225" s="2498"/>
      <c r="R225" s="2498"/>
      <c r="S225" s="2498"/>
    </row>
    <row r="226" spans="1:19" ht="13.8">
      <c r="A226" s="2498"/>
      <c r="B226" s="2498" t="s">
        <v>1936</v>
      </c>
      <c r="C226" s="2500" t="s">
        <v>1808</v>
      </c>
      <c r="D226" s="2498"/>
      <c r="E226" s="2498"/>
      <c r="F226" s="2498"/>
      <c r="G226" s="2498"/>
      <c r="H226" s="2498" t="str">
        <f>'Part II-Development Team'!H5</f>
        <v>Lakeview Terrace, LP</v>
      </c>
      <c r="I226" s="2506"/>
      <c r="J226" s="2506"/>
      <c r="K226" s="2506"/>
      <c r="L226" s="2506"/>
      <c r="M226" s="2506"/>
      <c r="N226" s="2506"/>
      <c r="O226" s="2500" t="s">
        <v>1942</v>
      </c>
      <c r="P226" s="2500"/>
      <c r="Q226" s="2498" t="str">
        <f>'Part II-Development Team'!Q5</f>
        <v>Brian Waterfield</v>
      </c>
      <c r="R226" s="2506"/>
      <c r="S226" s="2506"/>
    </row>
    <row r="227" spans="1:19" ht="13.8">
      <c r="A227" s="2498"/>
      <c r="B227" s="2498"/>
      <c r="C227" s="2498"/>
      <c r="D227" s="2523"/>
      <c r="E227" s="2500" t="s">
        <v>999</v>
      </c>
      <c r="F227" s="2502"/>
      <c r="G227" s="2498"/>
      <c r="H227" s="2498" t="str">
        <f>'Part II-Development Team'!H6</f>
        <v>310 South Dillard Street, Suite 135</v>
      </c>
      <c r="I227" s="2506"/>
      <c r="J227" s="2506"/>
      <c r="K227" s="2506"/>
      <c r="L227" s="2506"/>
      <c r="M227" s="2506"/>
      <c r="N227" s="2506"/>
      <c r="O227" s="2500" t="s">
        <v>1704</v>
      </c>
      <c r="P227" s="2498"/>
      <c r="Q227" s="2498" t="str">
        <f>'Part II-Development Team'!Q6</f>
        <v>Manager of the Manager of the Other GP</v>
      </c>
      <c r="R227" s="2506"/>
      <c r="S227" s="2506"/>
    </row>
    <row r="228" spans="1:19" ht="13.8">
      <c r="A228" s="2498"/>
      <c r="B228" s="2498"/>
      <c r="C228" s="2498"/>
      <c r="D228" s="2523"/>
      <c r="E228" s="2500" t="s">
        <v>600</v>
      </c>
      <c r="F228" s="2498"/>
      <c r="G228" s="2498"/>
      <c r="H228" s="2498" t="str">
        <f>'Part II-Development Team'!H7</f>
        <v>Winter Garden</v>
      </c>
      <c r="I228" s="2506"/>
      <c r="J228" s="2506"/>
      <c r="K228" s="2499" t="s">
        <v>744</v>
      </c>
      <c r="L228" s="2498" t="str">
        <f>'Part II-Development Team'!L7</f>
        <v>TBD</v>
      </c>
      <c r="M228" s="2506"/>
      <c r="N228" s="2506"/>
      <c r="O228" s="2500" t="s">
        <v>1679</v>
      </c>
      <c r="P228" s="2498"/>
      <c r="Q228" s="2516">
        <f>'Part II-Development Team'!Q7</f>
        <v>4074614651</v>
      </c>
      <c r="R228" s="2516"/>
      <c r="S228" s="2516"/>
    </row>
    <row r="229" spans="1:19" ht="13.8">
      <c r="A229" s="2498"/>
      <c r="B229" s="2498"/>
      <c r="C229" s="2498"/>
      <c r="D229" s="2523"/>
      <c r="E229" s="2500" t="s">
        <v>1754</v>
      </c>
      <c r="F229" s="2498"/>
      <c r="G229" s="2498"/>
      <c r="H229" s="2500" t="str">
        <f>'Part II-Development Team'!H8</f>
        <v>FL</v>
      </c>
      <c r="I229" s="2499" t="s">
        <v>2173</v>
      </c>
      <c r="J229" s="2515">
        <f>'Part II-Development Team'!J8</f>
        <v>347870000</v>
      </c>
      <c r="K229" s="2506"/>
      <c r="L229" s="2498" t="s">
        <v>3513</v>
      </c>
      <c r="M229" s="2498" t="str">
        <f>'Part II-Development Team'!M8</f>
        <v>For Profit</v>
      </c>
      <c r="N229" s="2498"/>
      <c r="O229" s="2500" t="s">
        <v>1932</v>
      </c>
      <c r="P229" s="2498"/>
      <c r="Q229" s="2516">
        <f>'Part II-Development Team'!Q8</f>
        <v>4074614651</v>
      </c>
      <c r="R229" s="2516"/>
      <c r="S229" s="2516"/>
    </row>
    <row r="230" spans="1:19" ht="13.8">
      <c r="A230" s="2498"/>
      <c r="B230" s="2498"/>
      <c r="C230" s="2498"/>
      <c r="D230" s="2523"/>
      <c r="E230" s="2500" t="s">
        <v>3901</v>
      </c>
      <c r="F230" s="2498"/>
      <c r="G230" s="2498"/>
      <c r="H230" s="2516">
        <f>'Part II-Development Team'!H9</f>
        <v>4076142414</v>
      </c>
      <c r="I230" s="2516"/>
      <c r="J230" s="2520">
        <f>'Part II-Development Team'!J9</f>
        <v>0</v>
      </c>
      <c r="K230" s="2499" t="s">
        <v>1937</v>
      </c>
      <c r="L230" s="2512" t="str">
        <f>'Part II-Development Team'!L9</f>
        <v>bwaterfield@timsheldevelopment.com</v>
      </c>
      <c r="M230" s="2512"/>
      <c r="N230" s="2512"/>
      <c r="O230" s="2512"/>
      <c r="P230" s="2512"/>
      <c r="Q230" s="2512"/>
      <c r="R230" s="2512"/>
      <c r="S230" s="2512"/>
    </row>
    <row r="231" spans="1:19" ht="13.8">
      <c r="A231" s="2498"/>
      <c r="B231" s="2498"/>
      <c r="C231" s="2498"/>
      <c r="D231" s="2523"/>
      <c r="E231" s="2501" t="s">
        <v>3900</v>
      </c>
      <c r="F231" s="2498"/>
      <c r="G231" s="2498"/>
      <c r="H231" s="2549"/>
      <c r="I231" s="2498"/>
      <c r="J231" s="2498"/>
      <c r="K231" s="2509"/>
      <c r="L231" s="2498"/>
      <c r="M231" s="2498"/>
      <c r="N231" s="2498" t="s">
        <v>6814</v>
      </c>
      <c r="O231" s="2498"/>
      <c r="P231" s="2498"/>
      <c r="Q231" s="2499"/>
      <c r="R231" s="2498"/>
      <c r="S231" s="2498"/>
    </row>
    <row r="232" spans="1:19" ht="13.8">
      <c r="A232" s="2498"/>
      <c r="B232" s="2498"/>
      <c r="C232" s="2498"/>
      <c r="D232" s="2538"/>
      <c r="E232" s="2500"/>
      <c r="F232" s="2500"/>
      <c r="G232" s="2500"/>
      <c r="H232" s="2500"/>
      <c r="I232" s="2500"/>
      <c r="J232" s="2500"/>
      <c r="K232" s="2498"/>
      <c r="L232" s="2498"/>
      <c r="M232" s="2498"/>
      <c r="N232" s="2500"/>
      <c r="O232" s="2500"/>
      <c r="P232" s="2500"/>
      <c r="Q232" s="2500"/>
      <c r="R232" s="2500"/>
      <c r="S232" s="2500"/>
    </row>
    <row r="233" spans="1:19" ht="13.8">
      <c r="A233" s="2498"/>
      <c r="B233" s="2506" t="s">
        <v>1938</v>
      </c>
      <c r="C233" s="2500" t="s">
        <v>1809</v>
      </c>
      <c r="D233" s="2498"/>
      <c r="E233" s="2498"/>
      <c r="F233" s="2500"/>
      <c r="G233" s="2500"/>
      <c r="H233" s="2500"/>
      <c r="I233" s="2500"/>
      <c r="J233" s="2498"/>
      <c r="K233" s="2498"/>
      <c r="L233" s="2498"/>
      <c r="M233" s="2498"/>
      <c r="N233" s="2554" t="s">
        <v>1258</v>
      </c>
      <c r="O233" s="2498"/>
      <c r="P233" s="2498"/>
      <c r="Q233" s="2498"/>
      <c r="R233" s="2498"/>
      <c r="S233" s="2498"/>
    </row>
    <row r="234" spans="1:19" ht="13.8">
      <c r="A234" s="2498"/>
      <c r="B234" s="2498"/>
      <c r="C234" s="2555" t="s">
        <v>1939</v>
      </c>
      <c r="D234" s="2506" t="s">
        <v>1940</v>
      </c>
      <c r="E234" s="2498"/>
      <c r="F234" s="2498"/>
      <c r="G234" s="2498"/>
      <c r="H234" s="2498"/>
      <c r="I234" s="2498"/>
      <c r="J234" s="2498"/>
      <c r="K234" s="2498"/>
      <c r="L234" s="2498"/>
      <c r="M234" s="2498"/>
      <c r="N234" s="2509"/>
      <c r="O234" s="2498"/>
      <c r="P234" s="2498"/>
      <c r="Q234" s="2498"/>
      <c r="R234" s="2498"/>
      <c r="S234" s="2498"/>
    </row>
    <row r="235" spans="1:19" ht="13.8">
      <c r="A235" s="2498"/>
      <c r="B235" s="2498"/>
      <c r="C235" s="2498"/>
      <c r="D235" s="2498" t="s">
        <v>2066</v>
      </c>
      <c r="E235" s="2498" t="s">
        <v>1810</v>
      </c>
      <c r="F235" s="2498"/>
      <c r="G235" s="2498"/>
      <c r="H235" s="2498" t="str">
        <f>'Part II-Development Team'!H14</f>
        <v>JPM Decatur GP, LLC</v>
      </c>
      <c r="I235" s="2506"/>
      <c r="J235" s="2506"/>
      <c r="K235" s="2506"/>
      <c r="L235" s="2506"/>
      <c r="M235" s="2506"/>
      <c r="N235" s="2506"/>
      <c r="O235" s="2500" t="s">
        <v>1942</v>
      </c>
      <c r="P235" s="2500"/>
      <c r="Q235" s="2498" t="str">
        <f>'Part II-Development Team'!Q14</f>
        <v>Brian Parent</v>
      </c>
      <c r="R235" s="2506"/>
      <c r="S235" s="2506"/>
    </row>
    <row r="236" spans="1:19" ht="13.8">
      <c r="A236" s="2498"/>
      <c r="B236" s="2498"/>
      <c r="C236" s="2498"/>
      <c r="D236" s="2523"/>
      <c r="E236" s="2500" t="s">
        <v>999</v>
      </c>
      <c r="F236" s="2502"/>
      <c r="G236" s="2498"/>
      <c r="H236" s="2498" t="str">
        <f>'Part II-Development Team'!H15</f>
        <v>4110 Southpoint Blvd., Suite 206</v>
      </c>
      <c r="I236" s="2506"/>
      <c r="J236" s="2506"/>
      <c r="K236" s="2506"/>
      <c r="L236" s="2506"/>
      <c r="M236" s="2506"/>
      <c r="N236" s="2506"/>
      <c r="O236" s="2500" t="s">
        <v>1704</v>
      </c>
      <c r="P236" s="2498"/>
      <c r="Q236" s="2498" t="str">
        <f>'Part II-Development Team'!Q15</f>
        <v>Manager of the Manager</v>
      </c>
      <c r="R236" s="2506"/>
      <c r="S236" s="2506"/>
    </row>
    <row r="237" spans="1:19" ht="13.8">
      <c r="A237" s="2498"/>
      <c r="B237" s="2498"/>
      <c r="C237" s="2498"/>
      <c r="D237" s="2523"/>
      <c r="E237" s="2500" t="s">
        <v>600</v>
      </c>
      <c r="F237" s="2498"/>
      <c r="G237" s="2498"/>
      <c r="H237" s="2498" t="str">
        <f>'Part II-Development Team'!H16</f>
        <v>Jacksonville</v>
      </c>
      <c r="I237" s="2506"/>
      <c r="J237" s="2506"/>
      <c r="K237" s="2499" t="s">
        <v>2625</v>
      </c>
      <c r="L237" s="2498" t="str">
        <f>'Part II-Development Team'!L16</f>
        <v>None</v>
      </c>
      <c r="M237" s="2506"/>
      <c r="N237" s="2506"/>
      <c r="O237" s="2500" t="s">
        <v>1679</v>
      </c>
      <c r="P237" s="2498"/>
      <c r="Q237" s="2516">
        <f>'Part II-Development Team'!Q16</f>
        <v>9042790131</v>
      </c>
      <c r="R237" s="2516"/>
      <c r="S237" s="2516"/>
    </row>
    <row r="238" spans="1:19" ht="13.8">
      <c r="A238" s="2498"/>
      <c r="B238" s="2498"/>
      <c r="C238" s="2498"/>
      <c r="D238" s="2498"/>
      <c r="E238" s="2500" t="s">
        <v>1754</v>
      </c>
      <c r="F238" s="2498"/>
      <c r="G238" s="2498"/>
      <c r="H238" s="2500" t="str">
        <f>'Part II-Development Team'!H17</f>
        <v>FL</v>
      </c>
      <c r="I238" s="2498"/>
      <c r="J238" s="2498"/>
      <c r="K238" s="2499" t="s">
        <v>2173</v>
      </c>
      <c r="L238" s="2515">
        <f>'Part II-Development Team'!L17</f>
        <v>322160927</v>
      </c>
      <c r="M238" s="2506"/>
      <c r="N238" s="2498"/>
      <c r="O238" s="2500" t="s">
        <v>1932</v>
      </c>
      <c r="P238" s="2498"/>
      <c r="Q238" s="2516">
        <f>'Part II-Development Team'!Q17</f>
        <v>9046730639</v>
      </c>
      <c r="R238" s="2516"/>
      <c r="S238" s="2516"/>
    </row>
    <row r="239" spans="1:19" ht="13.8">
      <c r="A239" s="2498"/>
      <c r="B239" s="2498"/>
      <c r="C239" s="2498"/>
      <c r="D239" s="2523"/>
      <c r="E239" s="2500" t="s">
        <v>3901</v>
      </c>
      <c r="F239" s="2498"/>
      <c r="G239" s="2498"/>
      <c r="H239" s="2516">
        <f>'Part II-Development Team'!H18</f>
        <v>9042790131</v>
      </c>
      <c r="I239" s="2516"/>
      <c r="J239" s="2520">
        <f>'Part II-Development Team'!J18</f>
        <v>0</v>
      </c>
      <c r="K239" s="2499" t="s">
        <v>1937</v>
      </c>
      <c r="L239" s="2512" t="str">
        <f>'Part II-Development Team'!L18</f>
        <v>bjparent@comcast.net</v>
      </c>
      <c r="M239" s="2512"/>
      <c r="N239" s="2512"/>
      <c r="O239" s="2512"/>
      <c r="P239" s="2512"/>
      <c r="Q239" s="2512"/>
      <c r="R239" s="2512"/>
      <c r="S239" s="2512"/>
    </row>
    <row r="240" spans="1:19" ht="13.8">
      <c r="A240" s="2506"/>
      <c r="B240" s="2506"/>
      <c r="C240" s="2506"/>
      <c r="D240" s="2506"/>
      <c r="E240" s="2506"/>
      <c r="F240" s="2506"/>
      <c r="G240" s="2506"/>
      <c r="H240" s="2516"/>
      <c r="I240" s="2516"/>
      <c r="J240" s="2516"/>
      <c r="K240" s="2499"/>
      <c r="L240" s="2516"/>
      <c r="M240" s="2516"/>
      <c r="N240" s="2499"/>
      <c r="O240" s="2516"/>
      <c r="P240" s="2516"/>
      <c r="Q240" s="2499"/>
      <c r="R240" s="2516"/>
      <c r="S240" s="2516"/>
    </row>
    <row r="241" spans="1:19" ht="13.8">
      <c r="A241" s="2498"/>
      <c r="B241" s="2498"/>
      <c r="C241" s="2498"/>
      <c r="D241" s="2498" t="s">
        <v>2067</v>
      </c>
      <c r="E241" s="2498" t="s">
        <v>1811</v>
      </c>
      <c r="F241" s="2498"/>
      <c r="G241" s="2498"/>
      <c r="H241" s="2498" t="str">
        <f>'Part II-Development Team'!H20</f>
        <v>Lakeview Terrace GP, LLC</v>
      </c>
      <c r="I241" s="2506"/>
      <c r="J241" s="2506"/>
      <c r="K241" s="2506"/>
      <c r="L241" s="2506"/>
      <c r="M241" s="2506"/>
      <c r="N241" s="2506"/>
      <c r="O241" s="2500" t="s">
        <v>1942</v>
      </c>
      <c r="P241" s="2500"/>
      <c r="Q241" s="2498" t="str">
        <f>'Part II-Development Team'!Q20</f>
        <v>Brian Waterfield</v>
      </c>
      <c r="R241" s="2506"/>
      <c r="S241" s="2506"/>
    </row>
    <row r="242" spans="1:19" ht="13.8">
      <c r="A242" s="2498"/>
      <c r="B242" s="2498"/>
      <c r="C242" s="2498"/>
      <c r="D242" s="2523"/>
      <c r="E242" s="2500" t="s">
        <v>999</v>
      </c>
      <c r="F242" s="2502"/>
      <c r="G242" s="2498"/>
      <c r="H242" s="2498" t="str">
        <f>'Part II-Development Team'!H21</f>
        <v>310 South Dillard Street, Suite 135</v>
      </c>
      <c r="I242" s="2506"/>
      <c r="J242" s="2506"/>
      <c r="K242" s="2506"/>
      <c r="L242" s="2506"/>
      <c r="M242" s="2506"/>
      <c r="N242" s="2506"/>
      <c r="O242" s="2500" t="s">
        <v>1704</v>
      </c>
      <c r="P242" s="2498"/>
      <c r="Q242" s="2498" t="str">
        <f>'Part II-Development Team'!Q21</f>
        <v>Manager of the Manager of the Other GP</v>
      </c>
      <c r="R242" s="2506"/>
      <c r="S242" s="2506"/>
    </row>
    <row r="243" spans="1:19" ht="13.8">
      <c r="A243" s="2498"/>
      <c r="B243" s="2498"/>
      <c r="C243" s="2498"/>
      <c r="D243" s="2523"/>
      <c r="E243" s="2500" t="s">
        <v>600</v>
      </c>
      <c r="F243" s="2498"/>
      <c r="G243" s="2498"/>
      <c r="H243" s="2498" t="str">
        <f>'Part II-Development Team'!H22</f>
        <v>Winter Garden</v>
      </c>
      <c r="I243" s="2506"/>
      <c r="J243" s="2506"/>
      <c r="K243" s="2499" t="s">
        <v>2625</v>
      </c>
      <c r="L243" s="2498" t="str">
        <f>'Part II-Development Team'!L22</f>
        <v>www.timsheldevelopment.com</v>
      </c>
      <c r="M243" s="2506"/>
      <c r="N243" s="2506"/>
      <c r="O243" s="2500" t="s">
        <v>1679</v>
      </c>
      <c r="P243" s="2498"/>
      <c r="Q243" s="2516">
        <f>'Part II-Development Team'!Q22</f>
        <v>4074614651</v>
      </c>
      <c r="R243" s="2516"/>
      <c r="S243" s="2516"/>
    </row>
    <row r="244" spans="1:19" ht="13.8">
      <c r="A244" s="2498"/>
      <c r="B244" s="2498"/>
      <c r="C244" s="2498"/>
      <c r="D244" s="2498"/>
      <c r="E244" s="2500" t="s">
        <v>1754</v>
      </c>
      <c r="F244" s="2498"/>
      <c r="G244" s="2498"/>
      <c r="H244" s="2500" t="str">
        <f>'Part II-Development Team'!H23</f>
        <v>FL</v>
      </c>
      <c r="I244" s="2498"/>
      <c r="J244" s="2498"/>
      <c r="K244" s="2499" t="s">
        <v>2173</v>
      </c>
      <c r="L244" s="2515">
        <f>'Part II-Development Team'!L23</f>
        <v>347870000</v>
      </c>
      <c r="M244" s="2506"/>
      <c r="N244" s="2498"/>
      <c r="O244" s="2500" t="s">
        <v>1932</v>
      </c>
      <c r="P244" s="2498"/>
      <c r="Q244" s="2516">
        <f>'Part II-Development Team'!Q23</f>
        <v>4074614651</v>
      </c>
      <c r="R244" s="2516"/>
      <c r="S244" s="2516"/>
    </row>
    <row r="245" spans="1:19" ht="13.8">
      <c r="A245" s="2498"/>
      <c r="B245" s="2498"/>
      <c r="C245" s="2498"/>
      <c r="D245" s="2523"/>
      <c r="E245" s="2500" t="s">
        <v>3901</v>
      </c>
      <c r="F245" s="2498"/>
      <c r="G245" s="2498"/>
      <c r="H245" s="2516">
        <f>'Part II-Development Team'!H24</f>
        <v>4076142414</v>
      </c>
      <c r="I245" s="2516"/>
      <c r="J245" s="2520">
        <f>'Part II-Development Team'!J24</f>
        <v>0</v>
      </c>
      <c r="K245" s="2499" t="s">
        <v>1937</v>
      </c>
      <c r="L245" s="2512" t="str">
        <f>'Part II-Development Team'!L24</f>
        <v>bwaterfield@timsheldevelopment.com</v>
      </c>
      <c r="M245" s="2512"/>
      <c r="N245" s="2512"/>
      <c r="O245" s="2512"/>
      <c r="P245" s="2512"/>
      <c r="Q245" s="2512"/>
      <c r="R245" s="2512"/>
      <c r="S245" s="2512"/>
    </row>
    <row r="246" spans="1:19" ht="13.8">
      <c r="A246" s="2498"/>
      <c r="B246" s="2498"/>
      <c r="C246" s="2498"/>
      <c r="D246" s="2523"/>
      <c r="E246" s="2498"/>
      <c r="F246" s="2498"/>
      <c r="G246" s="2500"/>
      <c r="H246" s="2516"/>
      <c r="I246" s="2516"/>
      <c r="J246" s="2516"/>
      <c r="K246" s="2499"/>
      <c r="L246" s="2516"/>
      <c r="M246" s="2516"/>
      <c r="N246" s="2499"/>
      <c r="O246" s="2516"/>
      <c r="P246" s="2516"/>
      <c r="Q246" s="2499"/>
      <c r="R246" s="2516"/>
      <c r="S246" s="2516"/>
    </row>
    <row r="247" spans="1:19" ht="13.8">
      <c r="A247" s="2498"/>
      <c r="B247" s="2498"/>
      <c r="C247" s="2498"/>
      <c r="D247" s="2498" t="s">
        <v>1691</v>
      </c>
      <c r="E247" s="2498" t="s">
        <v>1811</v>
      </c>
      <c r="F247" s="2498"/>
      <c r="G247" s="2498"/>
      <c r="H247" s="2498">
        <f>'Part II-Development Team'!H26</f>
        <v>0</v>
      </c>
      <c r="I247" s="2506"/>
      <c r="J247" s="2506"/>
      <c r="K247" s="2506"/>
      <c r="L247" s="2506"/>
      <c r="M247" s="2506"/>
      <c r="N247" s="2506"/>
      <c r="O247" s="2500" t="s">
        <v>1942</v>
      </c>
      <c r="P247" s="2500"/>
      <c r="Q247" s="2498">
        <f>'Part II-Development Team'!Q26</f>
        <v>0</v>
      </c>
      <c r="R247" s="2506"/>
      <c r="S247" s="2506"/>
    </row>
    <row r="248" spans="1:19" ht="13.8">
      <c r="A248" s="2498"/>
      <c r="B248" s="2498"/>
      <c r="C248" s="2498"/>
      <c r="D248" s="2523"/>
      <c r="E248" s="2500" t="s">
        <v>999</v>
      </c>
      <c r="F248" s="2502"/>
      <c r="G248" s="2498"/>
      <c r="H248" s="2498">
        <f>'Part II-Development Team'!H27</f>
        <v>0</v>
      </c>
      <c r="I248" s="2506"/>
      <c r="J248" s="2506"/>
      <c r="K248" s="2506"/>
      <c r="L248" s="2506"/>
      <c r="M248" s="2506"/>
      <c r="N248" s="2506"/>
      <c r="O248" s="2500" t="s">
        <v>1704</v>
      </c>
      <c r="P248" s="2498"/>
      <c r="Q248" s="2498">
        <f>'Part II-Development Team'!Q27</f>
        <v>0</v>
      </c>
      <c r="R248" s="2506"/>
      <c r="S248" s="2506"/>
    </row>
    <row r="249" spans="1:19" ht="13.8">
      <c r="A249" s="2498"/>
      <c r="B249" s="2498"/>
      <c r="C249" s="2498"/>
      <c r="D249" s="2523"/>
      <c r="E249" s="2500" t="s">
        <v>600</v>
      </c>
      <c r="F249" s="2498"/>
      <c r="G249" s="2498"/>
      <c r="H249" s="2498">
        <f>'Part II-Development Team'!H28</f>
        <v>0</v>
      </c>
      <c r="I249" s="2506"/>
      <c r="J249" s="2506"/>
      <c r="K249" s="2499" t="s">
        <v>2625</v>
      </c>
      <c r="L249" s="2498">
        <f>'Part II-Development Team'!L28</f>
        <v>0</v>
      </c>
      <c r="M249" s="2506"/>
      <c r="N249" s="2506"/>
      <c r="O249" s="2500" t="s">
        <v>1679</v>
      </c>
      <c r="P249" s="2498"/>
      <c r="Q249" s="2516">
        <f>'Part II-Development Team'!Q28</f>
        <v>0</v>
      </c>
      <c r="R249" s="2516"/>
      <c r="S249" s="2516"/>
    </row>
    <row r="250" spans="1:19" ht="13.8">
      <c r="A250" s="2498"/>
      <c r="B250" s="2498"/>
      <c r="C250" s="2498"/>
      <c r="D250" s="2498"/>
      <c r="E250" s="2500" t="s">
        <v>1754</v>
      </c>
      <c r="F250" s="2498"/>
      <c r="G250" s="2498"/>
      <c r="H250" s="2500">
        <f>'Part II-Development Team'!H29</f>
        <v>0</v>
      </c>
      <c r="I250" s="2498"/>
      <c r="J250" s="2498"/>
      <c r="K250" s="2499" t="s">
        <v>2173</v>
      </c>
      <c r="L250" s="2515">
        <f>'Part II-Development Team'!L29</f>
        <v>0</v>
      </c>
      <c r="M250" s="2506"/>
      <c r="N250" s="2498"/>
      <c r="O250" s="2500" t="s">
        <v>1932</v>
      </c>
      <c r="P250" s="2498"/>
      <c r="Q250" s="2516">
        <f>'Part II-Development Team'!Q29</f>
        <v>0</v>
      </c>
      <c r="R250" s="2516"/>
      <c r="S250" s="2516"/>
    </row>
    <row r="251" spans="1:19" ht="13.8">
      <c r="A251" s="2498"/>
      <c r="B251" s="2498"/>
      <c r="C251" s="2498"/>
      <c r="D251" s="2523"/>
      <c r="E251" s="2500" t="s">
        <v>3901</v>
      </c>
      <c r="F251" s="2498"/>
      <c r="G251" s="2498"/>
      <c r="H251" s="2516">
        <f>'Part II-Development Team'!H30</f>
        <v>0</v>
      </c>
      <c r="I251" s="2516"/>
      <c r="J251" s="2520">
        <f>'Part II-Development Team'!J30</f>
        <v>0</v>
      </c>
      <c r="K251" s="2499" t="s">
        <v>1937</v>
      </c>
      <c r="L251" s="2512">
        <f>'Part II-Development Team'!L30</f>
        <v>0</v>
      </c>
      <c r="M251" s="2512"/>
      <c r="N251" s="2512"/>
      <c r="O251" s="2512"/>
      <c r="P251" s="2512"/>
      <c r="Q251" s="2512"/>
      <c r="R251" s="2512"/>
      <c r="S251" s="2512"/>
    </row>
    <row r="252" spans="1:19" ht="13.8">
      <c r="A252" s="2506"/>
      <c r="B252" s="2506"/>
      <c r="C252" s="2506"/>
      <c r="D252" s="2506"/>
      <c r="E252" s="2506"/>
      <c r="F252" s="2506"/>
      <c r="G252" s="2506"/>
      <c r="H252" s="2506"/>
      <c r="I252" s="2506"/>
      <c r="J252" s="2506"/>
      <c r="K252" s="2506"/>
      <c r="L252" s="2506"/>
      <c r="M252" s="2506"/>
      <c r="N252" s="2506"/>
      <c r="O252" s="2506"/>
      <c r="P252" s="2506"/>
      <c r="Q252" s="2506"/>
      <c r="R252" s="2506"/>
      <c r="S252" s="2506"/>
    </row>
    <row r="253" spans="1:19" ht="13.8">
      <c r="A253" s="2498"/>
      <c r="B253" s="2498"/>
      <c r="C253" s="2555" t="s">
        <v>1941</v>
      </c>
      <c r="D253" s="2506" t="s">
        <v>1813</v>
      </c>
      <c r="E253" s="2498"/>
      <c r="F253" s="2498"/>
      <c r="G253" s="2498"/>
      <c r="H253" s="2498"/>
      <c r="I253" s="2498"/>
      <c r="J253" s="2498"/>
      <c r="K253" s="2501" t="s">
        <v>3900</v>
      </c>
      <c r="L253" s="2498"/>
      <c r="M253" s="2498"/>
      <c r="N253" s="2498"/>
      <c r="O253" s="2498"/>
      <c r="P253" s="2498"/>
      <c r="Q253" s="2498"/>
      <c r="R253" s="2498"/>
      <c r="S253" s="2498"/>
    </row>
    <row r="254" spans="1:19" ht="13.8">
      <c r="A254" s="2498"/>
      <c r="B254" s="2498"/>
      <c r="C254" s="2498"/>
      <c r="D254" s="2498" t="s">
        <v>2066</v>
      </c>
      <c r="E254" s="2498" t="s">
        <v>732</v>
      </c>
      <c r="F254" s="2498"/>
      <c r="G254" s="2498"/>
      <c r="H254" s="2498" t="str">
        <f>'Part II-Development Team'!H33</f>
        <v>Monarch Private Capital, LLC</v>
      </c>
      <c r="I254" s="2506"/>
      <c r="J254" s="2506"/>
      <c r="K254" s="2506"/>
      <c r="L254" s="2506"/>
      <c r="M254" s="2506"/>
      <c r="N254" s="2506"/>
      <c r="O254" s="2500" t="s">
        <v>1942</v>
      </c>
      <c r="P254" s="2500"/>
      <c r="Q254" s="2498" t="str">
        <f>'Part II-Development Team'!Q33</f>
        <v>Brent Barringer</v>
      </c>
      <c r="R254" s="2506"/>
      <c r="S254" s="2506"/>
    </row>
    <row r="255" spans="1:19" ht="13.8">
      <c r="A255" s="2498"/>
      <c r="B255" s="2498"/>
      <c r="C255" s="2498"/>
      <c r="D255" s="2523"/>
      <c r="E255" s="2500" t="s">
        <v>999</v>
      </c>
      <c r="F255" s="2502"/>
      <c r="G255" s="2498"/>
      <c r="H255" s="2498" t="str">
        <f>'Part II-Development Team'!H34</f>
        <v>3414 Peachtree Road, Suite 825</v>
      </c>
      <c r="I255" s="2506"/>
      <c r="J255" s="2506"/>
      <c r="K255" s="2506"/>
      <c r="L255" s="2506"/>
      <c r="M255" s="2506"/>
      <c r="N255" s="2506"/>
      <c r="O255" s="2500" t="s">
        <v>1704</v>
      </c>
      <c r="P255" s="2498"/>
      <c r="Q255" s="2498" t="str">
        <f>'Part II-Development Team'!Q34</f>
        <v>Managing Director LIHTC</v>
      </c>
      <c r="R255" s="2506"/>
      <c r="S255" s="2506"/>
    </row>
    <row r="256" spans="1:19" ht="13.8">
      <c r="A256" s="2498"/>
      <c r="B256" s="2498"/>
      <c r="C256" s="2498"/>
      <c r="D256" s="2523"/>
      <c r="E256" s="2500" t="s">
        <v>600</v>
      </c>
      <c r="F256" s="2498"/>
      <c r="G256" s="2498"/>
      <c r="H256" s="2498" t="str">
        <f>'Part II-Development Team'!H35</f>
        <v>Atlanta</v>
      </c>
      <c r="I256" s="2506"/>
      <c r="J256" s="2506"/>
      <c r="K256" s="2499" t="s">
        <v>2625</v>
      </c>
      <c r="L256" s="2498" t="str">
        <f>'Part II-Development Team'!L35</f>
        <v>www.monarchprivate.com</v>
      </c>
      <c r="M256" s="2506"/>
      <c r="N256" s="2506"/>
      <c r="O256" s="2500" t="s">
        <v>1679</v>
      </c>
      <c r="P256" s="2498"/>
      <c r="Q256" s="2516">
        <f>'Part II-Development Team'!Q35</f>
        <v>0</v>
      </c>
      <c r="R256" s="2516"/>
      <c r="S256" s="2516"/>
    </row>
    <row r="257" spans="1:19" ht="13.8">
      <c r="A257" s="2498"/>
      <c r="B257" s="2498"/>
      <c r="C257" s="2498"/>
      <c r="D257" s="2498"/>
      <c r="E257" s="2500" t="s">
        <v>1754</v>
      </c>
      <c r="F257" s="2498"/>
      <c r="G257" s="2498"/>
      <c r="H257" s="2500" t="str">
        <f>'Part II-Development Team'!H36</f>
        <v>GA</v>
      </c>
      <c r="I257" s="2498"/>
      <c r="J257" s="2498"/>
      <c r="K257" s="2499" t="s">
        <v>2173</v>
      </c>
      <c r="L257" s="2515">
        <f>'Part II-Development Team'!L36</f>
        <v>303260000</v>
      </c>
      <c r="M257" s="2506"/>
      <c r="N257" s="2498"/>
      <c r="O257" s="2500" t="s">
        <v>1932</v>
      </c>
      <c r="P257" s="2498"/>
      <c r="Q257" s="2516">
        <f>'Part II-Development Team'!Q36</f>
        <v>0</v>
      </c>
      <c r="R257" s="2516"/>
      <c r="S257" s="2516"/>
    </row>
    <row r="258" spans="1:19" ht="13.8">
      <c r="A258" s="2498"/>
      <c r="B258" s="2498"/>
      <c r="C258" s="2498"/>
      <c r="D258" s="2523"/>
      <c r="E258" s="2500" t="s">
        <v>3901</v>
      </c>
      <c r="F258" s="2498"/>
      <c r="G258" s="2498"/>
      <c r="H258" s="2516">
        <f>'Part II-Development Team'!H37</f>
        <v>4045968019</v>
      </c>
      <c r="I258" s="2516"/>
      <c r="J258" s="2520">
        <f>'Part II-Development Team'!J37</f>
        <v>0</v>
      </c>
      <c r="K258" s="2499" t="s">
        <v>1937</v>
      </c>
      <c r="L258" s="2512" t="str">
        <f>'Part II-Development Team'!L37</f>
        <v>bbarringer@monarchprivate.com</v>
      </c>
      <c r="M258" s="2512"/>
      <c r="N258" s="2512"/>
      <c r="O258" s="2512"/>
      <c r="P258" s="2512"/>
      <c r="Q258" s="2512"/>
      <c r="R258" s="2512"/>
      <c r="S258" s="2512"/>
    </row>
    <row r="259" spans="1:19" ht="13.8">
      <c r="A259" s="2506"/>
      <c r="B259" s="2506"/>
      <c r="C259" s="2506"/>
      <c r="D259" s="2506"/>
      <c r="E259" s="2506"/>
      <c r="F259" s="2506"/>
      <c r="G259" s="2506"/>
      <c r="H259" s="2516"/>
      <c r="I259" s="2516"/>
      <c r="J259" s="2516"/>
      <c r="K259" s="2499"/>
      <c r="L259" s="2516"/>
      <c r="M259" s="2516"/>
      <c r="N259" s="2499"/>
      <c r="O259" s="2516"/>
      <c r="P259" s="2516"/>
      <c r="Q259" s="2499"/>
      <c r="R259" s="2516"/>
      <c r="S259" s="2516"/>
    </row>
    <row r="260" spans="1:19" ht="13.8">
      <c r="A260" s="2498"/>
      <c r="B260" s="2498"/>
      <c r="C260" s="2498"/>
      <c r="D260" s="2498" t="s">
        <v>2067</v>
      </c>
      <c r="E260" s="2498" t="s">
        <v>733</v>
      </c>
      <c r="F260" s="2498"/>
      <c r="G260" s="2498"/>
      <c r="H260" s="2498" t="str">
        <f>'Part II-Development Team'!H39</f>
        <v>Monarch Private Capital, LLC</v>
      </c>
      <c r="I260" s="2506"/>
      <c r="J260" s="2506"/>
      <c r="K260" s="2506"/>
      <c r="L260" s="2506"/>
      <c r="M260" s="2506"/>
      <c r="N260" s="2506"/>
      <c r="O260" s="2500" t="s">
        <v>1942</v>
      </c>
      <c r="P260" s="2500"/>
      <c r="Q260" s="2498" t="str">
        <f>'Part II-Development Team'!Q39</f>
        <v>Brent Barringer</v>
      </c>
      <c r="R260" s="2506"/>
      <c r="S260" s="2506"/>
    </row>
    <row r="261" spans="1:19" ht="13.8">
      <c r="A261" s="2498"/>
      <c r="B261" s="2498"/>
      <c r="C261" s="2498"/>
      <c r="D261" s="2523"/>
      <c r="E261" s="2500" t="s">
        <v>999</v>
      </c>
      <c r="F261" s="2502"/>
      <c r="G261" s="2498"/>
      <c r="H261" s="2498" t="str">
        <f>'Part II-Development Team'!H40</f>
        <v>3414 Peachtree Road, Suite 825</v>
      </c>
      <c r="I261" s="2506"/>
      <c r="J261" s="2506"/>
      <c r="K261" s="2506"/>
      <c r="L261" s="2506"/>
      <c r="M261" s="2506"/>
      <c r="N261" s="2506"/>
      <c r="O261" s="2500" t="s">
        <v>1704</v>
      </c>
      <c r="P261" s="2498"/>
      <c r="Q261" s="2498" t="str">
        <f>'Part II-Development Team'!Q40</f>
        <v>Managing Director LIHTC</v>
      </c>
      <c r="R261" s="2506"/>
      <c r="S261" s="2506"/>
    </row>
    <row r="262" spans="1:19" ht="13.8">
      <c r="A262" s="2498"/>
      <c r="B262" s="2498"/>
      <c r="C262" s="2498"/>
      <c r="D262" s="2523"/>
      <c r="E262" s="2500" t="s">
        <v>600</v>
      </c>
      <c r="F262" s="2498"/>
      <c r="G262" s="2498"/>
      <c r="H262" s="2498" t="str">
        <f>'Part II-Development Team'!H41</f>
        <v>Atlanta</v>
      </c>
      <c r="I262" s="2506"/>
      <c r="J262" s="2506"/>
      <c r="K262" s="2499" t="s">
        <v>2625</v>
      </c>
      <c r="L262" s="2498" t="str">
        <f>'Part II-Development Team'!L41</f>
        <v>www.monarchprivate.com</v>
      </c>
      <c r="M262" s="2506"/>
      <c r="N262" s="2506"/>
      <c r="O262" s="2500" t="s">
        <v>1679</v>
      </c>
      <c r="P262" s="2498"/>
      <c r="Q262" s="2516">
        <f>'Part II-Development Team'!Q41</f>
        <v>0</v>
      </c>
      <c r="R262" s="2516"/>
      <c r="S262" s="2516"/>
    </row>
    <row r="263" spans="1:19" ht="13.8">
      <c r="A263" s="2498"/>
      <c r="B263" s="2498"/>
      <c r="C263" s="2498"/>
      <c r="D263" s="2498"/>
      <c r="E263" s="2500" t="s">
        <v>1754</v>
      </c>
      <c r="F263" s="2498"/>
      <c r="G263" s="2498"/>
      <c r="H263" s="2500" t="str">
        <f>'Part II-Development Team'!H42</f>
        <v>GA</v>
      </c>
      <c r="I263" s="2498"/>
      <c r="J263" s="2498"/>
      <c r="K263" s="2499" t="s">
        <v>2173</v>
      </c>
      <c r="L263" s="2515">
        <f>'Part II-Development Team'!L42</f>
        <v>303260000</v>
      </c>
      <c r="M263" s="2506"/>
      <c r="N263" s="2498"/>
      <c r="O263" s="2500" t="s">
        <v>1932</v>
      </c>
      <c r="P263" s="2498"/>
      <c r="Q263" s="2516">
        <f>'Part II-Development Team'!Q42</f>
        <v>0</v>
      </c>
      <c r="R263" s="2516"/>
      <c r="S263" s="2516"/>
    </row>
    <row r="264" spans="1:19" ht="13.8">
      <c r="A264" s="2498"/>
      <c r="B264" s="2498"/>
      <c r="C264" s="2498"/>
      <c r="D264" s="2523"/>
      <c r="E264" s="2500" t="s">
        <v>3901</v>
      </c>
      <c r="F264" s="2498"/>
      <c r="G264" s="2498"/>
      <c r="H264" s="2516">
        <f>'Part II-Development Team'!H43</f>
        <v>4045968019</v>
      </c>
      <c r="I264" s="2516"/>
      <c r="J264" s="2520">
        <f>'Part II-Development Team'!J43</f>
        <v>0</v>
      </c>
      <c r="K264" s="2499" t="s">
        <v>1937</v>
      </c>
      <c r="L264" s="2512" t="str">
        <f>'Part II-Development Team'!L43</f>
        <v>bbarringer@monarchprivate.com</v>
      </c>
      <c r="M264" s="2512"/>
      <c r="N264" s="2512"/>
      <c r="O264" s="2512"/>
      <c r="P264" s="2512"/>
      <c r="Q264" s="2512"/>
      <c r="R264" s="2512"/>
      <c r="S264" s="2512"/>
    </row>
    <row r="265" spans="1:19" ht="13.8">
      <c r="A265" s="2498"/>
      <c r="B265" s="2498"/>
      <c r="C265" s="2498"/>
      <c r="D265" s="2523"/>
      <c r="E265" s="2500"/>
      <c r="F265" s="2498"/>
      <c r="G265" s="2498"/>
      <c r="H265" s="2549"/>
      <c r="I265" s="2549"/>
      <c r="J265" s="2546"/>
      <c r="K265" s="2499"/>
      <c r="L265" s="2549"/>
      <c r="M265" s="2549"/>
      <c r="N265" s="2499"/>
      <c r="O265" s="2549"/>
      <c r="P265" s="2549"/>
      <c r="Q265" s="2499"/>
      <c r="R265" s="2549"/>
      <c r="S265" s="2549"/>
    </row>
    <row r="266" spans="1:19" ht="13.8">
      <c r="A266" s="2498"/>
      <c r="B266" s="2498"/>
      <c r="C266" s="2556" t="s">
        <v>2468</v>
      </c>
      <c r="D266" s="2506" t="s">
        <v>633</v>
      </c>
      <c r="E266" s="2498"/>
      <c r="F266" s="2498"/>
      <c r="G266" s="2498"/>
      <c r="H266" s="2498"/>
      <c r="I266" s="2498"/>
      <c r="J266" s="2498"/>
      <c r="K266" s="2501" t="s">
        <v>3900</v>
      </c>
      <c r="L266" s="2498"/>
      <c r="M266" s="2498"/>
      <c r="N266" s="2498"/>
      <c r="O266" s="2498"/>
      <c r="P266" s="2498"/>
      <c r="Q266" s="2498"/>
      <c r="R266" s="2498"/>
      <c r="S266" s="2498"/>
    </row>
    <row r="267" spans="1:19" ht="13.8">
      <c r="A267" s="2498"/>
      <c r="B267" s="2498"/>
      <c r="C267" s="2498"/>
      <c r="D267" s="2498"/>
      <c r="E267" s="2498" t="s">
        <v>90</v>
      </c>
      <c r="F267" s="2498"/>
      <c r="G267" s="2498"/>
      <c r="H267" s="2498">
        <f>'Part II-Development Team'!H46</f>
        <v>0</v>
      </c>
      <c r="I267" s="2506"/>
      <c r="J267" s="2506"/>
      <c r="K267" s="2506"/>
      <c r="L267" s="2506"/>
      <c r="M267" s="2506"/>
      <c r="N267" s="2506"/>
      <c r="O267" s="2500" t="s">
        <v>1942</v>
      </c>
      <c r="P267" s="2500"/>
      <c r="Q267" s="2498">
        <f>'Part II-Development Team'!Q46</f>
        <v>0</v>
      </c>
      <c r="R267" s="2506"/>
      <c r="S267" s="2506"/>
    </row>
    <row r="268" spans="1:19" ht="13.8">
      <c r="A268" s="2498"/>
      <c r="B268" s="2498"/>
      <c r="C268" s="2498"/>
      <c r="D268" s="2523"/>
      <c r="E268" s="2500" t="s">
        <v>999</v>
      </c>
      <c r="F268" s="2502"/>
      <c r="G268" s="2498"/>
      <c r="H268" s="2498">
        <f>'Part II-Development Team'!H47</f>
        <v>0</v>
      </c>
      <c r="I268" s="2506"/>
      <c r="J268" s="2506"/>
      <c r="K268" s="2506"/>
      <c r="L268" s="2506"/>
      <c r="M268" s="2506"/>
      <c r="N268" s="2506"/>
      <c r="O268" s="2500" t="s">
        <v>1704</v>
      </c>
      <c r="P268" s="2498"/>
      <c r="Q268" s="2498">
        <f>'Part II-Development Team'!Q47</f>
        <v>0</v>
      </c>
      <c r="R268" s="2506"/>
      <c r="S268" s="2506"/>
    </row>
    <row r="269" spans="1:19" ht="13.8">
      <c r="A269" s="2498"/>
      <c r="B269" s="2498"/>
      <c r="C269" s="2498"/>
      <c r="D269" s="2523"/>
      <c r="E269" s="2500" t="s">
        <v>600</v>
      </c>
      <c r="F269" s="2498"/>
      <c r="G269" s="2498"/>
      <c r="H269" s="2498">
        <f>'Part II-Development Team'!H48</f>
        <v>0</v>
      </c>
      <c r="I269" s="2506"/>
      <c r="J269" s="2506"/>
      <c r="K269" s="2499" t="s">
        <v>2625</v>
      </c>
      <c r="L269" s="2498">
        <f>'Part II-Development Team'!L48</f>
        <v>0</v>
      </c>
      <c r="M269" s="2506"/>
      <c r="N269" s="2506"/>
      <c r="O269" s="2500" t="s">
        <v>1679</v>
      </c>
      <c r="P269" s="2498"/>
      <c r="Q269" s="2516">
        <f>'Part II-Development Team'!Q48</f>
        <v>0</v>
      </c>
      <c r="R269" s="2516"/>
      <c r="S269" s="2516"/>
    </row>
    <row r="270" spans="1:19" ht="13.8">
      <c r="A270" s="2498"/>
      <c r="B270" s="2498"/>
      <c r="C270" s="2498"/>
      <c r="D270" s="2498"/>
      <c r="E270" s="2500" t="s">
        <v>1754</v>
      </c>
      <c r="F270" s="2498"/>
      <c r="G270" s="2498"/>
      <c r="H270" s="2500">
        <f>'Part II-Development Team'!H49</f>
        <v>0</v>
      </c>
      <c r="I270" s="2498"/>
      <c r="J270" s="2498"/>
      <c r="K270" s="2499" t="s">
        <v>2173</v>
      </c>
      <c r="L270" s="2515">
        <f>'Part II-Development Team'!L49</f>
        <v>0</v>
      </c>
      <c r="M270" s="2506"/>
      <c r="N270" s="2498"/>
      <c r="O270" s="2500" t="s">
        <v>1932</v>
      </c>
      <c r="P270" s="2498"/>
      <c r="Q270" s="2516">
        <f>'Part II-Development Team'!Q49</f>
        <v>0</v>
      </c>
      <c r="R270" s="2516"/>
      <c r="S270" s="2516"/>
    </row>
    <row r="271" spans="1:19" ht="13.8">
      <c r="A271" s="2498"/>
      <c r="B271" s="2498"/>
      <c r="C271" s="2498"/>
      <c r="D271" s="2523"/>
      <c r="E271" s="2500" t="s">
        <v>3901</v>
      </c>
      <c r="F271" s="2498"/>
      <c r="G271" s="2498"/>
      <c r="H271" s="2516">
        <f>'Part II-Development Team'!H50</f>
        <v>0</v>
      </c>
      <c r="I271" s="2516"/>
      <c r="J271" s="2520">
        <f>'Part II-Development Team'!J50</f>
        <v>0</v>
      </c>
      <c r="K271" s="2499" t="s">
        <v>1937</v>
      </c>
      <c r="L271" s="2512">
        <f>'Part II-Development Team'!L50</f>
        <v>0</v>
      </c>
      <c r="M271" s="2512"/>
      <c r="N271" s="2512"/>
      <c r="O271" s="2512"/>
      <c r="P271" s="2512"/>
      <c r="Q271" s="2512"/>
      <c r="R271" s="2512"/>
      <c r="S271" s="2512"/>
    </row>
    <row r="272" spans="1:19" ht="13.8">
      <c r="A272" s="2506"/>
      <c r="B272" s="2506"/>
      <c r="C272" s="2506"/>
      <c r="D272" s="2506"/>
      <c r="E272" s="2506"/>
      <c r="F272" s="2506"/>
      <c r="G272" s="2506"/>
      <c r="H272" s="2506"/>
      <c r="I272" s="2506"/>
      <c r="J272" s="2506"/>
      <c r="K272" s="2506"/>
      <c r="L272" s="2506"/>
      <c r="M272" s="2506"/>
      <c r="N272" s="2506"/>
      <c r="O272" s="2506"/>
      <c r="P272" s="2506"/>
      <c r="Q272" s="2506"/>
      <c r="R272" s="2506"/>
      <c r="S272" s="2506"/>
    </row>
    <row r="273" spans="1:19" ht="13.8">
      <c r="A273" s="2498" t="s">
        <v>722</v>
      </c>
      <c r="B273" s="2498" t="s">
        <v>634</v>
      </c>
      <c r="C273" s="2498"/>
      <c r="D273" s="2498"/>
      <c r="E273" s="2498"/>
      <c r="F273" s="2498"/>
      <c r="G273" s="2499"/>
      <c r="H273" s="2499"/>
      <c r="I273" s="2499"/>
      <c r="J273" s="2498"/>
      <c r="K273" s="2501" t="s">
        <v>3900</v>
      </c>
      <c r="L273" s="2498"/>
      <c r="M273" s="2498"/>
      <c r="N273" s="2498"/>
      <c r="O273" s="2498"/>
      <c r="P273" s="2498"/>
      <c r="Q273" s="2498"/>
      <c r="R273" s="2498"/>
      <c r="S273" s="2498"/>
    </row>
    <row r="274" spans="1:19" ht="13.8">
      <c r="A274" s="2498"/>
      <c r="B274" s="2498"/>
      <c r="C274" s="2498"/>
      <c r="D274" s="2498"/>
      <c r="E274" s="2498"/>
      <c r="F274" s="2498"/>
      <c r="G274" s="2499"/>
      <c r="H274" s="2516"/>
      <c r="I274" s="2516"/>
      <c r="J274" s="2516"/>
      <c r="K274" s="2499"/>
      <c r="L274" s="2516"/>
      <c r="M274" s="2516"/>
      <c r="N274" s="2499"/>
      <c r="O274" s="2516"/>
      <c r="P274" s="2516"/>
      <c r="Q274" s="2499"/>
      <c r="R274" s="2516"/>
      <c r="S274" s="2516"/>
    </row>
    <row r="275" spans="1:19" ht="13.8">
      <c r="A275" s="2498"/>
      <c r="B275" s="2498" t="s">
        <v>1936</v>
      </c>
      <c r="C275" s="2498" t="s">
        <v>277</v>
      </c>
      <c r="D275" s="2498"/>
      <c r="E275" s="2498"/>
      <c r="F275" s="2498"/>
      <c r="G275" s="2498"/>
      <c r="H275" s="2498" t="str">
        <f>'Part II-Development Team'!H54</f>
        <v>Parent Development, LLC</v>
      </c>
      <c r="I275" s="2506"/>
      <c r="J275" s="2506"/>
      <c r="K275" s="2506"/>
      <c r="L275" s="2506"/>
      <c r="M275" s="2506"/>
      <c r="N275" s="2506"/>
      <c r="O275" s="2500" t="s">
        <v>1942</v>
      </c>
      <c r="P275" s="2500"/>
      <c r="Q275" s="2498" t="str">
        <f>'Part II-Development Team'!Q54</f>
        <v>Brian Parent</v>
      </c>
      <c r="R275" s="2506"/>
      <c r="S275" s="2506"/>
    </row>
    <row r="276" spans="1:19" ht="13.8">
      <c r="A276" s="2498"/>
      <c r="B276" s="2498"/>
      <c r="C276" s="2498"/>
      <c r="D276" s="2523"/>
      <c r="E276" s="2500" t="s">
        <v>999</v>
      </c>
      <c r="F276" s="2502"/>
      <c r="G276" s="2498"/>
      <c r="H276" s="2498" t="str">
        <f>'Part II-Development Team'!H55</f>
        <v>4110 Southpoint Blvd., Suite 206</v>
      </c>
      <c r="I276" s="2506"/>
      <c r="J276" s="2506"/>
      <c r="K276" s="2506"/>
      <c r="L276" s="2506"/>
      <c r="M276" s="2506"/>
      <c r="N276" s="2506"/>
      <c r="O276" s="2500" t="s">
        <v>1704</v>
      </c>
      <c r="P276" s="2498"/>
      <c r="Q276" s="2498" t="str">
        <f>'Part II-Development Team'!Q55</f>
        <v>Manager</v>
      </c>
      <c r="R276" s="2506"/>
      <c r="S276" s="2506"/>
    </row>
    <row r="277" spans="1:19" ht="13.8">
      <c r="A277" s="2498"/>
      <c r="B277" s="2498"/>
      <c r="C277" s="2498"/>
      <c r="D277" s="2523"/>
      <c r="E277" s="2500" t="s">
        <v>600</v>
      </c>
      <c r="F277" s="2498"/>
      <c r="G277" s="2498"/>
      <c r="H277" s="2498" t="str">
        <f>'Part II-Development Team'!H56</f>
        <v>Jacksonville</v>
      </c>
      <c r="I277" s="2506"/>
      <c r="J277" s="2506"/>
      <c r="K277" s="2499" t="s">
        <v>2625</v>
      </c>
      <c r="L277" s="2498" t="str">
        <f>'Part II-Development Team'!L56</f>
        <v>www.parentdevelop.com</v>
      </c>
      <c r="M277" s="2506"/>
      <c r="N277" s="2506"/>
      <c r="O277" s="2500" t="s">
        <v>1679</v>
      </c>
      <c r="P277" s="2498"/>
      <c r="Q277" s="2516">
        <f>'Part II-Development Team'!Q56</f>
        <v>9046730639</v>
      </c>
      <c r="R277" s="2516"/>
      <c r="S277" s="2516"/>
    </row>
    <row r="278" spans="1:19" ht="13.8">
      <c r="A278" s="2498"/>
      <c r="B278" s="2498"/>
      <c r="C278" s="2498"/>
      <c r="D278" s="2498"/>
      <c r="E278" s="2500" t="s">
        <v>1754</v>
      </c>
      <c r="F278" s="2498"/>
      <c r="G278" s="2498"/>
      <c r="H278" s="2500" t="str">
        <f>'Part II-Development Team'!H57</f>
        <v>FL</v>
      </c>
      <c r="I278" s="2498"/>
      <c r="J278" s="2498"/>
      <c r="K278" s="2499" t="s">
        <v>2173</v>
      </c>
      <c r="L278" s="2515">
        <f>'Part II-Development Team'!L57</f>
        <v>322160000</v>
      </c>
      <c r="M278" s="2506"/>
      <c r="N278" s="2498"/>
      <c r="O278" s="2500" t="s">
        <v>1932</v>
      </c>
      <c r="P278" s="2498"/>
      <c r="Q278" s="2516">
        <f>'Part II-Development Team'!Q57</f>
        <v>9046730639</v>
      </c>
      <c r="R278" s="2516"/>
      <c r="S278" s="2516"/>
    </row>
    <row r="279" spans="1:19" ht="13.8">
      <c r="A279" s="2498"/>
      <c r="B279" s="2498"/>
      <c r="C279" s="2498"/>
      <c r="D279" s="2523"/>
      <c r="E279" s="2500" t="s">
        <v>3901</v>
      </c>
      <c r="F279" s="2498"/>
      <c r="G279" s="2498"/>
      <c r="H279" s="2516">
        <f>'Part II-Development Team'!H58</f>
        <v>9046730639</v>
      </c>
      <c r="I279" s="2516"/>
      <c r="J279" s="2520">
        <f>'Part II-Development Team'!J58</f>
        <v>0</v>
      </c>
      <c r="K279" s="2499" t="s">
        <v>1937</v>
      </c>
      <c r="L279" s="2512" t="str">
        <f>'Part II-Development Team'!L58</f>
        <v>bjparent@comcast.net</v>
      </c>
      <c r="M279" s="2512"/>
      <c r="N279" s="2512"/>
      <c r="O279" s="2512"/>
      <c r="P279" s="2512"/>
      <c r="Q279" s="2512"/>
      <c r="R279" s="2512"/>
      <c r="S279" s="2512"/>
    </row>
    <row r="280" spans="1:19" ht="13.8">
      <c r="A280" s="2498"/>
      <c r="B280" s="2498"/>
      <c r="C280" s="2498"/>
      <c r="D280" s="2523"/>
      <c r="E280" s="2498"/>
      <c r="F280" s="2498"/>
      <c r="G280" s="2500"/>
      <c r="H280" s="2516"/>
      <c r="I280" s="2516"/>
      <c r="J280" s="2516"/>
      <c r="K280" s="2499"/>
      <c r="L280" s="2516"/>
      <c r="M280" s="2516"/>
      <c r="N280" s="2499"/>
      <c r="O280" s="2516"/>
      <c r="P280" s="2516"/>
      <c r="Q280" s="2499"/>
      <c r="R280" s="2516"/>
      <c r="S280" s="2516"/>
    </row>
    <row r="281" spans="1:19" ht="13.8">
      <c r="A281" s="2498"/>
      <c r="B281" s="2498" t="s">
        <v>1938</v>
      </c>
      <c r="C281" s="2498" t="s">
        <v>278</v>
      </c>
      <c r="D281" s="2498"/>
      <c r="E281" s="2498"/>
      <c r="F281" s="2498"/>
      <c r="G281" s="2498"/>
      <c r="H281" s="2498" t="str">
        <f>'Part II-Development Team'!H60</f>
        <v>Outlook Development, LLC</v>
      </c>
      <c r="I281" s="2506"/>
      <c r="J281" s="2506"/>
      <c r="K281" s="2506"/>
      <c r="L281" s="2506"/>
      <c r="M281" s="2506"/>
      <c r="N281" s="2506"/>
      <c r="O281" s="2500" t="s">
        <v>1942</v>
      </c>
      <c r="P281" s="2500"/>
      <c r="Q281" s="2498" t="str">
        <f>'Part II-Development Team'!Q60</f>
        <v>Brian Stadler</v>
      </c>
      <c r="R281" s="2506"/>
      <c r="S281" s="2506"/>
    </row>
    <row r="282" spans="1:19" ht="13.8">
      <c r="A282" s="2498"/>
      <c r="B282" s="2498"/>
      <c r="C282" s="2498"/>
      <c r="D282" s="2523"/>
      <c r="E282" s="2500" t="s">
        <v>999</v>
      </c>
      <c r="F282" s="2502"/>
      <c r="G282" s="2498"/>
      <c r="H282" s="2498" t="str">
        <f>'Part II-Development Team'!H61</f>
        <v>4835 Towne Centre Rd STE 203</v>
      </c>
      <c r="I282" s="2506"/>
      <c r="J282" s="2506"/>
      <c r="K282" s="2506"/>
      <c r="L282" s="2506"/>
      <c r="M282" s="2506"/>
      <c r="N282" s="2506"/>
      <c r="O282" s="2500" t="s">
        <v>1704</v>
      </c>
      <c r="P282" s="2498"/>
      <c r="Q282" s="2498" t="str">
        <f>'Part II-Development Team'!Q61</f>
        <v>Manager</v>
      </c>
      <c r="R282" s="2506"/>
      <c r="S282" s="2506"/>
    </row>
    <row r="283" spans="1:19" ht="13.8">
      <c r="A283" s="2498"/>
      <c r="B283" s="2498"/>
      <c r="C283" s="2498"/>
      <c r="D283" s="2523"/>
      <c r="E283" s="2500" t="s">
        <v>600</v>
      </c>
      <c r="F283" s="2498"/>
      <c r="G283" s="2498"/>
      <c r="H283" s="2498" t="str">
        <f>'Part II-Development Team'!H62</f>
        <v>Saginaw</v>
      </c>
      <c r="I283" s="2506"/>
      <c r="J283" s="2506"/>
      <c r="K283" s="2499" t="s">
        <v>2625</v>
      </c>
      <c r="L283" s="2498" t="str">
        <f>'Part II-Development Team'!L62</f>
        <v>None</v>
      </c>
      <c r="M283" s="2506"/>
      <c r="N283" s="2506"/>
      <c r="O283" s="2500" t="s">
        <v>1679</v>
      </c>
      <c r="P283" s="2498"/>
      <c r="Q283" s="2516">
        <f>'Part II-Development Team'!Q62</f>
        <v>0</v>
      </c>
      <c r="R283" s="2516"/>
      <c r="S283" s="2516"/>
    </row>
    <row r="284" spans="1:19" ht="13.8">
      <c r="A284" s="2498"/>
      <c r="B284" s="2498"/>
      <c r="C284" s="2498"/>
      <c r="D284" s="2498"/>
      <c r="E284" s="2500" t="s">
        <v>1754</v>
      </c>
      <c r="F284" s="2498"/>
      <c r="G284" s="2498"/>
      <c r="H284" s="2500" t="str">
        <f>'Part II-Development Team'!H63</f>
        <v>MI</v>
      </c>
      <c r="I284" s="2498"/>
      <c r="J284" s="2498"/>
      <c r="K284" s="2499" t="s">
        <v>2173</v>
      </c>
      <c r="L284" s="2515">
        <f>'Part II-Development Team'!L63</f>
        <v>486040000</v>
      </c>
      <c r="M284" s="2506"/>
      <c r="N284" s="2498"/>
      <c r="O284" s="2500" t="s">
        <v>1932</v>
      </c>
      <c r="P284" s="2498"/>
      <c r="Q284" s="2516">
        <f>'Part II-Development Team'!Q63</f>
        <v>0</v>
      </c>
      <c r="R284" s="2516"/>
      <c r="S284" s="2516"/>
    </row>
    <row r="285" spans="1:19" ht="13.8">
      <c r="A285" s="2498"/>
      <c r="B285" s="2498"/>
      <c r="C285" s="2498"/>
      <c r="D285" s="2523"/>
      <c r="E285" s="2500" t="s">
        <v>3901</v>
      </c>
      <c r="F285" s="2498"/>
      <c r="G285" s="2498"/>
      <c r="H285" s="2516">
        <f>'Part II-Development Team'!H64</f>
        <v>0</v>
      </c>
      <c r="I285" s="2516"/>
      <c r="J285" s="2520">
        <f>'Part II-Development Team'!J64</f>
        <v>0</v>
      </c>
      <c r="K285" s="2499" t="s">
        <v>1937</v>
      </c>
      <c r="L285" s="2512" t="str">
        <f>'Part II-Development Team'!L64</f>
        <v>brian@wolgast.com</v>
      </c>
      <c r="M285" s="2512"/>
      <c r="N285" s="2512"/>
      <c r="O285" s="2512"/>
      <c r="P285" s="2512"/>
      <c r="Q285" s="2512"/>
      <c r="R285" s="2512"/>
      <c r="S285" s="2512"/>
    </row>
    <row r="286" spans="1:19" ht="13.8">
      <c r="A286" s="2498"/>
      <c r="B286" s="2498"/>
      <c r="C286" s="2498"/>
      <c r="D286" s="2523"/>
      <c r="E286" s="2498"/>
      <c r="F286" s="2498"/>
      <c r="G286" s="2500"/>
      <c r="H286" s="2516"/>
      <c r="I286" s="2516"/>
      <c r="J286" s="2516"/>
      <c r="K286" s="2499"/>
      <c r="L286" s="2516"/>
      <c r="M286" s="2516"/>
      <c r="N286" s="2499"/>
      <c r="O286" s="2516"/>
      <c r="P286" s="2516"/>
      <c r="Q286" s="2499"/>
      <c r="R286" s="2516"/>
      <c r="S286" s="2516"/>
    </row>
    <row r="287" spans="1:19" ht="13.8">
      <c r="A287" s="2498"/>
      <c r="B287" s="2498" t="s">
        <v>731</v>
      </c>
      <c r="C287" s="2498" t="s">
        <v>1496</v>
      </c>
      <c r="D287" s="2498"/>
      <c r="E287" s="2498"/>
      <c r="F287" s="2498"/>
      <c r="G287" s="2498"/>
      <c r="H287" s="2498" t="str">
        <f>'Part II-Development Team'!H66</f>
        <v>Timshel Hill Tide Developers, LLC</v>
      </c>
      <c r="I287" s="2506"/>
      <c r="J287" s="2506"/>
      <c r="K287" s="2506"/>
      <c r="L287" s="2506"/>
      <c r="M287" s="2506"/>
      <c r="N287" s="2506"/>
      <c r="O287" s="2500" t="s">
        <v>1942</v>
      </c>
      <c r="P287" s="2500"/>
      <c r="Q287" s="2498" t="str">
        <f>'Part II-Development Team'!Q66</f>
        <v>Brian Waterfield</v>
      </c>
      <c r="R287" s="2506"/>
      <c r="S287" s="2506"/>
    </row>
    <row r="288" spans="1:19" ht="13.8">
      <c r="A288" s="2498"/>
      <c r="B288" s="2498"/>
      <c r="C288" s="2498"/>
      <c r="D288" s="2523"/>
      <c r="E288" s="2500" t="s">
        <v>999</v>
      </c>
      <c r="F288" s="2502"/>
      <c r="G288" s="2498"/>
      <c r="H288" s="2498" t="str">
        <f>'Part II-Development Team'!H67</f>
        <v>310 South Dillard Street, Suite 135</v>
      </c>
      <c r="I288" s="2506"/>
      <c r="J288" s="2506"/>
      <c r="K288" s="2506"/>
      <c r="L288" s="2506"/>
      <c r="M288" s="2506"/>
      <c r="N288" s="2506"/>
      <c r="O288" s="2500" t="s">
        <v>1704</v>
      </c>
      <c r="P288" s="2498"/>
      <c r="Q288" s="2498" t="str">
        <f>'Part II-Development Team'!Q67</f>
        <v>Manager of the Manager</v>
      </c>
      <c r="R288" s="2506"/>
      <c r="S288" s="2506"/>
    </row>
    <row r="289" spans="1:19" ht="13.8">
      <c r="A289" s="2498"/>
      <c r="B289" s="2498"/>
      <c r="C289" s="2498"/>
      <c r="D289" s="2523"/>
      <c r="E289" s="2500" t="s">
        <v>600</v>
      </c>
      <c r="F289" s="2498"/>
      <c r="G289" s="2498"/>
      <c r="H289" s="2498" t="str">
        <f>'Part II-Development Team'!H68</f>
        <v>Winter Garden</v>
      </c>
      <c r="I289" s="2506"/>
      <c r="J289" s="2506"/>
      <c r="K289" s="2499" t="s">
        <v>2625</v>
      </c>
      <c r="L289" s="2498" t="str">
        <f>'Part II-Development Team'!L68</f>
        <v>www.timsheldevelopment.com</v>
      </c>
      <c r="M289" s="2506"/>
      <c r="N289" s="2506"/>
      <c r="O289" s="2500" t="s">
        <v>1679</v>
      </c>
      <c r="P289" s="2498"/>
      <c r="Q289" s="2516">
        <f>'Part II-Development Team'!Q68</f>
        <v>4074614651</v>
      </c>
      <c r="R289" s="2516"/>
      <c r="S289" s="2516"/>
    </row>
    <row r="290" spans="1:19" ht="13.8">
      <c r="A290" s="2498"/>
      <c r="B290" s="2498"/>
      <c r="C290" s="2498"/>
      <c r="D290" s="2498"/>
      <c r="E290" s="2500" t="s">
        <v>1754</v>
      </c>
      <c r="F290" s="2498"/>
      <c r="G290" s="2498"/>
      <c r="H290" s="2500" t="str">
        <f>'Part II-Development Team'!H69</f>
        <v>FL</v>
      </c>
      <c r="I290" s="2498"/>
      <c r="J290" s="2498"/>
      <c r="K290" s="2499" t="s">
        <v>2173</v>
      </c>
      <c r="L290" s="2515">
        <f>'Part II-Development Team'!L69</f>
        <v>347870000</v>
      </c>
      <c r="M290" s="2506"/>
      <c r="N290" s="2498"/>
      <c r="O290" s="2500" t="s">
        <v>1932</v>
      </c>
      <c r="P290" s="2498"/>
      <c r="Q290" s="2516">
        <f>'Part II-Development Team'!Q69</f>
        <v>4074614651</v>
      </c>
      <c r="R290" s="2516"/>
      <c r="S290" s="2516"/>
    </row>
    <row r="291" spans="1:19" ht="13.8">
      <c r="A291" s="2498"/>
      <c r="B291" s="2498"/>
      <c r="C291" s="2498"/>
      <c r="D291" s="2523"/>
      <c r="E291" s="2500" t="s">
        <v>3901</v>
      </c>
      <c r="F291" s="2498"/>
      <c r="G291" s="2498"/>
      <c r="H291" s="2516">
        <f>'Part II-Development Team'!H70</f>
        <v>4076142414</v>
      </c>
      <c r="I291" s="2516"/>
      <c r="J291" s="2520">
        <f>'Part II-Development Team'!J70</f>
        <v>0</v>
      </c>
      <c r="K291" s="2499" t="s">
        <v>1937</v>
      </c>
      <c r="L291" s="2512" t="str">
        <f>'Part II-Development Team'!L70</f>
        <v>bwaterfield@timsheldevelopment.com</v>
      </c>
      <c r="M291" s="2512"/>
      <c r="N291" s="2512"/>
      <c r="O291" s="2512"/>
      <c r="P291" s="2512"/>
      <c r="Q291" s="2512"/>
      <c r="R291" s="2512"/>
      <c r="S291" s="2512"/>
    </row>
    <row r="292" spans="1:19" ht="13.8">
      <c r="A292" s="2506"/>
      <c r="B292" s="2506"/>
      <c r="C292" s="2506"/>
      <c r="D292" s="2506"/>
      <c r="E292" s="2506"/>
      <c r="F292" s="2506"/>
      <c r="G292" s="2506"/>
      <c r="H292" s="2516"/>
      <c r="I292" s="2516"/>
      <c r="J292" s="2516"/>
      <c r="K292" s="2499"/>
      <c r="L292" s="2516"/>
      <c r="M292" s="2516"/>
      <c r="N292" s="2499"/>
      <c r="O292" s="2516"/>
      <c r="P292" s="2516"/>
      <c r="Q292" s="2499"/>
      <c r="R292" s="2516"/>
      <c r="S292" s="2516"/>
    </row>
    <row r="293" spans="1:19" ht="13.8">
      <c r="A293" s="2498"/>
      <c r="B293" s="2498" t="s">
        <v>2065</v>
      </c>
      <c r="C293" s="2498" t="s">
        <v>279</v>
      </c>
      <c r="D293" s="2498"/>
      <c r="E293" s="2498"/>
      <c r="F293" s="2498"/>
      <c r="G293" s="2498"/>
      <c r="H293" s="2498">
        <f>'Part II-Development Team'!H72</f>
        <v>0</v>
      </c>
      <c r="I293" s="2506"/>
      <c r="J293" s="2506"/>
      <c r="K293" s="2506"/>
      <c r="L293" s="2506"/>
      <c r="M293" s="2506"/>
      <c r="N293" s="2506"/>
      <c r="O293" s="2500" t="s">
        <v>1942</v>
      </c>
      <c r="P293" s="2500"/>
      <c r="Q293" s="2498">
        <f>'Part II-Development Team'!Q72</f>
        <v>0</v>
      </c>
      <c r="R293" s="2506"/>
      <c r="S293" s="2506"/>
    </row>
    <row r="294" spans="1:19" ht="13.8">
      <c r="A294" s="2498"/>
      <c r="B294" s="2498"/>
      <c r="C294" s="2498"/>
      <c r="D294" s="2523"/>
      <c r="E294" s="2500" t="s">
        <v>999</v>
      </c>
      <c r="F294" s="2502"/>
      <c r="G294" s="2498"/>
      <c r="H294" s="2498">
        <f>'Part II-Development Team'!H73</f>
        <v>0</v>
      </c>
      <c r="I294" s="2506"/>
      <c r="J294" s="2506"/>
      <c r="K294" s="2506"/>
      <c r="L294" s="2506"/>
      <c r="M294" s="2506"/>
      <c r="N294" s="2506"/>
      <c r="O294" s="2500" t="s">
        <v>1704</v>
      </c>
      <c r="P294" s="2498"/>
      <c r="Q294" s="2498">
        <f>'Part II-Development Team'!Q73</f>
        <v>0</v>
      </c>
      <c r="R294" s="2506"/>
      <c r="S294" s="2506"/>
    </row>
    <row r="295" spans="1:19" ht="13.8">
      <c r="A295" s="2498"/>
      <c r="B295" s="2498"/>
      <c r="C295" s="2498"/>
      <c r="D295" s="2523"/>
      <c r="E295" s="2500" t="s">
        <v>600</v>
      </c>
      <c r="F295" s="2498"/>
      <c r="G295" s="2498"/>
      <c r="H295" s="2498">
        <f>'Part II-Development Team'!H74</f>
        <v>0</v>
      </c>
      <c r="I295" s="2506"/>
      <c r="J295" s="2506"/>
      <c r="K295" s="2499" t="s">
        <v>2625</v>
      </c>
      <c r="L295" s="2498">
        <f>'Part II-Development Team'!L74</f>
        <v>0</v>
      </c>
      <c r="M295" s="2506"/>
      <c r="N295" s="2506"/>
      <c r="O295" s="2500" t="s">
        <v>1679</v>
      </c>
      <c r="P295" s="2498"/>
      <c r="Q295" s="2516">
        <f>'Part II-Development Team'!Q74</f>
        <v>0</v>
      </c>
      <c r="R295" s="2516"/>
      <c r="S295" s="2516"/>
    </row>
    <row r="296" spans="1:19" ht="13.8">
      <c r="A296" s="2498"/>
      <c r="B296" s="2498"/>
      <c r="C296" s="2498"/>
      <c r="D296" s="2498"/>
      <c r="E296" s="2500" t="s">
        <v>1754</v>
      </c>
      <c r="F296" s="2498"/>
      <c r="G296" s="2498"/>
      <c r="H296" s="2500">
        <f>'Part II-Development Team'!H75</f>
        <v>0</v>
      </c>
      <c r="I296" s="2498"/>
      <c r="J296" s="2498"/>
      <c r="K296" s="2499" t="s">
        <v>2173</v>
      </c>
      <c r="L296" s="2515">
        <f>'Part II-Development Team'!L75</f>
        <v>0</v>
      </c>
      <c r="M296" s="2506"/>
      <c r="N296" s="2498"/>
      <c r="O296" s="2500" t="s">
        <v>1932</v>
      </c>
      <c r="P296" s="2498"/>
      <c r="Q296" s="2516">
        <f>'Part II-Development Team'!Q75</f>
        <v>0</v>
      </c>
      <c r="R296" s="2516"/>
      <c r="S296" s="2516"/>
    </row>
    <row r="297" spans="1:19" ht="13.8">
      <c r="A297" s="2498"/>
      <c r="B297" s="2498"/>
      <c r="C297" s="2498"/>
      <c r="D297" s="2523"/>
      <c r="E297" s="2500" t="s">
        <v>3901</v>
      </c>
      <c r="F297" s="2498"/>
      <c r="G297" s="2498"/>
      <c r="H297" s="2516">
        <f>'Part II-Development Team'!H76</f>
        <v>0</v>
      </c>
      <c r="I297" s="2516"/>
      <c r="J297" s="2520">
        <f>'Part II-Development Team'!J76</f>
        <v>0</v>
      </c>
      <c r="K297" s="2499" t="s">
        <v>1937</v>
      </c>
      <c r="L297" s="2512">
        <f>'Part II-Development Team'!L76</f>
        <v>0</v>
      </c>
      <c r="M297" s="2512"/>
      <c r="N297" s="2512"/>
      <c r="O297" s="2512"/>
      <c r="P297" s="2512"/>
      <c r="Q297" s="2512"/>
      <c r="R297" s="2512"/>
      <c r="S297" s="2512"/>
    </row>
    <row r="298" spans="1:19" ht="13.8">
      <c r="A298" s="2506"/>
      <c r="B298" s="2506"/>
      <c r="C298" s="2506"/>
      <c r="D298" s="2506"/>
      <c r="E298" s="2506"/>
      <c r="F298" s="2506"/>
      <c r="G298" s="2506"/>
      <c r="H298" s="2506"/>
      <c r="I298" s="2506"/>
      <c r="J298" s="2506"/>
      <c r="K298" s="2506"/>
      <c r="L298" s="2506"/>
      <c r="M298" s="2506"/>
      <c r="N298" s="2506"/>
      <c r="O298" s="2506"/>
      <c r="P298" s="2506"/>
      <c r="Q298" s="2506"/>
      <c r="R298" s="2506"/>
      <c r="S298" s="2506"/>
    </row>
    <row r="299" spans="1:19" ht="13.8">
      <c r="A299" s="2500" t="s">
        <v>724</v>
      </c>
      <c r="B299" s="2500" t="s">
        <v>280</v>
      </c>
      <c r="C299" s="2500"/>
      <c r="D299" s="2500"/>
      <c r="E299" s="2500"/>
      <c r="F299" s="2500"/>
      <c r="G299" s="2500"/>
      <c r="H299" s="2500"/>
      <c r="I299" s="2500"/>
      <c r="J299" s="2500"/>
      <c r="K299" s="2501" t="s">
        <v>3900</v>
      </c>
      <c r="L299" s="2500"/>
      <c r="M299" s="2500"/>
      <c r="N299" s="2500"/>
      <c r="O299" s="2500"/>
      <c r="P299" s="2500"/>
      <c r="Q299" s="2500"/>
      <c r="R299" s="2500"/>
      <c r="S299" s="2500"/>
    </row>
    <row r="300" spans="1:19" ht="13.8">
      <c r="A300" s="2500"/>
      <c r="B300" s="2500"/>
      <c r="C300" s="2500"/>
      <c r="D300" s="2500"/>
      <c r="E300" s="2500"/>
      <c r="F300" s="2500"/>
      <c r="G300" s="2500"/>
      <c r="H300" s="2516"/>
      <c r="I300" s="2516"/>
      <c r="J300" s="2516"/>
      <c r="K300" s="2499"/>
      <c r="L300" s="2516"/>
      <c r="M300" s="2516"/>
      <c r="N300" s="2499"/>
      <c r="O300" s="2516"/>
      <c r="P300" s="2516"/>
      <c r="Q300" s="2499"/>
      <c r="R300" s="2516"/>
      <c r="S300" s="2516"/>
    </row>
    <row r="301" spans="1:19" ht="13.8">
      <c r="A301" s="2498"/>
      <c r="B301" s="2498" t="s">
        <v>1936</v>
      </c>
      <c r="C301" s="2498" t="s">
        <v>281</v>
      </c>
      <c r="D301" s="2498"/>
      <c r="E301" s="2498"/>
      <c r="F301" s="2498"/>
      <c r="G301" s="2498"/>
      <c r="H301" s="2498">
        <f>'Part II-Development Team'!H80</f>
        <v>0</v>
      </c>
      <c r="I301" s="2506"/>
      <c r="J301" s="2506"/>
      <c r="K301" s="2506"/>
      <c r="L301" s="2506"/>
      <c r="M301" s="2506"/>
      <c r="N301" s="2506"/>
      <c r="O301" s="2500" t="s">
        <v>1942</v>
      </c>
      <c r="P301" s="2500"/>
      <c r="Q301" s="2498">
        <f>'Part II-Development Team'!Q80</f>
        <v>0</v>
      </c>
      <c r="R301" s="2506"/>
      <c r="S301" s="2506"/>
    </row>
    <row r="302" spans="1:19" ht="13.8">
      <c r="A302" s="2498"/>
      <c r="B302" s="2498"/>
      <c r="C302" s="2498"/>
      <c r="D302" s="2523"/>
      <c r="E302" s="2500" t="s">
        <v>999</v>
      </c>
      <c r="F302" s="2502"/>
      <c r="G302" s="2498"/>
      <c r="H302" s="2498">
        <f>'Part II-Development Team'!H81</f>
        <v>0</v>
      </c>
      <c r="I302" s="2506"/>
      <c r="J302" s="2506"/>
      <c r="K302" s="2506"/>
      <c r="L302" s="2506"/>
      <c r="M302" s="2506"/>
      <c r="N302" s="2506"/>
      <c r="O302" s="2500" t="s">
        <v>1704</v>
      </c>
      <c r="P302" s="2498"/>
      <c r="Q302" s="2498">
        <f>'Part II-Development Team'!Q81</f>
        <v>0</v>
      </c>
      <c r="R302" s="2506"/>
      <c r="S302" s="2506"/>
    </row>
    <row r="303" spans="1:19" ht="13.8">
      <c r="A303" s="2498"/>
      <c r="B303" s="2498"/>
      <c r="C303" s="2498"/>
      <c r="D303" s="2523"/>
      <c r="E303" s="2500" t="s">
        <v>600</v>
      </c>
      <c r="F303" s="2498"/>
      <c r="G303" s="2498"/>
      <c r="H303" s="2498">
        <f>'Part II-Development Team'!H82</f>
        <v>0</v>
      </c>
      <c r="I303" s="2506"/>
      <c r="J303" s="2506"/>
      <c r="K303" s="2499" t="s">
        <v>2625</v>
      </c>
      <c r="L303" s="2498">
        <f>'Part II-Development Team'!L82</f>
        <v>0</v>
      </c>
      <c r="M303" s="2506"/>
      <c r="N303" s="2506"/>
      <c r="O303" s="2500" t="s">
        <v>1679</v>
      </c>
      <c r="P303" s="2498"/>
      <c r="Q303" s="2516">
        <f>'Part II-Development Team'!Q82</f>
        <v>0</v>
      </c>
      <c r="R303" s="2516"/>
      <c r="S303" s="2516"/>
    </row>
    <row r="304" spans="1:19" ht="13.8">
      <c r="A304" s="2498"/>
      <c r="B304" s="2498"/>
      <c r="C304" s="2498"/>
      <c r="D304" s="2498"/>
      <c r="E304" s="2500" t="s">
        <v>1754</v>
      </c>
      <c r="F304" s="2498"/>
      <c r="G304" s="2498"/>
      <c r="H304" s="2500">
        <f>'Part II-Development Team'!H83</f>
        <v>0</v>
      </c>
      <c r="I304" s="2498"/>
      <c r="J304" s="2498"/>
      <c r="K304" s="2499" t="s">
        <v>2173</v>
      </c>
      <c r="L304" s="2515">
        <f>'Part II-Development Team'!L83</f>
        <v>0</v>
      </c>
      <c r="M304" s="2506"/>
      <c r="N304" s="2498"/>
      <c r="O304" s="2500" t="s">
        <v>1932</v>
      </c>
      <c r="P304" s="2498"/>
      <c r="Q304" s="2516">
        <f>'Part II-Development Team'!Q83</f>
        <v>0</v>
      </c>
      <c r="R304" s="2516"/>
      <c r="S304" s="2516"/>
    </row>
    <row r="305" spans="1:19" ht="13.8">
      <c r="A305" s="2498"/>
      <c r="B305" s="2498"/>
      <c r="C305" s="2498"/>
      <c r="D305" s="2523"/>
      <c r="E305" s="2500" t="s">
        <v>3901</v>
      </c>
      <c r="F305" s="2498"/>
      <c r="G305" s="2498"/>
      <c r="H305" s="2516">
        <f>'Part II-Development Team'!H84</f>
        <v>0</v>
      </c>
      <c r="I305" s="2516"/>
      <c r="J305" s="2520">
        <f>'Part II-Development Team'!J84</f>
        <v>0</v>
      </c>
      <c r="K305" s="2499" t="s">
        <v>1937</v>
      </c>
      <c r="L305" s="2512">
        <f>'Part II-Development Team'!L84</f>
        <v>0</v>
      </c>
      <c r="M305" s="2512"/>
      <c r="N305" s="2512"/>
      <c r="O305" s="2512"/>
      <c r="P305" s="2512"/>
      <c r="Q305" s="2512"/>
      <c r="R305" s="2512"/>
      <c r="S305" s="2512"/>
    </row>
    <row r="306" spans="1:19" ht="13.8">
      <c r="A306" s="2506"/>
      <c r="B306" s="2506"/>
      <c r="C306" s="2506"/>
      <c r="D306" s="2506"/>
      <c r="E306" s="2506"/>
      <c r="F306" s="2506"/>
      <c r="G306" s="2506"/>
      <c r="H306" s="2516"/>
      <c r="I306" s="2516"/>
      <c r="J306" s="2516"/>
      <c r="K306" s="2499"/>
      <c r="L306" s="2516"/>
      <c r="M306" s="2516"/>
      <c r="N306" s="2499"/>
      <c r="O306" s="2516"/>
      <c r="P306" s="2516"/>
      <c r="Q306" s="2499"/>
      <c r="R306" s="2516"/>
      <c r="S306" s="2516"/>
    </row>
    <row r="307" spans="1:19" ht="13.8">
      <c r="A307" s="2498"/>
      <c r="B307" s="2498" t="s">
        <v>1938</v>
      </c>
      <c r="C307" s="2498" t="s">
        <v>282</v>
      </c>
      <c r="D307" s="2498"/>
      <c r="E307" s="2498"/>
      <c r="F307" s="2498"/>
      <c r="G307" s="2498"/>
      <c r="H307" s="2498" t="str">
        <f>'Part II-Development Team'!H86</f>
        <v>Wolgast Corporation</v>
      </c>
      <c r="I307" s="2506"/>
      <c r="J307" s="2506"/>
      <c r="K307" s="2506"/>
      <c r="L307" s="2506"/>
      <c r="M307" s="2506"/>
      <c r="N307" s="2506"/>
      <c r="O307" s="2500" t="s">
        <v>1942</v>
      </c>
      <c r="P307" s="2500"/>
      <c r="Q307" s="2498" t="str">
        <f>'Part II-Development Team'!Q86</f>
        <v>Brian Stadler</v>
      </c>
      <c r="R307" s="2506"/>
      <c r="S307" s="2506"/>
    </row>
    <row r="308" spans="1:19" ht="13.8">
      <c r="A308" s="2498"/>
      <c r="B308" s="2498"/>
      <c r="C308" s="2498"/>
      <c r="D308" s="2523"/>
      <c r="E308" s="2500" t="s">
        <v>999</v>
      </c>
      <c r="F308" s="2502"/>
      <c r="G308" s="2498"/>
      <c r="H308" s="2498" t="str">
        <f>'Part II-Development Team'!H87</f>
        <v>4835 Towne Centre Road Suite 203</v>
      </c>
      <c r="I308" s="2506"/>
      <c r="J308" s="2506"/>
      <c r="K308" s="2506"/>
      <c r="L308" s="2506"/>
      <c r="M308" s="2506"/>
      <c r="N308" s="2506"/>
      <c r="O308" s="2500" t="s">
        <v>1704</v>
      </c>
      <c r="P308" s="2498"/>
      <c r="Q308" s="2498" t="str">
        <f>'Part II-Development Team'!Q87</f>
        <v>President</v>
      </c>
      <c r="R308" s="2506"/>
      <c r="S308" s="2506"/>
    </row>
    <row r="309" spans="1:19" ht="13.8">
      <c r="A309" s="2498"/>
      <c r="B309" s="2498"/>
      <c r="C309" s="2498"/>
      <c r="D309" s="2523"/>
      <c r="E309" s="2500" t="s">
        <v>600</v>
      </c>
      <c r="F309" s="2498"/>
      <c r="G309" s="2498"/>
      <c r="H309" s="2498" t="str">
        <f>'Part II-Development Team'!H88</f>
        <v>Saginaw</v>
      </c>
      <c r="I309" s="2506"/>
      <c r="J309" s="2506"/>
      <c r="K309" s="2499" t="s">
        <v>2625</v>
      </c>
      <c r="L309" s="2498" t="str">
        <f>'Part II-Development Team'!L88</f>
        <v>www.wolgast.com</v>
      </c>
      <c r="M309" s="2506"/>
      <c r="N309" s="2506"/>
      <c r="O309" s="2500" t="s">
        <v>1679</v>
      </c>
      <c r="P309" s="2498"/>
      <c r="Q309" s="2516">
        <f>'Part II-Development Team'!Q88</f>
        <v>9899219706</v>
      </c>
      <c r="R309" s="2516"/>
      <c r="S309" s="2516"/>
    </row>
    <row r="310" spans="1:19" ht="13.8">
      <c r="A310" s="2498"/>
      <c r="B310" s="2498"/>
      <c r="C310" s="2498"/>
      <c r="D310" s="2498"/>
      <c r="E310" s="2500" t="s">
        <v>1754</v>
      </c>
      <c r="F310" s="2498"/>
      <c r="G310" s="2498"/>
      <c r="H310" s="2500" t="str">
        <f>'Part II-Development Team'!H89</f>
        <v>MI</v>
      </c>
      <c r="I310" s="2498"/>
      <c r="J310" s="2498"/>
      <c r="K310" s="2499" t="s">
        <v>2173</v>
      </c>
      <c r="L310" s="2515">
        <f>'Part II-Development Team'!L89</f>
        <v>486042830</v>
      </c>
      <c r="M310" s="2506"/>
      <c r="N310" s="2498"/>
      <c r="O310" s="2500" t="s">
        <v>1932</v>
      </c>
      <c r="P310" s="2498"/>
      <c r="Q310" s="2516">
        <f>'Part II-Development Team'!Q89</f>
        <v>9892334656</v>
      </c>
      <c r="R310" s="2516"/>
      <c r="S310" s="2516"/>
    </row>
    <row r="311" spans="1:19" ht="13.8">
      <c r="A311" s="2498"/>
      <c r="B311" s="2498"/>
      <c r="C311" s="2498"/>
      <c r="D311" s="2523"/>
      <c r="E311" s="2500" t="s">
        <v>3901</v>
      </c>
      <c r="F311" s="2498"/>
      <c r="G311" s="2498"/>
      <c r="H311" s="2516">
        <f>'Part II-Development Team'!H90</f>
        <v>9899219706</v>
      </c>
      <c r="I311" s="2516"/>
      <c r="J311" s="2520">
        <f>'Part II-Development Team'!J90</f>
        <v>0</v>
      </c>
      <c r="K311" s="2499" t="s">
        <v>1937</v>
      </c>
      <c r="L311" s="2512" t="str">
        <f>'Part II-Development Team'!L90</f>
        <v>brian@wolgast.com</v>
      </c>
      <c r="M311" s="2512"/>
      <c r="N311" s="2512"/>
      <c r="O311" s="2512"/>
      <c r="P311" s="2512"/>
      <c r="Q311" s="2512"/>
      <c r="R311" s="2512"/>
      <c r="S311" s="2512"/>
    </row>
    <row r="312" spans="1:19" ht="13.8">
      <c r="A312" s="2506"/>
      <c r="B312" s="2506"/>
      <c r="C312" s="2506"/>
      <c r="D312" s="2506"/>
      <c r="E312" s="2506"/>
      <c r="F312" s="2506"/>
      <c r="G312" s="2506"/>
      <c r="H312" s="2516"/>
      <c r="I312" s="2516"/>
      <c r="J312" s="2516"/>
      <c r="K312" s="2499"/>
      <c r="L312" s="2516"/>
      <c r="M312" s="2516"/>
      <c r="N312" s="2499"/>
      <c r="O312" s="2516"/>
      <c r="P312" s="2516"/>
      <c r="Q312" s="2499"/>
      <c r="R312" s="2516"/>
      <c r="S312" s="2516"/>
    </row>
    <row r="313" spans="1:19" ht="13.8">
      <c r="A313" s="2498"/>
      <c r="B313" s="2498" t="s">
        <v>731</v>
      </c>
      <c r="C313" s="2498" t="s">
        <v>283</v>
      </c>
      <c r="D313" s="2498"/>
      <c r="E313" s="2498"/>
      <c r="F313" s="2506"/>
      <c r="G313" s="2498"/>
      <c r="H313" s="2498" t="str">
        <f>'Part II-Development Team'!H92</f>
        <v>Gateway Management Company</v>
      </c>
      <c r="I313" s="2506"/>
      <c r="J313" s="2506"/>
      <c r="K313" s="2506"/>
      <c r="L313" s="2506"/>
      <c r="M313" s="2506"/>
      <c r="N313" s="2506"/>
      <c r="O313" s="2500" t="s">
        <v>1942</v>
      </c>
      <c r="P313" s="2500"/>
      <c r="Q313" s="2498" t="str">
        <f>'Part II-Development Team'!Q92</f>
        <v>Randy Fleece</v>
      </c>
      <c r="R313" s="2506"/>
      <c r="S313" s="2506"/>
    </row>
    <row r="314" spans="1:19" ht="13.8">
      <c r="A314" s="2498"/>
      <c r="B314" s="2498"/>
      <c r="C314" s="2498"/>
      <c r="D314" s="2523"/>
      <c r="E314" s="2500" t="s">
        <v>999</v>
      </c>
      <c r="F314" s="2502"/>
      <c r="G314" s="2498"/>
      <c r="H314" s="2498" t="str">
        <f>'Part II-Development Team'!H93</f>
        <v>22 Inverness Center Parkway, Suite 222</v>
      </c>
      <c r="I314" s="2506"/>
      <c r="J314" s="2506"/>
      <c r="K314" s="2506"/>
      <c r="L314" s="2506"/>
      <c r="M314" s="2506"/>
      <c r="N314" s="2506"/>
      <c r="O314" s="2500" t="s">
        <v>1704</v>
      </c>
      <c r="P314" s="2498"/>
      <c r="Q314" s="2498" t="str">
        <f>'Part II-Development Team'!Q93</f>
        <v>President</v>
      </c>
      <c r="R314" s="2506"/>
      <c r="S314" s="2506"/>
    </row>
    <row r="315" spans="1:19" ht="13.8">
      <c r="A315" s="2498"/>
      <c r="B315" s="2498"/>
      <c r="C315" s="2498"/>
      <c r="D315" s="2523"/>
      <c r="E315" s="2500" t="s">
        <v>600</v>
      </c>
      <c r="F315" s="2498"/>
      <c r="G315" s="2498"/>
      <c r="H315" s="2498" t="str">
        <f>'Part II-Development Team'!H94</f>
        <v>Birmingham</v>
      </c>
      <c r="I315" s="2506"/>
      <c r="J315" s="2506"/>
      <c r="K315" s="2499" t="s">
        <v>2625</v>
      </c>
      <c r="L315" s="2498" t="str">
        <f>'Part II-Development Team'!L94</f>
        <v>www.thegatewaycompanies.com/property-management/</v>
      </c>
      <c r="M315" s="2506"/>
      <c r="N315" s="2506"/>
      <c r="O315" s="2500" t="s">
        <v>1679</v>
      </c>
      <c r="P315" s="2498"/>
      <c r="Q315" s="2516">
        <f>'Part II-Development Team'!Q94</f>
        <v>2059803245</v>
      </c>
      <c r="R315" s="2516"/>
      <c r="S315" s="2516"/>
    </row>
    <row r="316" spans="1:19" ht="13.8">
      <c r="A316" s="2498"/>
      <c r="B316" s="2498"/>
      <c r="C316" s="2498"/>
      <c r="D316" s="2523"/>
      <c r="E316" s="2500" t="s">
        <v>1754</v>
      </c>
      <c r="F316" s="2498"/>
      <c r="G316" s="2498"/>
      <c r="H316" s="2500" t="str">
        <f>'Part II-Development Team'!H95</f>
        <v>AL</v>
      </c>
      <c r="I316" s="2498"/>
      <c r="J316" s="2498"/>
      <c r="K316" s="2499" t="s">
        <v>2173</v>
      </c>
      <c r="L316" s="2515">
        <f>'Part II-Development Team'!L95</f>
        <v>352420000</v>
      </c>
      <c r="M316" s="2506"/>
      <c r="N316" s="2498"/>
      <c r="O316" s="2500" t="s">
        <v>1932</v>
      </c>
      <c r="P316" s="2498"/>
      <c r="Q316" s="2516">
        <f>'Part II-Development Team'!Q95</f>
        <v>0</v>
      </c>
      <c r="R316" s="2516"/>
      <c r="S316" s="2516"/>
    </row>
    <row r="317" spans="1:19" ht="13.8">
      <c r="A317" s="2498"/>
      <c r="B317" s="2498"/>
      <c r="C317" s="2498"/>
      <c r="D317" s="2523"/>
      <c r="E317" s="2500" t="s">
        <v>3901</v>
      </c>
      <c r="F317" s="2498"/>
      <c r="G317" s="2498"/>
      <c r="H317" s="2516">
        <f>'Part II-Development Team'!H96</f>
        <v>2059803245</v>
      </c>
      <c r="I317" s="2516"/>
      <c r="J317" s="2520">
        <f>'Part II-Development Team'!J96</f>
        <v>0</v>
      </c>
      <c r="K317" s="2499" t="s">
        <v>1937</v>
      </c>
      <c r="L317" s="2512" t="str">
        <f>'Part II-Development Team'!L96</f>
        <v>rfleece@gatewaymgt.com</v>
      </c>
      <c r="M317" s="2512"/>
      <c r="N317" s="2512"/>
      <c r="O317" s="2512"/>
      <c r="P317" s="2512"/>
      <c r="Q317" s="2512"/>
      <c r="R317" s="2512"/>
      <c r="S317" s="2512"/>
    </row>
    <row r="318" spans="1:19" ht="13.8">
      <c r="A318" s="2506"/>
      <c r="B318" s="2506"/>
      <c r="C318" s="2506"/>
      <c r="D318" s="2506"/>
      <c r="E318" s="2506"/>
      <c r="F318" s="2506"/>
      <c r="G318" s="2506"/>
      <c r="H318" s="2516"/>
      <c r="I318" s="2516"/>
      <c r="J318" s="2516"/>
      <c r="K318" s="2499"/>
      <c r="L318" s="2516"/>
      <c r="M318" s="2516"/>
      <c r="N318" s="2499"/>
      <c r="O318" s="2516"/>
      <c r="P318" s="2516"/>
      <c r="Q318" s="2499"/>
      <c r="R318" s="2516"/>
      <c r="S318" s="2516"/>
    </row>
    <row r="319" spans="1:19" ht="13.8">
      <c r="A319" s="2498"/>
      <c r="B319" s="2498" t="s">
        <v>2065</v>
      </c>
      <c r="C319" s="2498" t="s">
        <v>284</v>
      </c>
      <c r="D319" s="2498"/>
      <c r="E319" s="2498"/>
      <c r="F319" s="2498"/>
      <c r="G319" s="2498"/>
      <c r="H319" s="2498" t="str">
        <f>'Part II-Development Team'!H98</f>
        <v>Coleman Talley</v>
      </c>
      <c r="I319" s="2506"/>
      <c r="J319" s="2506"/>
      <c r="K319" s="2506"/>
      <c r="L319" s="2506"/>
      <c r="M319" s="2506"/>
      <c r="N319" s="2506"/>
      <c r="O319" s="2500" t="s">
        <v>1942</v>
      </c>
      <c r="P319" s="2500"/>
      <c r="Q319" s="2498" t="str">
        <f>'Part II-Development Team'!Q98</f>
        <v>Gregory Q. Clark</v>
      </c>
      <c r="R319" s="2506"/>
      <c r="S319" s="2506"/>
    </row>
    <row r="320" spans="1:19" ht="13.8">
      <c r="A320" s="2498"/>
      <c r="B320" s="2498"/>
      <c r="C320" s="2498"/>
      <c r="D320" s="2523"/>
      <c r="E320" s="2500" t="s">
        <v>999</v>
      </c>
      <c r="F320" s="2502"/>
      <c r="G320" s="2498"/>
      <c r="H320" s="2498" t="str">
        <f>'Part II-Development Team'!H99</f>
        <v>109 South Ashley Street</v>
      </c>
      <c r="I320" s="2506"/>
      <c r="J320" s="2506"/>
      <c r="K320" s="2506"/>
      <c r="L320" s="2506"/>
      <c r="M320" s="2506"/>
      <c r="N320" s="2506"/>
      <c r="O320" s="2500" t="s">
        <v>1704</v>
      </c>
      <c r="P320" s="2498"/>
      <c r="Q320" s="2498" t="str">
        <f>'Part II-Development Team'!Q99</f>
        <v>Partner</v>
      </c>
      <c r="R320" s="2506"/>
      <c r="S320" s="2506"/>
    </row>
    <row r="321" spans="1:19" ht="13.8">
      <c r="A321" s="2498"/>
      <c r="B321" s="2498"/>
      <c r="C321" s="2498"/>
      <c r="D321" s="2523"/>
      <c r="E321" s="2500" t="s">
        <v>600</v>
      </c>
      <c r="F321" s="2498"/>
      <c r="G321" s="2498"/>
      <c r="H321" s="2498" t="str">
        <f>'Part II-Development Team'!H100</f>
        <v>Valdosta</v>
      </c>
      <c r="I321" s="2506"/>
      <c r="J321" s="2506"/>
      <c r="K321" s="2499" t="s">
        <v>2625</v>
      </c>
      <c r="L321" s="2498" t="str">
        <f>'Part II-Development Team'!L100</f>
        <v>www.colemantalley.com</v>
      </c>
      <c r="M321" s="2506"/>
      <c r="N321" s="2506"/>
      <c r="O321" s="2500" t="s">
        <v>1679</v>
      </c>
      <c r="P321" s="2498"/>
      <c r="Q321" s="2516">
        <f>'Part II-Development Team'!Q100</f>
        <v>2296718260</v>
      </c>
      <c r="R321" s="2516"/>
      <c r="S321" s="2516"/>
    </row>
    <row r="322" spans="1:19" ht="13.8">
      <c r="A322" s="2498"/>
      <c r="B322" s="2498"/>
      <c r="C322" s="2498"/>
      <c r="D322" s="2523"/>
      <c r="E322" s="2500" t="s">
        <v>1754</v>
      </c>
      <c r="F322" s="2498"/>
      <c r="G322" s="2498"/>
      <c r="H322" s="2500" t="str">
        <f>'Part II-Development Team'!H101</f>
        <v>GA</v>
      </c>
      <c r="I322" s="2498"/>
      <c r="J322" s="2498"/>
      <c r="K322" s="2499" t="s">
        <v>2173</v>
      </c>
      <c r="L322" s="2515">
        <f>'Part II-Development Team'!L101</f>
        <v>316014531</v>
      </c>
      <c r="M322" s="2506"/>
      <c r="N322" s="2498"/>
      <c r="O322" s="2500" t="s">
        <v>1932</v>
      </c>
      <c r="P322" s="2498"/>
      <c r="Q322" s="2516">
        <f>'Part II-Development Team'!Q101</f>
        <v>2298349704</v>
      </c>
      <c r="R322" s="2516"/>
      <c r="S322" s="2516"/>
    </row>
    <row r="323" spans="1:19" ht="13.8">
      <c r="A323" s="2506"/>
      <c r="B323" s="2506"/>
      <c r="C323" s="2506"/>
      <c r="D323" s="2506"/>
      <c r="E323" s="2500" t="s">
        <v>3901</v>
      </c>
      <c r="F323" s="2498"/>
      <c r="G323" s="2498"/>
      <c r="H323" s="2516">
        <f>'Part II-Development Team'!H102</f>
        <v>2292427562</v>
      </c>
      <c r="I323" s="2516"/>
      <c r="J323" s="2520">
        <f>'Part II-Development Team'!J102</f>
        <v>0</v>
      </c>
      <c r="K323" s="2499" t="s">
        <v>1937</v>
      </c>
      <c r="L323" s="2512" t="str">
        <f>'Part II-Development Team'!L102</f>
        <v>greg.clark@colemantalley.com</v>
      </c>
      <c r="M323" s="2512"/>
      <c r="N323" s="2512"/>
      <c r="O323" s="2512"/>
      <c r="P323" s="2512"/>
      <c r="Q323" s="2512"/>
      <c r="R323" s="2512"/>
      <c r="S323" s="2512"/>
    </row>
    <row r="324" spans="1:19" ht="13.8">
      <c r="A324" s="2506"/>
      <c r="B324" s="2506"/>
      <c r="C324" s="2506"/>
      <c r="D324" s="2506"/>
      <c r="E324" s="2500"/>
      <c r="F324" s="2498"/>
      <c r="G324" s="2498"/>
      <c r="H324" s="2516"/>
      <c r="I324" s="2516"/>
      <c r="J324" s="2516"/>
      <c r="K324" s="2499"/>
      <c r="L324" s="2516"/>
      <c r="M324" s="2516"/>
      <c r="N324" s="2499"/>
      <c r="O324" s="2516"/>
      <c r="P324" s="2516"/>
      <c r="Q324" s="2499"/>
      <c r="R324" s="2516"/>
      <c r="S324" s="2516"/>
    </row>
    <row r="325" spans="1:19" ht="13.8">
      <c r="A325" s="2498"/>
      <c r="B325" s="2498" t="s">
        <v>1692</v>
      </c>
      <c r="C325" s="2498" t="s">
        <v>285</v>
      </c>
      <c r="D325" s="2498"/>
      <c r="E325" s="2498"/>
      <c r="F325" s="2498"/>
      <c r="G325" s="2498"/>
      <c r="H325" s="2498" t="str">
        <f>'Part II-Development Team'!H104</f>
        <v>Tidwell Group</v>
      </c>
      <c r="I325" s="2506"/>
      <c r="J325" s="2506"/>
      <c r="K325" s="2506"/>
      <c r="L325" s="2506"/>
      <c r="M325" s="2506"/>
      <c r="N325" s="2506"/>
      <c r="O325" s="2500" t="s">
        <v>1942</v>
      </c>
      <c r="P325" s="2500"/>
      <c r="Q325" s="2498" t="str">
        <f>'Part II-Development Team'!Q104</f>
        <v>Barry Tidwell</v>
      </c>
      <c r="R325" s="2506"/>
      <c r="S325" s="2506"/>
    </row>
    <row r="326" spans="1:19" ht="13.8">
      <c r="A326" s="2498"/>
      <c r="B326" s="2498"/>
      <c r="C326" s="2498"/>
      <c r="D326" s="2523"/>
      <c r="E326" s="2500" t="s">
        <v>999</v>
      </c>
      <c r="F326" s="2502"/>
      <c r="G326" s="2498"/>
      <c r="H326" s="2498" t="str">
        <f>'Part II-Development Team'!H105</f>
        <v>2001 Park Place North</v>
      </c>
      <c r="I326" s="2506"/>
      <c r="J326" s="2506"/>
      <c r="K326" s="2506"/>
      <c r="L326" s="2506"/>
      <c r="M326" s="2506"/>
      <c r="N326" s="2506"/>
      <c r="O326" s="2500" t="s">
        <v>1704</v>
      </c>
      <c r="P326" s="2498"/>
      <c r="Q326" s="2498" t="str">
        <f>'Part II-Development Team'!Q105</f>
        <v>Managing Member</v>
      </c>
      <c r="R326" s="2506"/>
      <c r="S326" s="2506"/>
    </row>
    <row r="327" spans="1:19" ht="13.8">
      <c r="A327" s="2498"/>
      <c r="B327" s="2498"/>
      <c r="C327" s="2498"/>
      <c r="D327" s="2523"/>
      <c r="E327" s="2500" t="s">
        <v>600</v>
      </c>
      <c r="F327" s="2498"/>
      <c r="G327" s="2498"/>
      <c r="H327" s="2498" t="str">
        <f>'Part II-Development Team'!H106</f>
        <v>Birmingham</v>
      </c>
      <c r="I327" s="2506"/>
      <c r="J327" s="2506"/>
      <c r="K327" s="2499" t="s">
        <v>2625</v>
      </c>
      <c r="L327" s="2498" t="str">
        <f>'Part II-Development Team'!L106</f>
        <v>www.tidwellgroup.com</v>
      </c>
      <c r="M327" s="2506"/>
      <c r="N327" s="2506"/>
      <c r="O327" s="2500" t="s">
        <v>1679</v>
      </c>
      <c r="P327" s="2498"/>
      <c r="Q327" s="2516">
        <f>'Part II-Development Team'!Q106</f>
        <v>0</v>
      </c>
      <c r="R327" s="2516"/>
      <c r="S327" s="2516"/>
    </row>
    <row r="328" spans="1:19" ht="13.8">
      <c r="A328" s="2498"/>
      <c r="B328" s="2498"/>
      <c r="C328" s="2498"/>
      <c r="D328" s="2523"/>
      <c r="E328" s="2500" t="s">
        <v>1754</v>
      </c>
      <c r="F328" s="2498"/>
      <c r="G328" s="2498"/>
      <c r="H328" s="2500" t="str">
        <f>'Part II-Development Team'!H107</f>
        <v>AL</v>
      </c>
      <c r="I328" s="2498"/>
      <c r="J328" s="2498"/>
      <c r="K328" s="2499" t="s">
        <v>2173</v>
      </c>
      <c r="L328" s="2515">
        <f>'Part II-Development Team'!L107</f>
        <v>352044803</v>
      </c>
      <c r="M328" s="2506"/>
      <c r="N328" s="2498"/>
      <c r="O328" s="2500" t="s">
        <v>1932</v>
      </c>
      <c r="P328" s="2498"/>
      <c r="Q328" s="2516">
        <f>'Part II-Development Team'!Q107</f>
        <v>3345461281</v>
      </c>
      <c r="R328" s="2516"/>
      <c r="S328" s="2516"/>
    </row>
    <row r="329" spans="1:19" ht="13.8">
      <c r="A329" s="2506"/>
      <c r="B329" s="2506"/>
      <c r="C329" s="2506"/>
      <c r="D329" s="2506"/>
      <c r="E329" s="2500" t="s">
        <v>3901</v>
      </c>
      <c r="F329" s="2498"/>
      <c r="G329" s="2498"/>
      <c r="H329" s="2516">
        <f>'Part II-Development Team'!H108</f>
        <v>2058221010</v>
      </c>
      <c r="I329" s="2516"/>
      <c r="J329" s="2520">
        <f>'Part II-Development Team'!J108</f>
        <v>0</v>
      </c>
      <c r="K329" s="2499" t="s">
        <v>1937</v>
      </c>
      <c r="L329" s="2512" t="str">
        <f>'Part II-Development Team'!L108</f>
        <v>barry.tidwell@tidwellgroup.com</v>
      </c>
      <c r="M329" s="2512"/>
      <c r="N329" s="2512"/>
      <c r="O329" s="2512"/>
      <c r="P329" s="2512"/>
      <c r="Q329" s="2512"/>
      <c r="R329" s="2512"/>
      <c r="S329" s="2512"/>
    </row>
    <row r="330" spans="1:19" ht="13.8">
      <c r="A330" s="2506"/>
      <c r="B330" s="2506"/>
      <c r="C330" s="2506"/>
      <c r="D330" s="2506"/>
      <c r="E330" s="2500"/>
      <c r="F330" s="2498"/>
      <c r="G330" s="2498"/>
      <c r="H330" s="2516"/>
      <c r="I330" s="2516"/>
      <c r="J330" s="2516"/>
      <c r="K330" s="2499"/>
      <c r="L330" s="2516"/>
      <c r="M330" s="2516"/>
      <c r="N330" s="2499"/>
      <c r="O330" s="2516"/>
      <c r="P330" s="2516"/>
      <c r="Q330" s="2499"/>
      <c r="R330" s="2516"/>
      <c r="S330" s="2516"/>
    </row>
    <row r="331" spans="1:19" ht="13.8">
      <c r="A331" s="2498"/>
      <c r="B331" s="2498" t="s">
        <v>1693</v>
      </c>
      <c r="C331" s="2498" t="s">
        <v>286</v>
      </c>
      <c r="D331" s="2498"/>
      <c r="E331" s="2498"/>
      <c r="F331" s="2498"/>
      <c r="G331" s="2498"/>
      <c r="H331" s="2498" t="str">
        <f>'Part II-Development Team'!H110</f>
        <v>Architettura Inc.</v>
      </c>
      <c r="I331" s="2506"/>
      <c r="J331" s="2506"/>
      <c r="K331" s="2506"/>
      <c r="L331" s="2506"/>
      <c r="M331" s="2506"/>
      <c r="N331" s="2506"/>
      <c r="O331" s="2500" t="s">
        <v>1942</v>
      </c>
      <c r="P331" s="2500"/>
      <c r="Q331" s="2498" t="str">
        <f>'Part II-Development Team'!Q110</f>
        <v>Frank Pollacia</v>
      </c>
      <c r="R331" s="2506"/>
      <c r="S331" s="2506"/>
    </row>
    <row r="332" spans="1:19" ht="13.8">
      <c r="A332" s="2498"/>
      <c r="B332" s="2498"/>
      <c r="C332" s="2498"/>
      <c r="D332" s="2523"/>
      <c r="E332" s="2500" t="s">
        <v>999</v>
      </c>
      <c r="F332" s="2502"/>
      <c r="G332" s="2498"/>
      <c r="H332" s="2498" t="str">
        <f>'Part II-Development Team'!H111</f>
        <v>808 18th Street</v>
      </c>
      <c r="I332" s="2506"/>
      <c r="J332" s="2506"/>
      <c r="K332" s="2506"/>
      <c r="L332" s="2506"/>
      <c r="M332" s="2506"/>
      <c r="N332" s="2506"/>
      <c r="O332" s="2500" t="s">
        <v>1704</v>
      </c>
      <c r="P332" s="2498"/>
      <c r="Q332" s="2498" t="str">
        <f>'Part II-Development Team'!Q111</f>
        <v>Principal</v>
      </c>
      <c r="R332" s="2506"/>
      <c r="S332" s="2506"/>
    </row>
    <row r="333" spans="1:19" ht="13.8">
      <c r="A333" s="2498"/>
      <c r="B333" s="2498"/>
      <c r="C333" s="2498"/>
      <c r="D333" s="2523"/>
      <c r="E333" s="2500" t="s">
        <v>600</v>
      </c>
      <c r="F333" s="2498"/>
      <c r="G333" s="2498"/>
      <c r="H333" s="2498" t="str">
        <f>'Part II-Development Team'!H112</f>
        <v>Plano</v>
      </c>
      <c r="I333" s="2506"/>
      <c r="J333" s="2506"/>
      <c r="K333" s="2499" t="s">
        <v>2625</v>
      </c>
      <c r="L333" s="2498" t="str">
        <f>'Part II-Development Team'!L112</f>
        <v>www.architettura-inc.com</v>
      </c>
      <c r="M333" s="2506"/>
      <c r="N333" s="2506"/>
      <c r="O333" s="2500" t="s">
        <v>1679</v>
      </c>
      <c r="P333" s="2498"/>
      <c r="Q333" s="2516">
        <f>'Part II-Development Team'!Q112</f>
        <v>9725090088</v>
      </c>
      <c r="R333" s="2516"/>
      <c r="S333" s="2516"/>
    </row>
    <row r="334" spans="1:19" ht="13.8">
      <c r="A334" s="2498"/>
      <c r="B334" s="2498"/>
      <c r="C334" s="2498"/>
      <c r="D334" s="2523"/>
      <c r="E334" s="2500" t="s">
        <v>1754</v>
      </c>
      <c r="F334" s="2498"/>
      <c r="G334" s="2498"/>
      <c r="H334" s="2500" t="str">
        <f>'Part II-Development Team'!H113</f>
        <v>TX</v>
      </c>
      <c r="I334" s="2498"/>
      <c r="J334" s="2498"/>
      <c r="K334" s="2499" t="s">
        <v>2173</v>
      </c>
      <c r="L334" s="2515">
        <f>'Part II-Development Team'!L113</f>
        <v>750745829</v>
      </c>
      <c r="M334" s="2506"/>
      <c r="N334" s="2498"/>
      <c r="O334" s="2500" t="s">
        <v>1932</v>
      </c>
      <c r="P334" s="2498"/>
      <c r="Q334" s="2516">
        <f>'Part II-Development Team'!Q113</f>
        <v>9725670445</v>
      </c>
      <c r="R334" s="2516"/>
      <c r="S334" s="2516"/>
    </row>
    <row r="335" spans="1:19" ht="13.8">
      <c r="A335" s="2498"/>
      <c r="B335" s="2498"/>
      <c r="C335" s="2498"/>
      <c r="D335" s="2523"/>
      <c r="E335" s="2500" t="s">
        <v>3901</v>
      </c>
      <c r="F335" s="2498"/>
      <c r="G335" s="2498"/>
      <c r="H335" s="2516">
        <f>'Part II-Development Team'!H114</f>
        <v>9725090088</v>
      </c>
      <c r="I335" s="2516"/>
      <c r="J335" s="2520">
        <f>'Part II-Development Team'!J114</f>
        <v>0</v>
      </c>
      <c r="K335" s="2499" t="s">
        <v>1937</v>
      </c>
      <c r="L335" s="2512" t="str">
        <f>'Part II-Development Team'!L114</f>
        <v>pollacia@architettura.com</v>
      </c>
      <c r="M335" s="2512"/>
      <c r="N335" s="2512"/>
      <c r="O335" s="2512"/>
      <c r="P335" s="2512"/>
      <c r="Q335" s="2512"/>
      <c r="R335" s="2512"/>
      <c r="S335" s="2512"/>
    </row>
    <row r="336" spans="1:19" ht="13.8">
      <c r="A336" s="2506"/>
      <c r="B336" s="2506"/>
      <c r="C336" s="2506"/>
      <c r="D336" s="2506"/>
      <c r="E336" s="2506"/>
      <c r="F336" s="2506"/>
      <c r="G336" s="2506"/>
      <c r="H336" s="2506"/>
      <c r="I336" s="2506"/>
      <c r="J336" s="2506"/>
      <c r="K336" s="2506"/>
      <c r="L336" s="2506"/>
      <c r="M336" s="2506"/>
      <c r="N336" s="2506"/>
      <c r="O336" s="2506"/>
      <c r="P336" s="2506"/>
      <c r="Q336" s="2506"/>
      <c r="R336" s="2506"/>
      <c r="S336" s="2506"/>
    </row>
    <row r="337" spans="1:19" ht="13.8">
      <c r="A337" s="2498" t="s">
        <v>1748</v>
      </c>
      <c r="B337" s="2498" t="s">
        <v>2536</v>
      </c>
      <c r="C337" s="2498"/>
      <c r="D337" s="2498"/>
      <c r="E337" s="2498"/>
      <c r="F337" s="2498"/>
      <c r="G337" s="2499"/>
      <c r="H337" s="2499"/>
      <c r="I337" s="2499"/>
      <c r="J337" s="2499"/>
      <c r="K337" s="2499"/>
      <c r="L337" s="2499"/>
      <c r="M337" s="2499"/>
      <c r="N337" s="2499"/>
      <c r="O337" s="2499"/>
      <c r="P337" s="2499"/>
      <c r="Q337" s="2499"/>
      <c r="R337" s="2498"/>
      <c r="S337" s="2498"/>
    </row>
    <row r="338" spans="1:19" ht="13.8">
      <c r="A338" s="2498"/>
      <c r="B338" s="2498" t="s">
        <v>1936</v>
      </c>
      <c r="C338" s="2498" t="s">
        <v>6845</v>
      </c>
      <c r="D338" s="2498"/>
      <c r="E338" s="2498"/>
      <c r="F338" s="2498"/>
      <c r="G338" s="2498"/>
      <c r="H338" s="2498" t="str">
        <f>'Part II-Development Team'!H117</f>
        <v>Augusta Management Group, LLC</v>
      </c>
      <c r="I338" s="2498"/>
      <c r="J338" s="2498"/>
      <c r="K338" s="2499" t="s">
        <v>2410</v>
      </c>
      <c r="L338" s="2498" t="str">
        <f>'Part II-Development Team'!L117</f>
        <v>Keith Sue-Ling</v>
      </c>
      <c r="M338" s="2506"/>
      <c r="N338" s="2506"/>
      <c r="O338" s="2500" t="s">
        <v>3442</v>
      </c>
      <c r="P338" s="2498"/>
      <c r="Q338" s="2516">
        <f>'Part II-Development Team'!Q117</f>
        <v>0</v>
      </c>
      <c r="R338" s="2516"/>
      <c r="S338" s="2516"/>
    </row>
    <row r="339" spans="1:19" ht="13.8">
      <c r="A339" s="2498"/>
      <c r="B339" s="2498"/>
      <c r="C339" s="2498"/>
      <c r="D339" s="2523"/>
      <c r="E339" s="2500" t="s">
        <v>999</v>
      </c>
      <c r="F339" s="2502"/>
      <c r="G339" s="2498"/>
      <c r="H339" s="2498" t="str">
        <f>'Part II-Development Team'!H118</f>
        <v>PO Box 16501</v>
      </c>
      <c r="I339" s="2506"/>
      <c r="J339" s="2506"/>
      <c r="K339" s="2506"/>
      <c r="L339" s="2506"/>
      <c r="M339" s="2506"/>
      <c r="N339" s="2506"/>
      <c r="O339" s="2500" t="s">
        <v>600</v>
      </c>
      <c r="P339" s="2498"/>
      <c r="Q339" s="2498" t="str">
        <f>'Part II-Development Team'!Q118</f>
        <v>Augusta</v>
      </c>
      <c r="R339" s="2506"/>
      <c r="S339" s="2506"/>
    </row>
    <row r="340" spans="1:19" ht="13.8">
      <c r="A340" s="2498"/>
      <c r="B340" s="2498"/>
      <c r="C340" s="2498"/>
      <c r="D340" s="2523"/>
      <c r="E340" s="2500" t="s">
        <v>1754</v>
      </c>
      <c r="F340" s="2498"/>
      <c r="G340" s="2498"/>
      <c r="H340" s="2500" t="str">
        <f>'Part II-Development Team'!H119</f>
        <v>GA</v>
      </c>
      <c r="I340" s="2499" t="s">
        <v>2173</v>
      </c>
      <c r="J340" s="2515">
        <f>'Part II-Development Team'!J119</f>
        <v>309190000</v>
      </c>
      <c r="K340" s="2506"/>
      <c r="L340" s="2499" t="s">
        <v>1937</v>
      </c>
      <c r="M340" s="2512" t="str">
        <f>'Part II-Development Team'!M119</f>
        <v>keithsueling@aol.com</v>
      </c>
      <c r="N340" s="2512"/>
      <c r="O340" s="2512"/>
      <c r="P340" s="2512"/>
      <c r="Q340" s="2512"/>
      <c r="R340" s="2512"/>
      <c r="S340" s="2512"/>
    </row>
    <row r="341" spans="1:19" ht="13.8">
      <c r="A341" s="2506"/>
      <c r="B341" s="2498" t="s">
        <v>1938</v>
      </c>
      <c r="C341" s="2498" t="s">
        <v>6815</v>
      </c>
      <c r="D341" s="2506"/>
      <c r="E341" s="2506"/>
      <c r="F341" s="2506"/>
      <c r="G341" s="2506"/>
      <c r="H341" s="2496"/>
      <c r="I341" s="2496"/>
      <c r="J341" s="2496"/>
      <c r="K341" s="2496"/>
      <c r="L341" s="2496"/>
      <c r="M341" s="2496"/>
      <c r="N341" s="2496"/>
      <c r="O341" s="2496"/>
      <c r="P341" s="2496"/>
      <c r="Q341" s="2496"/>
      <c r="R341" s="2496"/>
      <c r="S341" s="2496"/>
    </row>
    <row r="342" spans="1:19" ht="13.8" customHeight="1">
      <c r="A342" s="2498" t="s">
        <v>3663</v>
      </c>
      <c r="B342" s="2498"/>
      <c r="C342" s="2498"/>
      <c r="D342" s="2498"/>
      <c r="E342" s="2498"/>
      <c r="F342" s="2499" t="s">
        <v>2444</v>
      </c>
      <c r="G342" s="2498" t="s">
        <v>3358</v>
      </c>
      <c r="H342" s="2498"/>
      <c r="I342" s="2498"/>
      <c r="J342" s="2498"/>
      <c r="K342" s="2498"/>
      <c r="L342" s="2498"/>
      <c r="M342" s="2498"/>
      <c r="N342" s="2498"/>
      <c r="O342" s="2498"/>
      <c r="P342" s="2498"/>
      <c r="Q342" s="2498"/>
      <c r="R342" s="2498"/>
      <c r="S342" s="2498"/>
    </row>
    <row r="343" spans="1:19" ht="13.8" customHeight="1">
      <c r="A343" s="2498"/>
      <c r="B343" s="2496"/>
      <c r="C343" s="2557" t="s">
        <v>1939</v>
      </c>
      <c r="D343" s="2496" t="s">
        <v>2738</v>
      </c>
      <c r="E343" s="2496"/>
      <c r="F343" s="2558" t="str">
        <f>'Part II-Development Team'!F122</f>
        <v>Yes</v>
      </c>
      <c r="G343" s="2559" t="str">
        <f>'Part II-Development Team'!G122</f>
        <v>the owner of Outlook Development LLC is also an employee of Wolgast Corporation</v>
      </c>
      <c r="H343" s="2559"/>
      <c r="I343" s="2559"/>
      <c r="J343" s="2559"/>
      <c r="K343" s="2559"/>
      <c r="L343" s="2559"/>
      <c r="M343" s="2559"/>
      <c r="N343" s="2559"/>
      <c r="O343" s="2559"/>
      <c r="P343" s="2559"/>
      <c r="Q343" s="2559"/>
      <c r="R343" s="2559"/>
      <c r="S343" s="2559"/>
    </row>
    <row r="344" spans="1:19" ht="13.8" customHeight="1">
      <c r="A344" s="2498"/>
      <c r="B344" s="2496"/>
      <c r="C344" s="2557" t="s">
        <v>1941</v>
      </c>
      <c r="D344" s="2496" t="s">
        <v>2799</v>
      </c>
      <c r="E344" s="2496"/>
      <c r="F344" s="2558" t="str">
        <f>'Part II-Development Team'!F123</f>
        <v>No</v>
      </c>
      <c r="G344" s="2559">
        <f>'Part II-Development Team'!G123</f>
        <v>0</v>
      </c>
      <c r="H344" s="2559"/>
      <c r="I344" s="2559"/>
      <c r="J344" s="2559"/>
      <c r="K344" s="2559"/>
      <c r="L344" s="2559"/>
      <c r="M344" s="2559"/>
      <c r="N344" s="2559"/>
      <c r="O344" s="2559"/>
      <c r="P344" s="2559"/>
      <c r="Q344" s="2559"/>
      <c r="R344" s="2559"/>
      <c r="S344" s="2559"/>
    </row>
    <row r="345" spans="1:19" ht="13.8" customHeight="1">
      <c r="A345" s="2498"/>
      <c r="B345" s="2496"/>
      <c r="C345" s="2557" t="s">
        <v>2468</v>
      </c>
      <c r="D345" s="2496" t="s">
        <v>2778</v>
      </c>
      <c r="E345" s="2496"/>
      <c r="F345" s="2558" t="str">
        <f>'Part II-Development Team'!F124</f>
        <v>Yes</v>
      </c>
      <c r="G345" s="2559" t="str">
        <f>'Part II-Development Team'!G124</f>
        <v>the owner of Outlook Housing LLC, which is a member of JPM Decatur GP, LLC, is also an employee of Wolgast Corporation</v>
      </c>
      <c r="H345" s="2559"/>
      <c r="I345" s="2559"/>
      <c r="J345" s="2559"/>
      <c r="K345" s="2559"/>
      <c r="L345" s="2559"/>
      <c r="M345" s="2559"/>
      <c r="N345" s="2559"/>
      <c r="O345" s="2559"/>
      <c r="P345" s="2559"/>
      <c r="Q345" s="2559"/>
      <c r="R345" s="2559"/>
      <c r="S345" s="2559"/>
    </row>
    <row r="346" spans="1:19" ht="13.8" customHeight="1">
      <c r="A346" s="2498"/>
      <c r="B346" s="2496"/>
      <c r="C346" s="2557" t="s">
        <v>1198</v>
      </c>
      <c r="D346" s="2496" t="s">
        <v>2739</v>
      </c>
      <c r="E346" s="2496"/>
      <c r="F346" s="2558" t="str">
        <f>'Part II-Development Team'!F125</f>
        <v>No</v>
      </c>
      <c r="G346" s="2559">
        <f>'Part II-Development Team'!G125</f>
        <v>0</v>
      </c>
      <c r="H346" s="2559"/>
      <c r="I346" s="2559"/>
      <c r="J346" s="2559"/>
      <c r="K346" s="2559"/>
      <c r="L346" s="2559"/>
      <c r="M346" s="2559"/>
      <c r="N346" s="2559"/>
      <c r="O346" s="2559"/>
      <c r="P346" s="2559"/>
      <c r="Q346" s="2559"/>
      <c r="R346" s="2559"/>
      <c r="S346" s="2559"/>
    </row>
    <row r="347" spans="1:19" ht="13.8" customHeight="1">
      <c r="A347" s="2498"/>
      <c r="B347" s="2496"/>
      <c r="C347" s="2557" t="s">
        <v>1199</v>
      </c>
      <c r="D347" s="2496" t="s">
        <v>3349</v>
      </c>
      <c r="E347" s="2496"/>
      <c r="F347" s="2558" t="str">
        <f>'Part II-Development Team'!F126</f>
        <v>No</v>
      </c>
      <c r="G347" s="2559">
        <f>'Part II-Development Team'!G126</f>
        <v>0</v>
      </c>
      <c r="H347" s="2559"/>
      <c r="I347" s="2559"/>
      <c r="J347" s="2559"/>
      <c r="K347" s="2559"/>
      <c r="L347" s="2559"/>
      <c r="M347" s="2559"/>
      <c r="N347" s="2559"/>
      <c r="O347" s="2559"/>
      <c r="P347" s="2559"/>
      <c r="Q347" s="2559"/>
      <c r="R347" s="2559"/>
      <c r="S347" s="2559"/>
    </row>
    <row r="348" spans="1:19" ht="13.8" customHeight="1">
      <c r="A348" s="2498"/>
      <c r="B348" s="2496"/>
      <c r="C348" s="2557" t="s">
        <v>1834</v>
      </c>
      <c r="D348" s="2496" t="s">
        <v>3350</v>
      </c>
      <c r="E348" s="2496"/>
      <c r="F348" s="2558" t="str">
        <f>'Part II-Development Team'!F127</f>
        <v>No</v>
      </c>
      <c r="G348" s="2559">
        <f>'Part II-Development Team'!G127</f>
        <v>0</v>
      </c>
      <c r="H348" s="2559"/>
      <c r="I348" s="2559"/>
      <c r="J348" s="2559"/>
      <c r="K348" s="2559"/>
      <c r="L348" s="2559"/>
      <c r="M348" s="2559"/>
      <c r="N348" s="2559"/>
      <c r="O348" s="2559"/>
      <c r="P348" s="2559"/>
      <c r="Q348" s="2559"/>
      <c r="R348" s="2559"/>
      <c r="S348" s="2559"/>
    </row>
    <row r="349" spans="1:19" ht="13.8" customHeight="1">
      <c r="A349" s="2498"/>
      <c r="B349" s="2496"/>
      <c r="C349" s="2557" t="s">
        <v>492</v>
      </c>
      <c r="D349" s="2496" t="s">
        <v>2740</v>
      </c>
      <c r="E349" s="2496"/>
      <c r="F349" s="2558" t="str">
        <f>'Part II-Development Team'!F128</f>
        <v>No</v>
      </c>
      <c r="G349" s="2559">
        <f>'Part II-Development Team'!G128</f>
        <v>0</v>
      </c>
      <c r="H349" s="2559"/>
      <c r="I349" s="2559"/>
      <c r="J349" s="2559"/>
      <c r="K349" s="2559"/>
      <c r="L349" s="2559"/>
      <c r="M349" s="2559"/>
      <c r="N349" s="2559"/>
      <c r="O349" s="2559"/>
      <c r="P349" s="2559"/>
      <c r="Q349" s="2559"/>
      <c r="R349" s="2559"/>
      <c r="S349" s="2559"/>
    </row>
    <row r="350" spans="1:19" ht="13.8" customHeight="1">
      <c r="A350" s="2498"/>
      <c r="B350" s="2496"/>
      <c r="C350" s="2557" t="s">
        <v>493</v>
      </c>
      <c r="D350" s="2496" t="s">
        <v>4454</v>
      </c>
      <c r="E350" s="2496"/>
      <c r="F350" s="2558" t="str">
        <f>'Part II-Development Team'!F129</f>
        <v>No</v>
      </c>
      <c r="G350" s="2559">
        <f>'Part II-Development Team'!G129</f>
        <v>0</v>
      </c>
      <c r="H350" s="2559"/>
      <c r="I350" s="2559"/>
      <c r="J350" s="2559"/>
      <c r="K350" s="2559"/>
      <c r="L350" s="2559"/>
      <c r="M350" s="2559"/>
      <c r="N350" s="2559"/>
      <c r="O350" s="2559"/>
      <c r="P350" s="2559"/>
      <c r="Q350" s="2559"/>
      <c r="R350" s="2559"/>
      <c r="S350" s="2559"/>
    </row>
    <row r="351" spans="1:19" ht="13.8" customHeight="1">
      <c r="A351" s="2498"/>
      <c r="B351" s="2496"/>
      <c r="C351" s="2557" t="s">
        <v>4453</v>
      </c>
      <c r="D351" s="2496" t="str">
        <f>'Part II-Development Team'!D130</f>
        <v>Other (Indicate here the two roles involved)</v>
      </c>
      <c r="E351" s="2496"/>
      <c r="F351" s="2558" t="str">
        <f>'Part II-Development Team'!F130</f>
        <v>No</v>
      </c>
      <c r="G351" s="2559">
        <f>'Part II-Development Team'!G130</f>
        <v>0</v>
      </c>
      <c r="H351" s="2559"/>
      <c r="I351" s="2559"/>
      <c r="J351" s="2559"/>
      <c r="K351" s="2559"/>
      <c r="L351" s="2559"/>
      <c r="M351" s="2559"/>
      <c r="N351" s="2559"/>
      <c r="O351" s="2559"/>
      <c r="P351" s="2559"/>
      <c r="Q351" s="2559"/>
      <c r="R351" s="2559"/>
      <c r="S351" s="2559"/>
    </row>
    <row r="352" spans="1:19" ht="13.8">
      <c r="A352" s="2498" t="s">
        <v>1748</v>
      </c>
      <c r="B352" s="2498" t="s">
        <v>6914</v>
      </c>
      <c r="C352" s="2498"/>
      <c r="D352" s="2498"/>
      <c r="E352" s="2498"/>
      <c r="F352" s="2498"/>
      <c r="G352" s="2499"/>
      <c r="H352" s="2499"/>
      <c r="I352" s="2499"/>
      <c r="J352" s="2499"/>
      <c r="K352" s="2499"/>
      <c r="L352" s="2499"/>
      <c r="M352" s="2499"/>
      <c r="N352" s="2499"/>
      <c r="O352" s="2499"/>
      <c r="P352" s="2499"/>
      <c r="Q352" s="2499"/>
      <c r="R352" s="2498"/>
      <c r="S352" s="2498"/>
    </row>
    <row r="353" spans="1:19" ht="13.8">
      <c r="A353" s="2498"/>
      <c r="B353" s="2498"/>
      <c r="C353" s="2498"/>
      <c r="D353" s="2498"/>
      <c r="E353" s="2498"/>
      <c r="F353" s="2498"/>
      <c r="G353" s="2499"/>
      <c r="H353" s="2499"/>
      <c r="I353" s="2499"/>
      <c r="J353" s="2499"/>
      <c r="K353" s="2499"/>
      <c r="L353" s="2499"/>
      <c r="M353" s="2499"/>
      <c r="N353" s="2499"/>
      <c r="O353" s="2499"/>
      <c r="P353" s="2499"/>
      <c r="Q353" s="2499"/>
      <c r="R353" s="2498"/>
      <c r="S353" s="2498"/>
    </row>
    <row r="354" spans="1:19" ht="13.8">
      <c r="A354" s="2506"/>
      <c r="B354" s="2498" t="s">
        <v>731</v>
      </c>
      <c r="C354" s="2498" t="s">
        <v>6816</v>
      </c>
      <c r="D354" s="2506"/>
      <c r="E354" s="2506"/>
      <c r="F354" s="2506"/>
      <c r="G354" s="2506"/>
      <c r="H354" s="2506"/>
      <c r="I354" s="2506"/>
      <c r="J354" s="2506"/>
      <c r="K354" s="2506"/>
      <c r="L354" s="2506"/>
      <c r="M354" s="2506"/>
      <c r="N354" s="2506"/>
      <c r="O354" s="2506"/>
      <c r="P354" s="2506"/>
      <c r="Q354" s="2506"/>
      <c r="R354" s="2506"/>
      <c r="S354" s="2506"/>
    </row>
    <row r="355" spans="1:19" ht="13.2" customHeight="1">
      <c r="A355" s="2496" t="s">
        <v>622</v>
      </c>
      <c r="B355" s="2496"/>
      <c r="C355" s="2496"/>
      <c r="D355" s="2496"/>
      <c r="E355" s="2496" t="s">
        <v>3334</v>
      </c>
      <c r="F355" s="2496"/>
      <c r="G355" s="2496"/>
      <c r="H355" s="2496"/>
      <c r="I355" s="2496"/>
      <c r="J355" s="2496" t="s">
        <v>3335</v>
      </c>
      <c r="K355" s="2496" t="s">
        <v>6846</v>
      </c>
      <c r="L355" s="2496" t="s">
        <v>6847</v>
      </c>
      <c r="M355" s="2496" t="s">
        <v>6848</v>
      </c>
      <c r="N355" s="2496"/>
      <c r="O355" s="2496"/>
      <c r="P355" s="2496"/>
      <c r="Q355" s="2496"/>
      <c r="R355" s="2496"/>
      <c r="S355" s="2496"/>
    </row>
    <row r="356" spans="1:19" ht="13.2" customHeight="1">
      <c r="A356" s="2496"/>
      <c r="B356" s="2496"/>
      <c r="C356" s="2496"/>
      <c r="D356" s="2496"/>
      <c r="E356" s="2496"/>
      <c r="F356" s="2496"/>
      <c r="G356" s="2496"/>
      <c r="H356" s="2496"/>
      <c r="I356" s="2496"/>
      <c r="J356" s="2496"/>
      <c r="K356" s="2496"/>
      <c r="L356" s="2496"/>
      <c r="M356" s="2496"/>
      <c r="N356" s="2496"/>
      <c r="O356" s="2496"/>
      <c r="P356" s="2496"/>
      <c r="Q356" s="2496"/>
      <c r="R356" s="2496"/>
      <c r="S356" s="2496"/>
    </row>
    <row r="357" spans="1:19" ht="13.2" customHeight="1">
      <c r="A357" s="2496"/>
      <c r="B357" s="2496"/>
      <c r="C357" s="2496"/>
      <c r="D357" s="2496"/>
      <c r="E357" s="2496"/>
      <c r="F357" s="2496"/>
      <c r="G357" s="2496"/>
      <c r="H357" s="2496"/>
      <c r="I357" s="2496"/>
      <c r="J357" s="2496"/>
      <c r="K357" s="2496"/>
      <c r="L357" s="2496"/>
      <c r="M357" s="2496"/>
      <c r="N357" s="2496"/>
      <c r="O357" s="2496"/>
      <c r="P357" s="2496"/>
      <c r="Q357" s="2496"/>
      <c r="R357" s="2496"/>
      <c r="S357" s="2496"/>
    </row>
    <row r="358" spans="1:19" ht="13.8" customHeight="1">
      <c r="A358" s="2496"/>
      <c r="B358" s="2496"/>
      <c r="C358" s="2496"/>
      <c r="D358" s="2496"/>
      <c r="E358" s="2531" t="s">
        <v>6889</v>
      </c>
      <c r="F358" s="2531"/>
      <c r="G358" s="2531"/>
      <c r="H358" s="2531"/>
      <c r="I358" s="2496"/>
      <c r="J358" s="2496"/>
      <c r="K358" s="2496"/>
      <c r="L358" s="2496"/>
      <c r="M358" s="2496"/>
      <c r="N358" s="2496"/>
      <c r="O358" s="2496"/>
      <c r="P358" s="2496"/>
      <c r="Q358" s="2496"/>
      <c r="R358" s="2496"/>
      <c r="S358" s="2496"/>
    </row>
    <row r="359" spans="1:19" ht="13.8">
      <c r="A359" s="2496"/>
      <c r="B359" s="2496"/>
      <c r="C359" s="2496"/>
      <c r="D359" s="2496"/>
      <c r="E359" s="2531"/>
      <c r="F359" s="2531"/>
      <c r="G359" s="2531"/>
      <c r="H359" s="2531"/>
      <c r="I359" s="2558" t="s">
        <v>2444</v>
      </c>
      <c r="J359" s="2496"/>
      <c r="K359" s="2496"/>
      <c r="L359" s="2496"/>
      <c r="M359" s="2520" t="s">
        <v>2444</v>
      </c>
      <c r="N359" s="2506" t="s">
        <v>2804</v>
      </c>
      <c r="O359" s="2506"/>
      <c r="P359" s="2506"/>
      <c r="Q359" s="2506"/>
      <c r="R359" s="2506"/>
      <c r="S359" s="2506"/>
    </row>
    <row r="360" spans="1:19" ht="13.8" customHeight="1">
      <c r="A360" s="2524" t="s">
        <v>3329</v>
      </c>
      <c r="B360" s="2524"/>
      <c r="C360" s="2524"/>
      <c r="D360" s="2524"/>
      <c r="E360" s="2559" t="str">
        <f>'Part II-Development Team'!E139</f>
        <v>JPM Lakeview Terrace GP, LLC</v>
      </c>
      <c r="F360" s="2559"/>
      <c r="G360" s="2559"/>
      <c r="H360" s="2559"/>
      <c r="I360" s="2558" t="str">
        <f>'Part II-Development Team'!I139</f>
        <v>No</v>
      </c>
      <c r="J360" s="2558" t="str">
        <f>'Part II-Development Team'!J139</f>
        <v>No</v>
      </c>
      <c r="K360" s="2560" t="str">
        <f>'Part II-Development Team'!K139</f>
        <v>For Profit</v>
      </c>
      <c r="L360" s="2561">
        <f>'Part II-Development Team'!L139</f>
        <v>4.0000000000000003E-5</v>
      </c>
      <c r="M360" s="2558" t="str">
        <f>'Part II-Development Team'!M139</f>
        <v>Yes</v>
      </c>
      <c r="N360" s="2559" t="str">
        <f>'Part II-Development Team'!N139</f>
        <v>See comments and clarifications below</v>
      </c>
      <c r="O360" s="2559"/>
      <c r="P360" s="2559"/>
      <c r="Q360" s="2559"/>
      <c r="R360" s="2559"/>
      <c r="S360" s="2559"/>
    </row>
    <row r="361" spans="1:19" ht="13.8" customHeight="1">
      <c r="A361" s="2524" t="s">
        <v>3330</v>
      </c>
      <c r="B361" s="2524"/>
      <c r="C361" s="2524"/>
      <c r="D361" s="2524"/>
      <c r="E361" s="2559" t="str">
        <f>'Part II-Development Team'!E140</f>
        <v>Lakeview Terrace GP, LLC</v>
      </c>
      <c r="F361" s="2559"/>
      <c r="G361" s="2559"/>
      <c r="H361" s="2559"/>
      <c r="I361" s="2558" t="str">
        <f>'Part II-Development Team'!I140</f>
        <v>No</v>
      </c>
      <c r="J361" s="2558" t="str">
        <f>'Part II-Development Team'!J140</f>
        <v>No</v>
      </c>
      <c r="K361" s="2560" t="str">
        <f>'Part II-Development Team'!K140</f>
        <v>For Profit</v>
      </c>
      <c r="L361" s="2561">
        <f>'Part II-Development Team'!L140</f>
        <v>6.0000000000000002E-5</v>
      </c>
      <c r="M361" s="2558" t="str">
        <f>'Part II-Development Team'!M140</f>
        <v>Yes</v>
      </c>
      <c r="N361" s="2559" t="str">
        <f>'Part II-Development Team'!N140</f>
        <v>See comments and clarifications below</v>
      </c>
      <c r="O361" s="2559"/>
      <c r="P361" s="2559"/>
      <c r="Q361" s="2559"/>
      <c r="R361" s="2559"/>
      <c r="S361" s="2559"/>
    </row>
    <row r="362" spans="1:19" ht="13.8" customHeight="1">
      <c r="A362" s="2524" t="s">
        <v>3331</v>
      </c>
      <c r="B362" s="2524"/>
      <c r="C362" s="2524"/>
      <c r="D362" s="2524"/>
      <c r="E362" s="2559">
        <f>'Part II-Development Team'!E141</f>
        <v>0</v>
      </c>
      <c r="F362" s="2559"/>
      <c r="G362" s="2559"/>
      <c r="H362" s="2559"/>
      <c r="I362" s="2558" t="str">
        <f>'Part II-Development Team'!I141</f>
        <v>Select</v>
      </c>
      <c r="J362" s="2558" t="str">
        <f>'Part II-Development Team'!J141</f>
        <v>Select</v>
      </c>
      <c r="K362" s="2560">
        <f>'Part II-Development Team'!K141</f>
        <v>0</v>
      </c>
      <c r="L362" s="2561">
        <f>'Part II-Development Team'!L141</f>
        <v>0</v>
      </c>
      <c r="M362" s="2558" t="str">
        <f>'Part II-Development Team'!M141</f>
        <v>Select</v>
      </c>
      <c r="N362" s="2559">
        <f>'Part II-Development Team'!N141</f>
        <v>0</v>
      </c>
      <c r="O362" s="2559"/>
      <c r="P362" s="2559"/>
      <c r="Q362" s="2559"/>
      <c r="R362" s="2559"/>
      <c r="S362" s="2559"/>
    </row>
    <row r="363" spans="1:19" ht="13.8" customHeight="1">
      <c r="A363" s="2524" t="s">
        <v>3332</v>
      </c>
      <c r="B363" s="2524"/>
      <c r="C363" s="2524"/>
      <c r="D363" s="2524"/>
      <c r="E363" s="2559" t="str">
        <f>'Part II-Development Team'!E142</f>
        <v>Monarch Private Capital, LLC</v>
      </c>
      <c r="F363" s="2559"/>
      <c r="G363" s="2559"/>
      <c r="H363" s="2559"/>
      <c r="I363" s="2558" t="str">
        <f>'Part II-Development Team'!I142</f>
        <v>No</v>
      </c>
      <c r="J363" s="2558" t="str">
        <f>'Part II-Development Team'!J142</f>
        <v>No</v>
      </c>
      <c r="K363" s="2560" t="str">
        <f>'Part II-Development Team'!K142</f>
        <v>For Profit</v>
      </c>
      <c r="L363" s="2561">
        <f>'Part II-Development Team'!L142</f>
        <v>0.9899</v>
      </c>
      <c r="M363" s="2558" t="str">
        <f>'Part II-Development Team'!M142</f>
        <v>No</v>
      </c>
      <c r="N363" s="2559">
        <f>'Part II-Development Team'!N142</f>
        <v>0</v>
      </c>
      <c r="O363" s="2559"/>
      <c r="P363" s="2559"/>
      <c r="Q363" s="2559"/>
      <c r="R363" s="2559"/>
      <c r="S363" s="2559"/>
    </row>
    <row r="364" spans="1:19" ht="13.8" customHeight="1">
      <c r="A364" s="2524" t="s">
        <v>3333</v>
      </c>
      <c r="B364" s="2524"/>
      <c r="C364" s="2524"/>
      <c r="D364" s="2524"/>
      <c r="E364" s="2559" t="str">
        <f>'Part II-Development Team'!E143</f>
        <v>Monarch Private Capital, LLC</v>
      </c>
      <c r="F364" s="2559"/>
      <c r="G364" s="2559"/>
      <c r="H364" s="2559"/>
      <c r="I364" s="2558" t="str">
        <f>'Part II-Development Team'!I143</f>
        <v>No</v>
      </c>
      <c r="J364" s="2558" t="str">
        <f>'Part II-Development Team'!J143</f>
        <v>No</v>
      </c>
      <c r="K364" s="2560" t="str">
        <f>'Part II-Development Team'!K143</f>
        <v>For Profit</v>
      </c>
      <c r="L364" s="2561">
        <f>'Part II-Development Team'!L143</f>
        <v>0.01</v>
      </c>
      <c r="M364" s="2558" t="str">
        <f>'Part II-Development Team'!M143</f>
        <v>Select</v>
      </c>
      <c r="N364" s="2559">
        <f>'Part II-Development Team'!N143</f>
        <v>0</v>
      </c>
      <c r="O364" s="2559"/>
      <c r="P364" s="2559"/>
      <c r="Q364" s="2559"/>
      <c r="R364" s="2559"/>
      <c r="S364" s="2559"/>
    </row>
    <row r="365" spans="1:19" ht="13.8" customHeight="1">
      <c r="A365" s="2524" t="s">
        <v>2793</v>
      </c>
      <c r="B365" s="2524"/>
      <c r="C365" s="2524"/>
      <c r="D365" s="2524"/>
      <c r="E365" s="2559">
        <f>'Part II-Development Team'!E144</f>
        <v>0</v>
      </c>
      <c r="F365" s="2559"/>
      <c r="G365" s="2559"/>
      <c r="H365" s="2559"/>
      <c r="I365" s="2558" t="str">
        <f>'Part II-Development Team'!I144</f>
        <v>Select</v>
      </c>
      <c r="J365" s="2558" t="str">
        <f>'Part II-Development Team'!J144</f>
        <v>Select</v>
      </c>
      <c r="K365" s="2560">
        <f>'Part II-Development Team'!K144</f>
        <v>0</v>
      </c>
      <c r="L365" s="2561">
        <f>'Part II-Development Team'!L144</f>
        <v>0</v>
      </c>
      <c r="M365" s="2558" t="str">
        <f>'Part II-Development Team'!M144</f>
        <v>Select</v>
      </c>
      <c r="N365" s="2559">
        <f>'Part II-Development Team'!N144</f>
        <v>0</v>
      </c>
      <c r="O365" s="2559"/>
      <c r="P365" s="2559"/>
      <c r="Q365" s="2559"/>
      <c r="R365" s="2559"/>
      <c r="S365" s="2559"/>
    </row>
    <row r="366" spans="1:19" ht="13.8">
      <c r="A366" s="2524" t="s">
        <v>635</v>
      </c>
      <c r="B366" s="2524"/>
      <c r="C366" s="2524"/>
      <c r="D366" s="2524"/>
      <c r="E366" s="2559" t="str">
        <f>'Part II-Development Team'!E145</f>
        <v>Parent Development, LLC</v>
      </c>
      <c r="F366" s="2559"/>
      <c r="G366" s="2559"/>
      <c r="H366" s="2559"/>
      <c r="I366" s="2558" t="str">
        <f>'Part II-Development Team'!I145</f>
        <v>No</v>
      </c>
      <c r="J366" s="2558" t="str">
        <f>'Part II-Development Team'!J145</f>
        <v>No</v>
      </c>
      <c r="K366" s="2560" t="str">
        <f>'Part II-Development Team'!K145</f>
        <v>For Profit</v>
      </c>
      <c r="L366" s="2561">
        <f>'Part II-Development Team'!L145</f>
        <v>0</v>
      </c>
      <c r="M366" s="2558" t="str">
        <f>'Part II-Development Team'!M145</f>
        <v>Yes</v>
      </c>
      <c r="N366" s="2559" t="str">
        <f>'Part II-Development Team'!N145</f>
        <v>See comments and clarifications below</v>
      </c>
      <c r="O366" s="2559"/>
      <c r="P366" s="2559"/>
      <c r="Q366" s="2559"/>
      <c r="R366" s="2559"/>
      <c r="S366" s="2559"/>
    </row>
    <row r="367" spans="1:19" ht="13.8" customHeight="1">
      <c r="A367" s="2524" t="s">
        <v>2794</v>
      </c>
      <c r="B367" s="2524"/>
      <c r="C367" s="2524"/>
      <c r="D367" s="2524"/>
      <c r="E367" s="2559" t="str">
        <f>'Part II-Development Team'!E146</f>
        <v>Outlook Development, LLC</v>
      </c>
      <c r="F367" s="2559"/>
      <c r="G367" s="2559"/>
      <c r="H367" s="2559"/>
      <c r="I367" s="2558" t="str">
        <f>'Part II-Development Team'!I146</f>
        <v>No</v>
      </c>
      <c r="J367" s="2558" t="str">
        <f>'Part II-Development Team'!J146</f>
        <v>No</v>
      </c>
      <c r="K367" s="2560" t="str">
        <f>'Part II-Development Team'!K146</f>
        <v>For Profit</v>
      </c>
      <c r="L367" s="2561">
        <f>'Part II-Development Team'!L146</f>
        <v>0</v>
      </c>
      <c r="M367" s="2558" t="str">
        <f>'Part II-Development Team'!M146</f>
        <v>Yes</v>
      </c>
      <c r="N367" s="2559" t="str">
        <f>'Part II-Development Team'!N146</f>
        <v>See comments and clarifications below</v>
      </c>
      <c r="O367" s="2559"/>
      <c r="P367" s="2559"/>
      <c r="Q367" s="2559"/>
      <c r="R367" s="2559"/>
      <c r="S367" s="2559"/>
    </row>
    <row r="368" spans="1:19" ht="13.8" customHeight="1">
      <c r="A368" s="2524" t="s">
        <v>2795</v>
      </c>
      <c r="B368" s="2524"/>
      <c r="C368" s="2524"/>
      <c r="D368" s="2524"/>
      <c r="E368" s="2559" t="str">
        <f>'Part II-Development Team'!E147</f>
        <v>Timshel Hill Tide Developers, LLC</v>
      </c>
      <c r="F368" s="2559"/>
      <c r="G368" s="2559"/>
      <c r="H368" s="2559"/>
      <c r="I368" s="2558" t="str">
        <f>'Part II-Development Team'!I147</f>
        <v>No</v>
      </c>
      <c r="J368" s="2558" t="str">
        <f>'Part II-Development Team'!J147</f>
        <v>No</v>
      </c>
      <c r="K368" s="2560" t="str">
        <f>'Part II-Development Team'!K147</f>
        <v>For Profit</v>
      </c>
      <c r="L368" s="2561">
        <f>'Part II-Development Team'!L147</f>
        <v>0</v>
      </c>
      <c r="M368" s="2558" t="str">
        <f>'Part II-Development Team'!M147</f>
        <v>Yes</v>
      </c>
      <c r="N368" s="2559" t="str">
        <f>'Part II-Development Team'!N147</f>
        <v>See comments and clarifications below</v>
      </c>
      <c r="O368" s="2559"/>
      <c r="P368" s="2559"/>
      <c r="Q368" s="2559"/>
      <c r="R368" s="2559"/>
      <c r="S368" s="2559"/>
    </row>
    <row r="369" spans="1:20" ht="13.8" customHeight="1">
      <c r="A369" s="2524" t="s">
        <v>2797</v>
      </c>
      <c r="B369" s="2524"/>
      <c r="C369" s="2524"/>
      <c r="D369" s="2524"/>
      <c r="E369" s="2559">
        <f>'Part II-Development Team'!E148</f>
        <v>0</v>
      </c>
      <c r="F369" s="2559"/>
      <c r="G369" s="2559"/>
      <c r="H369" s="2559"/>
      <c r="I369" s="2558" t="str">
        <f>'Part II-Development Team'!I148</f>
        <v>Select</v>
      </c>
      <c r="J369" s="2558" t="str">
        <f>'Part II-Development Team'!J148</f>
        <v>Select</v>
      </c>
      <c r="K369" s="2560">
        <f>'Part II-Development Team'!K148</f>
        <v>0</v>
      </c>
      <c r="L369" s="2561">
        <f>'Part II-Development Team'!L148</f>
        <v>0</v>
      </c>
      <c r="M369" s="2558" t="str">
        <f>'Part II-Development Team'!M148</f>
        <v>Select</v>
      </c>
      <c r="N369" s="2559">
        <f>'Part II-Development Team'!N148</f>
        <v>0</v>
      </c>
      <c r="O369" s="2559"/>
      <c r="P369" s="2559"/>
      <c r="Q369" s="2559"/>
      <c r="R369" s="2559"/>
      <c r="S369" s="2559"/>
    </row>
    <row r="370" spans="1:20" ht="13.8" customHeight="1">
      <c r="A370" s="2524" t="s">
        <v>2796</v>
      </c>
      <c r="B370" s="2524"/>
      <c r="C370" s="2524"/>
      <c r="D370" s="2524"/>
      <c r="E370" s="2559">
        <f>'Part II-Development Team'!E149</f>
        <v>0</v>
      </c>
      <c r="F370" s="2559"/>
      <c r="G370" s="2559"/>
      <c r="H370" s="2559"/>
      <c r="I370" s="2558" t="str">
        <f>'Part II-Development Team'!I149</f>
        <v>Select</v>
      </c>
      <c r="J370" s="2558" t="str">
        <f>'Part II-Development Team'!J149</f>
        <v>Select</v>
      </c>
      <c r="K370" s="2560">
        <f>'Part II-Development Team'!K149</f>
        <v>0</v>
      </c>
      <c r="L370" s="2561">
        <f>'Part II-Development Team'!L149</f>
        <v>0</v>
      </c>
      <c r="M370" s="2558" t="str">
        <f>'Part II-Development Team'!M149</f>
        <v>Select</v>
      </c>
      <c r="N370" s="2559">
        <f>'Part II-Development Team'!N149</f>
        <v>0</v>
      </c>
      <c r="O370" s="2559"/>
      <c r="P370" s="2559"/>
      <c r="Q370" s="2559"/>
      <c r="R370" s="2559"/>
      <c r="S370" s="2559"/>
    </row>
    <row r="371" spans="1:20" ht="13.8">
      <c r="A371" s="2524" t="s">
        <v>1497</v>
      </c>
      <c r="B371" s="2524"/>
      <c r="C371" s="2524"/>
      <c r="D371" s="2524"/>
      <c r="E371" s="2559" t="str">
        <f>'Part II-Development Team'!E150</f>
        <v>Wolgast Corporation</v>
      </c>
      <c r="F371" s="2559"/>
      <c r="G371" s="2559"/>
      <c r="H371" s="2559"/>
      <c r="I371" s="2558" t="str">
        <f>'Part II-Development Team'!I150</f>
        <v>No</v>
      </c>
      <c r="J371" s="2558" t="str">
        <f>'Part II-Development Team'!J150</f>
        <v>No</v>
      </c>
      <c r="K371" s="2560" t="str">
        <f>'Part II-Development Team'!K150</f>
        <v>For Profit</v>
      </c>
      <c r="L371" s="2561">
        <f>'Part II-Development Team'!L150</f>
        <v>0</v>
      </c>
      <c r="M371" s="2558" t="str">
        <f>'Part II-Development Team'!M150</f>
        <v>Yes</v>
      </c>
      <c r="N371" s="2559" t="str">
        <f>'Part II-Development Team'!N150</f>
        <v>See comments and clarifications below</v>
      </c>
      <c r="O371" s="2559"/>
      <c r="P371" s="2559"/>
      <c r="Q371" s="2559"/>
      <c r="R371" s="2559"/>
      <c r="S371" s="2559"/>
    </row>
    <row r="372" spans="1:20" ht="13.8" customHeight="1">
      <c r="A372" s="2524" t="s">
        <v>2798</v>
      </c>
      <c r="B372" s="2524"/>
      <c r="C372" s="2524"/>
      <c r="D372" s="2524"/>
      <c r="E372" s="2559" t="str">
        <f>'Part II-Development Team'!E151</f>
        <v>Gateway Management Company</v>
      </c>
      <c r="F372" s="2559"/>
      <c r="G372" s="2559"/>
      <c r="H372" s="2559"/>
      <c r="I372" s="2558" t="str">
        <f>'Part II-Development Team'!I151</f>
        <v>No</v>
      </c>
      <c r="J372" s="2558" t="str">
        <f>'Part II-Development Team'!J151</f>
        <v>No</v>
      </c>
      <c r="K372" s="2560" t="str">
        <f>'Part II-Development Team'!K151</f>
        <v>For Profit</v>
      </c>
      <c r="L372" s="2561">
        <f>'Part II-Development Team'!L151</f>
        <v>0</v>
      </c>
      <c r="M372" s="2558" t="str">
        <f>'Part II-Development Team'!M151</f>
        <v>No</v>
      </c>
      <c r="N372" s="2559">
        <f>'Part II-Development Team'!N151</f>
        <v>0</v>
      </c>
      <c r="O372" s="2559"/>
      <c r="P372" s="2559"/>
      <c r="Q372" s="2559"/>
      <c r="R372" s="2559"/>
      <c r="S372" s="2559"/>
    </row>
    <row r="373" spans="1:20" ht="13.8">
      <c r="A373" s="2498"/>
      <c r="B373" s="2498"/>
      <c r="C373" s="2498"/>
      <c r="D373" s="2498"/>
      <c r="E373" s="2498"/>
      <c r="F373" s="2498"/>
      <c r="G373" s="2498"/>
      <c r="H373" s="2498"/>
      <c r="I373" s="2498"/>
      <c r="J373" s="2499"/>
      <c r="K373" s="2538" t="s">
        <v>524</v>
      </c>
      <c r="L373" s="2562">
        <f>SUM(L360:L372)</f>
        <v>1</v>
      </c>
      <c r="M373" s="2499"/>
      <c r="N373" s="2498"/>
      <c r="O373" s="2498"/>
      <c r="P373" s="2506"/>
      <c r="Q373" s="2498"/>
      <c r="R373" s="2498"/>
      <c r="S373" s="2498"/>
    </row>
    <row r="374" spans="1:20" ht="13.8">
      <c r="A374" s="2506" t="s">
        <v>516</v>
      </c>
      <c r="B374" s="2506"/>
      <c r="C374" s="2506" t="s">
        <v>555</v>
      </c>
      <c r="D374" s="2506"/>
      <c r="E374" s="2506"/>
      <c r="F374" s="2506"/>
      <c r="G374" s="2506"/>
      <c r="H374" s="2506"/>
      <c r="I374" s="2506"/>
      <c r="J374" s="2506"/>
      <c r="K374" s="2506"/>
      <c r="L374" s="2506"/>
      <c r="M374" s="2506"/>
      <c r="N374" s="2506" t="s">
        <v>516</v>
      </c>
      <c r="O374" s="2506" t="s">
        <v>77</v>
      </c>
      <c r="P374" s="2506"/>
      <c r="Q374" s="2506"/>
      <c r="R374" s="2506"/>
      <c r="S374" s="2506"/>
    </row>
    <row r="375" spans="1:20">
      <c r="A375" s="2524" t="str">
        <f>'Part II-Development Team'!A154</f>
        <v>Parent Development, LLC, the project's Certifying Developer, is owned 100% by Brian Parent. Brian Parent is also 100% owner of Parent GP, LLC which is a member of the Managing GP.  Outlook Development, LLC, a project Co-Developer, is owned 100% by Brian Stadler.  Brian Stadler is also 100% owner of Outlook Housing, LLC, which is a member of the Managing GP.  Brian Stadler is also an emploee of Wolgast Corporation, the Contractor.  Timshel Partners, LLC, a project Co-Developer, is owned equally by Todd M. Wind and Brian B. Waterfield, its Managers. Todd M. Wind and Brian B. Waterfield are also managers of the Other General Partner. Hill Tide Development, LLC, a project Co-Developer, is owned equally by Robert Long and Daniel Winters, Jr., its Managers. Robert Long and Daniel Winters, Jr. are also members of the Other General Partner.</v>
      </c>
      <c r="B375" s="2524"/>
      <c r="C375" s="2524"/>
      <c r="D375" s="2524"/>
      <c r="E375" s="2524"/>
      <c r="F375" s="2524"/>
      <c r="G375" s="2524"/>
      <c r="H375" s="2524"/>
      <c r="I375" s="2524"/>
      <c r="J375" s="2524"/>
      <c r="K375" s="2524"/>
      <c r="L375" s="2524"/>
      <c r="M375" s="2524"/>
      <c r="N375" s="2524">
        <f>'Part II-Development Team'!N154</f>
        <v>0</v>
      </c>
      <c r="O375" s="2524"/>
      <c r="P375" s="2524"/>
      <c r="Q375" s="2524"/>
      <c r="R375" s="2524"/>
      <c r="S375" s="2524"/>
    </row>
    <row r="380" spans="1:20" ht="13.8">
      <c r="A380" s="2498" t="str">
        <f>CONCATENATE("PART THREE - SOURCES OF FUNDS","  -  ",'Part I-Project Information'!$O$6," ",'Part I-Project Information'!$F$34,", ",'Part I-Project Information'!$F$38,", ",'Part I-Project Information'!$J$39," County")</f>
        <v>PART THREE - SOURCES OF FUNDS  -  2020-5 Lakeview Terrace, Augusta, Richmond County</v>
      </c>
      <c r="B380" s="2498"/>
      <c r="C380" s="2498"/>
      <c r="D380" s="2498"/>
      <c r="E380" s="2498"/>
      <c r="F380" s="2498"/>
      <c r="G380" s="2498"/>
      <c r="H380" s="2498"/>
      <c r="I380" s="2498"/>
      <c r="J380" s="2498"/>
      <c r="K380" s="2498"/>
      <c r="L380" s="2498"/>
      <c r="M380" s="2498"/>
      <c r="N380" s="2498"/>
      <c r="O380" s="2498"/>
      <c r="P380" s="2498"/>
      <c r="Q380" s="2498"/>
      <c r="R380" s="2509"/>
      <c r="S380" s="2509" t="str">
        <f>$A$1</f>
        <v>Project Narrative</v>
      </c>
      <c r="T380" s="2509"/>
    </row>
    <row r="381" spans="1:20" ht="13.8">
      <c r="A381" s="2506"/>
      <c r="B381" s="2506"/>
      <c r="C381" s="2506"/>
      <c r="D381" s="2506"/>
      <c r="E381" s="2506"/>
      <c r="F381" s="2506"/>
      <c r="G381" s="2408"/>
      <c r="H381" s="2408"/>
      <c r="I381" s="2408"/>
      <c r="J381" s="2408"/>
      <c r="K381" s="2408"/>
      <c r="L381" s="2408"/>
      <c r="M381" s="2552"/>
      <c r="N381" s="2552"/>
      <c r="O381" s="2552"/>
      <c r="P381" s="2552"/>
      <c r="Q381" s="2552"/>
      <c r="R381" s="2552"/>
      <c r="S381" s="2552"/>
      <c r="T381" s="2552"/>
    </row>
    <row r="382" spans="1:20" ht="13.8">
      <c r="A382" s="2498" t="s">
        <v>598</v>
      </c>
      <c r="B382" s="2498" t="s">
        <v>2426</v>
      </c>
      <c r="C382" s="2498"/>
      <c r="D382" s="2498"/>
      <c r="E382" s="2498"/>
      <c r="F382" s="2498"/>
      <c r="G382" s="2498"/>
      <c r="H382" s="2509"/>
      <c r="I382" s="2509"/>
      <c r="J382" s="2509"/>
      <c r="K382" s="2509"/>
      <c r="L382" s="2563" t="str">
        <f>'Part I-Project Information'!$B$6</f>
        <v>July 15, 2020 Version (4%)</v>
      </c>
      <c r="M382" s="2563"/>
      <c r="N382" s="2563"/>
      <c r="O382" s="2563"/>
      <c r="P382" s="2563"/>
      <c r="Q382" s="2509"/>
      <c r="R382" s="2509"/>
      <c r="S382" s="2509" t="str">
        <f>B382</f>
        <v>GOVERNMENT FUNDING SOURCES  (check all that apply)</v>
      </c>
      <c r="T382" s="2509"/>
    </row>
    <row r="383" spans="1:20" ht="13.8">
      <c r="A383" s="2506"/>
      <c r="B383" s="2499"/>
      <c r="C383" s="2506"/>
      <c r="D383" s="2498"/>
      <c r="E383" s="2498"/>
      <c r="F383" s="2498"/>
      <c r="G383" s="2498"/>
      <c r="H383" s="2509"/>
      <c r="I383" s="2509"/>
      <c r="J383" s="2509"/>
      <c r="K383" s="2509"/>
      <c r="L383" s="2509"/>
      <c r="M383" s="2509"/>
      <c r="N383" s="2509"/>
      <c r="O383" s="2509"/>
      <c r="P383" s="2509"/>
      <c r="Q383" s="2509"/>
      <c r="R383" s="2509"/>
      <c r="S383" s="2494" t="s">
        <v>2607</v>
      </c>
    </row>
    <row r="384" spans="1:20" ht="13.8" customHeight="1">
      <c r="A384" s="2499"/>
      <c r="B384" s="2499" t="str">
        <f>'Part III-Sources of Funds'!B5</f>
        <v>Yes</v>
      </c>
      <c r="C384" s="2500" t="s">
        <v>2348</v>
      </c>
      <c r="D384" s="2498"/>
      <c r="E384" s="2499" t="str">
        <f>'Part III-Sources of Funds'!E5</f>
        <v>No</v>
      </c>
      <c r="F384" s="2500" t="s">
        <v>6970</v>
      </c>
      <c r="G384" s="2498"/>
      <c r="H384" s="2564">
        <f>'Part III-Sources of Funds'!H5</f>
        <v>0</v>
      </c>
      <c r="I384" s="2408"/>
      <c r="J384" s="2509"/>
      <c r="K384" s="2509"/>
      <c r="L384" s="2499" t="str">
        <f>'Part III-Sources of Funds'!L5</f>
        <v>No</v>
      </c>
      <c r="M384" s="2500" t="s">
        <v>1504</v>
      </c>
      <c r="N384" s="2509"/>
      <c r="O384" s="2499" t="str">
        <f>'Part III-Sources of Funds'!O5</f>
        <v>No</v>
      </c>
      <c r="P384" s="2524" t="s">
        <v>4496</v>
      </c>
      <c r="Q384" s="2524"/>
      <c r="R384" s="2509"/>
      <c r="S384" s="2524"/>
      <c r="T384" s="2524"/>
    </row>
    <row r="385" spans="1:20" ht="13.8">
      <c r="A385" s="2499"/>
      <c r="B385" s="2499" t="str">
        <f>'Part III-Sources of Funds'!B6</f>
        <v>No</v>
      </c>
      <c r="C385" s="2500" t="s">
        <v>4435</v>
      </c>
      <c r="D385" s="2498"/>
      <c r="E385" s="2499" t="str">
        <f>'Part III-Sources of Funds'!E6</f>
        <v>No</v>
      </c>
      <c r="F385" s="2500" t="s">
        <v>6971</v>
      </c>
      <c r="G385" s="2509"/>
      <c r="H385" s="2564">
        <f>'Part III-Sources of Funds'!H6</f>
        <v>0</v>
      </c>
      <c r="I385" s="2408"/>
      <c r="J385" s="2509"/>
      <c r="K385" s="2509"/>
      <c r="L385" s="2499" t="str">
        <f>'Part III-Sources of Funds'!L6</f>
        <v>No</v>
      </c>
      <c r="M385" s="2500" t="s">
        <v>534</v>
      </c>
      <c r="N385" s="2509"/>
      <c r="O385" s="2509"/>
      <c r="P385" s="2524"/>
      <c r="Q385" s="2524"/>
      <c r="R385" s="2509"/>
      <c r="S385" s="2524"/>
      <c r="T385" s="2524"/>
    </row>
    <row r="386" spans="1:20" ht="13.8">
      <c r="A386" s="2498"/>
      <c r="B386" s="2499" t="str">
        <f>'Part III-Sources of Funds'!B7</f>
        <v>No</v>
      </c>
      <c r="C386" s="2500" t="s">
        <v>535</v>
      </c>
      <c r="D386" s="2509"/>
      <c r="E386" s="2509"/>
      <c r="F386" s="2498" t="s">
        <v>6972</v>
      </c>
      <c r="G386" s="2509"/>
      <c r="H386" s="2509" t="str">
        <f>'Part III-Sources of Funds'!H7</f>
        <v>Specify Other HOME Source here</v>
      </c>
      <c r="I386" s="2509"/>
      <c r="J386" s="2509"/>
      <c r="K386" s="2509"/>
      <c r="L386" s="2499" t="str">
        <f>'Part III-Sources of Funds'!L7</f>
        <v>No</v>
      </c>
      <c r="M386" s="2500" t="s">
        <v>3459</v>
      </c>
      <c r="N386" s="2509"/>
      <c r="O386" s="2509"/>
      <c r="P386" s="2524"/>
      <c r="Q386" s="2524"/>
      <c r="R386" s="2509"/>
      <c r="S386" s="2524"/>
      <c r="T386" s="2524"/>
    </row>
    <row r="387" spans="1:20" ht="13.8">
      <c r="A387" s="2499"/>
      <c r="B387" s="2499" t="str">
        <f>'Part III-Sources of Funds'!B8</f>
        <v>No</v>
      </c>
      <c r="C387" s="2500" t="s">
        <v>2534</v>
      </c>
      <c r="D387" s="2509"/>
      <c r="E387" s="2499" t="str">
        <f>'Part III-Sources of Funds'!E8</f>
        <v>No</v>
      </c>
      <c r="F387" s="2500" t="s">
        <v>2542</v>
      </c>
      <c r="G387" s="2509"/>
      <c r="H387" s="2509"/>
      <c r="I387" s="2509"/>
      <c r="J387" s="2509"/>
      <c r="K387" s="2509"/>
      <c r="L387" s="2499" t="str">
        <f>'Part III-Sources of Funds'!L8</f>
        <v>No</v>
      </c>
      <c r="M387" s="2500" t="s">
        <v>4436</v>
      </c>
      <c r="N387" s="2509"/>
      <c r="O387" s="2509"/>
      <c r="P387" s="2509"/>
      <c r="Q387" s="2509"/>
      <c r="R387" s="2509"/>
      <c r="S387" s="2524"/>
      <c r="T387" s="2524"/>
    </row>
    <row r="388" spans="1:20" ht="13.8">
      <c r="A388" s="2499"/>
      <c r="B388" s="2499" t="str">
        <f>'Part III-Sources of Funds'!B9</f>
        <v>No</v>
      </c>
      <c r="C388" s="2500" t="s">
        <v>2535</v>
      </c>
      <c r="D388" s="2509"/>
      <c r="E388" s="2499" t="str">
        <f>'Part III-Sources of Funds'!E9</f>
        <v>No</v>
      </c>
      <c r="F388" s="2500" t="s">
        <v>3543</v>
      </c>
      <c r="G388" s="2509"/>
      <c r="H388" s="2509" t="str">
        <f>'Part III-Sources of Funds'!H9</f>
        <v>Specify Other PBRA Source here</v>
      </c>
      <c r="I388" s="2509"/>
      <c r="J388" s="2509"/>
      <c r="K388" s="2509"/>
      <c r="L388" s="2499" t="str">
        <f>'Part III-Sources of Funds'!L9</f>
        <v>No</v>
      </c>
      <c r="M388" s="2500" t="s">
        <v>3508</v>
      </c>
      <c r="N388" s="2509"/>
      <c r="O388" s="2509"/>
      <c r="P388" s="2509"/>
      <c r="Q388" s="2509"/>
      <c r="R388" s="2509"/>
      <c r="S388" s="2524"/>
      <c r="T388" s="2524"/>
    </row>
    <row r="389" spans="1:20" ht="13.8">
      <c r="A389" s="2499"/>
      <c r="B389" s="2499" t="str">
        <f>'Part III-Sources of Funds'!B10</f>
        <v>No</v>
      </c>
      <c r="C389" s="2500" t="s">
        <v>3512</v>
      </c>
      <c r="D389" s="2509"/>
      <c r="E389" s="2499" t="str">
        <f>'Part III-Sources of Funds'!E10</f>
        <v>No</v>
      </c>
      <c r="F389" s="2509" t="str">
        <f>'Part III-Sources of Funds'!F10</f>
        <v>Other Type of FEDERAL Funding - describe type/program here</v>
      </c>
      <c r="G389" s="2509"/>
      <c r="H389" s="2509"/>
      <c r="I389" s="2509"/>
      <c r="J389" s="2509"/>
      <c r="K389" s="2509"/>
      <c r="L389" s="2499" t="str">
        <f>'Part III-Sources of Funds'!L10</f>
        <v>No</v>
      </c>
      <c r="M389" s="2498" t="s">
        <v>2543</v>
      </c>
      <c r="N389" s="2509"/>
      <c r="O389" s="2509"/>
      <c r="P389" s="2509"/>
      <c r="Q389" s="2509"/>
      <c r="R389" s="2509"/>
      <c r="S389" s="2524"/>
      <c r="T389" s="2524"/>
    </row>
    <row r="390" spans="1:20" ht="13.8">
      <c r="A390" s="2499"/>
      <c r="B390" s="2499" t="str">
        <f>'Part III-Sources of Funds'!B11</f>
        <v>No</v>
      </c>
      <c r="C390" s="2498" t="s">
        <v>3668</v>
      </c>
      <c r="D390" s="2509"/>
      <c r="E390" s="2509"/>
      <c r="F390" s="2509" t="str">
        <f>'Part III-Sources of Funds'!F11</f>
        <v>Specify Source/Administrator of Other FEDERAL Funding here</v>
      </c>
      <c r="G390" s="2509"/>
      <c r="H390" s="2509"/>
      <c r="I390" s="2509"/>
      <c r="J390" s="2509"/>
      <c r="K390" s="2509"/>
      <c r="L390" s="2499" t="str">
        <f>'Part III-Sources of Funds'!L11</f>
        <v>No</v>
      </c>
      <c r="M390" s="2498" t="s">
        <v>3546</v>
      </c>
      <c r="N390" s="2509"/>
      <c r="O390" s="2509"/>
      <c r="P390" s="2509"/>
      <c r="Q390" s="2509"/>
      <c r="R390" s="2509"/>
      <c r="S390" s="2524"/>
      <c r="T390" s="2524"/>
    </row>
    <row r="391" spans="1:20" ht="13.8">
      <c r="A391" s="2499"/>
      <c r="B391" s="2499" t="str">
        <f>'Part III-Sources of Funds'!B12</f>
        <v>No</v>
      </c>
      <c r="C391" s="2498" t="s">
        <v>2541</v>
      </c>
      <c r="D391" s="2509"/>
      <c r="E391" s="2499" t="str">
        <f>'Part III-Sources of Funds'!E12</f>
        <v>No</v>
      </c>
      <c r="F391" s="2509" t="str">
        <f>'Part III-Sources of Funds'!F12</f>
        <v>Other Type of STATE/LOCAL Funding - describe type/program here</v>
      </c>
      <c r="G391" s="2509"/>
      <c r="H391" s="2509"/>
      <c r="I391" s="2509"/>
      <c r="J391" s="2509"/>
      <c r="K391" s="2509"/>
      <c r="L391" s="2499" t="str">
        <f>'Part III-Sources of Funds'!L12</f>
        <v>No</v>
      </c>
      <c r="M391" s="2498" t="s">
        <v>2705</v>
      </c>
      <c r="N391" s="2509"/>
      <c r="O391" s="2509"/>
      <c r="P391" s="2509"/>
      <c r="Q391" s="2509"/>
      <c r="R391" s="2509"/>
      <c r="S391" s="2524"/>
      <c r="T391" s="2524"/>
    </row>
    <row r="392" spans="1:20" ht="13.8">
      <c r="A392" s="2499"/>
      <c r="B392" s="2499" t="str">
        <f>'Part III-Sources of Funds'!B13</f>
        <v>No</v>
      </c>
      <c r="C392" s="2498" t="s">
        <v>3542</v>
      </c>
      <c r="D392" s="2509"/>
      <c r="E392" s="2509"/>
      <c r="F392" s="2509" t="str">
        <f>'Part III-Sources of Funds'!F13</f>
        <v>Specify Source/Administrator of Other STATE/LOCAL Funding here</v>
      </c>
      <c r="G392" s="2509"/>
      <c r="H392" s="2509"/>
      <c r="I392" s="2509"/>
      <c r="J392" s="2509"/>
      <c r="K392" s="2509"/>
      <c r="L392" s="2499" t="str">
        <f>'Part III-Sources of Funds'!L13</f>
        <v>No</v>
      </c>
      <c r="M392" s="2500" t="s">
        <v>3667</v>
      </c>
      <c r="N392" s="2509"/>
      <c r="O392" s="2509"/>
      <c r="P392" s="2509"/>
      <c r="Q392" s="2509"/>
      <c r="R392" s="2509"/>
      <c r="S392" s="2524"/>
      <c r="T392" s="2524"/>
    </row>
    <row r="393" spans="1:20" ht="13.8">
      <c r="A393" s="2499"/>
      <c r="B393" s="2499" t="str">
        <f>'Part III-Sources of Funds'!B14</f>
        <v>No</v>
      </c>
      <c r="C393" s="2500" t="s">
        <v>1757</v>
      </c>
      <c r="D393" s="2509"/>
      <c r="E393" s="2499" t="str">
        <f>'Part III-Sources of Funds'!E14</f>
        <v>Yes</v>
      </c>
      <c r="F393" s="2500" t="s">
        <v>4433</v>
      </c>
      <c r="G393" s="2509"/>
      <c r="H393" s="2509"/>
      <c r="I393" s="2564">
        <f>'Part III-Sources of Funds'!I14</f>
        <v>23000000</v>
      </c>
      <c r="J393" s="2408"/>
      <c r="K393" s="2509"/>
      <c r="L393" s="2499" t="str">
        <f>'Part III-Sources of Funds'!L14</f>
        <v>No</v>
      </c>
      <c r="M393" s="2501" t="s">
        <v>6973</v>
      </c>
      <c r="N393" s="2509"/>
      <c r="O393" s="2509"/>
      <c r="P393" s="2509"/>
      <c r="Q393" s="2509"/>
      <c r="R393" s="2509"/>
      <c r="S393" s="2509"/>
      <c r="T393" s="2509"/>
    </row>
    <row r="394" spans="1:20" ht="13.8">
      <c r="A394" s="2499"/>
      <c r="B394" s="2509" t="s">
        <v>4437</v>
      </c>
      <c r="C394" s="2498"/>
      <c r="D394" s="2498"/>
      <c r="E394" s="2498"/>
      <c r="F394" s="2498"/>
      <c r="G394" s="2498"/>
      <c r="H394" s="2498"/>
      <c r="I394" s="2498"/>
      <c r="J394" s="2498"/>
      <c r="K394" s="2498"/>
      <c r="L394" s="2498"/>
      <c r="M394" s="2506"/>
      <c r="N394" s="2498"/>
      <c r="O394" s="2498"/>
      <c r="P394" s="2498"/>
      <c r="Q394" s="2498"/>
      <c r="R394" s="2509"/>
      <c r="S394" s="2509"/>
      <c r="T394" s="2509"/>
    </row>
    <row r="395" spans="1:20" ht="13.8">
      <c r="A395" s="2499"/>
      <c r="B395" s="2509"/>
      <c r="C395" s="2509"/>
      <c r="D395" s="2509"/>
      <c r="E395" s="2509"/>
      <c r="F395" s="2509"/>
      <c r="G395" s="2509"/>
      <c r="H395" s="2509"/>
      <c r="I395" s="2509"/>
      <c r="J395" s="2509"/>
      <c r="K395" s="2509"/>
      <c r="L395" s="2498"/>
      <c r="M395" s="2506"/>
      <c r="N395" s="2498"/>
      <c r="O395" s="2498"/>
      <c r="P395" s="2498"/>
      <c r="Q395" s="2498"/>
      <c r="R395" s="2509"/>
      <c r="S395" s="2509"/>
      <c r="T395" s="2509"/>
    </row>
    <row r="396" spans="1:20" ht="13.8">
      <c r="A396" s="2498" t="s">
        <v>722</v>
      </c>
      <c r="B396" s="2500" t="s">
        <v>2286</v>
      </c>
      <c r="C396" s="2498"/>
      <c r="D396" s="2498"/>
      <c r="E396" s="2498"/>
      <c r="F396" s="2498"/>
      <c r="G396" s="2498"/>
      <c r="H396" s="2509"/>
      <c r="I396" s="2509"/>
      <c r="J396" s="2509"/>
      <c r="K396" s="2509"/>
      <c r="L396" s="2498"/>
      <c r="M396" s="2498"/>
      <c r="N396" s="2498"/>
      <c r="O396" s="2498"/>
      <c r="P396" s="2498"/>
      <c r="Q396" s="2498"/>
      <c r="R396" s="2509"/>
      <c r="S396" s="2509" t="str">
        <f>B396</f>
        <v>CONSTRUCTION FINANCING</v>
      </c>
      <c r="T396" s="2509"/>
    </row>
    <row r="397" spans="1:20" ht="13.8">
      <c r="A397" s="2498"/>
      <c r="B397" s="2500"/>
      <c r="C397" s="2498"/>
      <c r="D397" s="2509"/>
      <c r="E397" s="2509"/>
      <c r="F397" s="2509"/>
      <c r="G397" s="2509"/>
      <c r="H397" s="2509"/>
      <c r="I397" s="2509"/>
      <c r="J397" s="2509"/>
      <c r="K397" s="2498"/>
      <c r="L397" s="2498"/>
      <c r="M397" s="2498"/>
      <c r="N397" s="2499"/>
      <c r="O397" s="2499"/>
      <c r="P397" s="2498"/>
      <c r="Q397" s="2498"/>
      <c r="R397" s="2509"/>
      <c r="S397" s="2509"/>
      <c r="T397" s="2509"/>
    </row>
    <row r="398" spans="1:20" ht="13.8">
      <c r="A398" s="2498"/>
      <c r="B398" s="2500" t="s">
        <v>1824</v>
      </c>
      <c r="C398" s="2498"/>
      <c r="D398" s="2498"/>
      <c r="E398" s="2498"/>
      <c r="F398" s="2498"/>
      <c r="G398" s="2498"/>
      <c r="H398" s="2498" t="s">
        <v>1271</v>
      </c>
      <c r="I398" s="2498"/>
      <c r="J398" s="2498"/>
      <c r="K398" s="2498"/>
      <c r="L398" s="2498" t="s">
        <v>4396</v>
      </c>
      <c r="M398" s="2498"/>
      <c r="N398" s="2498" t="s">
        <v>1475</v>
      </c>
      <c r="O398" s="2498"/>
      <c r="P398" s="2498" t="s">
        <v>1597</v>
      </c>
      <c r="Q398" s="2498"/>
      <c r="R398" s="2509"/>
      <c r="S398" s="2494" t="s">
        <v>2607</v>
      </c>
    </row>
    <row r="399" spans="1:20" ht="13.8">
      <c r="A399" s="2498"/>
      <c r="B399" s="2498" t="s">
        <v>1558</v>
      </c>
      <c r="C399" s="2498"/>
      <c r="D399" s="2498"/>
      <c r="E399" s="2498"/>
      <c r="F399" s="2498"/>
      <c r="G399" s="2498"/>
      <c r="H399" s="2498" t="str">
        <f>'Part III-Sources of Funds'!H20</f>
        <v>Cadence Bank</v>
      </c>
      <c r="I399" s="2498"/>
      <c r="J399" s="2498"/>
      <c r="K399" s="2498"/>
      <c r="L399" s="2511">
        <f>'Part III-Sources of Funds'!L20</f>
        <v>33449287</v>
      </c>
      <c r="M399" s="2511"/>
      <c r="N399" s="2565">
        <f>'Part III-Sources of Funds'!N20</f>
        <v>0.03</v>
      </c>
      <c r="O399" s="2565"/>
      <c r="P399" s="2566">
        <f>'Part III-Sources of Funds'!P20</f>
        <v>24</v>
      </c>
      <c r="Q399" s="2566"/>
      <c r="R399" s="2509"/>
      <c r="S399" s="2524"/>
      <c r="T399" s="2524"/>
    </row>
    <row r="400" spans="1:20" ht="13.8">
      <c r="A400" s="2498"/>
      <c r="B400" s="2498" t="s">
        <v>1559</v>
      </c>
      <c r="C400" s="2498"/>
      <c r="D400" s="2498"/>
      <c r="E400" s="2498"/>
      <c r="F400" s="2498"/>
      <c r="G400" s="2498"/>
      <c r="H400" s="2498">
        <f>'Part III-Sources of Funds'!H21</f>
        <v>0</v>
      </c>
      <c r="I400" s="2498"/>
      <c r="J400" s="2498"/>
      <c r="K400" s="2498"/>
      <c r="L400" s="2511">
        <f>'Part III-Sources of Funds'!L21</f>
        <v>0</v>
      </c>
      <c r="M400" s="2511"/>
      <c r="N400" s="2565">
        <f>'Part III-Sources of Funds'!N21</f>
        <v>0</v>
      </c>
      <c r="O400" s="2565"/>
      <c r="P400" s="2566">
        <f>'Part III-Sources of Funds'!P21</f>
        <v>0</v>
      </c>
      <c r="Q400" s="2566"/>
      <c r="R400" s="2509"/>
      <c r="S400" s="2524"/>
      <c r="T400" s="2524"/>
    </row>
    <row r="401" spans="1:20" ht="13.8">
      <c r="A401" s="2498"/>
      <c r="B401" s="2498" t="s">
        <v>1560</v>
      </c>
      <c r="C401" s="2498"/>
      <c r="D401" s="2498"/>
      <c r="E401" s="2498"/>
      <c r="F401" s="2498"/>
      <c r="G401" s="2498"/>
      <c r="H401" s="2498">
        <f>'Part III-Sources of Funds'!H22</f>
        <v>0</v>
      </c>
      <c r="I401" s="2498"/>
      <c r="J401" s="2498"/>
      <c r="K401" s="2498"/>
      <c r="L401" s="2511">
        <f>'Part III-Sources of Funds'!L22</f>
        <v>0</v>
      </c>
      <c r="M401" s="2511"/>
      <c r="N401" s="2565">
        <f>'Part III-Sources of Funds'!N22</f>
        <v>0</v>
      </c>
      <c r="O401" s="2565"/>
      <c r="P401" s="2566">
        <f>'Part III-Sources of Funds'!P22</f>
        <v>0</v>
      </c>
      <c r="Q401" s="2566"/>
      <c r="R401" s="2509"/>
      <c r="S401" s="2524"/>
      <c r="T401" s="2524"/>
    </row>
    <row r="402" spans="1:20" ht="13.8">
      <c r="A402" s="2498"/>
      <c r="B402" s="2498" t="s">
        <v>2159</v>
      </c>
      <c r="C402" s="2498"/>
      <c r="D402" s="2498"/>
      <c r="E402" s="2498"/>
      <c r="F402" s="2498"/>
      <c r="G402" s="2498"/>
      <c r="H402" s="2498">
        <f>'Part III-Sources of Funds'!H23</f>
        <v>0</v>
      </c>
      <c r="I402" s="2498"/>
      <c r="J402" s="2498"/>
      <c r="K402" s="2498"/>
      <c r="L402" s="2511">
        <f>'Part III-Sources of Funds'!L23</f>
        <v>0</v>
      </c>
      <c r="M402" s="2511"/>
      <c r="N402" s="2565"/>
      <c r="O402" s="2565"/>
      <c r="P402" s="2498"/>
      <c r="Q402" s="2498"/>
      <c r="R402" s="2509"/>
      <c r="S402" s="2524"/>
      <c r="T402" s="2524"/>
    </row>
    <row r="403" spans="1:20" ht="13.8">
      <c r="A403" s="2498"/>
      <c r="B403" s="2498" t="s">
        <v>781</v>
      </c>
      <c r="C403" s="2498"/>
      <c r="D403" s="2498"/>
      <c r="E403" s="2498"/>
      <c r="F403" s="2509"/>
      <c r="G403" s="2509"/>
      <c r="H403" s="2498">
        <f>'Part III-Sources of Funds'!H24</f>
        <v>0</v>
      </c>
      <c r="I403" s="2498"/>
      <c r="J403" s="2498"/>
      <c r="K403" s="2498"/>
      <c r="L403" s="2511">
        <f>'Part III-Sources of Funds'!L24</f>
        <v>0</v>
      </c>
      <c r="M403" s="2511"/>
      <c r="N403" s="2565"/>
      <c r="O403" s="2565"/>
      <c r="P403" s="2498"/>
      <c r="Q403" s="2498"/>
      <c r="R403" s="2509"/>
      <c r="S403" s="2524"/>
      <c r="T403" s="2524"/>
    </row>
    <row r="404" spans="1:20" ht="13.8">
      <c r="A404" s="2498"/>
      <c r="B404" s="2498" t="s">
        <v>623</v>
      </c>
      <c r="C404" s="2498"/>
      <c r="D404" s="2498"/>
      <c r="E404" s="2498"/>
      <c r="F404" s="2509"/>
      <c r="G404" s="2509"/>
      <c r="H404" s="2498">
        <f>'Part III-Sources of Funds'!H25</f>
        <v>0</v>
      </c>
      <c r="I404" s="2498"/>
      <c r="J404" s="2498"/>
      <c r="K404" s="2498"/>
      <c r="L404" s="2511">
        <f>'Part III-Sources of Funds'!L25</f>
        <v>0</v>
      </c>
      <c r="M404" s="2511"/>
      <c r="N404" s="2565"/>
      <c r="O404" s="2565"/>
      <c r="P404" s="2498"/>
      <c r="Q404" s="2498"/>
      <c r="R404" s="2509"/>
      <c r="S404" s="2524"/>
      <c r="T404" s="2524"/>
    </row>
    <row r="405" spans="1:20" ht="13.8">
      <c r="A405" s="2498"/>
      <c r="B405" s="2498" t="s">
        <v>782</v>
      </c>
      <c r="C405" s="2498"/>
      <c r="D405" s="2498"/>
      <c r="E405" s="2498"/>
      <c r="F405" s="2509"/>
      <c r="G405" s="2509"/>
      <c r="H405" s="2498" t="str">
        <f>'Part III-Sources of Funds'!H26</f>
        <v>Monarch Private Capital</v>
      </c>
      <c r="I405" s="2498"/>
      <c r="J405" s="2498"/>
      <c r="K405" s="2498"/>
      <c r="L405" s="2511">
        <f>'Part III-Sources of Funds'!L26</f>
        <v>2642400</v>
      </c>
      <c r="M405" s="2511"/>
      <c r="N405" s="2498"/>
      <c r="O405" s="2509"/>
      <c r="P405" s="2509"/>
      <c r="Q405" s="2498"/>
      <c r="R405" s="2509"/>
      <c r="S405" s="2524"/>
      <c r="T405" s="2524"/>
    </row>
    <row r="406" spans="1:20" ht="13.8">
      <c r="A406" s="2498"/>
      <c r="B406" s="2498" t="s">
        <v>783</v>
      </c>
      <c r="C406" s="2498"/>
      <c r="D406" s="2498"/>
      <c r="E406" s="2498"/>
      <c r="F406" s="2509"/>
      <c r="G406" s="2509"/>
      <c r="H406" s="2498" t="str">
        <f>'Part III-Sources of Funds'!H27</f>
        <v>Monarch Private Capital</v>
      </c>
      <c r="I406" s="2498"/>
      <c r="J406" s="2498"/>
      <c r="K406" s="2498"/>
      <c r="L406" s="2511">
        <f>'Part III-Sources of Funds'!L27</f>
        <v>1619536</v>
      </c>
      <c r="M406" s="2511"/>
      <c r="N406" s="2498"/>
      <c r="O406" s="2509"/>
      <c r="P406" s="2509"/>
      <c r="Q406" s="2498"/>
      <c r="R406" s="2509"/>
      <c r="S406" s="2524"/>
      <c r="T406" s="2524"/>
    </row>
    <row r="407" spans="1:20" ht="13.8">
      <c r="A407" s="2498"/>
      <c r="B407" s="2498" t="s">
        <v>237</v>
      </c>
      <c r="C407" s="2498"/>
      <c r="D407" s="2498">
        <f>'Part III-Sources of Funds'!D28</f>
        <v>0</v>
      </c>
      <c r="E407" s="2498"/>
      <c r="F407" s="2498"/>
      <c r="G407" s="2498"/>
      <c r="H407" s="2498">
        <f>'Part III-Sources of Funds'!H28</f>
        <v>0</v>
      </c>
      <c r="I407" s="2498"/>
      <c r="J407" s="2498"/>
      <c r="K407" s="2498"/>
      <c r="L407" s="2511">
        <f>'Part III-Sources of Funds'!L28</f>
        <v>0</v>
      </c>
      <c r="M407" s="2511"/>
      <c r="N407" s="2498"/>
      <c r="O407" s="2509"/>
      <c r="P407" s="2509"/>
      <c r="Q407" s="2498"/>
      <c r="R407" s="2509"/>
      <c r="S407" s="2524"/>
      <c r="T407" s="2524"/>
    </row>
    <row r="408" spans="1:20" ht="13.8">
      <c r="A408" s="2498"/>
      <c r="B408" s="2498" t="s">
        <v>237</v>
      </c>
      <c r="C408" s="2498"/>
      <c r="D408" s="2498">
        <f>'Part III-Sources of Funds'!D29</f>
        <v>0</v>
      </c>
      <c r="E408" s="2498"/>
      <c r="F408" s="2498"/>
      <c r="G408" s="2498"/>
      <c r="H408" s="2498">
        <f>'Part III-Sources of Funds'!H29</f>
        <v>0</v>
      </c>
      <c r="I408" s="2498"/>
      <c r="J408" s="2498"/>
      <c r="K408" s="2498"/>
      <c r="L408" s="2511">
        <f>'Part III-Sources of Funds'!L29</f>
        <v>0</v>
      </c>
      <c r="M408" s="2511"/>
      <c r="N408" s="2498"/>
      <c r="O408" s="2509"/>
      <c r="P408" s="2509"/>
      <c r="Q408" s="2509"/>
      <c r="R408" s="2509"/>
      <c r="S408" s="2524"/>
      <c r="T408" s="2524"/>
    </row>
    <row r="409" spans="1:20" ht="13.8">
      <c r="A409" s="2498"/>
      <c r="B409" s="2498" t="s">
        <v>237</v>
      </c>
      <c r="C409" s="2498"/>
      <c r="D409" s="2498">
        <f>'Part III-Sources of Funds'!D30</f>
        <v>0</v>
      </c>
      <c r="E409" s="2498"/>
      <c r="F409" s="2498"/>
      <c r="G409" s="2498"/>
      <c r="H409" s="2498">
        <f>'Part III-Sources of Funds'!H30</f>
        <v>0</v>
      </c>
      <c r="I409" s="2498"/>
      <c r="J409" s="2498"/>
      <c r="K409" s="2498"/>
      <c r="L409" s="2511">
        <f>'Part III-Sources of Funds'!L30</f>
        <v>0</v>
      </c>
      <c r="M409" s="2511"/>
      <c r="N409" s="2498"/>
      <c r="O409" s="2509"/>
      <c r="P409" s="2509"/>
      <c r="Q409" s="2509"/>
      <c r="R409" s="2509"/>
      <c r="S409" s="2524"/>
      <c r="T409" s="2524"/>
    </row>
    <row r="410" spans="1:20" ht="13.8">
      <c r="A410" s="2498"/>
      <c r="B410" s="2500" t="s">
        <v>1272</v>
      </c>
      <c r="C410" s="2498"/>
      <c r="D410" s="2498"/>
      <c r="E410" s="2498"/>
      <c r="F410" s="2498"/>
      <c r="G410" s="2498"/>
      <c r="H410" s="2498"/>
      <c r="I410" s="2498"/>
      <c r="J410" s="2509"/>
      <c r="K410" s="2509"/>
      <c r="L410" s="2567">
        <f>SUM(L399:L409)</f>
        <v>37711223</v>
      </c>
      <c r="M410" s="2567"/>
      <c r="N410" s="2506"/>
      <c r="O410" s="2509"/>
      <c r="P410" s="2509"/>
      <c r="Q410" s="2509"/>
      <c r="R410" s="2509"/>
      <c r="S410" s="2524"/>
      <c r="T410" s="2524"/>
    </row>
    <row r="411" spans="1:20" ht="13.8">
      <c r="A411" s="2498"/>
      <c r="B411" s="2500" t="s">
        <v>1273</v>
      </c>
      <c r="C411" s="2498"/>
      <c r="D411" s="2498"/>
      <c r="E411" s="2498"/>
      <c r="F411" s="2498"/>
      <c r="G411" s="2498"/>
      <c r="H411" s="2498"/>
      <c r="I411" s="2498"/>
      <c r="J411" s="2509"/>
      <c r="K411" s="2509"/>
      <c r="L411" s="256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37711223</v>
      </c>
      <c r="M411" s="2567"/>
      <c r="N411" s="2506"/>
      <c r="O411" s="2509"/>
      <c r="P411" s="2509"/>
      <c r="Q411" s="2509"/>
      <c r="R411" s="2509"/>
      <c r="S411" s="2524"/>
      <c r="T411" s="2524"/>
    </row>
    <row r="412" spans="1:20" ht="13.8">
      <c r="A412" s="2498"/>
      <c r="B412" s="2500" t="s">
        <v>2107</v>
      </c>
      <c r="C412" s="2498"/>
      <c r="D412" s="2498"/>
      <c r="E412" s="2498"/>
      <c r="F412" s="2498"/>
      <c r="G412" s="2498"/>
      <c r="H412" s="2498"/>
      <c r="I412" s="2498"/>
      <c r="J412" s="2509"/>
      <c r="K412" s="2509"/>
      <c r="L412" s="2528">
        <f>L410-L411</f>
        <v>0</v>
      </c>
      <c r="M412" s="2528"/>
      <c r="N412" s="2506"/>
      <c r="O412" s="2509"/>
      <c r="P412" s="2509"/>
      <c r="Q412" s="2509"/>
      <c r="R412" s="2509"/>
      <c r="S412" s="2524"/>
      <c r="T412" s="2524"/>
    </row>
    <row r="413" spans="1:20" ht="13.8">
      <c r="A413" s="2506"/>
      <c r="B413" s="2500"/>
      <c r="C413" s="2506"/>
      <c r="D413" s="2506"/>
      <c r="E413" s="2506"/>
      <c r="F413" s="2506"/>
      <c r="G413" s="2506"/>
      <c r="H413" s="2506"/>
      <c r="I413" s="2506"/>
      <c r="J413" s="2506"/>
      <c r="K413" s="2506"/>
      <c r="L413" s="2506"/>
      <c r="M413" s="2499"/>
      <c r="N413" s="2499"/>
      <c r="O413" s="2552"/>
      <c r="P413" s="2552"/>
      <c r="Q413" s="2552"/>
      <c r="R413" s="2552"/>
      <c r="S413" s="2552"/>
      <c r="T413" s="2552"/>
    </row>
    <row r="414" spans="1:20" ht="13.8">
      <c r="A414" s="2498" t="s">
        <v>724</v>
      </c>
      <c r="B414" s="2500" t="s">
        <v>780</v>
      </c>
      <c r="C414" s="2506"/>
      <c r="D414" s="2506"/>
      <c r="E414" s="2506"/>
      <c r="F414" s="2506"/>
      <c r="G414" s="2506"/>
      <c r="H414" s="2506"/>
      <c r="I414" s="2506"/>
      <c r="J414" s="2506"/>
      <c r="K414" s="2506"/>
      <c r="L414" s="2506"/>
      <c r="M414" s="2499"/>
      <c r="N414" s="2499"/>
      <c r="O414" s="2506"/>
      <c r="P414" s="2552"/>
      <c r="Q414" s="2552"/>
      <c r="R414" s="2552"/>
      <c r="S414" s="2509" t="str">
        <f>B414</f>
        <v>PERMANENT FINANCING</v>
      </c>
      <c r="T414" s="2552"/>
    </row>
    <row r="415" spans="1:20" ht="13.8" customHeight="1">
      <c r="A415" s="2498"/>
      <c r="B415" s="2498"/>
      <c r="C415" s="2498"/>
      <c r="D415" s="2498"/>
      <c r="E415" s="2498"/>
      <c r="F415" s="2499"/>
      <c r="G415" s="2499"/>
      <c r="H415" s="2498"/>
      <c r="I415" s="2498"/>
      <c r="J415" s="2509"/>
      <c r="K415" s="2520" t="s">
        <v>2051</v>
      </c>
      <c r="L415" s="2499" t="s">
        <v>1269</v>
      </c>
      <c r="M415" s="2499" t="s">
        <v>1274</v>
      </c>
      <c r="N415" s="2509"/>
      <c r="O415" s="2509"/>
      <c r="P415" s="2506" t="s">
        <v>32</v>
      </c>
      <c r="Q415" s="2506"/>
      <c r="R415" s="2509"/>
      <c r="S415" s="2509"/>
      <c r="T415" s="2509"/>
    </row>
    <row r="416" spans="1:20" ht="13.8">
      <c r="A416" s="2498"/>
      <c r="B416" s="2500" t="s">
        <v>1824</v>
      </c>
      <c r="C416" s="2498"/>
      <c r="D416" s="2498"/>
      <c r="E416" s="2498" t="s">
        <v>1271</v>
      </c>
      <c r="F416" s="2498"/>
      <c r="G416" s="2498"/>
      <c r="H416" s="2498"/>
      <c r="I416" s="2498" t="s">
        <v>4395</v>
      </c>
      <c r="J416" s="2498"/>
      <c r="K416" s="2499" t="s">
        <v>1760</v>
      </c>
      <c r="L416" s="2499" t="s">
        <v>2158</v>
      </c>
      <c r="M416" s="2499" t="s">
        <v>2158</v>
      </c>
      <c r="N416" s="2498" t="s">
        <v>72</v>
      </c>
      <c r="O416" s="2498"/>
      <c r="P416" s="2506"/>
      <c r="Q416" s="2506"/>
      <c r="R416" s="2509"/>
      <c r="S416" s="2494" t="s">
        <v>2607</v>
      </c>
    </row>
    <row r="417" spans="1:20" ht="13.8">
      <c r="A417" s="2498"/>
      <c r="B417" s="2498" t="s">
        <v>2547</v>
      </c>
      <c r="C417" s="2498"/>
      <c r="D417" s="2498"/>
      <c r="E417" s="2498" t="str">
        <f>'Part III-Sources of Funds'!E38</f>
        <v>Bellwether Enterprise/Freddie Mac</v>
      </c>
      <c r="F417" s="2498"/>
      <c r="G417" s="2498"/>
      <c r="H417" s="2498"/>
      <c r="I417" s="2528">
        <f>'Part III-Sources of Funds'!I38</f>
        <v>13700000</v>
      </c>
      <c r="J417" s="2498"/>
      <c r="K417" s="2568">
        <f>'Part III-Sources of Funds'!K38</f>
        <v>0.04</v>
      </c>
      <c r="L417" s="2499">
        <f>-'Part III-Sources of Funds'!L38</f>
        <v>-18</v>
      </c>
      <c r="M417" s="2499">
        <f>-'Part III-Sources of Funds'!M38</f>
        <v>-35</v>
      </c>
      <c r="N417" s="2498" t="e">
        <f>-'Part III-Sources of Funds'!N38</f>
        <v>#VALUE!</v>
      </c>
      <c r="O417" s="2498"/>
      <c r="P417" s="2567">
        <f>-'Part III-Sources of Funds'!P38</f>
        <v>-727921.67425877007</v>
      </c>
      <c r="Q417" s="2567"/>
      <c r="R417" s="2509"/>
      <c r="S417" s="2524"/>
      <c r="T417" s="2524"/>
    </row>
    <row r="418" spans="1:20" ht="13.8">
      <c r="A418" s="2498"/>
      <c r="B418" s="2498" t="s">
        <v>2548</v>
      </c>
      <c r="C418" s="2498"/>
      <c r="D418" s="2498"/>
      <c r="E418" s="2498">
        <f>'Part III-Sources of Funds'!E39</f>
        <v>0</v>
      </c>
      <c r="F418" s="2498"/>
      <c r="G418" s="2498"/>
      <c r="H418" s="2498"/>
      <c r="I418" s="2528">
        <f>'Part III-Sources of Funds'!I39</f>
        <v>0</v>
      </c>
      <c r="J418" s="2498"/>
      <c r="K418" s="2568">
        <f>'Part III-Sources of Funds'!K39</f>
        <v>0</v>
      </c>
      <c r="L418" s="2499">
        <f>-'Part III-Sources of Funds'!L39</f>
        <v>0</v>
      </c>
      <c r="M418" s="2499">
        <f>-'Part III-Sources of Funds'!M39</f>
        <v>0</v>
      </c>
      <c r="N418" s="2498">
        <f>-'Part III-Sources of Funds'!N39</f>
        <v>0</v>
      </c>
      <c r="O418" s="2498"/>
      <c r="P418" s="2567" t="e">
        <f>-'Part III-Sources of Funds'!P39</f>
        <v>#VALUE!</v>
      </c>
      <c r="Q418" s="2567"/>
      <c r="R418" s="2509"/>
      <c r="S418" s="2524"/>
      <c r="T418" s="2524"/>
    </row>
    <row r="419" spans="1:20" ht="13.8">
      <c r="A419" s="2498"/>
      <c r="B419" s="2498" t="s">
        <v>2549</v>
      </c>
      <c r="C419" s="2498"/>
      <c r="D419" s="2498"/>
      <c r="E419" s="2498">
        <f>'Part III-Sources of Funds'!E40</f>
        <v>0</v>
      </c>
      <c r="F419" s="2498"/>
      <c r="G419" s="2498"/>
      <c r="H419" s="2498"/>
      <c r="I419" s="2528">
        <f>'Part III-Sources of Funds'!I40</f>
        <v>0</v>
      </c>
      <c r="J419" s="2498"/>
      <c r="K419" s="2568">
        <f>'Part III-Sources of Funds'!K40</f>
        <v>0</v>
      </c>
      <c r="L419" s="2499">
        <f>-'Part III-Sources of Funds'!L40</f>
        <v>0</v>
      </c>
      <c r="M419" s="2499">
        <f>-'Part III-Sources of Funds'!M40</f>
        <v>0</v>
      </c>
      <c r="N419" s="2498">
        <f>-'Part III-Sources of Funds'!N40</f>
        <v>0</v>
      </c>
      <c r="O419" s="2498"/>
      <c r="P419" s="2567" t="e">
        <f>-'Part III-Sources of Funds'!P40</f>
        <v>#VALUE!</v>
      </c>
      <c r="Q419" s="2567"/>
      <c r="R419" s="2509"/>
      <c r="S419" s="2524"/>
      <c r="T419" s="2524"/>
    </row>
    <row r="420" spans="1:20" ht="13.8">
      <c r="A420" s="2498"/>
      <c r="B420" s="2498" t="s">
        <v>723</v>
      </c>
      <c r="C420" s="2498">
        <f>'Part III-Sources of Funds'!C41</f>
        <v>0</v>
      </c>
      <c r="D420" s="2498"/>
      <c r="E420" s="2498">
        <f>'Part III-Sources of Funds'!E41</f>
        <v>0</v>
      </c>
      <c r="F420" s="2498"/>
      <c r="G420" s="2498"/>
      <c r="H420" s="2498"/>
      <c r="I420" s="2528">
        <f>'Part III-Sources of Funds'!I41</f>
        <v>0</v>
      </c>
      <c r="J420" s="2498"/>
      <c r="K420" s="2568">
        <f>'Part III-Sources of Funds'!K41</f>
        <v>0</v>
      </c>
      <c r="L420" s="2499">
        <f>-'Part III-Sources of Funds'!L41</f>
        <v>0</v>
      </c>
      <c r="M420" s="2499">
        <f>-'Part III-Sources of Funds'!M41</f>
        <v>0</v>
      </c>
      <c r="N420" s="2498">
        <f>-'Part III-Sources of Funds'!N41</f>
        <v>0</v>
      </c>
      <c r="O420" s="2498"/>
      <c r="P420" s="2567" t="e">
        <f>-'Part III-Sources of Funds'!P41</f>
        <v>#VALUE!</v>
      </c>
      <c r="Q420" s="2567"/>
      <c r="R420" s="2509"/>
      <c r="S420" s="2524"/>
      <c r="T420" s="2524"/>
    </row>
    <row r="421" spans="1:20" ht="13.8">
      <c r="A421" s="2498"/>
      <c r="B421" s="2498" t="s">
        <v>4561</v>
      </c>
      <c r="C421" s="2498"/>
      <c r="D421" s="2498"/>
      <c r="E421" s="2498">
        <f>'Part III-Sources of Funds'!E42</f>
        <v>0</v>
      </c>
      <c r="F421" s="2498"/>
      <c r="G421" s="2498"/>
      <c r="H421" s="2498"/>
      <c r="I421" s="2528">
        <f>'Part III-Sources of Funds'!I42</f>
        <v>0</v>
      </c>
      <c r="J421" s="2498"/>
      <c r="K421" s="2568"/>
      <c r="L421" s="2499"/>
      <c r="M421" s="2499"/>
      <c r="N421" s="2498"/>
      <c r="O421" s="2498"/>
      <c r="P421" s="2567"/>
      <c r="Q421" s="2567"/>
      <c r="R421" s="2509"/>
      <c r="S421" s="2524"/>
      <c r="T421" s="2524"/>
    </row>
    <row r="422" spans="1:20" ht="13.8">
      <c r="A422" s="2498"/>
      <c r="B422" s="2498" t="s">
        <v>223</v>
      </c>
      <c r="C422" s="2498"/>
      <c r="D422" s="2569">
        <f>'Part III-Sources of Funds'!D43</f>
        <v>0.28349039370078738</v>
      </c>
      <c r="E422" s="2498" t="str">
        <f>'Part III-Sources of Funds'!E43</f>
        <v>Parent Development, LLC/Outlook Development, LLC/Timshel Hill Tide Developers, LLC</v>
      </c>
      <c r="F422" s="2498"/>
      <c r="G422" s="2498"/>
      <c r="H422" s="2498"/>
      <c r="I422" s="2528">
        <f>'Part III-Sources of Funds'!I43</f>
        <v>900082</v>
      </c>
      <c r="J422" s="2498"/>
      <c r="K422" s="2568">
        <f>'Part III-Sources of Funds'!K43</f>
        <v>0</v>
      </c>
      <c r="L422" s="2499">
        <f>-'Part III-Sources of Funds'!L43</f>
        <v>0</v>
      </c>
      <c r="M422" s="2499">
        <f>-'Part III-Sources of Funds'!M43</f>
        <v>0</v>
      </c>
      <c r="N422" s="2498" t="e">
        <f>-'Part III-Sources of Funds'!N43</f>
        <v>#VALUE!</v>
      </c>
      <c r="O422" s="2498"/>
      <c r="P422" s="2567">
        <f>-'Part III-Sources of Funds'!P43</f>
        <v>0</v>
      </c>
      <c r="Q422" s="2567"/>
      <c r="R422" s="2509"/>
      <c r="S422" s="2524"/>
      <c r="T422" s="2524"/>
    </row>
    <row r="423" spans="1:20" ht="13.8">
      <c r="A423" s="2498"/>
      <c r="B423" s="2498"/>
      <c r="C423" s="2498"/>
      <c r="D423" s="2498"/>
      <c r="E423" s="2498"/>
      <c r="F423" s="2498"/>
      <c r="G423" s="2498"/>
      <c r="H423" s="2498"/>
      <c r="I423" s="2545"/>
      <c r="J423" s="2570"/>
      <c r="K423" s="2568"/>
      <c r="L423" s="2499"/>
      <c r="M423" s="2499"/>
      <c r="N423" s="2571"/>
      <c r="O423" s="2571"/>
      <c r="P423" s="2499"/>
      <c r="Q423" s="2499"/>
      <c r="R423" s="2509"/>
      <c r="S423" s="2524"/>
      <c r="T423" s="2524"/>
    </row>
    <row r="424" spans="1:20" ht="13.8">
      <c r="A424" s="2498"/>
      <c r="B424" s="2509" t="s">
        <v>3839</v>
      </c>
      <c r="C424" s="2498"/>
      <c r="D424" s="2509"/>
      <c r="E424" s="2509" t="s">
        <v>3778</v>
      </c>
      <c r="F424" s="2572" t="e">
        <f>'Part III-Sources of Funds'!F45</f>
        <v>#N/A</v>
      </c>
      <c r="G424" s="2509"/>
      <c r="H424" s="2573" t="s">
        <v>3838</v>
      </c>
      <c r="I424" s="2572" t="e">
        <f>'Part III-Sources of Funds'!I45</f>
        <v>#N/A</v>
      </c>
      <c r="J424" s="2509"/>
      <c r="K424" s="2573" t="s">
        <v>3840</v>
      </c>
      <c r="L424" s="2574" t="e">
        <f>'Part III-Sources of Funds'!L45</f>
        <v>#N/A</v>
      </c>
      <c r="M424" s="2574"/>
      <c r="N424" s="2567" t="s">
        <v>4403</v>
      </c>
      <c r="O424" s="2567"/>
      <c r="P424" s="2544">
        <f>'Part III-Sources of Funds'!P45</f>
        <v>0</v>
      </c>
      <c r="Q424" s="2544"/>
      <c r="R424" s="2509"/>
      <c r="S424" s="2524"/>
      <c r="T424" s="2524"/>
    </row>
    <row r="425" spans="1:20" ht="13.8">
      <c r="A425" s="2498"/>
      <c r="B425" s="2498"/>
      <c r="C425" s="2498"/>
      <c r="D425" s="2498"/>
      <c r="E425" s="2498"/>
      <c r="F425" s="2498"/>
      <c r="G425" s="2498"/>
      <c r="H425" s="2498"/>
      <c r="I425" s="2545"/>
      <c r="J425" s="2570"/>
      <c r="K425" s="2568"/>
      <c r="L425" s="2499"/>
      <c r="M425" s="2499"/>
      <c r="N425" s="2571"/>
      <c r="O425" s="2571"/>
      <c r="P425" s="2499"/>
      <c r="Q425" s="2499"/>
      <c r="R425" s="2509"/>
      <c r="S425" s="2524"/>
      <c r="T425" s="2524"/>
    </row>
    <row r="426" spans="1:20" ht="13.8">
      <c r="A426" s="2498"/>
      <c r="B426" s="2498" t="s">
        <v>2159</v>
      </c>
      <c r="C426" s="2498"/>
      <c r="D426" s="2498"/>
      <c r="E426" s="2498">
        <f>'Part III-Sources of Funds'!E47</f>
        <v>0</v>
      </c>
      <c r="F426" s="2498"/>
      <c r="G426" s="2498"/>
      <c r="H426" s="2498"/>
      <c r="I426" s="2528">
        <f>'Part III-Sources of Funds'!I47</f>
        <v>0</v>
      </c>
      <c r="J426" s="2498"/>
      <c r="K426" s="2498"/>
      <c r="L426" s="2498"/>
      <c r="M426" s="2498"/>
      <c r="N426" s="2498"/>
      <c r="O426" s="2498"/>
      <c r="P426" s="2499" t="s">
        <v>502</v>
      </c>
      <c r="Q426" s="2498"/>
      <c r="R426" s="2509"/>
      <c r="S426" s="2524"/>
      <c r="T426" s="2524"/>
    </row>
    <row r="427" spans="1:20" ht="13.8">
      <c r="A427" s="2498"/>
      <c r="B427" s="2498" t="s">
        <v>781</v>
      </c>
      <c r="C427" s="2498"/>
      <c r="D427" s="2498"/>
      <c r="E427" s="2498">
        <f>'Part III-Sources of Funds'!E48</f>
        <v>0</v>
      </c>
      <c r="F427" s="2498"/>
      <c r="G427" s="2498"/>
      <c r="H427" s="2498"/>
      <c r="I427" s="2528">
        <f>'Part III-Sources of Funds'!I48</f>
        <v>0</v>
      </c>
      <c r="J427" s="2498"/>
      <c r="K427" s="2509"/>
      <c r="L427" s="2509" t="s">
        <v>503</v>
      </c>
      <c r="M427" s="2509"/>
      <c r="N427" s="2534" t="s">
        <v>504</v>
      </c>
      <c r="O427" s="2534"/>
      <c r="P427" s="2545" t="s">
        <v>2494</v>
      </c>
      <c r="Q427" s="2498"/>
      <c r="R427" s="2509"/>
      <c r="S427" s="2524"/>
      <c r="T427" s="2524"/>
    </row>
    <row r="428" spans="1:20" ht="13.8">
      <c r="A428" s="2498"/>
      <c r="B428" s="2498" t="s">
        <v>782</v>
      </c>
      <c r="C428" s="2498"/>
      <c r="D428" s="2498"/>
      <c r="E428" s="2498" t="str">
        <f>'Part III-Sources of Funds'!E49</f>
        <v>Monarch Private Capital</v>
      </c>
      <c r="F428" s="2498"/>
      <c r="G428" s="2498"/>
      <c r="H428" s="2498"/>
      <c r="I428" s="2528">
        <f>'Part III-Sources of Funds'!I49</f>
        <v>17607999</v>
      </c>
      <c r="J428" s="2498"/>
      <c r="K428" s="2509"/>
      <c r="L428" s="2575">
        <f>'Part III-Sources of Funds'!L49</f>
        <v>17609768</v>
      </c>
      <c r="M428" s="2575"/>
      <c r="N428" s="2576">
        <f>'Part III-Sources of Funds'!N49</f>
        <v>-1769</v>
      </c>
      <c r="O428" s="2576"/>
      <c r="P428" s="2577">
        <f>I428/I438</f>
        <v>0.40936464455368998</v>
      </c>
      <c r="Q428" s="2498"/>
      <c r="R428" s="2509"/>
      <c r="S428" s="2524"/>
      <c r="T428" s="2524"/>
    </row>
    <row r="429" spans="1:20" ht="13.8">
      <c r="A429" s="2498"/>
      <c r="B429" s="2498" t="s">
        <v>783</v>
      </c>
      <c r="C429" s="2498"/>
      <c r="D429" s="2498"/>
      <c r="E429" s="2498" t="str">
        <f>'Part III-Sources of Funds'!E50</f>
        <v>Monarch Private Capital</v>
      </c>
      <c r="F429" s="2498"/>
      <c r="G429" s="2498"/>
      <c r="H429" s="2498"/>
      <c r="I429" s="2528">
        <f>'Part III-Sources of Funds'!I50</f>
        <v>10804913</v>
      </c>
      <c r="J429" s="2498"/>
      <c r="K429" s="2509"/>
      <c r="L429" s="2575">
        <f>'Part III-Sources of Funds'!L50</f>
        <v>10805994</v>
      </c>
      <c r="M429" s="2575"/>
      <c r="N429" s="2576">
        <f>'Part III-Sources of Funds'!N50</f>
        <v>-1081</v>
      </c>
      <c r="O429" s="2576"/>
      <c r="P429" s="2577">
        <f>I429/I438</f>
        <v>0.25120113703314861</v>
      </c>
      <c r="Q429" s="2498"/>
      <c r="R429" s="2509"/>
      <c r="S429" s="2524"/>
      <c r="T429" s="2524"/>
    </row>
    <row r="430" spans="1:20" ht="13.8">
      <c r="A430" s="2498"/>
      <c r="B430" s="2498" t="s">
        <v>1383</v>
      </c>
      <c r="C430" s="2498"/>
      <c r="D430" s="2498"/>
      <c r="E430" s="2498">
        <f>'Part III-Sources of Funds'!E51</f>
        <v>0</v>
      </c>
      <c r="F430" s="2498"/>
      <c r="G430" s="2498"/>
      <c r="H430" s="2498"/>
      <c r="I430" s="2528">
        <f>'Part III-Sources of Funds'!I51</f>
        <v>0</v>
      </c>
      <c r="J430" s="2498"/>
      <c r="K430" s="2509"/>
      <c r="L430" s="2509"/>
      <c r="M430" s="2509"/>
      <c r="N430" s="2509"/>
      <c r="O430" s="2509"/>
      <c r="P430" s="2577">
        <f>SUM(P428:P429)</f>
        <v>0.66056578158683865</v>
      </c>
      <c r="Q430" s="2498"/>
      <c r="R430" s="2509"/>
      <c r="S430" s="2524"/>
      <c r="T430" s="2524"/>
    </row>
    <row r="431" spans="1:20" ht="13.8">
      <c r="A431" s="2498"/>
      <c r="B431" s="2498" t="s">
        <v>517</v>
      </c>
      <c r="C431" s="2498"/>
      <c r="D431" s="2498"/>
      <c r="E431" s="2498">
        <f>'Part III-Sources of Funds'!E52</f>
        <v>0</v>
      </c>
      <c r="F431" s="2498"/>
      <c r="G431" s="2498"/>
      <c r="H431" s="2498"/>
      <c r="I431" s="2528">
        <f>'Part III-Sources of Funds'!I52</f>
        <v>0</v>
      </c>
      <c r="J431" s="2498"/>
      <c r="K431" s="2498"/>
      <c r="L431" s="2509"/>
      <c r="M431" s="2509"/>
      <c r="N431" s="2509"/>
      <c r="O431" s="2509"/>
      <c r="P431" s="2509"/>
      <c r="Q431" s="2498"/>
      <c r="R431" s="2509"/>
      <c r="S431" s="2524"/>
      <c r="T431" s="2524"/>
    </row>
    <row r="432" spans="1:20" ht="13.8">
      <c r="A432" s="2498"/>
      <c r="B432" s="2498" t="s">
        <v>1822</v>
      </c>
      <c r="C432" s="2498"/>
      <c r="D432" s="2498"/>
      <c r="E432" s="2498">
        <f>'Part III-Sources of Funds'!E53</f>
        <v>0</v>
      </c>
      <c r="F432" s="2498"/>
      <c r="G432" s="2498"/>
      <c r="H432" s="2498"/>
      <c r="I432" s="2528">
        <f>'Part III-Sources of Funds'!I53</f>
        <v>0</v>
      </c>
      <c r="J432" s="2498"/>
      <c r="K432" s="2509"/>
      <c r="L432" s="2509"/>
      <c r="M432" s="2509"/>
      <c r="N432" s="2498"/>
      <c r="O432" s="2498"/>
      <c r="P432" s="2498"/>
      <c r="Q432" s="2498"/>
      <c r="R432" s="2509"/>
      <c r="S432" s="2524"/>
      <c r="T432" s="2524"/>
    </row>
    <row r="433" spans="1:24" ht="13.8">
      <c r="A433" s="2498"/>
      <c r="B433" s="2498" t="s">
        <v>1823</v>
      </c>
      <c r="C433" s="2498"/>
      <c r="D433" s="2498"/>
      <c r="E433" s="2498">
        <f>'Part III-Sources of Funds'!E54</f>
        <v>0</v>
      </c>
      <c r="F433" s="2498"/>
      <c r="G433" s="2498"/>
      <c r="H433" s="2498"/>
      <c r="I433" s="2528">
        <f>'Part III-Sources of Funds'!I54</f>
        <v>0</v>
      </c>
      <c r="J433" s="2498"/>
      <c r="K433" s="2509"/>
      <c r="L433" s="2509"/>
      <c r="M433" s="2498"/>
      <c r="N433" s="2498"/>
      <c r="O433" s="2498"/>
      <c r="P433" s="2498"/>
      <c r="Q433" s="2498"/>
      <c r="R433" s="2509"/>
      <c r="S433" s="2524"/>
      <c r="T433" s="2524"/>
    </row>
    <row r="434" spans="1:24" ht="13.8">
      <c r="A434" s="2498"/>
      <c r="B434" s="2498" t="s">
        <v>723</v>
      </c>
      <c r="C434" s="2498">
        <f>'Part III-Sources of Funds'!C55</f>
        <v>0</v>
      </c>
      <c r="D434" s="2498"/>
      <c r="E434" s="2498">
        <f>'Part III-Sources of Funds'!E55</f>
        <v>0</v>
      </c>
      <c r="F434" s="2498"/>
      <c r="G434" s="2498"/>
      <c r="H434" s="2498"/>
      <c r="I434" s="2528">
        <f>'Part III-Sources of Funds'!I55</f>
        <v>0</v>
      </c>
      <c r="J434" s="2498"/>
      <c r="K434" s="2509"/>
      <c r="L434" s="2509"/>
      <c r="M434" s="2498"/>
      <c r="N434" s="2498"/>
      <c r="O434" s="2498"/>
      <c r="P434" s="2498"/>
      <c r="Q434" s="2498"/>
      <c r="R434" s="2509"/>
      <c r="S434" s="2524"/>
      <c r="T434" s="2524"/>
    </row>
    <row r="435" spans="1:24" ht="13.8">
      <c r="A435" s="2498"/>
      <c r="B435" s="2498" t="s">
        <v>723</v>
      </c>
      <c r="C435" s="2498">
        <f>'Part III-Sources of Funds'!C56</f>
        <v>0</v>
      </c>
      <c r="D435" s="2498"/>
      <c r="E435" s="2498">
        <f>'Part III-Sources of Funds'!E56</f>
        <v>0</v>
      </c>
      <c r="F435" s="2498"/>
      <c r="G435" s="2498"/>
      <c r="H435" s="2498"/>
      <c r="I435" s="2528">
        <f>'Part III-Sources of Funds'!I56</f>
        <v>0</v>
      </c>
      <c r="J435" s="2498"/>
      <c r="K435" s="2498"/>
      <c r="L435" s="2499"/>
      <c r="M435" s="2498"/>
      <c r="N435" s="2498"/>
      <c r="O435" s="2498"/>
      <c r="P435" s="2498"/>
      <c r="Q435" s="2498"/>
      <c r="R435" s="2509"/>
      <c r="S435" s="2524"/>
      <c r="T435" s="2524"/>
    </row>
    <row r="436" spans="1:24" ht="13.8">
      <c r="A436" s="2498"/>
      <c r="B436" s="2498" t="s">
        <v>723</v>
      </c>
      <c r="C436" s="2498">
        <f>'Part III-Sources of Funds'!C57</f>
        <v>0</v>
      </c>
      <c r="D436" s="2498"/>
      <c r="E436" s="2498">
        <f>'Part III-Sources of Funds'!E57</f>
        <v>0</v>
      </c>
      <c r="F436" s="2498"/>
      <c r="G436" s="2498"/>
      <c r="H436" s="2498"/>
      <c r="I436" s="2528">
        <f>'Part III-Sources of Funds'!I57</f>
        <v>0</v>
      </c>
      <c r="J436" s="2498"/>
      <c r="K436" s="2498"/>
      <c r="L436" s="2499"/>
      <c r="M436" s="2498"/>
      <c r="N436" s="2498"/>
      <c r="O436" s="2498"/>
      <c r="P436" s="2498"/>
      <c r="Q436" s="2498"/>
      <c r="R436" s="2509"/>
      <c r="S436" s="2524"/>
      <c r="T436" s="2524"/>
    </row>
    <row r="437" spans="1:24" ht="13.8">
      <c r="A437" s="2498"/>
      <c r="B437" s="2500" t="s">
        <v>2160</v>
      </c>
      <c r="C437" s="2498"/>
      <c r="D437" s="2498"/>
      <c r="E437" s="2498"/>
      <c r="F437" s="2498"/>
      <c r="G437" s="2498"/>
      <c r="H437" s="2509"/>
      <c r="I437" s="2567">
        <f>SUM(I417:J422)+SUM(I426:J436)</f>
        <v>43012994</v>
      </c>
      <c r="J437" s="2567"/>
      <c r="K437" s="2498"/>
      <c r="L437" s="2499"/>
      <c r="M437" s="2498"/>
      <c r="N437" s="2498"/>
      <c r="O437" s="2498"/>
      <c r="P437" s="2498"/>
      <c r="Q437" s="2498"/>
      <c r="R437" s="2509"/>
      <c r="S437" s="2524"/>
      <c r="T437" s="2524"/>
    </row>
    <row r="438" spans="1:24" ht="13.8">
      <c r="A438" s="2498"/>
      <c r="B438" s="2500" t="s">
        <v>2161</v>
      </c>
      <c r="C438" s="2498"/>
      <c r="D438" s="2498"/>
      <c r="E438" s="2498"/>
      <c r="F438" s="2498"/>
      <c r="G438" s="2498"/>
      <c r="H438" s="2509"/>
      <c r="I438" s="2567">
        <f>'Part IV-A-Uses of Funds'!$G$132</f>
        <v>43012994</v>
      </c>
      <c r="J438" s="2567"/>
      <c r="K438" s="2498"/>
      <c r="L438" s="2499"/>
      <c r="M438" s="2498"/>
      <c r="N438" s="2498"/>
      <c r="O438" s="2498"/>
      <c r="P438" s="2498"/>
      <c r="Q438" s="2498"/>
      <c r="R438" s="2509"/>
      <c r="S438" s="2524"/>
      <c r="T438" s="2524"/>
    </row>
    <row r="439" spans="1:24" ht="13.8">
      <c r="A439" s="2498"/>
      <c r="B439" s="2500" t="s">
        <v>1493</v>
      </c>
      <c r="C439" s="2498"/>
      <c r="D439" s="2498"/>
      <c r="E439" s="2498"/>
      <c r="F439" s="2498"/>
      <c r="G439" s="2498"/>
      <c r="H439" s="2509"/>
      <c r="I439" s="2528">
        <f>I437-I438</f>
        <v>0</v>
      </c>
      <c r="J439" s="2528"/>
      <c r="K439" s="2498"/>
      <c r="L439" s="2499"/>
      <c r="M439" s="2498"/>
      <c r="N439" s="2498"/>
      <c r="O439" s="2498"/>
      <c r="P439" s="2498"/>
      <c r="Q439" s="2498"/>
      <c r="R439" s="2509"/>
      <c r="S439" s="2524"/>
      <c r="T439" s="2524"/>
    </row>
    <row r="440" spans="1:24" ht="13.8">
      <c r="A440" s="2498" t="s">
        <v>4562</v>
      </c>
      <c r="B440" s="2500"/>
      <c r="C440" s="2498"/>
      <c r="D440" s="2498"/>
      <c r="E440" s="2498"/>
      <c r="F440" s="2498"/>
      <c r="G440" s="2498"/>
      <c r="H440" s="2570"/>
      <c r="I440" s="2570"/>
      <c r="J440" s="2506"/>
      <c r="K440" s="2498"/>
      <c r="L440" s="2499"/>
      <c r="M440" s="2498"/>
      <c r="N440" s="2498"/>
      <c r="O440" s="2498"/>
      <c r="P440" s="2498"/>
      <c r="Q440" s="2498"/>
      <c r="R440" s="2498"/>
      <c r="S440" s="2498"/>
      <c r="T440" s="2498"/>
    </row>
    <row r="441" spans="1:24" ht="13.8">
      <c r="A441" s="2506"/>
      <c r="B441" s="2506"/>
      <c r="C441" s="2506"/>
      <c r="D441" s="2506"/>
      <c r="E441" s="2506"/>
      <c r="F441" s="2506"/>
      <c r="G441" s="2506"/>
      <c r="H441" s="2506"/>
      <c r="I441" s="2506"/>
      <c r="J441" s="2506"/>
      <c r="K441" s="2506"/>
      <c r="L441" s="2506"/>
      <c r="M441" s="2506"/>
      <c r="N441" s="2506"/>
      <c r="O441" s="2506"/>
      <c r="P441" s="2506"/>
      <c r="Q441" s="2506"/>
      <c r="R441" s="2552"/>
      <c r="S441" s="2552"/>
      <c r="T441" s="2552"/>
    </row>
    <row r="442" spans="1:24" ht="13.8">
      <c r="A442" s="2498" t="s">
        <v>1748</v>
      </c>
      <c r="B442" s="2498" t="s">
        <v>555</v>
      </c>
      <c r="C442" s="2506"/>
      <c r="D442" s="2506"/>
      <c r="E442" s="2506"/>
      <c r="F442" s="2506"/>
      <c r="G442" s="2506"/>
      <c r="H442" s="2506"/>
      <c r="I442" s="2506"/>
      <c r="J442" s="2506"/>
      <c r="K442" s="2552"/>
      <c r="L442" s="2552"/>
      <c r="M442" s="2498" t="s">
        <v>1748</v>
      </c>
      <c r="N442" s="2498" t="s">
        <v>77</v>
      </c>
      <c r="O442" s="2506"/>
      <c r="P442" s="2506"/>
      <c r="Q442" s="2506"/>
      <c r="R442" s="2552"/>
      <c r="S442" s="2552"/>
      <c r="T442" s="2552"/>
    </row>
    <row r="443" spans="1:24" ht="15.6" customHeight="1">
      <c r="A443" s="2524" t="str">
        <f>'Part III-Sources of Funds'!A64</f>
        <v>All commitment letters for financing included in tab 01.</v>
      </c>
      <c r="B443" s="2524"/>
      <c r="C443" s="2524"/>
      <c r="D443" s="2524"/>
      <c r="E443" s="2524"/>
      <c r="F443" s="2524"/>
      <c r="G443" s="2524"/>
      <c r="H443" s="2524"/>
      <c r="I443" s="2524"/>
      <c r="J443" s="2524"/>
      <c r="K443" s="2524"/>
      <c r="L443" s="2524"/>
      <c r="M443" s="2524">
        <f>'Part III-Sources of Funds'!M64</f>
        <v>0</v>
      </c>
      <c r="N443" s="2524"/>
      <c r="O443" s="2524"/>
      <c r="P443" s="2524"/>
      <c r="Q443" s="2524"/>
      <c r="R443" s="2552"/>
      <c r="S443" s="2497" t="s">
        <v>2614</v>
      </c>
      <c r="T443" s="2497"/>
    </row>
    <row r="444" spans="1:24" ht="15">
      <c r="A444" s="2552"/>
      <c r="B444" s="2552"/>
      <c r="C444" s="2552"/>
      <c r="D444" s="2552"/>
      <c r="E444" s="2552"/>
      <c r="F444" s="2552"/>
      <c r="G444" s="2552"/>
      <c r="H444" s="2552"/>
      <c r="I444" s="2552"/>
      <c r="J444" s="2552"/>
      <c r="K444" s="2552"/>
      <c r="L444" s="2552"/>
      <c r="M444" s="2552"/>
      <c r="N444" s="2552"/>
      <c r="O444" s="2552"/>
      <c r="P444" s="2552"/>
      <c r="Q444" s="2552"/>
      <c r="R444" s="2552"/>
      <c r="S444" s="2497"/>
      <c r="T444" s="2497"/>
    </row>
    <row r="447" spans="1:24" ht="13.8">
      <c r="A447" s="2498" t="str">
        <f>CONCATENATE("PART FOUR -  USES OF FUNDS","  -  ",'Part I-Project Information'!$O$6," ",'Part I-Project Information'!$F$34,", ",'Part I-Project Information'!F484,", ",'Part I-Project Information'!J485," County")</f>
        <v>PART FOUR -  USES OF FUNDS  -  2020-5 Lakeview Terrace, ,  County</v>
      </c>
      <c r="B447" s="2498"/>
      <c r="C447" s="2498"/>
      <c r="D447" s="2498"/>
      <c r="E447" s="2498"/>
      <c r="F447" s="2498"/>
      <c r="G447" s="2498"/>
      <c r="H447" s="2498"/>
      <c r="I447" s="2498"/>
      <c r="J447" s="2498"/>
      <c r="K447" s="2498"/>
      <c r="L447" s="2498"/>
      <c r="M447" s="2498"/>
      <c r="N447" s="2498"/>
      <c r="O447" s="2498"/>
      <c r="P447" s="2498"/>
      <c r="Q447" s="2498"/>
      <c r="R447" s="2498"/>
      <c r="S447" s="2498"/>
      <c r="T447" s="2498"/>
      <c r="U447" s="2498"/>
      <c r="V447" s="2498"/>
      <c r="W447" s="2498" t="str">
        <f>A447</f>
        <v>PART FOUR -  USES OF FUNDS  -  2020-5 Lakeview Terrace, ,  County</v>
      </c>
      <c r="X447" s="2498"/>
    </row>
    <row r="448" spans="1:24" ht="13.8">
      <c r="A448" s="2506"/>
      <c r="B448" s="2506"/>
      <c r="C448" s="2506"/>
      <c r="D448" s="2506"/>
      <c r="E448" s="2506"/>
      <c r="F448" s="2506"/>
      <c r="G448" s="2506"/>
      <c r="H448" s="2506"/>
      <c r="I448" s="2506"/>
      <c r="J448" s="2506"/>
      <c r="K448" s="2506"/>
      <c r="L448" s="2506"/>
      <c r="M448" s="2506"/>
      <c r="N448" s="2506"/>
      <c r="O448" s="2506"/>
      <c r="P448" s="2506"/>
      <c r="Q448" s="2506"/>
      <c r="R448" s="2506"/>
      <c r="S448" s="2506"/>
      <c r="T448" s="2506"/>
      <c r="U448" s="2506"/>
      <c r="V448" s="2506"/>
      <c r="W448" s="2506"/>
      <c r="X448" s="2506"/>
    </row>
    <row r="449" spans="1:24" ht="13.8">
      <c r="A449" s="2498"/>
      <c r="B449" s="2498"/>
      <c r="C449" s="2498"/>
      <c r="D449" s="2498"/>
      <c r="E449" s="2498"/>
      <c r="F449" s="2498"/>
      <c r="G449" s="2498"/>
      <c r="H449" s="2498"/>
      <c r="I449" s="2498"/>
      <c r="J449" s="2498"/>
      <c r="K449" s="2498"/>
      <c r="L449" s="2498"/>
      <c r="M449" s="2498"/>
      <c r="N449" s="2498"/>
      <c r="O449" s="2498"/>
      <c r="P449" s="2498"/>
      <c r="Q449" s="2498"/>
      <c r="R449" s="2498"/>
      <c r="S449" s="2498"/>
      <c r="T449" s="2498"/>
      <c r="U449" s="2498"/>
      <c r="V449" s="2498"/>
      <c r="W449" s="2498"/>
      <c r="X449" s="2498"/>
    </row>
    <row r="450" spans="1:24" ht="13.8">
      <c r="A450" s="2499"/>
      <c r="B450" s="2499"/>
      <c r="C450" s="2499"/>
      <c r="D450" s="2578"/>
      <c r="E450" s="2578"/>
      <c r="F450" s="2578"/>
      <c r="G450" s="2578"/>
      <c r="H450" s="2578"/>
      <c r="I450" s="2498"/>
      <c r="J450" s="2499"/>
      <c r="K450" s="2499"/>
      <c r="L450" s="2499"/>
      <c r="M450" s="2499"/>
      <c r="N450" s="2499"/>
      <c r="O450" s="2499"/>
      <c r="P450" s="2499"/>
      <c r="Q450" s="2499"/>
      <c r="R450" s="2499"/>
      <c r="S450" s="2499"/>
      <c r="T450" s="2499"/>
      <c r="U450" s="2498"/>
      <c r="V450" s="2498"/>
      <c r="W450" s="2498"/>
      <c r="X450" s="2498"/>
    </row>
    <row r="451" spans="1:24" ht="13.8" customHeight="1">
      <c r="A451" s="2578" t="s">
        <v>598</v>
      </c>
      <c r="B451" s="2578" t="s">
        <v>879</v>
      </c>
      <c r="C451" s="2498"/>
      <c r="D451" s="2579" t="str">
        <f>'Part I-Project Information'!$B$6</f>
        <v>July 15, 2020 Version (4%)</v>
      </c>
      <c r="E451" s="2579"/>
      <c r="F451" s="2579"/>
      <c r="G451" s="2579"/>
      <c r="H451" s="2579"/>
      <c r="I451" s="2578"/>
      <c r="J451" s="2498" t="s">
        <v>266</v>
      </c>
      <c r="K451" s="2498"/>
      <c r="L451" s="2511"/>
      <c r="M451" s="2511" t="s">
        <v>479</v>
      </c>
      <c r="N451" s="2511"/>
      <c r="O451" s="2498"/>
      <c r="P451" s="2498" t="s">
        <v>267</v>
      </c>
      <c r="Q451" s="2498"/>
      <c r="R451" s="2498"/>
      <c r="S451" s="2498" t="s">
        <v>268</v>
      </c>
      <c r="T451" s="2498"/>
      <c r="U451" s="2498"/>
      <c r="V451" s="2580" t="str">
        <f>B451</f>
        <v>DEVELOPMENT BUDGET</v>
      </c>
      <c r="W451" s="2498"/>
      <c r="X451" s="2498"/>
    </row>
    <row r="452" spans="1:24" ht="13.8">
      <c r="A452" s="2498"/>
      <c r="B452" s="2498"/>
      <c r="C452" s="2498"/>
      <c r="D452" s="2579"/>
      <c r="E452" s="2579"/>
      <c r="F452" s="2579"/>
      <c r="G452" s="2498" t="s">
        <v>98</v>
      </c>
      <c r="H452" s="2498"/>
      <c r="I452" s="2498"/>
      <c r="J452" s="2498"/>
      <c r="K452" s="2498"/>
      <c r="L452" s="2511"/>
      <c r="M452" s="2511"/>
      <c r="N452" s="2511"/>
      <c r="O452" s="2498"/>
      <c r="P452" s="2498"/>
      <c r="Q452" s="2498"/>
      <c r="R452" s="2498"/>
      <c r="S452" s="2498"/>
      <c r="T452" s="2498"/>
      <c r="U452" s="2498"/>
      <c r="V452" s="2506" t="s">
        <v>2607</v>
      </c>
      <c r="W452" s="2498"/>
      <c r="X452" s="2506"/>
    </row>
    <row r="453" spans="1:24" ht="13.8">
      <c r="A453" s="2498"/>
      <c r="B453" s="2498" t="s">
        <v>99</v>
      </c>
      <c r="C453" s="2498"/>
      <c r="D453" s="2498"/>
      <c r="E453" s="2498"/>
      <c r="F453" s="2498"/>
      <c r="G453" s="2498"/>
      <c r="H453" s="2498"/>
      <c r="I453" s="2498"/>
      <c r="J453" s="2498"/>
      <c r="K453" s="2498"/>
      <c r="L453" s="2498"/>
      <c r="M453" s="2498"/>
      <c r="N453" s="2498"/>
      <c r="O453" s="2499" t="str">
        <f>B453</f>
        <v>PRE-DEVELOPMENT COSTS</v>
      </c>
      <c r="P453" s="2498"/>
      <c r="Q453" s="2498"/>
      <c r="R453" s="2498"/>
      <c r="S453" s="2498"/>
      <c r="T453" s="2498"/>
      <c r="U453" s="2498"/>
      <c r="V453" s="2498"/>
      <c r="W453" s="2498" t="str">
        <f>B453</f>
        <v>PRE-DEVELOPMENT COSTS</v>
      </c>
      <c r="X453" s="2498"/>
    </row>
    <row r="454" spans="1:24" ht="13.8">
      <c r="A454" s="2498"/>
      <c r="B454" s="2498" t="s">
        <v>1953</v>
      </c>
      <c r="C454" s="2498"/>
      <c r="D454" s="2498"/>
      <c r="E454" s="2498"/>
      <c r="F454" s="2498"/>
      <c r="G454" s="2511">
        <f>'Part IV-A-Uses of Funds'!G8</f>
        <v>8000</v>
      </c>
      <c r="H454" s="2511"/>
      <c r="I454" s="2498"/>
      <c r="J454" s="2511">
        <f>'Part IV-A-Uses of Funds'!J8</f>
        <v>8000</v>
      </c>
      <c r="K454" s="2511"/>
      <c r="L454" s="2513"/>
      <c r="M454" s="2511">
        <f>'Part IV-A-Uses of Funds'!M8</f>
        <v>0</v>
      </c>
      <c r="N454" s="2511"/>
      <c r="O454" s="2498"/>
      <c r="P454" s="2511">
        <f>'Part IV-A-Uses of Funds'!P8</f>
        <v>0</v>
      </c>
      <c r="Q454" s="2511"/>
      <c r="R454" s="2498"/>
      <c r="S454" s="2511">
        <f>'Part IV-A-Uses of Funds'!S8</f>
        <v>0</v>
      </c>
      <c r="T454" s="2511"/>
      <c r="U454" s="2498"/>
      <c r="V454" s="2581"/>
      <c r="W454" s="2359"/>
      <c r="X454" s="2359"/>
    </row>
    <row r="455" spans="1:24" ht="13.8">
      <c r="A455" s="2498"/>
      <c r="B455" s="2498" t="s">
        <v>448</v>
      </c>
      <c r="C455" s="2498"/>
      <c r="D455" s="2498"/>
      <c r="E455" s="2498"/>
      <c r="F455" s="2498"/>
      <c r="G455" s="2511">
        <f>'Part IV-A-Uses of Funds'!G9</f>
        <v>8000</v>
      </c>
      <c r="H455" s="2511"/>
      <c r="I455" s="2498"/>
      <c r="J455" s="2511">
        <f>'Part IV-A-Uses of Funds'!J9</f>
        <v>8000</v>
      </c>
      <c r="K455" s="2511"/>
      <c r="L455" s="2513"/>
      <c r="M455" s="2511">
        <f>'Part IV-A-Uses of Funds'!M9</f>
        <v>0</v>
      </c>
      <c r="N455" s="2511"/>
      <c r="O455" s="2498"/>
      <c r="P455" s="2511">
        <f>'Part IV-A-Uses of Funds'!P9</f>
        <v>0</v>
      </c>
      <c r="Q455" s="2511"/>
      <c r="R455" s="2498"/>
      <c r="S455" s="2511">
        <f>'Part IV-A-Uses of Funds'!S9</f>
        <v>0</v>
      </c>
      <c r="T455" s="2511"/>
      <c r="U455" s="2498"/>
      <c r="V455" s="2581"/>
      <c r="W455" s="2359"/>
      <c r="X455" s="2359"/>
    </row>
    <row r="456" spans="1:24" ht="13.8">
      <c r="A456" s="2498"/>
      <c r="B456" s="2498" t="s">
        <v>477</v>
      </c>
      <c r="C456" s="2498"/>
      <c r="D456" s="2498"/>
      <c r="E456" s="2498"/>
      <c r="F456" s="2498"/>
      <c r="G456" s="2511">
        <f>'Part IV-A-Uses of Funds'!G10</f>
        <v>15000</v>
      </c>
      <c r="H456" s="2511"/>
      <c r="I456" s="2498"/>
      <c r="J456" s="2511">
        <f>'Part IV-A-Uses of Funds'!J10</f>
        <v>15000</v>
      </c>
      <c r="K456" s="2511"/>
      <c r="L456" s="2513"/>
      <c r="M456" s="2511">
        <f>'Part IV-A-Uses of Funds'!M10</f>
        <v>0</v>
      </c>
      <c r="N456" s="2511"/>
      <c r="O456" s="2498"/>
      <c r="P456" s="2511">
        <f>'Part IV-A-Uses of Funds'!P10</f>
        <v>0</v>
      </c>
      <c r="Q456" s="2511"/>
      <c r="R456" s="2498"/>
      <c r="S456" s="2511">
        <f>'Part IV-A-Uses of Funds'!S10</f>
        <v>0</v>
      </c>
      <c r="T456" s="2511"/>
      <c r="U456" s="2498"/>
      <c r="V456" s="2581"/>
      <c r="W456" s="2359"/>
      <c r="X456" s="2359"/>
    </row>
    <row r="457" spans="1:24" ht="13.8">
      <c r="A457" s="2498"/>
      <c r="B457" s="2498" t="s">
        <v>478</v>
      </c>
      <c r="C457" s="2498"/>
      <c r="D457" s="2498"/>
      <c r="E457" s="2498"/>
      <c r="F457" s="2498"/>
      <c r="G457" s="2511">
        <f>'Part IV-A-Uses of Funds'!G11</f>
        <v>10000</v>
      </c>
      <c r="H457" s="2511"/>
      <c r="I457" s="2498"/>
      <c r="J457" s="2511">
        <f>'Part IV-A-Uses of Funds'!J11</f>
        <v>10000</v>
      </c>
      <c r="K457" s="2511"/>
      <c r="L457" s="2513"/>
      <c r="M457" s="2511">
        <f>'Part IV-A-Uses of Funds'!M11</f>
        <v>0</v>
      </c>
      <c r="N457" s="2511"/>
      <c r="O457" s="2498"/>
      <c r="P457" s="2511">
        <f>'Part IV-A-Uses of Funds'!P11</f>
        <v>0</v>
      </c>
      <c r="Q457" s="2511"/>
      <c r="R457" s="2498"/>
      <c r="S457" s="2511">
        <f>'Part IV-A-Uses of Funds'!S11</f>
        <v>0</v>
      </c>
      <c r="T457" s="2511"/>
      <c r="U457" s="2498"/>
      <c r="V457" s="2581"/>
      <c r="W457" s="2359"/>
      <c r="X457" s="2359"/>
    </row>
    <row r="458" spans="1:24" ht="13.8">
      <c r="A458" s="2498"/>
      <c r="B458" s="2498" t="s">
        <v>2435</v>
      </c>
      <c r="C458" s="2498"/>
      <c r="D458" s="2498"/>
      <c r="E458" s="2498"/>
      <c r="F458" s="2498"/>
      <c r="G458" s="2511">
        <f>'Part IV-A-Uses of Funds'!G12</f>
        <v>18000</v>
      </c>
      <c r="H458" s="2511"/>
      <c r="I458" s="2498"/>
      <c r="J458" s="2511">
        <f>'Part IV-A-Uses of Funds'!J12</f>
        <v>18000</v>
      </c>
      <c r="K458" s="2511"/>
      <c r="L458" s="2513"/>
      <c r="M458" s="2511">
        <f>'Part IV-A-Uses of Funds'!M12</f>
        <v>0</v>
      </c>
      <c r="N458" s="2511"/>
      <c r="O458" s="2498"/>
      <c r="P458" s="2511">
        <f>'Part IV-A-Uses of Funds'!P12</f>
        <v>0</v>
      </c>
      <c r="Q458" s="2511"/>
      <c r="R458" s="2498"/>
      <c r="S458" s="2511">
        <f>'Part IV-A-Uses of Funds'!S12</f>
        <v>0</v>
      </c>
      <c r="T458" s="2511"/>
      <c r="U458" s="2498"/>
      <c r="V458" s="2581"/>
      <c r="W458" s="2359"/>
      <c r="X458" s="2359"/>
    </row>
    <row r="459" spans="1:24" ht="13.8">
      <c r="A459" s="2498"/>
      <c r="B459" s="2498" t="s">
        <v>186</v>
      </c>
      <c r="C459" s="2498"/>
      <c r="D459" s="2498"/>
      <c r="E459" s="2498"/>
      <c r="F459" s="2498"/>
      <c r="G459" s="2511">
        <f>'Part IV-A-Uses of Funds'!G13</f>
        <v>0</v>
      </c>
      <c r="H459" s="2511"/>
      <c r="I459" s="2498"/>
      <c r="J459" s="2511">
        <f>'Part IV-A-Uses of Funds'!J13</f>
        <v>0</v>
      </c>
      <c r="K459" s="2511"/>
      <c r="L459" s="2513"/>
      <c r="M459" s="2511">
        <f>'Part IV-A-Uses of Funds'!M13</f>
        <v>0</v>
      </c>
      <c r="N459" s="2511"/>
      <c r="O459" s="2498"/>
      <c r="P459" s="2511">
        <f>'Part IV-A-Uses of Funds'!P13</f>
        <v>0</v>
      </c>
      <c r="Q459" s="2511"/>
      <c r="R459" s="2498"/>
      <c r="S459" s="2511">
        <f>'Part IV-A-Uses of Funds'!S13</f>
        <v>0</v>
      </c>
      <c r="T459" s="2511"/>
      <c r="U459" s="2498"/>
      <c r="V459" s="2581"/>
      <c r="W459" s="2359"/>
      <c r="X459" s="2359"/>
    </row>
    <row r="460" spans="1:24" ht="15.6" customHeight="1">
      <c r="A460" s="2582" t="str">
        <f>IF(AND(G460&gt;0,OR(C460="",C460="&lt;Enter detailed description here; use Comments section if needed&gt;")),"X","")</f>
        <v/>
      </c>
      <c r="B460" s="2498" t="s">
        <v>723</v>
      </c>
      <c r="C460" s="2509" t="str">
        <f>'Part IV-A-Uses of Funds'!C14</f>
        <v>&lt;&lt; Enter description here; provide detail &amp; justification in tab Part IV-b &gt;&gt;</v>
      </c>
      <c r="D460" s="2509"/>
      <c r="E460" s="2509"/>
      <c r="F460" s="2509"/>
      <c r="G460" s="2511">
        <f>'Part IV-A-Uses of Funds'!G14</f>
        <v>0</v>
      </c>
      <c r="H460" s="2511"/>
      <c r="I460" s="2498"/>
      <c r="J460" s="2511">
        <f>'Part IV-A-Uses of Funds'!J14</f>
        <v>0</v>
      </c>
      <c r="K460" s="2511"/>
      <c r="L460" s="2513"/>
      <c r="M460" s="2511">
        <f>'Part IV-A-Uses of Funds'!M14</f>
        <v>0</v>
      </c>
      <c r="N460" s="2511"/>
      <c r="O460" s="2498"/>
      <c r="P460" s="2511">
        <f>'Part IV-A-Uses of Funds'!P14</f>
        <v>0</v>
      </c>
      <c r="Q460" s="2511"/>
      <c r="R460" s="2498"/>
      <c r="S460" s="2511">
        <f>'Part IV-A-Uses of Funds'!S14</f>
        <v>0</v>
      </c>
      <c r="T460" s="2511"/>
      <c r="U460" s="2500" t="str">
        <f>IF(AND(G460&gt;0,OR(C460="",C460="&lt;Enter detailed description here; use Comments section if needed&gt;")),"NO DESCRIPTION PROVIDED - please enter detailed description in Other box at left; use Comments section below if needed.","")</f>
        <v/>
      </c>
      <c r="V460" s="2581"/>
      <c r="W460" s="2359"/>
      <c r="X460" s="2359"/>
    </row>
    <row r="461" spans="1:24" ht="15.6" customHeight="1">
      <c r="A461" s="2582" t="str">
        <f>IF(AND(G461&gt;0,OR(C461="",C461="&lt;Enter detailed description here; use Comments section if needed&gt;")),"X","")</f>
        <v/>
      </c>
      <c r="B461" s="2498" t="s">
        <v>723</v>
      </c>
      <c r="C461" s="2509" t="str">
        <f>'Part IV-A-Uses of Funds'!C15</f>
        <v>&lt;&lt; Enter description here; provide detail &amp; justification in tab Part IV-b &gt;&gt;</v>
      </c>
      <c r="D461" s="2509"/>
      <c r="E461" s="2509"/>
      <c r="F461" s="2509"/>
      <c r="G461" s="2511">
        <f>'Part IV-A-Uses of Funds'!G15</f>
        <v>0</v>
      </c>
      <c r="H461" s="2511"/>
      <c r="I461" s="2498"/>
      <c r="J461" s="2511">
        <f>'Part IV-A-Uses of Funds'!J15</f>
        <v>0</v>
      </c>
      <c r="K461" s="2511"/>
      <c r="L461" s="2513"/>
      <c r="M461" s="2511">
        <f>'Part IV-A-Uses of Funds'!M15</f>
        <v>0</v>
      </c>
      <c r="N461" s="2511"/>
      <c r="O461" s="2498"/>
      <c r="P461" s="2511">
        <f>'Part IV-A-Uses of Funds'!P15</f>
        <v>0</v>
      </c>
      <c r="Q461" s="2511"/>
      <c r="R461" s="2498"/>
      <c r="S461" s="2511">
        <f>'Part IV-A-Uses of Funds'!S15</f>
        <v>0</v>
      </c>
      <c r="T461" s="2511"/>
      <c r="U461" s="2500" t="str">
        <f>IF(AND(G461&gt;0,OR(C461="",C461="&lt;Enter detailed description here; use Comments section if needed&gt;")),"NO DESCRIPTION PROVIDED - please enter detailed description in Other box at left; use Comments section below if needed.","")</f>
        <v/>
      </c>
      <c r="V461" s="2581"/>
      <c r="W461" s="2359"/>
      <c r="X461" s="2359"/>
    </row>
    <row r="462" spans="1:24" ht="16.2" customHeight="1">
      <c r="A462" s="2582" t="str">
        <f>IF(AND(G462&gt;0,OR(C462="",C462="&lt;Enter detailed description here; use Comments section if needed&gt;")),"X","")</f>
        <v/>
      </c>
      <c r="B462" s="2498" t="s">
        <v>723</v>
      </c>
      <c r="C462" s="2509" t="str">
        <f>'Part IV-A-Uses of Funds'!C16</f>
        <v>&lt;&lt; Enter description here; provide detail &amp; justification in tab Part IV-b &gt;&gt;</v>
      </c>
      <c r="D462" s="2509"/>
      <c r="E462" s="2509"/>
      <c r="F462" s="2509"/>
      <c r="G462" s="2511">
        <f>'Part IV-A-Uses of Funds'!G16</f>
        <v>0</v>
      </c>
      <c r="H462" s="2511"/>
      <c r="I462" s="2498"/>
      <c r="J462" s="2511">
        <f>'Part IV-A-Uses of Funds'!J16</f>
        <v>0</v>
      </c>
      <c r="K462" s="2511"/>
      <c r="L462" s="2513"/>
      <c r="M462" s="2511">
        <f>'Part IV-A-Uses of Funds'!M16</f>
        <v>0</v>
      </c>
      <c r="N462" s="2511"/>
      <c r="O462" s="2498"/>
      <c r="P462" s="2511">
        <f>'Part IV-A-Uses of Funds'!P16</f>
        <v>0</v>
      </c>
      <c r="Q462" s="2511"/>
      <c r="R462" s="2498"/>
      <c r="S462" s="2511">
        <f>'Part IV-A-Uses of Funds'!S16</f>
        <v>0</v>
      </c>
      <c r="T462" s="2511"/>
      <c r="U462" s="2500" t="str">
        <f>IF(AND(G462&gt;0,OR(C462="",C462="&lt;Enter detailed description here; use Comments section if needed&gt;")),"NO DESCRIPTION PROVIDED - please enter detailed description in Other box at left; use Comments section below if needed.","")</f>
        <v/>
      </c>
      <c r="V462" s="2581"/>
      <c r="W462" s="2359"/>
      <c r="X462" s="2359"/>
    </row>
    <row r="463" spans="1:24" ht="13.8">
      <c r="A463" s="2498"/>
      <c r="B463" s="2498"/>
      <c r="C463" s="2498"/>
      <c r="D463" s="2498"/>
      <c r="E463" s="2498"/>
      <c r="F463" s="2502" t="s">
        <v>187</v>
      </c>
      <c r="G463" s="2511">
        <f>SUM(G454:H462)</f>
        <v>59000</v>
      </c>
      <c r="H463" s="2511"/>
      <c r="I463" s="2498"/>
      <c r="J463" s="2511">
        <f>SUM(J454:K462)</f>
        <v>59000</v>
      </c>
      <c r="K463" s="2506"/>
      <c r="L463" s="2513"/>
      <c r="M463" s="2511">
        <f>SUM(M454:N462)</f>
        <v>0</v>
      </c>
      <c r="N463" s="2511"/>
      <c r="O463" s="2498"/>
      <c r="P463" s="2511">
        <f>SUM(P454:Q462)</f>
        <v>0</v>
      </c>
      <c r="Q463" s="2511"/>
      <c r="R463" s="2498"/>
      <c r="S463" s="2511">
        <f>SUM(S454:T462)</f>
        <v>0</v>
      </c>
      <c r="T463" s="2511"/>
      <c r="U463" s="2498"/>
      <c r="V463" s="2581">
        <f>SUM(V454:V462)</f>
        <v>0</v>
      </c>
      <c r="W463" s="2359"/>
      <c r="X463" s="2359"/>
    </row>
    <row r="464" spans="1:24" ht="13.8">
      <c r="A464" s="2498"/>
      <c r="B464" s="2498" t="s">
        <v>2147</v>
      </c>
      <c r="C464" s="2498"/>
      <c r="D464" s="2498"/>
      <c r="E464" s="2498"/>
      <c r="F464" s="2498"/>
      <c r="G464" s="2498"/>
      <c r="H464" s="2498"/>
      <c r="I464" s="2498"/>
      <c r="J464" s="2511"/>
      <c r="K464" s="2511"/>
      <c r="L464" s="2498"/>
      <c r="M464" s="2511"/>
      <c r="N464" s="2511"/>
      <c r="O464" s="2513" t="str">
        <f>B464</f>
        <v>ACQUISITION</v>
      </c>
      <c r="P464" s="2511"/>
      <c r="Q464" s="2511"/>
      <c r="R464" s="2498"/>
      <c r="S464" s="2511"/>
      <c r="T464" s="2511"/>
      <c r="U464" s="2498"/>
      <c r="V464" s="2581"/>
      <c r="W464" s="2498" t="str">
        <f>B464</f>
        <v>ACQUISITION</v>
      </c>
      <c r="X464" s="2498"/>
    </row>
    <row r="465" spans="1:24" ht="13.8">
      <c r="A465" s="2498"/>
      <c r="B465" s="2498" t="s">
        <v>2148</v>
      </c>
      <c r="C465" s="2498"/>
      <c r="D465" s="2498"/>
      <c r="E465" s="2583" t="s">
        <v>3547</v>
      </c>
      <c r="F465" s="2584">
        <f>IF('Part I-Project Information'!$O$37="","",G465/'Part I-Project Information'!$O$37)</f>
        <v>30223.186608803473</v>
      </c>
      <c r="G465" s="2511">
        <f>'Part IV-A-Uses of Funds'!G19</f>
        <v>975000</v>
      </c>
      <c r="H465" s="2511"/>
      <c r="I465" s="2498"/>
      <c r="J465" s="2513"/>
      <c r="K465" s="2511"/>
      <c r="L465" s="2513"/>
      <c r="M465" s="2513"/>
      <c r="N465" s="2511"/>
      <c r="O465" s="2498"/>
      <c r="P465" s="2513"/>
      <c r="Q465" s="2511"/>
      <c r="R465" s="2498"/>
      <c r="S465" s="2511">
        <f>'Part IV-A-Uses of Funds'!S19</f>
        <v>975000</v>
      </c>
      <c r="T465" s="2511"/>
      <c r="U465" s="2498"/>
      <c r="V465" s="2581"/>
      <c r="W465" s="2359"/>
      <c r="X465" s="2359"/>
    </row>
    <row r="466" spans="1:24" ht="13.8">
      <c r="A466" s="2498"/>
      <c r="B466" s="2498" t="s">
        <v>1097</v>
      </c>
      <c r="C466" s="2498"/>
      <c r="D466" s="2498"/>
      <c r="E466" s="2498"/>
      <c r="F466" s="2498"/>
      <c r="G466" s="2511">
        <f>'Part IV-A-Uses of Funds'!G20</f>
        <v>0</v>
      </c>
      <c r="H466" s="2511"/>
      <c r="I466" s="2498"/>
      <c r="J466" s="2513"/>
      <c r="K466" s="2511"/>
      <c r="L466" s="2513"/>
      <c r="M466" s="2513"/>
      <c r="N466" s="2511"/>
      <c r="O466" s="2498"/>
      <c r="P466" s="2513"/>
      <c r="Q466" s="2511"/>
      <c r="R466" s="2498"/>
      <c r="S466" s="2511">
        <f>'Part IV-A-Uses of Funds'!S20</f>
        <v>0</v>
      </c>
      <c r="T466" s="2511"/>
      <c r="U466" s="2498"/>
      <c r="V466" s="2581"/>
      <c r="W466" s="2359"/>
      <c r="X466" s="2359"/>
    </row>
    <row r="467" spans="1:24" ht="13.8">
      <c r="A467" s="2498"/>
      <c r="B467" s="2498" t="s">
        <v>449</v>
      </c>
      <c r="C467" s="2498"/>
      <c r="D467" s="2498"/>
      <c r="E467" s="2498"/>
      <c r="F467" s="2498"/>
      <c r="G467" s="2511">
        <f>'Part IV-A-Uses of Funds'!G21</f>
        <v>0</v>
      </c>
      <c r="H467" s="2511"/>
      <c r="I467" s="2498"/>
      <c r="J467" s="2513"/>
      <c r="K467" s="2511"/>
      <c r="L467" s="2513"/>
      <c r="M467" s="2511">
        <f>'Part IV-A-Uses of Funds'!M21</f>
        <v>0</v>
      </c>
      <c r="N467" s="2511"/>
      <c r="O467" s="2498"/>
      <c r="P467" s="2513"/>
      <c r="Q467" s="2511"/>
      <c r="R467" s="2498"/>
      <c r="S467" s="2511">
        <f>'Part IV-A-Uses of Funds'!S21</f>
        <v>0</v>
      </c>
      <c r="T467" s="2511"/>
      <c r="U467" s="2498"/>
      <c r="V467" s="2581"/>
      <c r="W467" s="2359"/>
      <c r="X467" s="2359"/>
    </row>
    <row r="468" spans="1:24" ht="13.8">
      <c r="A468" s="2498"/>
      <c r="B468" s="2498" t="s">
        <v>422</v>
      </c>
      <c r="C468" s="2498"/>
      <c r="D468" s="2498"/>
      <c r="E468" s="2498"/>
      <c r="F468" s="2498"/>
      <c r="G468" s="2511">
        <f>'Part IV-A-Uses of Funds'!G22</f>
        <v>0</v>
      </c>
      <c r="H468" s="2511"/>
      <c r="I468" s="2498"/>
      <c r="J468" s="2513"/>
      <c r="K468" s="2511"/>
      <c r="L468" s="2513"/>
      <c r="M468" s="2511">
        <f>'Part IV-A-Uses of Funds'!M22</f>
        <v>0</v>
      </c>
      <c r="N468" s="2511"/>
      <c r="O468" s="2498"/>
      <c r="P468" s="2513"/>
      <c r="Q468" s="2511"/>
      <c r="R468" s="2498"/>
      <c r="S468" s="2511">
        <f>'Part IV-A-Uses of Funds'!S22</f>
        <v>0</v>
      </c>
      <c r="T468" s="2511"/>
      <c r="U468" s="2498"/>
      <c r="V468" s="2581"/>
      <c r="W468" s="2359"/>
      <c r="X468" s="2359"/>
    </row>
    <row r="469" spans="1:24" ht="13.8">
      <c r="A469" s="2498"/>
      <c r="B469" s="2498"/>
      <c r="C469" s="2498"/>
      <c r="D469" s="2498"/>
      <c r="E469" s="2498"/>
      <c r="F469" s="2502" t="s">
        <v>187</v>
      </c>
      <c r="G469" s="2511">
        <f>SUM(G465:H468)</f>
        <v>975000</v>
      </c>
      <c r="H469" s="2511"/>
      <c r="I469" s="2498"/>
      <c r="J469" s="2513"/>
      <c r="K469" s="2511"/>
      <c r="L469" s="2513"/>
      <c r="M469" s="2511">
        <f>SUM(M467:N468)</f>
        <v>0</v>
      </c>
      <c r="N469" s="2511"/>
      <c r="O469" s="2498"/>
      <c r="P469" s="2513"/>
      <c r="Q469" s="2511"/>
      <c r="R469" s="2498"/>
      <c r="S469" s="2511">
        <f>SUM(S465:T468)</f>
        <v>975000</v>
      </c>
      <c r="T469" s="2511"/>
      <c r="U469" s="2498"/>
      <c r="V469" s="2581">
        <f>SUM(V465:V468)</f>
        <v>0</v>
      </c>
      <c r="W469" s="2359"/>
      <c r="X469" s="2359"/>
    </row>
    <row r="470" spans="1:24" ht="13.8">
      <c r="A470" s="2498"/>
      <c r="B470" s="2498" t="s">
        <v>1098</v>
      </c>
      <c r="C470" s="2498"/>
      <c r="D470" s="2498"/>
      <c r="E470" s="2498"/>
      <c r="F470" s="2498"/>
      <c r="G470" s="2498"/>
      <c r="H470" s="2498"/>
      <c r="I470" s="2498"/>
      <c r="J470" s="2513"/>
      <c r="K470" s="2511"/>
      <c r="L470" s="2498"/>
      <c r="M470" s="2513"/>
      <c r="N470" s="2511"/>
      <c r="O470" s="2513" t="str">
        <f>B470</f>
        <v>LAND IMPROVEMENTS</v>
      </c>
      <c r="P470" s="2513"/>
      <c r="Q470" s="2511"/>
      <c r="R470" s="2498"/>
      <c r="S470" s="2513"/>
      <c r="T470" s="2511"/>
      <c r="U470" s="2498"/>
      <c r="V470" s="2581"/>
      <c r="W470" s="2498" t="str">
        <f>B470</f>
        <v>LAND IMPROVEMENTS</v>
      </c>
      <c r="X470" s="2498"/>
    </row>
    <row r="471" spans="1:24" ht="13.8">
      <c r="A471" s="2498"/>
      <c r="B471" s="2498" t="s">
        <v>1099</v>
      </c>
      <c r="C471" s="2498"/>
      <c r="D471" s="2498"/>
      <c r="E471" s="2583" t="s">
        <v>3547</v>
      </c>
      <c r="F471" s="2584">
        <f>IF('Part I-Project Information'!$O$37="","",G471/'Part I-Project Information'!$O$37)</f>
        <v>61996.280223186615</v>
      </c>
      <c r="G471" s="2511">
        <f>'Part IV-A-Uses of Funds'!G25</f>
        <v>2000000</v>
      </c>
      <c r="H471" s="2511"/>
      <c r="I471" s="2498"/>
      <c r="J471" s="2511">
        <f>'Part IV-A-Uses of Funds'!J25</f>
        <v>1940000</v>
      </c>
      <c r="K471" s="2511"/>
      <c r="L471" s="2513"/>
      <c r="M471" s="2511">
        <f>'Part IV-A-Uses of Funds'!M25</f>
        <v>0</v>
      </c>
      <c r="N471" s="2511"/>
      <c r="O471" s="2498"/>
      <c r="P471" s="2511">
        <f>'Part IV-A-Uses of Funds'!P25</f>
        <v>0</v>
      </c>
      <c r="Q471" s="2511"/>
      <c r="R471" s="2498"/>
      <c r="S471" s="2511">
        <f>'Part IV-A-Uses of Funds'!S25</f>
        <v>60000</v>
      </c>
      <c r="T471" s="2511"/>
      <c r="U471" s="2498"/>
      <c r="V471" s="2581"/>
      <c r="W471" s="2359"/>
      <c r="X471" s="2359"/>
    </row>
    <row r="472" spans="1:24" ht="13.8">
      <c r="A472" s="2498"/>
      <c r="B472" s="2498" t="s">
        <v>1100</v>
      </c>
      <c r="C472" s="2498"/>
      <c r="D472" s="2498"/>
      <c r="E472" s="2498"/>
      <c r="F472" s="2498"/>
      <c r="G472" s="2511">
        <f>'Part IV-A-Uses of Funds'!G26</f>
        <v>0</v>
      </c>
      <c r="H472" s="2511"/>
      <c r="I472" s="2498"/>
      <c r="J472" s="2511">
        <f>'Part IV-A-Uses of Funds'!J26</f>
        <v>0</v>
      </c>
      <c r="K472" s="2511"/>
      <c r="L472" s="2585"/>
      <c r="M472" s="2511"/>
      <c r="N472" s="2511"/>
      <c r="O472" s="2498"/>
      <c r="P472" s="2511"/>
      <c r="Q472" s="2511"/>
      <c r="R472" s="2498"/>
      <c r="S472" s="2511">
        <f>'Part IV-A-Uses of Funds'!S26</f>
        <v>0</v>
      </c>
      <c r="T472" s="2511"/>
      <c r="U472" s="2498"/>
      <c r="V472" s="2581"/>
      <c r="W472" s="2359"/>
      <c r="X472" s="2359"/>
    </row>
    <row r="473" spans="1:24" ht="13.8">
      <c r="A473" s="2498"/>
      <c r="B473" s="2498"/>
      <c r="C473" s="2498"/>
      <c r="D473" s="2498"/>
      <c r="E473" s="2498"/>
      <c r="F473" s="2502" t="s">
        <v>187</v>
      </c>
      <c r="G473" s="2511">
        <f>SUM(G471:H472)</f>
        <v>2000000</v>
      </c>
      <c r="H473" s="2511"/>
      <c r="I473" s="2498"/>
      <c r="J473" s="2511">
        <f>SUM(J471:K472)</f>
        <v>1940000</v>
      </c>
      <c r="K473" s="2511"/>
      <c r="L473" s="2513"/>
      <c r="M473" s="2511">
        <f>M471</f>
        <v>0</v>
      </c>
      <c r="N473" s="2511"/>
      <c r="O473" s="2498"/>
      <c r="P473" s="2511">
        <f>P471</f>
        <v>0</v>
      </c>
      <c r="Q473" s="2511"/>
      <c r="R473" s="2498"/>
      <c r="S473" s="2511">
        <f>SUM(S471:T472)</f>
        <v>60000</v>
      </c>
      <c r="T473" s="2511"/>
      <c r="U473" s="2498"/>
      <c r="V473" s="2581">
        <f>SUM(V471:V472)</f>
        <v>0</v>
      </c>
      <c r="W473" s="2359"/>
      <c r="X473" s="2359"/>
    </row>
    <row r="474" spans="1:24" ht="13.8">
      <c r="A474" s="2498"/>
      <c r="B474" s="2498" t="s">
        <v>1101</v>
      </c>
      <c r="C474" s="2498"/>
      <c r="D474" s="2498"/>
      <c r="E474" s="2498"/>
      <c r="F474" s="2498"/>
      <c r="G474" s="2498"/>
      <c r="H474" s="2498"/>
      <c r="I474" s="2498"/>
      <c r="J474" s="2513"/>
      <c r="K474" s="2511"/>
      <c r="L474" s="2498"/>
      <c r="M474" s="2513"/>
      <c r="N474" s="2511"/>
      <c r="O474" s="2513" t="str">
        <f>B474</f>
        <v>STRUCTURES</v>
      </c>
      <c r="P474" s="2513"/>
      <c r="Q474" s="2511"/>
      <c r="R474" s="2498"/>
      <c r="S474" s="2513"/>
      <c r="T474" s="2511"/>
      <c r="U474" s="2498"/>
      <c r="V474" s="2581"/>
      <c r="W474" s="2498" t="str">
        <f>B474</f>
        <v>STRUCTURES</v>
      </c>
      <c r="X474" s="2498"/>
    </row>
    <row r="475" spans="1:24" ht="13.8">
      <c r="A475" s="2498"/>
      <c r="B475" s="2498" t="s">
        <v>1102</v>
      </c>
      <c r="C475" s="2498"/>
      <c r="D475" s="2498"/>
      <c r="E475" s="2498"/>
      <c r="F475" s="2498"/>
      <c r="G475" s="2511">
        <f>'Part IV-A-Uses of Funds'!G29</f>
        <v>26000000</v>
      </c>
      <c r="H475" s="2511"/>
      <c r="I475" s="2498"/>
      <c r="J475" s="2511">
        <f>'Part IV-A-Uses of Funds'!J29</f>
        <v>25220000</v>
      </c>
      <c r="K475" s="2511"/>
      <c r="L475" s="2513"/>
      <c r="M475" s="2511">
        <f>'Part IV-A-Uses of Funds'!M29</f>
        <v>0</v>
      </c>
      <c r="N475" s="2511"/>
      <c r="O475" s="2498"/>
      <c r="P475" s="2511">
        <f>'Part IV-A-Uses of Funds'!P29</f>
        <v>0</v>
      </c>
      <c r="Q475" s="2511"/>
      <c r="R475" s="2498"/>
      <c r="S475" s="2511">
        <f>'Part IV-A-Uses of Funds'!S29</f>
        <v>780000</v>
      </c>
      <c r="T475" s="2511"/>
      <c r="U475" s="2498"/>
      <c r="V475" s="2581"/>
      <c r="W475" s="2359"/>
      <c r="X475" s="2359"/>
    </row>
    <row r="476" spans="1:24" ht="13.8">
      <c r="A476" s="2498"/>
      <c r="B476" s="2498" t="s">
        <v>1103</v>
      </c>
      <c r="C476" s="2498"/>
      <c r="D476" s="2498"/>
      <c r="E476" s="2498"/>
      <c r="F476" s="2498"/>
      <c r="G476" s="2511">
        <f>'Part IV-A-Uses of Funds'!G30</f>
        <v>0</v>
      </c>
      <c r="H476" s="2511"/>
      <c r="I476" s="2498"/>
      <c r="J476" s="2511">
        <f>'Part IV-A-Uses of Funds'!J30</f>
        <v>0</v>
      </c>
      <c r="K476" s="2511"/>
      <c r="L476" s="2513"/>
      <c r="M476" s="2511">
        <f>'Part IV-A-Uses of Funds'!M30</f>
        <v>0</v>
      </c>
      <c r="N476" s="2511"/>
      <c r="O476" s="2498"/>
      <c r="P476" s="2511">
        <f>'Part IV-A-Uses of Funds'!P30</f>
        <v>0</v>
      </c>
      <c r="Q476" s="2511"/>
      <c r="R476" s="2498"/>
      <c r="S476" s="2511">
        <f>'Part IV-A-Uses of Funds'!S30</f>
        <v>0</v>
      </c>
      <c r="T476" s="2511"/>
      <c r="U476" s="2498"/>
      <c r="V476" s="2581"/>
      <c r="W476" s="2359"/>
      <c r="X476" s="2359"/>
    </row>
    <row r="477" spans="1:24" ht="13.8">
      <c r="A477" s="2498"/>
      <c r="B477" s="2498" t="s">
        <v>2689</v>
      </c>
      <c r="C477" s="2498"/>
      <c r="D477" s="2498"/>
      <c r="E477" s="2498"/>
      <c r="F477" s="2498"/>
      <c r="G477" s="2511">
        <f>'Part IV-A-Uses of Funds'!G31</f>
        <v>0</v>
      </c>
      <c r="H477" s="2511"/>
      <c r="I477" s="2498"/>
      <c r="J477" s="2511">
        <f>'Part IV-A-Uses of Funds'!J31</f>
        <v>0</v>
      </c>
      <c r="K477" s="2511"/>
      <c r="L477" s="2513"/>
      <c r="M477" s="2511">
        <f>'Part IV-A-Uses of Funds'!M31</f>
        <v>0</v>
      </c>
      <c r="N477" s="2511"/>
      <c r="O477" s="2498"/>
      <c r="P477" s="2511">
        <f>'Part IV-A-Uses of Funds'!P31</f>
        <v>0</v>
      </c>
      <c r="Q477" s="2511"/>
      <c r="R477" s="2498"/>
      <c r="S477" s="2511">
        <f>'Part IV-A-Uses of Funds'!S31</f>
        <v>0</v>
      </c>
      <c r="T477" s="2511"/>
      <c r="U477" s="2498"/>
      <c r="V477" s="2581"/>
      <c r="W477" s="2359"/>
      <c r="X477" s="2359"/>
    </row>
    <row r="478" spans="1:24" ht="13.8">
      <c r="A478" s="2506"/>
      <c r="B478" s="2498" t="s">
        <v>2688</v>
      </c>
      <c r="C478" s="2506"/>
      <c r="D478" s="2506"/>
      <c r="E478" s="2506"/>
      <c r="F478" s="2506"/>
      <c r="G478" s="2511">
        <f>'Part IV-A-Uses of Funds'!G32</f>
        <v>0</v>
      </c>
      <c r="H478" s="2511"/>
      <c r="I478" s="2498"/>
      <c r="J478" s="2511">
        <f>'Part IV-A-Uses of Funds'!J32</f>
        <v>0</v>
      </c>
      <c r="K478" s="2511"/>
      <c r="L478" s="2513"/>
      <c r="M478" s="2511">
        <f>'Part IV-A-Uses of Funds'!M32</f>
        <v>0</v>
      </c>
      <c r="N478" s="2511"/>
      <c r="O478" s="2498"/>
      <c r="P478" s="2511">
        <f>'Part IV-A-Uses of Funds'!P32</f>
        <v>0</v>
      </c>
      <c r="Q478" s="2511"/>
      <c r="R478" s="2498"/>
      <c r="S478" s="2511">
        <f>'Part IV-A-Uses of Funds'!S32</f>
        <v>0</v>
      </c>
      <c r="T478" s="2511"/>
      <c r="U478" s="2506"/>
      <c r="V478" s="2581"/>
      <c r="W478" s="2359"/>
      <c r="X478" s="2359"/>
    </row>
    <row r="479" spans="1:24" ht="13.8">
      <c r="A479" s="2498"/>
      <c r="B479" s="2498"/>
      <c r="C479" s="2586"/>
      <c r="D479" s="2586"/>
      <c r="E479" s="2587"/>
      <c r="F479" s="2502" t="s">
        <v>187</v>
      </c>
      <c r="G479" s="2511">
        <f>SUM(G475:H478)</f>
        <v>26000000</v>
      </c>
      <c r="H479" s="2511"/>
      <c r="I479" s="2498"/>
      <c r="J479" s="2511">
        <f>SUM(J475:K478)</f>
        <v>25220000</v>
      </c>
      <c r="K479" s="2511"/>
      <c r="L479" s="2513"/>
      <c r="M479" s="2511">
        <f>SUM(M475:N478)</f>
        <v>0</v>
      </c>
      <c r="N479" s="2511"/>
      <c r="O479" s="2498"/>
      <c r="P479" s="2511">
        <f>SUM(P475:Q478)</f>
        <v>0</v>
      </c>
      <c r="Q479" s="2511"/>
      <c r="R479" s="2498"/>
      <c r="S479" s="2511">
        <f>SUM(S475:T478)</f>
        <v>780000</v>
      </c>
      <c r="T479" s="2511"/>
      <c r="U479" s="2498"/>
      <c r="V479" s="2581">
        <f>SUM(V475:V478)</f>
        <v>0</v>
      </c>
      <c r="W479" s="2359"/>
      <c r="X479" s="2359"/>
    </row>
    <row r="480" spans="1:24" ht="13.8">
      <c r="A480" s="2498"/>
      <c r="B480" s="2498" t="s">
        <v>2284</v>
      </c>
      <c r="C480" s="2498"/>
      <c r="D480" s="2509" t="s">
        <v>3551</v>
      </c>
      <c r="E480" s="2509"/>
      <c r="F480" s="2588">
        <f>SUM(F481:F483)</f>
        <v>0.14000000000000001</v>
      </c>
      <c r="G480" s="2505" t="str">
        <f>IF(G481&gt;E481,"Proposed Builder Profit exceeds DCA Maximum!!!",IF(G482&gt;E482,"Proposed Builder Overhead exceeds DCA Maximum!!!",IF(G483&gt;E483,"Proposed General Requirements exceeds DCA Maximum!!!",IF(G484&gt;E484,"Proposed Contractor Services amount exceeds DCA Maximum!!!",""))))</f>
        <v/>
      </c>
      <c r="H480" s="2506"/>
      <c r="I480" s="2506"/>
      <c r="J480" s="2513"/>
      <c r="K480" s="2511"/>
      <c r="L480" s="2498"/>
      <c r="M480" s="2513"/>
      <c r="N480" s="2511"/>
      <c r="O480" s="2513" t="str">
        <f>B480</f>
        <v>CONTRACTOR SERVICES</v>
      </c>
      <c r="P480" s="2513"/>
      <c r="Q480" s="2511"/>
      <c r="R480" s="2498"/>
      <c r="S480" s="2513"/>
      <c r="T480" s="2511"/>
      <c r="U480" s="2498"/>
      <c r="V480" s="2581"/>
      <c r="W480" s="2498" t="str">
        <f>B480</f>
        <v>CONTRACTOR SERVICES</v>
      </c>
      <c r="X480" s="2498"/>
    </row>
    <row r="481" spans="1:24" ht="13.8">
      <c r="A481" s="2498"/>
      <c r="B481" s="2498" t="s">
        <v>2285</v>
      </c>
      <c r="C481" s="2498"/>
      <c r="D481" s="2589">
        <f>'DCA Underwriting Assumptions'!$R$77</f>
        <v>0.06</v>
      </c>
      <c r="E481" s="2590">
        <f>D481*(G473+G479)</f>
        <v>1680000</v>
      </c>
      <c r="F481" s="2589">
        <f>'Part IV-A-Uses of Funds'!F35</f>
        <v>0.06</v>
      </c>
      <c r="G481" s="2511">
        <f>'Part IV-A-Uses of Funds'!G35</f>
        <v>1680000</v>
      </c>
      <c r="H481" s="2511"/>
      <c r="I481" s="2506"/>
      <c r="J481" s="2511">
        <f>'Part IV-A-Uses of Funds'!J35</f>
        <v>1680000</v>
      </c>
      <c r="K481" s="2511"/>
      <c r="L481" s="2513"/>
      <c r="M481" s="2511">
        <f>'Part IV-A-Uses of Funds'!M35</f>
        <v>0</v>
      </c>
      <c r="N481" s="2511"/>
      <c r="O481" s="2498"/>
      <c r="P481" s="2511">
        <f>'Part IV-A-Uses of Funds'!P35</f>
        <v>0</v>
      </c>
      <c r="Q481" s="2511"/>
      <c r="R481" s="2498"/>
      <c r="S481" s="2511">
        <f>'Part IV-A-Uses of Funds'!S35</f>
        <v>0</v>
      </c>
      <c r="T481" s="2511"/>
      <c r="U481" s="2498"/>
      <c r="V481" s="2581"/>
      <c r="W481" s="2359"/>
      <c r="X481" s="2359"/>
    </row>
    <row r="482" spans="1:24" ht="13.8">
      <c r="A482" s="2498"/>
      <c r="B482" s="2498" t="s">
        <v>2651</v>
      </c>
      <c r="C482" s="2498"/>
      <c r="D482" s="2589">
        <f>'DCA Underwriting Assumptions'!$R$78</f>
        <v>0.02</v>
      </c>
      <c r="E482" s="2590">
        <f>D482*(G473+G479)</f>
        <v>560000</v>
      </c>
      <c r="F482" s="2589">
        <f>'Part IV-A-Uses of Funds'!F36</f>
        <v>0.02</v>
      </c>
      <c r="G482" s="2511">
        <f>'Part IV-A-Uses of Funds'!G36</f>
        <v>560000</v>
      </c>
      <c r="H482" s="2511"/>
      <c r="I482" s="2506"/>
      <c r="J482" s="2511">
        <f>'Part IV-A-Uses of Funds'!J36</f>
        <v>560000</v>
      </c>
      <c r="K482" s="2511"/>
      <c r="L482" s="2513"/>
      <c r="M482" s="2511">
        <f>'Part IV-A-Uses of Funds'!M36</f>
        <v>0</v>
      </c>
      <c r="N482" s="2511"/>
      <c r="O482" s="2498"/>
      <c r="P482" s="2511">
        <f>'Part IV-A-Uses of Funds'!P36</f>
        <v>0</v>
      </c>
      <c r="Q482" s="2511"/>
      <c r="R482" s="2498"/>
      <c r="S482" s="2511">
        <f>'Part IV-A-Uses of Funds'!S36</f>
        <v>0</v>
      </c>
      <c r="T482" s="2511"/>
      <c r="U482" s="2498"/>
      <c r="V482" s="2581"/>
      <c r="W482" s="2359"/>
      <c r="X482" s="2359"/>
    </row>
    <row r="483" spans="1:24" ht="13.8">
      <c r="A483" s="2498"/>
      <c r="B483" s="2498" t="s">
        <v>2652</v>
      </c>
      <c r="C483" s="2498"/>
      <c r="D483" s="2589">
        <f>'DCA Underwriting Assumptions'!$R$79</f>
        <v>0.06</v>
      </c>
      <c r="E483" s="2590">
        <f>D483*(G473+G479)</f>
        <v>1680000</v>
      </c>
      <c r="F483" s="2589">
        <f>'Part IV-A-Uses of Funds'!F37</f>
        <v>0.06</v>
      </c>
      <c r="G483" s="2511">
        <f>'Part IV-A-Uses of Funds'!G37</f>
        <v>1680000</v>
      </c>
      <c r="H483" s="2511"/>
      <c r="I483" s="2506"/>
      <c r="J483" s="2511">
        <f>'Part IV-A-Uses of Funds'!J37</f>
        <v>1680000</v>
      </c>
      <c r="K483" s="2511"/>
      <c r="L483" s="2513"/>
      <c r="M483" s="2511">
        <f>'Part IV-A-Uses of Funds'!M37</f>
        <v>0</v>
      </c>
      <c r="N483" s="2511"/>
      <c r="O483" s="2498"/>
      <c r="P483" s="2511">
        <f>'Part IV-A-Uses of Funds'!P37</f>
        <v>0</v>
      </c>
      <c r="Q483" s="2511"/>
      <c r="R483" s="2498"/>
      <c r="S483" s="2511">
        <f>'Part IV-A-Uses of Funds'!S37</f>
        <v>0</v>
      </c>
      <c r="T483" s="2511"/>
      <c r="U483" s="2498"/>
      <c r="V483" s="2581"/>
      <c r="W483" s="2359"/>
      <c r="X483" s="2359"/>
    </row>
    <row r="484" spans="1:24" ht="13.8">
      <c r="A484" s="2498"/>
      <c r="B484" s="2505" t="s">
        <v>3552</v>
      </c>
      <c r="C484" s="2498"/>
      <c r="D484" s="2588">
        <f>SUM(D481:D483)</f>
        <v>0.14000000000000001</v>
      </c>
      <c r="E484" s="2591">
        <f>SUM(E481:E483)</f>
        <v>3920000</v>
      </c>
      <c r="F484" s="2502" t="s">
        <v>187</v>
      </c>
      <c r="G484" s="2511">
        <f>SUM(G481:H483)</f>
        <v>3920000</v>
      </c>
      <c r="H484" s="2511"/>
      <c r="I484" s="2498"/>
      <c r="J484" s="2511">
        <f>SUM(J481:K483)</f>
        <v>3920000</v>
      </c>
      <c r="K484" s="2511"/>
      <c r="L484" s="2513"/>
      <c r="M484" s="2511">
        <f>SUM(M481:N483)</f>
        <v>0</v>
      </c>
      <c r="N484" s="2511"/>
      <c r="O484" s="2498"/>
      <c r="P484" s="2511">
        <f>SUM(P481:Q483)</f>
        <v>0</v>
      </c>
      <c r="Q484" s="2511"/>
      <c r="R484" s="2498"/>
      <c r="S484" s="2511">
        <f>SUM(S481:T483)</f>
        <v>0</v>
      </c>
      <c r="T484" s="2511"/>
      <c r="U484" s="2498"/>
      <c r="V484" s="2581">
        <f>SUM(V481:V483)</f>
        <v>0</v>
      </c>
      <c r="W484" s="2359"/>
      <c r="X484" s="2359"/>
    </row>
    <row r="485" spans="1:24" ht="13.8">
      <c r="A485" s="2499"/>
      <c r="B485" s="2499"/>
      <c r="C485" s="2499"/>
      <c r="D485" s="2499"/>
      <c r="E485" s="2499"/>
      <c r="F485" s="2499"/>
      <c r="G485" s="2499"/>
      <c r="H485" s="2499"/>
      <c r="I485" s="2499"/>
      <c r="J485" s="2499"/>
      <c r="K485" s="2499"/>
      <c r="L485" s="2499"/>
      <c r="M485" s="2499"/>
      <c r="N485" s="2499"/>
      <c r="O485" s="2499"/>
      <c r="P485" s="2499"/>
      <c r="Q485" s="2499"/>
      <c r="R485" s="2499"/>
      <c r="S485" s="2499"/>
      <c r="T485" s="2499"/>
      <c r="U485" s="2498"/>
      <c r="V485" s="2581"/>
      <c r="W485" s="2498"/>
      <c r="X485" s="2498"/>
    </row>
    <row r="486" spans="1:24" ht="13.8">
      <c r="A486" s="2498"/>
      <c r="B486" s="2498" t="s">
        <v>6974</v>
      </c>
      <c r="C486" s="2498"/>
      <c r="D486" s="2498"/>
      <c r="E486" s="2498"/>
      <c r="F486" s="2498"/>
      <c r="G486" s="2498"/>
      <c r="H486" s="2498"/>
      <c r="I486" s="2498"/>
      <c r="J486" s="2513"/>
      <c r="K486" s="2511"/>
      <c r="L486" s="2498"/>
      <c r="M486" s="2513"/>
      <c r="N486" s="2511"/>
      <c r="O486" s="2513" t="str">
        <f>B486</f>
        <v>OTHER CONSTRUCTION HARD COSTS (Non-GC work scope items done by Owner)</v>
      </c>
      <c r="P486" s="2513"/>
      <c r="Q486" s="2511"/>
      <c r="R486" s="2498"/>
      <c r="S486" s="2513"/>
      <c r="T486" s="2511"/>
      <c r="U486" s="2498"/>
      <c r="V486" s="2581"/>
      <c r="W486" s="2498" t="str">
        <f>B486</f>
        <v>OTHER CONSTRUCTION HARD COSTS (Non-GC work scope items done by Owner)</v>
      </c>
      <c r="X486" s="2498"/>
    </row>
    <row r="487" spans="1:24" ht="13.8" customHeight="1">
      <c r="A487" s="2506"/>
      <c r="B487" s="2498" t="s">
        <v>723</v>
      </c>
      <c r="C487" s="2509" t="str">
        <f>'Part IV-A-Uses of Funds'!C41</f>
        <v>&lt;&lt; Enter description here; provide detail &amp; justification in tab Part IV-b &gt;&gt;</v>
      </c>
      <c r="D487" s="2509"/>
      <c r="E487" s="2509"/>
      <c r="F487" s="2509"/>
      <c r="G487" s="2511">
        <f>'Part IV-A-Uses of Funds'!G41</f>
        <v>0</v>
      </c>
      <c r="H487" s="2511"/>
      <c r="I487" s="2498"/>
      <c r="J487" s="2511">
        <f>'Part IV-A-Uses of Funds'!J41</f>
        <v>0</v>
      </c>
      <c r="K487" s="2511"/>
      <c r="L487" s="2513"/>
      <c r="M487" s="2511">
        <f>'Part IV-A-Uses of Funds'!M41</f>
        <v>0</v>
      </c>
      <c r="N487" s="2511"/>
      <c r="O487" s="2498"/>
      <c r="P487" s="2511">
        <f>'Part IV-A-Uses of Funds'!P41</f>
        <v>0</v>
      </c>
      <c r="Q487" s="2511"/>
      <c r="R487" s="2498"/>
      <c r="S487" s="2511">
        <f>'Part IV-A-Uses of Funds'!S41</f>
        <v>0</v>
      </c>
      <c r="T487" s="2511"/>
      <c r="U487" s="2506"/>
      <c r="V487" s="2581"/>
      <c r="W487" s="2359"/>
      <c r="X487" s="2359"/>
    </row>
    <row r="488" spans="1:24" ht="13.8">
      <c r="A488" s="2499"/>
      <c r="B488" s="2499"/>
      <c r="C488" s="2499"/>
      <c r="D488" s="2499"/>
      <c r="E488" s="2499"/>
      <c r="F488" s="2499"/>
      <c r="G488" s="2499"/>
      <c r="H488" s="2499"/>
      <c r="I488" s="2499"/>
      <c r="J488" s="2499"/>
      <c r="K488" s="2499"/>
      <c r="L488" s="2499"/>
      <c r="M488" s="2499"/>
      <c r="N488" s="2499"/>
      <c r="O488" s="2499"/>
      <c r="P488" s="2499"/>
      <c r="Q488" s="2499"/>
      <c r="R488" s="2499"/>
      <c r="S488" s="2499"/>
      <c r="T488" s="2499"/>
      <c r="U488" s="2498"/>
      <c r="V488" s="2581"/>
      <c r="W488" s="2359"/>
      <c r="X488" s="2359"/>
    </row>
    <row r="489" spans="1:24" ht="13.8" customHeight="1">
      <c r="A489" s="2498"/>
      <c r="B489" s="2496" t="s">
        <v>6890</v>
      </c>
      <c r="C489" s="2498"/>
      <c r="D489" s="2498"/>
      <c r="E489" s="2498" t="s">
        <v>2659</v>
      </c>
      <c r="F489" s="2592">
        <f>B490/'Part VI-Revenues &amp; Expenses'!$P$65</f>
        <v>159600</v>
      </c>
      <c r="G489" s="2593" t="s">
        <v>6891</v>
      </c>
      <c r="H489" s="2498"/>
      <c r="I489" s="2498"/>
      <c r="J489" s="2594">
        <f>B490/'Part VI-Revenues &amp; Expenses'!$P$67</f>
        <v>159600</v>
      </c>
      <c r="K489" s="2594"/>
      <c r="L489" s="2498"/>
      <c r="M489" s="2595" t="s">
        <v>1375</v>
      </c>
      <c r="N489" s="2595"/>
      <c r="O489" s="2498"/>
      <c r="P489" s="2594">
        <f>B490/'Part I-Project Information'!$P$75</f>
        <v>142.03711120010681</v>
      </c>
      <c r="Q489" s="2594"/>
      <c r="R489" s="2498"/>
      <c r="S489" s="2505" t="s">
        <v>2687</v>
      </c>
      <c r="T489" s="2505"/>
      <c r="U489" s="2498"/>
      <c r="V489" s="2581"/>
      <c r="W489" s="2359"/>
      <c r="X489" s="2359"/>
    </row>
    <row r="490" spans="1:24" ht="13.8">
      <c r="A490" s="2498"/>
      <c r="B490" s="2596">
        <f>G473+G479+G484+G487</f>
        <v>31920000</v>
      </c>
      <c r="C490" s="2596"/>
      <c r="D490" s="2498"/>
      <c r="E490" s="2498"/>
      <c r="F490" s="2592">
        <f>B490/'Part VI-Revenues &amp; Expenses'!$P$168</f>
        <v>143.63497277595283</v>
      </c>
      <c r="G490" s="2505" t="s">
        <v>6892</v>
      </c>
      <c r="H490" s="2498"/>
      <c r="I490" s="2498"/>
      <c r="J490" s="2594">
        <f>B490/'Part VI-Revenues &amp; Expenses'!$P$170</f>
        <v>143.63497277595283</v>
      </c>
      <c r="K490" s="2594"/>
      <c r="L490" s="2498"/>
      <c r="M490" s="2505" t="s">
        <v>2686</v>
      </c>
      <c r="N490" s="2505"/>
      <c r="O490" s="2498"/>
      <c r="P490" s="2498"/>
      <c r="Q490" s="2498"/>
      <c r="R490" s="2498"/>
      <c r="S490" s="2498"/>
      <c r="T490" s="2498"/>
      <c r="U490" s="2498"/>
      <c r="V490" s="2581"/>
      <c r="W490" s="2359"/>
      <c r="X490" s="2359"/>
    </row>
    <row r="491" spans="1:24" ht="13.8">
      <c r="A491" s="2499"/>
      <c r="B491" s="2499"/>
      <c r="C491" s="2499"/>
      <c r="D491" s="2499"/>
      <c r="E491" s="2499"/>
      <c r="F491" s="2499"/>
      <c r="G491" s="2499"/>
      <c r="H491" s="2499"/>
      <c r="I491" s="2499"/>
      <c r="J491" s="2499"/>
      <c r="K491" s="2499"/>
      <c r="L491" s="2499"/>
      <c r="M491" s="2499"/>
      <c r="N491" s="2499"/>
      <c r="O491" s="2499"/>
      <c r="P491" s="2499"/>
      <c r="Q491" s="2499"/>
      <c r="R491" s="2499"/>
      <c r="S491" s="2499"/>
      <c r="T491" s="2499"/>
      <c r="U491" s="2498"/>
      <c r="V491" s="2581"/>
      <c r="W491" s="2498"/>
      <c r="X491" s="2498"/>
    </row>
    <row r="492" spans="1:24" ht="13.8">
      <c r="A492" s="2498"/>
      <c r="B492" s="2498" t="s">
        <v>1104</v>
      </c>
      <c r="C492" s="2498"/>
      <c r="D492" s="2498"/>
      <c r="E492" s="2498"/>
      <c r="F492" s="2597" t="s">
        <v>3844</v>
      </c>
      <c r="G492" s="2498"/>
      <c r="H492" s="2498"/>
      <c r="I492" s="2498"/>
      <c r="J492" s="2513"/>
      <c r="K492" s="2511"/>
      <c r="L492" s="2498"/>
      <c r="M492" s="2513"/>
      <c r="N492" s="2511"/>
      <c r="O492" s="2513" t="str">
        <f>B492</f>
        <v>CONSTRUCTION CONTINGENCY</v>
      </c>
      <c r="P492" s="2513"/>
      <c r="Q492" s="2511"/>
      <c r="R492" s="2498"/>
      <c r="S492" s="2513"/>
      <c r="T492" s="2511"/>
      <c r="U492" s="2498"/>
      <c r="V492" s="2581"/>
      <c r="W492" s="2498" t="str">
        <f>B492</f>
        <v>CONSTRUCTION CONTINGENCY</v>
      </c>
      <c r="X492" s="2498"/>
    </row>
    <row r="493" spans="1:24" ht="13.8">
      <c r="A493" s="2506"/>
      <c r="B493" s="2498" t="s">
        <v>1914</v>
      </c>
      <c r="C493" s="2506"/>
      <c r="D493" s="2532" t="s">
        <v>3843</v>
      </c>
      <c r="E493" s="2598">
        <f>'Part IV-A-Uses of Funds'!E47</f>
        <v>1596000</v>
      </c>
      <c r="F493" s="2599">
        <f>G493/B490</f>
        <v>0.05</v>
      </c>
      <c r="G493" s="2511">
        <f>'Part IV-A-Uses of Funds'!G47</f>
        <v>1596000</v>
      </c>
      <c r="H493" s="2511"/>
      <c r="I493" s="2498"/>
      <c r="J493" s="2511">
        <f>'Part IV-A-Uses of Funds'!J47</f>
        <v>1596000</v>
      </c>
      <c r="K493" s="2511"/>
      <c r="L493" s="2513"/>
      <c r="M493" s="2511">
        <f>'Part IV-A-Uses of Funds'!M47</f>
        <v>0</v>
      </c>
      <c r="N493" s="2511"/>
      <c r="O493" s="2498"/>
      <c r="P493" s="2511">
        <f>'Part IV-A-Uses of Funds'!P47</f>
        <v>0</v>
      </c>
      <c r="Q493" s="2511"/>
      <c r="R493" s="2498"/>
      <c r="S493" s="2511">
        <f>'Part IV-A-Uses of Funds'!S47</f>
        <v>0</v>
      </c>
      <c r="T493" s="2511"/>
      <c r="U493" s="2506"/>
      <c r="V493" s="2581"/>
      <c r="W493" s="2359"/>
      <c r="X493" s="2359"/>
    </row>
    <row r="494" spans="1:24" ht="13.8">
      <c r="A494" s="2499"/>
      <c r="B494" s="2499"/>
      <c r="C494" s="2499"/>
      <c r="D494" s="2499"/>
      <c r="E494" s="2499"/>
      <c r="F494" s="2499"/>
      <c r="G494" s="2499"/>
      <c r="H494" s="2499"/>
      <c r="I494" s="2499"/>
      <c r="J494" s="2499"/>
      <c r="K494" s="2499"/>
      <c r="L494" s="2499"/>
      <c r="M494" s="2499"/>
      <c r="N494" s="2499"/>
      <c r="O494" s="2499"/>
      <c r="P494" s="2499"/>
      <c r="Q494" s="2499"/>
      <c r="R494" s="2499"/>
      <c r="S494" s="2499"/>
      <c r="T494" s="2499"/>
      <c r="U494" s="2498"/>
      <c r="V494" s="2581"/>
      <c r="W494" s="2498"/>
      <c r="X494" s="2498"/>
    </row>
    <row r="495" spans="1:24" ht="13.8" customHeight="1">
      <c r="A495" s="2578" t="s">
        <v>598</v>
      </c>
      <c r="B495" s="2578" t="s">
        <v>6975</v>
      </c>
      <c r="C495" s="2498"/>
      <c r="D495" s="2498"/>
      <c r="E495" s="2498"/>
      <c r="F495" s="2498"/>
      <c r="G495" s="2498"/>
      <c r="H495" s="2498"/>
      <c r="I495" s="2498"/>
      <c r="J495" s="2498" t="s">
        <v>266</v>
      </c>
      <c r="K495" s="2498"/>
      <c r="L495" s="2511"/>
      <c r="M495" s="2511" t="s">
        <v>479</v>
      </c>
      <c r="N495" s="2511"/>
      <c r="O495" s="2498"/>
      <c r="P495" s="2498" t="s">
        <v>267</v>
      </c>
      <c r="Q495" s="2498"/>
      <c r="R495" s="2498"/>
      <c r="S495" s="2498" t="s">
        <v>268</v>
      </c>
      <c r="T495" s="2498"/>
      <c r="U495" s="2498"/>
      <c r="V495" s="2581"/>
      <c r="W495" s="2580" t="str">
        <f>B495</f>
        <v>DEVELOPMENT BUDGET (cont'd)</v>
      </c>
      <c r="X495" s="2498"/>
    </row>
    <row r="496" spans="1:24" ht="13.8">
      <c r="A496" s="2498"/>
      <c r="B496" s="2498"/>
      <c r="C496" s="2498"/>
      <c r="D496" s="2498"/>
      <c r="E496" s="2498"/>
      <c r="F496" s="2498"/>
      <c r="G496" s="2498" t="s">
        <v>98</v>
      </c>
      <c r="H496" s="2498"/>
      <c r="I496" s="2498"/>
      <c r="J496" s="2498"/>
      <c r="K496" s="2498"/>
      <c r="L496" s="2511"/>
      <c r="M496" s="2511"/>
      <c r="N496" s="2511"/>
      <c r="O496" s="2498"/>
      <c r="P496" s="2498"/>
      <c r="Q496" s="2498"/>
      <c r="R496" s="2498"/>
      <c r="S496" s="2498"/>
      <c r="T496" s="2498"/>
      <c r="U496" s="2498"/>
      <c r="V496" s="2581"/>
      <c r="W496" s="2506" t="s">
        <v>2607</v>
      </c>
      <c r="X496" s="2506"/>
    </row>
    <row r="497" spans="1:24" ht="13.8">
      <c r="A497" s="2498"/>
      <c r="B497" s="2498" t="s">
        <v>704</v>
      </c>
      <c r="C497" s="2498"/>
      <c r="D497" s="2498"/>
      <c r="E497" s="2498"/>
      <c r="F497" s="2498"/>
      <c r="G497" s="2498"/>
      <c r="H497" s="2498"/>
      <c r="I497" s="2498"/>
      <c r="J497" s="2513"/>
      <c r="K497" s="2511"/>
      <c r="L497" s="2498"/>
      <c r="M497" s="2513"/>
      <c r="N497" s="2511"/>
      <c r="O497" s="2513" t="str">
        <f>B497</f>
        <v>CONSTRUCTION PERIOD FINANCING</v>
      </c>
      <c r="P497" s="2513"/>
      <c r="Q497" s="2511"/>
      <c r="R497" s="2498"/>
      <c r="S497" s="2513"/>
      <c r="T497" s="2511"/>
      <c r="U497" s="2498"/>
      <c r="V497" s="2581"/>
      <c r="W497" s="2498" t="str">
        <f>B497</f>
        <v>CONSTRUCTION PERIOD FINANCING</v>
      </c>
      <c r="X497" s="2498"/>
    </row>
    <row r="498" spans="1:24" ht="13.8">
      <c r="A498" s="2498"/>
      <c r="B498" s="2498" t="s">
        <v>3553</v>
      </c>
      <c r="C498" s="2498"/>
      <c r="D498" s="2498"/>
      <c r="E498" s="2498"/>
      <c r="F498" s="2498"/>
      <c r="G498" s="2511">
        <f>'Part IV-A-Uses of Funds'!G52</f>
        <v>0</v>
      </c>
      <c r="H498" s="2511"/>
      <c r="I498" s="2498"/>
      <c r="J498" s="2511">
        <f>'Part IV-A-Uses of Funds'!J52</f>
        <v>0</v>
      </c>
      <c r="K498" s="2511"/>
      <c r="L498" s="2513"/>
      <c r="M498" s="2511">
        <f>'Part IV-A-Uses of Funds'!M52</f>
        <v>0</v>
      </c>
      <c r="N498" s="2511"/>
      <c r="O498" s="2498"/>
      <c r="P498" s="2511">
        <f>'Part IV-A-Uses of Funds'!P52</f>
        <v>0</v>
      </c>
      <c r="Q498" s="2511"/>
      <c r="R498" s="2498"/>
      <c r="S498" s="2511">
        <f>'Part IV-A-Uses of Funds'!S52</f>
        <v>0</v>
      </c>
      <c r="T498" s="2511"/>
      <c r="U498" s="2498"/>
      <c r="V498" s="2581"/>
      <c r="W498" s="2359"/>
      <c r="X498" s="2359"/>
    </row>
    <row r="499" spans="1:24" ht="13.8">
      <c r="A499" s="2498"/>
      <c r="B499" s="2498" t="s">
        <v>3554</v>
      </c>
      <c r="C499" s="2498"/>
      <c r="D499" s="2498"/>
      <c r="E499" s="2498"/>
      <c r="F499" s="2498"/>
      <c r="G499" s="2511">
        <f>'Part IV-A-Uses of Funds'!G53</f>
        <v>0</v>
      </c>
      <c r="H499" s="2511"/>
      <c r="I499" s="2498"/>
      <c r="J499" s="2511">
        <f>'Part IV-A-Uses of Funds'!J53</f>
        <v>0</v>
      </c>
      <c r="K499" s="2511"/>
      <c r="L499" s="2513"/>
      <c r="M499" s="2511">
        <f>'Part IV-A-Uses of Funds'!M53</f>
        <v>0</v>
      </c>
      <c r="N499" s="2511"/>
      <c r="O499" s="2498"/>
      <c r="P499" s="2511">
        <f>'Part IV-A-Uses of Funds'!P53</f>
        <v>0</v>
      </c>
      <c r="Q499" s="2511"/>
      <c r="R499" s="2498"/>
      <c r="S499" s="2511">
        <f>'Part IV-A-Uses of Funds'!S53</f>
        <v>0</v>
      </c>
      <c r="T499" s="2511"/>
      <c r="U499" s="2498"/>
      <c r="V499" s="2581"/>
      <c r="W499" s="2359"/>
      <c r="X499" s="2359"/>
    </row>
    <row r="500" spans="1:24" ht="13.8">
      <c r="A500" s="2498"/>
      <c r="B500" s="2498" t="s">
        <v>2287</v>
      </c>
      <c r="C500" s="2498"/>
      <c r="D500" s="2498"/>
      <c r="E500" s="2498"/>
      <c r="F500" s="2498"/>
      <c r="G500" s="2511">
        <f>'Part IV-A-Uses of Funds'!G54</f>
        <v>335000</v>
      </c>
      <c r="H500" s="2511"/>
      <c r="I500" s="2498"/>
      <c r="J500" s="2511">
        <f>'Part IV-A-Uses of Funds'!J54</f>
        <v>217750</v>
      </c>
      <c r="K500" s="2511"/>
      <c r="L500" s="2513"/>
      <c r="M500" s="2511">
        <f>'Part IV-A-Uses of Funds'!M54</f>
        <v>0</v>
      </c>
      <c r="N500" s="2511"/>
      <c r="O500" s="2498"/>
      <c r="P500" s="2511">
        <f>'Part IV-A-Uses of Funds'!P54</f>
        <v>0</v>
      </c>
      <c r="Q500" s="2511"/>
      <c r="R500" s="2498"/>
      <c r="S500" s="2511">
        <f>'Part IV-A-Uses of Funds'!S54</f>
        <v>117250</v>
      </c>
      <c r="T500" s="2511"/>
      <c r="U500" s="2498"/>
      <c r="V500" s="2581"/>
      <c r="W500" s="2359"/>
      <c r="X500" s="2359"/>
    </row>
    <row r="501" spans="1:24" ht="13.8">
      <c r="A501" s="2498"/>
      <c r="B501" s="2498" t="s">
        <v>2288</v>
      </c>
      <c r="C501" s="2498"/>
      <c r="D501" s="2498"/>
      <c r="E501" s="2498"/>
      <c r="F501" s="2498"/>
      <c r="G501" s="2511">
        <f>'Part IV-A-Uses of Funds'!G55</f>
        <v>1199934</v>
      </c>
      <c r="H501" s="2511"/>
      <c r="I501" s="2498"/>
      <c r="J501" s="2511">
        <f>'Part IV-A-Uses of Funds'!J55</f>
        <v>839954</v>
      </c>
      <c r="K501" s="2511"/>
      <c r="L501" s="2513"/>
      <c r="M501" s="2511">
        <f>'Part IV-A-Uses of Funds'!M55</f>
        <v>0</v>
      </c>
      <c r="N501" s="2511"/>
      <c r="O501" s="2498"/>
      <c r="P501" s="2511">
        <f>'Part IV-A-Uses of Funds'!P55</f>
        <v>0</v>
      </c>
      <c r="Q501" s="2511"/>
      <c r="R501" s="2498"/>
      <c r="S501" s="2511">
        <f>'Part IV-A-Uses of Funds'!S55</f>
        <v>359980</v>
      </c>
      <c r="T501" s="2511"/>
      <c r="U501" s="2498"/>
      <c r="V501" s="2581"/>
      <c r="W501" s="2359"/>
      <c r="X501" s="2359"/>
    </row>
    <row r="502" spans="1:24" ht="13.8">
      <c r="A502" s="2498"/>
      <c r="B502" s="2498" t="s">
        <v>2289</v>
      </c>
      <c r="C502" s="2498"/>
      <c r="D502" s="2498"/>
      <c r="E502" s="2498"/>
      <c r="F502" s="2498"/>
      <c r="G502" s="2511">
        <f>'Part IV-A-Uses of Funds'!G56</f>
        <v>35000</v>
      </c>
      <c r="H502" s="2511"/>
      <c r="I502" s="2498"/>
      <c r="J502" s="2511">
        <f>'Part IV-A-Uses of Funds'!J56</f>
        <v>35000</v>
      </c>
      <c r="K502" s="2511"/>
      <c r="L502" s="2513"/>
      <c r="M502" s="2511">
        <f>'Part IV-A-Uses of Funds'!M56</f>
        <v>0</v>
      </c>
      <c r="N502" s="2511"/>
      <c r="O502" s="2498"/>
      <c r="P502" s="2511">
        <f>'Part IV-A-Uses of Funds'!P56</f>
        <v>0</v>
      </c>
      <c r="Q502" s="2511"/>
      <c r="R502" s="2498"/>
      <c r="S502" s="2511">
        <f>'Part IV-A-Uses of Funds'!S56</f>
        <v>0</v>
      </c>
      <c r="T502" s="2511"/>
      <c r="U502" s="2498"/>
      <c r="V502" s="2581"/>
      <c r="W502" s="2359"/>
      <c r="X502" s="2359"/>
    </row>
    <row r="503" spans="1:24" ht="13.8">
      <c r="A503" s="2498"/>
      <c r="B503" s="2498" t="s">
        <v>2610</v>
      </c>
      <c r="C503" s="2498"/>
      <c r="D503" s="2498"/>
      <c r="E503" s="2498"/>
      <c r="F503" s="2498"/>
      <c r="G503" s="2511">
        <f>'Part IV-A-Uses of Funds'!G57</f>
        <v>25200</v>
      </c>
      <c r="H503" s="2511"/>
      <c r="I503" s="2498"/>
      <c r="J503" s="2511">
        <f>'Part IV-A-Uses of Funds'!J57</f>
        <v>25200</v>
      </c>
      <c r="K503" s="2511"/>
      <c r="L503" s="2513"/>
      <c r="M503" s="2511">
        <f>'Part IV-A-Uses of Funds'!M57</f>
        <v>0</v>
      </c>
      <c r="N503" s="2511"/>
      <c r="O503" s="2498"/>
      <c r="P503" s="2511">
        <f>'Part IV-A-Uses of Funds'!P57</f>
        <v>0</v>
      </c>
      <c r="Q503" s="2511"/>
      <c r="R503" s="2498"/>
      <c r="S503" s="2511">
        <f>'Part IV-A-Uses of Funds'!S57</f>
        <v>0</v>
      </c>
      <c r="T503" s="2511"/>
      <c r="U503" s="2498"/>
      <c r="V503" s="2581"/>
      <c r="W503" s="2359"/>
      <c r="X503" s="2359"/>
    </row>
    <row r="504" spans="1:24" ht="13.8">
      <c r="A504" s="2498"/>
      <c r="B504" s="2498" t="s">
        <v>705</v>
      </c>
      <c r="C504" s="2498"/>
      <c r="D504" s="2498"/>
      <c r="E504" s="2498"/>
      <c r="F504" s="2498"/>
      <c r="G504" s="2511">
        <f>'Part IV-A-Uses of Funds'!G58</f>
        <v>200000</v>
      </c>
      <c r="H504" s="2511"/>
      <c r="I504" s="2498"/>
      <c r="J504" s="2511">
        <f>'Part IV-A-Uses of Funds'!J58</f>
        <v>200000</v>
      </c>
      <c r="K504" s="2511"/>
      <c r="L504" s="2513"/>
      <c r="M504" s="2511">
        <f>'Part IV-A-Uses of Funds'!M58</f>
        <v>0</v>
      </c>
      <c r="N504" s="2511"/>
      <c r="O504" s="2498"/>
      <c r="P504" s="2511">
        <f>'Part IV-A-Uses of Funds'!P58</f>
        <v>0</v>
      </c>
      <c r="Q504" s="2511"/>
      <c r="R504" s="2498"/>
      <c r="S504" s="2511">
        <f>'Part IV-A-Uses of Funds'!S58</f>
        <v>0</v>
      </c>
      <c r="T504" s="2511"/>
      <c r="U504" s="2498"/>
      <c r="V504" s="2581"/>
      <c r="W504" s="2359"/>
      <c r="X504" s="2359"/>
    </row>
    <row r="505" spans="1:24" ht="13.8">
      <c r="A505" s="2498"/>
      <c r="B505" s="2498" t="s">
        <v>2290</v>
      </c>
      <c r="C505" s="2498"/>
      <c r="D505" s="2498"/>
      <c r="E505" s="2498"/>
      <c r="F505" s="2498"/>
      <c r="G505" s="2511">
        <f>'Part IV-A-Uses of Funds'!G59</f>
        <v>60000</v>
      </c>
      <c r="H505" s="2511"/>
      <c r="I505" s="2498"/>
      <c r="J505" s="2511">
        <f>'Part IV-A-Uses of Funds'!J59</f>
        <v>60000</v>
      </c>
      <c r="K505" s="2511"/>
      <c r="L505" s="2513"/>
      <c r="M505" s="2511">
        <f>'Part IV-A-Uses of Funds'!M59</f>
        <v>0</v>
      </c>
      <c r="N505" s="2511"/>
      <c r="O505" s="2498"/>
      <c r="P505" s="2511">
        <f>'Part IV-A-Uses of Funds'!P59</f>
        <v>0</v>
      </c>
      <c r="Q505" s="2511"/>
      <c r="R505" s="2498"/>
      <c r="S505" s="2511">
        <f>'Part IV-A-Uses of Funds'!S59</f>
        <v>0</v>
      </c>
      <c r="T505" s="2511"/>
      <c r="U505" s="2498"/>
      <c r="V505" s="2581"/>
      <c r="W505" s="2359"/>
      <c r="X505" s="2359"/>
    </row>
    <row r="506" spans="1:24" ht="13.8">
      <c r="A506" s="2498"/>
      <c r="B506" s="2498" t="s">
        <v>1250</v>
      </c>
      <c r="C506" s="2498"/>
      <c r="D506" s="2498"/>
      <c r="E506" s="2498"/>
      <c r="F506" s="2498"/>
      <c r="G506" s="2511">
        <f>'Part IV-A-Uses of Funds'!G60</f>
        <v>70000</v>
      </c>
      <c r="H506" s="2511"/>
      <c r="I506" s="2498"/>
      <c r="J506" s="2511">
        <f>'Part IV-A-Uses of Funds'!J60</f>
        <v>35000</v>
      </c>
      <c r="K506" s="2511"/>
      <c r="L506" s="2513"/>
      <c r="M506" s="2511">
        <f>'Part IV-A-Uses of Funds'!M60</f>
        <v>0</v>
      </c>
      <c r="N506" s="2511"/>
      <c r="O506" s="2498"/>
      <c r="P506" s="2511">
        <f>'Part IV-A-Uses of Funds'!P60</f>
        <v>0</v>
      </c>
      <c r="Q506" s="2511"/>
      <c r="R506" s="2498"/>
      <c r="S506" s="2511">
        <f>'Part IV-A-Uses of Funds'!S60</f>
        <v>35000</v>
      </c>
      <c r="T506" s="2511"/>
      <c r="U506" s="2498"/>
      <c r="V506" s="2581"/>
      <c r="W506" s="2359"/>
      <c r="X506" s="2359"/>
    </row>
    <row r="507" spans="1:24" ht="13.8">
      <c r="A507" s="2498"/>
      <c r="B507" s="2547" t="s">
        <v>1131</v>
      </c>
      <c r="C507" s="2498"/>
      <c r="D507" s="2599"/>
      <c r="E507" s="2599"/>
      <c r="F507" s="2600"/>
      <c r="G507" s="2511">
        <f>'Part IV-A-Uses of Funds'!G61</f>
        <v>350000</v>
      </c>
      <c r="H507" s="2511"/>
      <c r="I507" s="2506"/>
      <c r="J507" s="2511">
        <f>'Part IV-A-Uses of Funds'!J61</f>
        <v>350000</v>
      </c>
      <c r="K507" s="2511"/>
      <c r="L507" s="2513"/>
      <c r="M507" s="2511">
        <f>'Part IV-A-Uses of Funds'!M61</f>
        <v>0</v>
      </c>
      <c r="N507" s="2511"/>
      <c r="O507" s="2498"/>
      <c r="P507" s="2511">
        <f>'Part IV-A-Uses of Funds'!P61</f>
        <v>0</v>
      </c>
      <c r="Q507" s="2511"/>
      <c r="R507" s="2498"/>
      <c r="S507" s="2511">
        <f>'Part IV-A-Uses of Funds'!S61</f>
        <v>0</v>
      </c>
      <c r="T507" s="2511"/>
      <c r="U507" s="2498"/>
      <c r="V507" s="2581"/>
      <c r="W507" s="2359"/>
      <c r="X507" s="2359"/>
    </row>
    <row r="508" spans="1:24" ht="15.6" customHeight="1">
      <c r="A508" s="2582" t="str">
        <f>IF(AND(G508&gt;0,OR(C508="",C508="&lt;Enter detailed description here; use Comments section if needed&gt;")),"X","")</f>
        <v/>
      </c>
      <c r="B508" s="2498" t="s">
        <v>723</v>
      </c>
      <c r="C508" s="2509" t="str">
        <f>'Part IV-A-Uses of Funds'!C62</f>
        <v>&lt;&lt; Enter description here; provide detail &amp; justification in tab Part IV-b &gt;&gt;</v>
      </c>
      <c r="D508" s="2509"/>
      <c r="E508" s="2509"/>
      <c r="F508" s="2509"/>
      <c r="G508" s="2511">
        <f>'Part IV-A-Uses of Funds'!G62</f>
        <v>0</v>
      </c>
      <c r="H508" s="2511"/>
      <c r="I508" s="2498"/>
      <c r="J508" s="2511">
        <f>'Part IV-A-Uses of Funds'!J62</f>
        <v>0</v>
      </c>
      <c r="K508" s="2511"/>
      <c r="L508" s="2513"/>
      <c r="M508" s="2511">
        <f>'Part IV-A-Uses of Funds'!M62</f>
        <v>0</v>
      </c>
      <c r="N508" s="2511"/>
      <c r="O508" s="2498"/>
      <c r="P508" s="2511">
        <f>'Part IV-A-Uses of Funds'!P62</f>
        <v>0</v>
      </c>
      <c r="Q508" s="2511"/>
      <c r="R508" s="2498"/>
      <c r="S508" s="2511">
        <f>'Part IV-A-Uses of Funds'!S62</f>
        <v>0</v>
      </c>
      <c r="T508" s="2511"/>
      <c r="U508" s="2500" t="str">
        <f>IF(AND(G508&gt;0,OR(C508="",C508="&lt;Enter detailed description here; use Comments section if needed&gt;")),"NO DESCRIPTION PROVIDED - please enter detailed description in Other box at left; use Comments section below if needed.","")</f>
        <v/>
      </c>
      <c r="V508" s="2581"/>
      <c r="W508" s="2359"/>
      <c r="X508" s="2359"/>
    </row>
    <row r="509" spans="1:24" ht="16.2" customHeight="1">
      <c r="A509" s="2582" t="str">
        <f>IF(AND(G509&gt;0,OR(C509="",C509="&lt;Enter detailed description here; use Comments section if needed&gt;")),"X","")</f>
        <v/>
      </c>
      <c r="B509" s="2498" t="s">
        <v>723</v>
      </c>
      <c r="C509" s="2509" t="str">
        <f>'Part IV-A-Uses of Funds'!C63</f>
        <v>&lt;&lt; Enter description here; provide detail &amp; justification in tab Part IV-b &gt;&gt;</v>
      </c>
      <c r="D509" s="2509"/>
      <c r="E509" s="2509"/>
      <c r="F509" s="2509"/>
      <c r="G509" s="2511">
        <f>'Part IV-A-Uses of Funds'!G63</f>
        <v>0</v>
      </c>
      <c r="H509" s="2511"/>
      <c r="I509" s="2498"/>
      <c r="J509" s="2511">
        <f>'Part IV-A-Uses of Funds'!J63</f>
        <v>0</v>
      </c>
      <c r="K509" s="2511"/>
      <c r="L509" s="2513"/>
      <c r="M509" s="2511">
        <f>'Part IV-A-Uses of Funds'!M63</f>
        <v>0</v>
      </c>
      <c r="N509" s="2511"/>
      <c r="O509" s="2498"/>
      <c r="P509" s="2511">
        <f>'Part IV-A-Uses of Funds'!P63</f>
        <v>0</v>
      </c>
      <c r="Q509" s="2511"/>
      <c r="R509" s="2498"/>
      <c r="S509" s="2511">
        <f>'Part IV-A-Uses of Funds'!S63</f>
        <v>0</v>
      </c>
      <c r="T509" s="2511"/>
      <c r="U509" s="2500" t="str">
        <f>IF(AND(G509&gt;0,OR(C509="",C509="&lt;Enter detailed description here; use Comments section if needed&gt;")),"NO DESCRIPTION PROVIDED - please enter detailed description in Other box at left; use Comments section below if needed.","")</f>
        <v/>
      </c>
      <c r="V509" s="2581"/>
      <c r="W509" s="2359"/>
      <c r="X509" s="2359"/>
    </row>
    <row r="510" spans="1:24" ht="13.8">
      <c r="A510" s="2498"/>
      <c r="B510" s="2498"/>
      <c r="C510" s="2498"/>
      <c r="D510" s="2498"/>
      <c r="E510" s="2498"/>
      <c r="F510" s="2502" t="s">
        <v>187</v>
      </c>
      <c r="G510" s="2511">
        <f>SUM(G498:H509)</f>
        <v>2275134</v>
      </c>
      <c r="H510" s="2511"/>
      <c r="I510" s="2498"/>
      <c r="J510" s="2511">
        <f>SUM(J498:K509)</f>
        <v>1762904</v>
      </c>
      <c r="K510" s="2511"/>
      <c r="L510" s="2513"/>
      <c r="M510" s="2511">
        <f>SUM(M498:N509)</f>
        <v>0</v>
      </c>
      <c r="N510" s="2511"/>
      <c r="O510" s="2498"/>
      <c r="P510" s="2511">
        <f>SUM(P498:Q509)</f>
        <v>0</v>
      </c>
      <c r="Q510" s="2511"/>
      <c r="R510" s="2498"/>
      <c r="S510" s="2511">
        <f>SUM(S498:T509)</f>
        <v>512230</v>
      </c>
      <c r="T510" s="2511"/>
      <c r="U510" s="2498"/>
      <c r="V510" s="2581">
        <f>SUM(V498:V509)</f>
        <v>0</v>
      </c>
      <c r="W510" s="2359"/>
      <c r="X510" s="2359"/>
    </row>
    <row r="511" spans="1:24" ht="13.8">
      <c r="A511" s="2498"/>
      <c r="B511" s="2498" t="s">
        <v>467</v>
      </c>
      <c r="C511" s="2498"/>
      <c r="D511" s="2498"/>
      <c r="E511" s="2498"/>
      <c r="F511" s="2498"/>
      <c r="G511" s="2511"/>
      <c r="H511" s="2511"/>
      <c r="I511" s="2498"/>
      <c r="J511" s="2511"/>
      <c r="K511" s="2511"/>
      <c r="L511" s="2498"/>
      <c r="M511" s="2511"/>
      <c r="N511" s="2511"/>
      <c r="O511" s="2513" t="str">
        <f>B511</f>
        <v>PROFESSIONAL SERVICES</v>
      </c>
      <c r="P511" s="2511"/>
      <c r="Q511" s="2511"/>
      <c r="R511" s="2498"/>
      <c r="S511" s="2511"/>
      <c r="T511" s="2511"/>
      <c r="U511" s="2498"/>
      <c r="V511" s="2581"/>
      <c r="W511" s="2498" t="str">
        <f>B511</f>
        <v>PROFESSIONAL SERVICES</v>
      </c>
      <c r="X511" s="2498"/>
    </row>
    <row r="512" spans="1:24" ht="13.8">
      <c r="A512" s="2498"/>
      <c r="B512" s="2498" t="s">
        <v>468</v>
      </c>
      <c r="C512" s="2498"/>
      <c r="D512" s="2498"/>
      <c r="E512" s="2498"/>
      <c r="F512" s="2498"/>
      <c r="G512" s="2511">
        <f>'Part IV-A-Uses of Funds'!G66</f>
        <v>200000</v>
      </c>
      <c r="H512" s="2511"/>
      <c r="I512" s="2498"/>
      <c r="J512" s="2511">
        <f>'Part IV-A-Uses of Funds'!J66</f>
        <v>200000</v>
      </c>
      <c r="K512" s="2511"/>
      <c r="L512" s="2513"/>
      <c r="M512" s="2511">
        <f>'Part IV-A-Uses of Funds'!M66</f>
        <v>0</v>
      </c>
      <c r="N512" s="2511"/>
      <c r="O512" s="2498"/>
      <c r="P512" s="2511">
        <f>'Part IV-A-Uses of Funds'!P66</f>
        <v>0</v>
      </c>
      <c r="Q512" s="2511"/>
      <c r="R512" s="2498"/>
      <c r="S512" s="2511">
        <f>'Part IV-A-Uses of Funds'!S66</f>
        <v>0</v>
      </c>
      <c r="T512" s="2511"/>
      <c r="U512" s="2498"/>
      <c r="V512" s="2581"/>
      <c r="W512" s="2359"/>
      <c r="X512" s="2359"/>
    </row>
    <row r="513" spans="1:24" ht="13.8">
      <c r="A513" s="2498"/>
      <c r="B513" s="2498" t="s">
        <v>469</v>
      </c>
      <c r="C513" s="2498"/>
      <c r="D513" s="2498"/>
      <c r="E513" s="2498"/>
      <c r="F513" s="2498"/>
      <c r="G513" s="2511">
        <f>'Part IV-A-Uses of Funds'!G67</f>
        <v>25000</v>
      </c>
      <c r="H513" s="2511"/>
      <c r="I513" s="2498"/>
      <c r="J513" s="2511">
        <f>'Part IV-A-Uses of Funds'!J67</f>
        <v>25000</v>
      </c>
      <c r="K513" s="2511"/>
      <c r="L513" s="2513"/>
      <c r="M513" s="2511">
        <f>'Part IV-A-Uses of Funds'!M67</f>
        <v>0</v>
      </c>
      <c r="N513" s="2511"/>
      <c r="O513" s="2498"/>
      <c r="P513" s="2511">
        <f>'Part IV-A-Uses of Funds'!P67</f>
        <v>0</v>
      </c>
      <c r="Q513" s="2511"/>
      <c r="R513" s="2498"/>
      <c r="S513" s="2511">
        <f>'Part IV-A-Uses of Funds'!S67</f>
        <v>0</v>
      </c>
      <c r="T513" s="2511"/>
      <c r="U513" s="2498"/>
      <c r="V513" s="2581"/>
      <c r="W513" s="2359"/>
      <c r="X513" s="2359"/>
    </row>
    <row r="514" spans="1:24" ht="13.8">
      <c r="A514" s="2498"/>
      <c r="B514" s="2498" t="s">
        <v>1105</v>
      </c>
      <c r="C514" s="2498"/>
      <c r="D514" s="2502" t="s">
        <v>3638</v>
      </c>
      <c r="E514" s="2601">
        <f>'Part IV-A-Uses of Funds'!E68</f>
        <v>20000</v>
      </c>
      <c r="F514" s="2498" t="str">
        <f>IF(G514&gt;E514,"CHECK!!!","")</f>
        <v/>
      </c>
      <c r="G514" s="2511">
        <f>'Part IV-A-Uses of Funds'!G68</f>
        <v>0</v>
      </c>
      <c r="H514" s="2511"/>
      <c r="I514" s="2498"/>
      <c r="J514" s="2511">
        <f>'Part IV-A-Uses of Funds'!J68</f>
        <v>0</v>
      </c>
      <c r="K514" s="2511"/>
      <c r="L514" s="2513"/>
      <c r="M514" s="2511">
        <f>'Part IV-A-Uses of Funds'!M68</f>
        <v>0</v>
      </c>
      <c r="N514" s="2511"/>
      <c r="O514" s="2498"/>
      <c r="P514" s="2511">
        <f>'Part IV-A-Uses of Funds'!P68</f>
        <v>0</v>
      </c>
      <c r="Q514" s="2511"/>
      <c r="R514" s="2498"/>
      <c r="S514" s="2511">
        <f>'Part IV-A-Uses of Funds'!S68</f>
        <v>0</v>
      </c>
      <c r="T514" s="2511"/>
      <c r="U514" s="2498"/>
      <c r="V514" s="2581"/>
      <c r="W514" s="2359"/>
      <c r="X514" s="2359"/>
    </row>
    <row r="515" spans="1:24" ht="13.8">
      <c r="A515" s="2498"/>
      <c r="B515" s="2498" t="s">
        <v>1106</v>
      </c>
      <c r="C515" s="2498"/>
      <c r="D515" s="2498"/>
      <c r="E515" s="2498"/>
      <c r="F515" s="2498"/>
      <c r="G515" s="2511">
        <f>'Part IV-A-Uses of Funds'!G69</f>
        <v>50000</v>
      </c>
      <c r="H515" s="2511"/>
      <c r="I515" s="2498"/>
      <c r="J515" s="2511">
        <f>'Part IV-A-Uses of Funds'!J69</f>
        <v>50000</v>
      </c>
      <c r="K515" s="2511"/>
      <c r="L515" s="2513"/>
      <c r="M515" s="2511">
        <f>'Part IV-A-Uses of Funds'!M69</f>
        <v>0</v>
      </c>
      <c r="N515" s="2511"/>
      <c r="O515" s="2498"/>
      <c r="P515" s="2511">
        <f>'Part IV-A-Uses of Funds'!P69</f>
        <v>0</v>
      </c>
      <c r="Q515" s="2511"/>
      <c r="R515" s="2498"/>
      <c r="S515" s="2511">
        <f>'Part IV-A-Uses of Funds'!S69</f>
        <v>0</v>
      </c>
      <c r="T515" s="2511"/>
      <c r="U515" s="2498"/>
      <c r="V515" s="2581"/>
      <c r="W515" s="2359"/>
      <c r="X515" s="2359"/>
    </row>
    <row r="516" spans="1:24" ht="13.8">
      <c r="A516" s="2498"/>
      <c r="B516" s="2498" t="s">
        <v>1107</v>
      </c>
      <c r="C516" s="2498"/>
      <c r="D516" s="2498"/>
      <c r="E516" s="2498"/>
      <c r="F516" s="2498"/>
      <c r="G516" s="2511">
        <f>'Part IV-A-Uses of Funds'!G70</f>
        <v>0</v>
      </c>
      <c r="H516" s="2511"/>
      <c r="I516" s="2498"/>
      <c r="J516" s="2511">
        <f>'Part IV-A-Uses of Funds'!J70</f>
        <v>0</v>
      </c>
      <c r="K516" s="2511"/>
      <c r="L516" s="2513"/>
      <c r="M516" s="2511">
        <f>'Part IV-A-Uses of Funds'!M70</f>
        <v>0</v>
      </c>
      <c r="N516" s="2511"/>
      <c r="O516" s="2498"/>
      <c r="P516" s="2511">
        <f>'Part IV-A-Uses of Funds'!P70</f>
        <v>0</v>
      </c>
      <c r="Q516" s="2511"/>
      <c r="R516" s="2498"/>
      <c r="S516" s="2511">
        <f>'Part IV-A-Uses of Funds'!S70</f>
        <v>0</v>
      </c>
      <c r="T516" s="2511"/>
      <c r="U516" s="2498"/>
      <c r="V516" s="2581"/>
      <c r="W516" s="2359"/>
      <c r="X516" s="2359"/>
    </row>
    <row r="517" spans="1:24" ht="13.8">
      <c r="A517" s="2498"/>
      <c r="B517" s="2498" t="s">
        <v>1108</v>
      </c>
      <c r="C517" s="2498"/>
      <c r="D517" s="2498"/>
      <c r="E517" s="2498"/>
      <c r="F517" s="2498"/>
      <c r="G517" s="2511">
        <f>'Part IV-A-Uses of Funds'!G71</f>
        <v>0</v>
      </c>
      <c r="H517" s="2511"/>
      <c r="I517" s="2498"/>
      <c r="J517" s="2511">
        <f>'Part IV-A-Uses of Funds'!J71</f>
        <v>0</v>
      </c>
      <c r="K517" s="2511"/>
      <c r="L517" s="2513"/>
      <c r="M517" s="2511">
        <f>'Part IV-A-Uses of Funds'!M71</f>
        <v>0</v>
      </c>
      <c r="N517" s="2511"/>
      <c r="O517" s="2498"/>
      <c r="P517" s="2511">
        <f>'Part IV-A-Uses of Funds'!P71</f>
        <v>0</v>
      </c>
      <c r="Q517" s="2511"/>
      <c r="R517" s="2498"/>
      <c r="S517" s="2511">
        <f>'Part IV-A-Uses of Funds'!S71</f>
        <v>0</v>
      </c>
      <c r="T517" s="2511"/>
      <c r="U517" s="2498"/>
      <c r="V517" s="2581"/>
      <c r="W517" s="2359"/>
      <c r="X517" s="2359"/>
    </row>
    <row r="518" spans="1:24" ht="13.8">
      <c r="A518" s="2498"/>
      <c r="B518" s="2498" t="s">
        <v>470</v>
      </c>
      <c r="C518" s="2498"/>
      <c r="D518" s="2498"/>
      <c r="E518" s="2498"/>
      <c r="F518" s="2498"/>
      <c r="G518" s="2511">
        <f>'Part IV-A-Uses of Funds'!G72</f>
        <v>80000</v>
      </c>
      <c r="H518" s="2511"/>
      <c r="I518" s="2498"/>
      <c r="J518" s="2511">
        <f>'Part IV-A-Uses of Funds'!J72</f>
        <v>80000</v>
      </c>
      <c r="K518" s="2511"/>
      <c r="L518" s="2513"/>
      <c r="M518" s="2511">
        <f>'Part IV-A-Uses of Funds'!M72</f>
        <v>0</v>
      </c>
      <c r="N518" s="2511"/>
      <c r="O518" s="2498"/>
      <c r="P518" s="2511">
        <f>'Part IV-A-Uses of Funds'!P72</f>
        <v>0</v>
      </c>
      <c r="Q518" s="2511"/>
      <c r="R518" s="2498"/>
      <c r="S518" s="2511">
        <f>'Part IV-A-Uses of Funds'!S72</f>
        <v>0</v>
      </c>
      <c r="T518" s="2511"/>
      <c r="U518" s="2498"/>
      <c r="V518" s="2581"/>
      <c r="W518" s="2359"/>
      <c r="X518" s="2359"/>
    </row>
    <row r="519" spans="1:24" ht="13.8">
      <c r="A519" s="2498"/>
      <c r="B519" s="2498" t="s">
        <v>471</v>
      </c>
      <c r="C519" s="2498"/>
      <c r="D519" s="2498"/>
      <c r="E519" s="2498"/>
      <c r="F519" s="2498"/>
      <c r="G519" s="2511">
        <f>'Part IV-A-Uses of Funds'!G73</f>
        <v>150000</v>
      </c>
      <c r="H519" s="2511"/>
      <c r="I519" s="2498"/>
      <c r="J519" s="2511">
        <f>'Part IV-A-Uses of Funds'!J73</f>
        <v>135000</v>
      </c>
      <c r="K519" s="2511"/>
      <c r="L519" s="2513"/>
      <c r="M519" s="2511">
        <f>'Part IV-A-Uses of Funds'!M73</f>
        <v>0</v>
      </c>
      <c r="N519" s="2511"/>
      <c r="O519" s="2498"/>
      <c r="P519" s="2511">
        <f>'Part IV-A-Uses of Funds'!P73</f>
        <v>0</v>
      </c>
      <c r="Q519" s="2511"/>
      <c r="R519" s="2498"/>
      <c r="S519" s="2511">
        <f>'Part IV-A-Uses of Funds'!S73</f>
        <v>15000</v>
      </c>
      <c r="T519" s="2511"/>
      <c r="U519" s="2498"/>
      <c r="V519" s="2581"/>
      <c r="W519" s="2359"/>
      <c r="X519" s="2359"/>
    </row>
    <row r="520" spans="1:24" ht="13.8">
      <c r="A520" s="2498"/>
      <c r="B520" s="2498" t="s">
        <v>2001</v>
      </c>
      <c r="C520" s="2498"/>
      <c r="D520" s="2498"/>
      <c r="E520" s="2498"/>
      <c r="F520" s="2498"/>
      <c r="G520" s="2511">
        <f>'Part IV-A-Uses of Funds'!G74</f>
        <v>20000</v>
      </c>
      <c r="H520" s="2511"/>
      <c r="I520" s="2498"/>
      <c r="J520" s="2511">
        <f>'Part IV-A-Uses of Funds'!J74</f>
        <v>20000</v>
      </c>
      <c r="K520" s="2511"/>
      <c r="L520" s="2513"/>
      <c r="M520" s="2511">
        <f>'Part IV-A-Uses of Funds'!M74</f>
        <v>0</v>
      </c>
      <c r="N520" s="2511"/>
      <c r="O520" s="2498"/>
      <c r="P520" s="2511">
        <f>'Part IV-A-Uses of Funds'!P74</f>
        <v>0</v>
      </c>
      <c r="Q520" s="2511"/>
      <c r="R520" s="2498"/>
      <c r="S520" s="2511">
        <f>'Part IV-A-Uses of Funds'!S74</f>
        <v>0</v>
      </c>
      <c r="T520" s="2511"/>
      <c r="U520" s="2498"/>
      <c r="V520" s="2581"/>
      <c r="W520" s="2359"/>
      <c r="X520" s="2359"/>
    </row>
    <row r="521" spans="1:24" ht="13.8">
      <c r="A521" s="2498"/>
      <c r="B521" s="2498" t="s">
        <v>1251</v>
      </c>
      <c r="C521" s="2498"/>
      <c r="D521" s="2498"/>
      <c r="E521" s="2498"/>
      <c r="F521" s="2498"/>
      <c r="G521" s="2511">
        <f>'Part IV-A-Uses of Funds'!G75</f>
        <v>0</v>
      </c>
      <c r="H521" s="2511"/>
      <c r="I521" s="2498"/>
      <c r="J521" s="2511">
        <f>'Part IV-A-Uses of Funds'!J75</f>
        <v>0</v>
      </c>
      <c r="K521" s="2511"/>
      <c r="L521" s="2513"/>
      <c r="M521" s="2511">
        <f>'Part IV-A-Uses of Funds'!M75</f>
        <v>0</v>
      </c>
      <c r="N521" s="2511"/>
      <c r="O521" s="2498"/>
      <c r="P521" s="2511">
        <f>'Part IV-A-Uses of Funds'!P75</f>
        <v>0</v>
      </c>
      <c r="Q521" s="2511"/>
      <c r="R521" s="2498"/>
      <c r="S521" s="2511">
        <f>'Part IV-A-Uses of Funds'!S75</f>
        <v>0</v>
      </c>
      <c r="T521" s="2511"/>
      <c r="U521" s="2498"/>
      <c r="V521" s="2581"/>
      <c r="W521" s="2359"/>
      <c r="X521" s="2359"/>
    </row>
    <row r="522" spans="1:24" ht="16.2" customHeight="1">
      <c r="A522" s="2582" t="str">
        <f>IF(AND(G522&gt;0,OR(C522="",C522="&lt;Enter detailed description here; use Comments section if needed&gt;")),"X","")</f>
        <v/>
      </c>
      <c r="B522" s="2498" t="s">
        <v>723</v>
      </c>
      <c r="C522" s="2509" t="str">
        <f>'Part IV-A-Uses of Funds'!C76</f>
        <v>&lt;&lt; Enter description here; provide detail &amp; justification in tab Part IV-b &gt;&gt;</v>
      </c>
      <c r="D522" s="2509"/>
      <c r="E522" s="2509"/>
      <c r="F522" s="2509"/>
      <c r="G522" s="2511">
        <f>'Part IV-A-Uses of Funds'!G76</f>
        <v>0</v>
      </c>
      <c r="H522" s="2511"/>
      <c r="I522" s="2498"/>
      <c r="J522" s="2511">
        <f>'Part IV-A-Uses of Funds'!J76</f>
        <v>0</v>
      </c>
      <c r="K522" s="2511"/>
      <c r="L522" s="2513"/>
      <c r="M522" s="2511">
        <f>'Part IV-A-Uses of Funds'!M76</f>
        <v>0</v>
      </c>
      <c r="N522" s="2511"/>
      <c r="O522" s="2498"/>
      <c r="P522" s="2511">
        <f>'Part IV-A-Uses of Funds'!P76</f>
        <v>0</v>
      </c>
      <c r="Q522" s="2511"/>
      <c r="R522" s="2498"/>
      <c r="S522" s="2511">
        <f>'Part IV-A-Uses of Funds'!S76</f>
        <v>0</v>
      </c>
      <c r="T522" s="2511"/>
      <c r="U522" s="2500" t="str">
        <f>IF(AND(G522&gt;0,OR(C522="",C522="&lt;Enter detailed description here; use Comments section if needed&gt;")),"NO DESCRIPTION PROVIDED - please enter detailed description in Other box at left; use Comments section below if needed.","")</f>
        <v/>
      </c>
      <c r="V522" s="2581"/>
      <c r="W522" s="2359"/>
      <c r="X522" s="2359"/>
    </row>
    <row r="523" spans="1:24" ht="13.8">
      <c r="A523" s="2498"/>
      <c r="B523" s="2498"/>
      <c r="C523" s="2498"/>
      <c r="D523" s="2498"/>
      <c r="E523" s="2498"/>
      <c r="F523" s="2502" t="s">
        <v>187</v>
      </c>
      <c r="G523" s="2511">
        <f>SUM(G512:H522)</f>
        <v>525000</v>
      </c>
      <c r="H523" s="2511"/>
      <c r="I523" s="2498"/>
      <c r="J523" s="2511">
        <f>SUM(J512:K522)</f>
        <v>510000</v>
      </c>
      <c r="K523" s="2511"/>
      <c r="L523" s="2513"/>
      <c r="M523" s="2511">
        <f>SUM(M512:N522)</f>
        <v>0</v>
      </c>
      <c r="N523" s="2511"/>
      <c r="O523" s="2498"/>
      <c r="P523" s="2511">
        <f>SUM(P512:Q522)</f>
        <v>0</v>
      </c>
      <c r="Q523" s="2511"/>
      <c r="R523" s="2498"/>
      <c r="S523" s="2511">
        <f>SUM(S512:T522)</f>
        <v>15000</v>
      </c>
      <c r="T523" s="2511"/>
      <c r="U523" s="2498"/>
      <c r="V523" s="2581">
        <f>SUM(V512:V522)</f>
        <v>0</v>
      </c>
      <c r="W523" s="2359"/>
      <c r="X523" s="2359"/>
    </row>
    <row r="524" spans="1:24" ht="13.8">
      <c r="A524" s="2498"/>
      <c r="B524" s="2498" t="s">
        <v>1243</v>
      </c>
      <c r="C524" s="2498"/>
      <c r="D524" s="2602" t="s">
        <v>3555</v>
      </c>
      <c r="E524" s="2603">
        <f>G529/'Part VI-Revenues &amp; Expenses'!$P$67</f>
        <v>725</v>
      </c>
      <c r="F524" s="2498"/>
      <c r="G524" s="2498"/>
      <c r="H524" s="2498"/>
      <c r="I524" s="2498"/>
      <c r="J524" s="2513"/>
      <c r="K524" s="2513"/>
      <c r="L524" s="2506"/>
      <c r="M524" s="2513"/>
      <c r="N524" s="2513"/>
      <c r="O524" s="2513" t="str">
        <f>B524</f>
        <v>LOCAL GOVERNMENT FEES</v>
      </c>
      <c r="P524" s="2513"/>
      <c r="Q524" s="2513"/>
      <c r="R524" s="2506"/>
      <c r="S524" s="2513"/>
      <c r="T524" s="2513"/>
      <c r="U524" s="2506"/>
      <c r="V524" s="2581"/>
      <c r="W524" s="2498" t="str">
        <f>B524</f>
        <v>LOCAL GOVERNMENT FEES</v>
      </c>
      <c r="X524" s="2506"/>
    </row>
    <row r="525" spans="1:24" ht="13.8">
      <c r="A525" s="2498"/>
      <c r="B525" s="2498" t="s">
        <v>1244</v>
      </c>
      <c r="C525" s="2498"/>
      <c r="D525" s="2498"/>
      <c r="E525" s="2498"/>
      <c r="F525" s="2498"/>
      <c r="G525" s="2511">
        <f>'Part IV-A-Uses of Funds'!G79</f>
        <v>25000</v>
      </c>
      <c r="H525" s="2511"/>
      <c r="I525" s="2498"/>
      <c r="J525" s="2511">
        <f>'Part IV-A-Uses of Funds'!J79</f>
        <v>25000</v>
      </c>
      <c r="K525" s="2511"/>
      <c r="L525" s="2513"/>
      <c r="M525" s="2511">
        <f>'Part IV-A-Uses of Funds'!M79</f>
        <v>0</v>
      </c>
      <c r="N525" s="2511"/>
      <c r="O525" s="2498"/>
      <c r="P525" s="2511">
        <f>'Part IV-A-Uses of Funds'!P79</f>
        <v>0</v>
      </c>
      <c r="Q525" s="2511"/>
      <c r="R525" s="2498"/>
      <c r="S525" s="2511">
        <f>'Part IV-A-Uses of Funds'!S79</f>
        <v>0</v>
      </c>
      <c r="T525" s="2511"/>
      <c r="U525" s="2498"/>
      <c r="V525" s="2581"/>
      <c r="W525" s="2359"/>
      <c r="X525" s="2359"/>
    </row>
    <row r="526" spans="1:24" ht="13.8">
      <c r="A526" s="2498"/>
      <c r="B526" s="2498" t="s">
        <v>1245</v>
      </c>
      <c r="C526" s="2498"/>
      <c r="D526" s="2498"/>
      <c r="E526" s="2498"/>
      <c r="F526" s="2498"/>
      <c r="G526" s="2511">
        <f>'Part IV-A-Uses of Funds'!G80</f>
        <v>0</v>
      </c>
      <c r="H526" s="2511"/>
      <c r="I526" s="2498"/>
      <c r="J526" s="2511">
        <f>'Part IV-A-Uses of Funds'!J80</f>
        <v>0</v>
      </c>
      <c r="K526" s="2511"/>
      <c r="L526" s="2513"/>
      <c r="M526" s="2511">
        <f>'Part IV-A-Uses of Funds'!M80</f>
        <v>0</v>
      </c>
      <c r="N526" s="2511"/>
      <c r="O526" s="2498"/>
      <c r="P526" s="2511">
        <f>'Part IV-A-Uses of Funds'!P80</f>
        <v>0</v>
      </c>
      <c r="Q526" s="2511"/>
      <c r="R526" s="2498"/>
      <c r="S526" s="2511">
        <f>'Part IV-A-Uses of Funds'!S80</f>
        <v>0</v>
      </c>
      <c r="T526" s="2511"/>
      <c r="U526" s="2498"/>
      <c r="V526" s="2581"/>
      <c r="W526" s="2359"/>
      <c r="X526" s="2359"/>
    </row>
    <row r="527" spans="1:24" ht="13.8">
      <c r="A527" s="2498"/>
      <c r="B527" s="2498" t="s">
        <v>1246</v>
      </c>
      <c r="C527" s="2498"/>
      <c r="D527" s="2502" t="s">
        <v>1376</v>
      </c>
      <c r="E527" s="2499" t="str">
        <f>'Part IV-A-Uses of Funds'!E81</f>
        <v>No</v>
      </c>
      <c r="F527" s="2498"/>
      <c r="G527" s="2511">
        <f>'Part IV-A-Uses of Funds'!G81</f>
        <v>25000</v>
      </c>
      <c r="H527" s="2511"/>
      <c r="I527" s="2506"/>
      <c r="J527" s="2511">
        <f>'Part IV-A-Uses of Funds'!J81</f>
        <v>25000</v>
      </c>
      <c r="K527" s="2511"/>
      <c r="L527" s="2513"/>
      <c r="M527" s="2511">
        <f>'Part IV-A-Uses of Funds'!M81</f>
        <v>0</v>
      </c>
      <c r="N527" s="2511"/>
      <c r="O527" s="2498"/>
      <c r="P527" s="2511">
        <f>'Part IV-A-Uses of Funds'!P81</f>
        <v>0</v>
      </c>
      <c r="Q527" s="2511"/>
      <c r="R527" s="2498"/>
      <c r="S527" s="2511">
        <f>'Part IV-A-Uses of Funds'!S81</f>
        <v>0</v>
      </c>
      <c r="T527" s="2511"/>
      <c r="U527" s="2498"/>
      <c r="V527" s="2581"/>
      <c r="W527" s="2359"/>
      <c r="X527" s="2359"/>
    </row>
    <row r="528" spans="1:24" ht="13.8">
      <c r="A528" s="2498"/>
      <c r="B528" s="2498" t="s">
        <v>1247</v>
      </c>
      <c r="C528" s="2498"/>
      <c r="D528" s="2502" t="s">
        <v>1376</v>
      </c>
      <c r="E528" s="2499" t="str">
        <f>'Part IV-A-Uses of Funds'!E82</f>
        <v>No</v>
      </c>
      <c r="F528" s="2498"/>
      <c r="G528" s="2511">
        <f>'Part IV-A-Uses of Funds'!G82</f>
        <v>95000</v>
      </c>
      <c r="H528" s="2511"/>
      <c r="I528" s="2506"/>
      <c r="J528" s="2511">
        <f>'Part IV-A-Uses of Funds'!J82</f>
        <v>95000</v>
      </c>
      <c r="K528" s="2511"/>
      <c r="L528" s="2513"/>
      <c r="M528" s="2511">
        <f>'Part IV-A-Uses of Funds'!M82</f>
        <v>0</v>
      </c>
      <c r="N528" s="2511"/>
      <c r="O528" s="2498"/>
      <c r="P528" s="2511">
        <f>'Part IV-A-Uses of Funds'!P82</f>
        <v>0</v>
      </c>
      <c r="Q528" s="2511"/>
      <c r="R528" s="2498"/>
      <c r="S528" s="2511">
        <f>'Part IV-A-Uses of Funds'!S82</f>
        <v>0</v>
      </c>
      <c r="T528" s="2511"/>
      <c r="U528" s="2498"/>
      <c r="V528" s="2581"/>
      <c r="W528" s="2359"/>
      <c r="X528" s="2359"/>
    </row>
    <row r="529" spans="1:24" ht="13.8">
      <c r="A529" s="2498"/>
      <c r="B529" s="2498"/>
      <c r="C529" s="2498"/>
      <c r="D529" s="2498"/>
      <c r="E529" s="2498"/>
      <c r="F529" s="2502" t="s">
        <v>187</v>
      </c>
      <c r="G529" s="2511">
        <f>SUM(G525:H528)</f>
        <v>145000</v>
      </c>
      <c r="H529" s="2511"/>
      <c r="I529" s="2498"/>
      <c r="J529" s="2511">
        <f>SUM(J525:K528)</f>
        <v>145000</v>
      </c>
      <c r="K529" s="2511"/>
      <c r="L529" s="2513"/>
      <c r="M529" s="2511">
        <f>SUM(M525:N528)</f>
        <v>0</v>
      </c>
      <c r="N529" s="2511"/>
      <c r="O529" s="2498"/>
      <c r="P529" s="2511">
        <f>SUM(P525:Q528)</f>
        <v>0</v>
      </c>
      <c r="Q529" s="2511"/>
      <c r="R529" s="2498"/>
      <c r="S529" s="2511">
        <f>SUM(S525:T528)</f>
        <v>0</v>
      </c>
      <c r="T529" s="2511"/>
      <c r="U529" s="2498"/>
      <c r="V529" s="2581">
        <f>SUM(V525:V528)</f>
        <v>0</v>
      </c>
      <c r="W529" s="2359"/>
      <c r="X529" s="2359"/>
    </row>
    <row r="530" spans="1:24" ht="13.8">
      <c r="A530" s="2498"/>
      <c r="B530" s="2498" t="s">
        <v>706</v>
      </c>
      <c r="C530" s="2498"/>
      <c r="D530" s="2498"/>
      <c r="E530" s="2498"/>
      <c r="F530" s="2498"/>
      <c r="G530" s="2498"/>
      <c r="H530" s="2498"/>
      <c r="I530" s="2498"/>
      <c r="J530" s="2513"/>
      <c r="K530" s="2513"/>
      <c r="L530" s="2498"/>
      <c r="M530" s="2513"/>
      <c r="N530" s="2513"/>
      <c r="O530" s="2513" t="str">
        <f>B530</f>
        <v>PERMANENT FINANCING FEES</v>
      </c>
      <c r="P530" s="2513"/>
      <c r="Q530" s="2513"/>
      <c r="R530" s="2498"/>
      <c r="S530" s="2513"/>
      <c r="T530" s="2513"/>
      <c r="U530" s="2498"/>
      <c r="V530" s="2581"/>
      <c r="W530" s="2498" t="str">
        <f>B530</f>
        <v>PERMANENT FINANCING FEES</v>
      </c>
      <c r="X530" s="2498"/>
    </row>
    <row r="531" spans="1:24" ht="13.8">
      <c r="A531" s="2498"/>
      <c r="B531" s="2498" t="s">
        <v>1248</v>
      </c>
      <c r="C531" s="2498"/>
      <c r="D531" s="2498"/>
      <c r="E531" s="2498"/>
      <c r="F531" s="2498"/>
      <c r="G531" s="2511">
        <f>'Part IV-A-Uses of Funds'!G85</f>
        <v>137000</v>
      </c>
      <c r="H531" s="2511"/>
      <c r="I531" s="2498"/>
      <c r="J531" s="2511"/>
      <c r="K531" s="2511"/>
      <c r="L531" s="2513"/>
      <c r="M531" s="2511"/>
      <c r="N531" s="2511"/>
      <c r="O531" s="2498"/>
      <c r="P531" s="2511"/>
      <c r="Q531" s="2511"/>
      <c r="R531" s="2498"/>
      <c r="S531" s="2511">
        <f>'Part IV-A-Uses of Funds'!S85</f>
        <v>137000</v>
      </c>
      <c r="T531" s="2511"/>
      <c r="U531" s="2498"/>
      <c r="V531" s="2581"/>
      <c r="W531" s="2359"/>
      <c r="X531" s="2359"/>
    </row>
    <row r="532" spans="1:24" ht="13.8">
      <c r="A532" s="2498"/>
      <c r="B532" s="2498" t="s">
        <v>1249</v>
      </c>
      <c r="C532" s="2498"/>
      <c r="D532" s="2498"/>
      <c r="E532" s="2498"/>
      <c r="F532" s="2498"/>
      <c r="G532" s="2511">
        <f>'Part IV-A-Uses of Funds'!G86</f>
        <v>65000</v>
      </c>
      <c r="H532" s="2511"/>
      <c r="I532" s="2498"/>
      <c r="J532" s="2511"/>
      <c r="K532" s="2511"/>
      <c r="L532" s="2513"/>
      <c r="M532" s="2511"/>
      <c r="N532" s="2511"/>
      <c r="O532" s="2498"/>
      <c r="P532" s="2511"/>
      <c r="Q532" s="2511"/>
      <c r="R532" s="2498"/>
      <c r="S532" s="2511">
        <f>'Part IV-A-Uses of Funds'!S86</f>
        <v>65000</v>
      </c>
      <c r="T532" s="2511"/>
      <c r="U532" s="2498"/>
      <c r="V532" s="2581"/>
      <c r="W532" s="2359"/>
      <c r="X532" s="2359"/>
    </row>
    <row r="533" spans="1:24" ht="13.8">
      <c r="A533" s="2498"/>
      <c r="B533" s="2498" t="s">
        <v>1250</v>
      </c>
      <c r="C533" s="2498"/>
      <c r="D533" s="2498"/>
      <c r="E533" s="2498"/>
      <c r="F533" s="2498"/>
      <c r="G533" s="2511">
        <f>'Part IV-A-Uses of Funds'!G87</f>
        <v>0</v>
      </c>
      <c r="H533" s="2511"/>
      <c r="I533" s="2498"/>
      <c r="J533" s="2511"/>
      <c r="K533" s="2511"/>
      <c r="L533" s="2513"/>
      <c r="M533" s="2511"/>
      <c r="N533" s="2511"/>
      <c r="O533" s="2498"/>
      <c r="P533" s="2511"/>
      <c r="Q533" s="2511"/>
      <c r="R533" s="2498"/>
      <c r="S533" s="2511">
        <f>'Part IV-A-Uses of Funds'!S87</f>
        <v>0</v>
      </c>
      <c r="T533" s="2511"/>
      <c r="U533" s="2498"/>
      <c r="V533" s="2581"/>
      <c r="W533" s="2359"/>
      <c r="X533" s="2359"/>
    </row>
    <row r="534" spans="1:24" ht="13.8">
      <c r="A534" s="2498"/>
      <c r="B534" s="2498" t="s">
        <v>1252</v>
      </c>
      <c r="C534" s="2498"/>
      <c r="D534" s="2498"/>
      <c r="E534" s="2498"/>
      <c r="F534" s="2498"/>
      <c r="G534" s="2511">
        <f>'Part IV-A-Uses of Funds'!G88</f>
        <v>0</v>
      </c>
      <c r="H534" s="2511"/>
      <c r="I534" s="2498"/>
      <c r="J534" s="2511"/>
      <c r="K534" s="2511"/>
      <c r="L534" s="2513"/>
      <c r="M534" s="2511"/>
      <c r="N534" s="2511"/>
      <c r="O534" s="2498"/>
      <c r="P534" s="2511"/>
      <c r="Q534" s="2511"/>
      <c r="R534" s="2498"/>
      <c r="S534" s="2511">
        <f>'Part IV-A-Uses of Funds'!S88</f>
        <v>0</v>
      </c>
      <c r="T534" s="2511"/>
      <c r="U534" s="2498"/>
      <c r="V534" s="2581"/>
      <c r="W534" s="2359"/>
      <c r="X534" s="2359"/>
    </row>
    <row r="535" spans="1:24" ht="13.8">
      <c r="A535" s="2498"/>
      <c r="B535" s="2498" t="s">
        <v>2240</v>
      </c>
      <c r="C535" s="2498"/>
      <c r="D535" s="2498"/>
      <c r="E535" s="2498"/>
      <c r="F535" s="2498"/>
      <c r="G535" s="2511">
        <f>'Part IV-A-Uses of Funds'!G89</f>
        <v>400000</v>
      </c>
      <c r="H535" s="2511"/>
      <c r="I535" s="2498"/>
      <c r="J535" s="2511"/>
      <c r="K535" s="2511"/>
      <c r="L535" s="2513"/>
      <c r="M535" s="2511"/>
      <c r="N535" s="2511"/>
      <c r="O535" s="2498"/>
      <c r="P535" s="2511"/>
      <c r="Q535" s="2511"/>
      <c r="R535" s="2498"/>
      <c r="S535" s="2511">
        <f>'Part IV-A-Uses of Funds'!S89</f>
        <v>400000</v>
      </c>
      <c r="T535" s="2511"/>
      <c r="U535" s="2498"/>
      <c r="V535" s="2581"/>
      <c r="W535" s="2359"/>
      <c r="X535" s="2359"/>
    </row>
    <row r="536" spans="1:24" ht="16.2" customHeight="1">
      <c r="A536" s="2582" t="str">
        <f>IF(AND(G536&gt;0,OR(C536="",C536="&lt;Enter detailed description here; use Comments section if needed&gt;")),"X","")</f>
        <v/>
      </c>
      <c r="B536" s="2498" t="s">
        <v>723</v>
      </c>
      <c r="C536" s="2509" t="str">
        <f>'Part IV-A-Uses of Funds'!C90</f>
        <v>Freddie Fees</v>
      </c>
      <c r="D536" s="2509"/>
      <c r="E536" s="2509"/>
      <c r="F536" s="2509"/>
      <c r="G536" s="2511">
        <f>'Part IV-A-Uses of Funds'!G90</f>
        <v>68500</v>
      </c>
      <c r="H536" s="2511"/>
      <c r="I536" s="2498"/>
      <c r="J536" s="2511"/>
      <c r="K536" s="2511"/>
      <c r="L536" s="2513"/>
      <c r="M536" s="2511"/>
      <c r="N536" s="2511"/>
      <c r="O536" s="2498"/>
      <c r="P536" s="2511"/>
      <c r="Q536" s="2511"/>
      <c r="R536" s="2498"/>
      <c r="S536" s="2511">
        <f>'Part IV-A-Uses of Funds'!S90</f>
        <v>68500</v>
      </c>
      <c r="T536" s="2511"/>
      <c r="U536" s="2500" t="str">
        <f>IF(AND(G536&gt;0,OR(C536="",C536="&lt;Enter detailed description here; use Comments section if needed&gt;")),"NO DESCRIPTION PROVIDED - please enter detailed description in Other box at left; use Comments section below if needed.","")</f>
        <v/>
      </c>
      <c r="V536" s="2581"/>
      <c r="W536" s="2359"/>
      <c r="X536" s="2359"/>
    </row>
    <row r="537" spans="1:24" ht="13.8">
      <c r="A537" s="2498"/>
      <c r="B537" s="2498"/>
      <c r="C537" s="2498"/>
      <c r="D537" s="2498"/>
      <c r="E537" s="2498"/>
      <c r="F537" s="2502" t="s">
        <v>187</v>
      </c>
      <c r="G537" s="2511">
        <f>SUM(G531:H536)</f>
        <v>670500</v>
      </c>
      <c r="H537" s="2511"/>
      <c r="I537" s="2498"/>
      <c r="J537" s="2511"/>
      <c r="K537" s="2511"/>
      <c r="L537" s="2513"/>
      <c r="M537" s="2511"/>
      <c r="N537" s="2511"/>
      <c r="O537" s="2498"/>
      <c r="P537" s="2511"/>
      <c r="Q537" s="2511"/>
      <c r="R537" s="2498"/>
      <c r="S537" s="2511">
        <f>SUM(S531:T536)</f>
        <v>670500</v>
      </c>
      <c r="T537" s="2511"/>
      <c r="U537" s="2498"/>
      <c r="V537" s="2581">
        <f>SUM(V531:V536)</f>
        <v>0</v>
      </c>
      <c r="W537" s="2359"/>
      <c r="X537" s="2359"/>
    </row>
    <row r="538" spans="1:24" ht="13.8">
      <c r="A538" s="2499"/>
      <c r="B538" s="2499"/>
      <c r="C538" s="2499"/>
      <c r="D538" s="2499"/>
      <c r="E538" s="2499"/>
      <c r="F538" s="2499"/>
      <c r="G538" s="2499"/>
      <c r="H538" s="2499"/>
      <c r="I538" s="2499"/>
      <c r="J538" s="2499"/>
      <c r="K538" s="2499"/>
      <c r="L538" s="2499"/>
      <c r="M538" s="2499"/>
      <c r="N538" s="2499"/>
      <c r="O538" s="2499"/>
      <c r="P538" s="2499"/>
      <c r="Q538" s="2499"/>
      <c r="R538" s="2499"/>
      <c r="S538" s="2499"/>
      <c r="T538" s="2499"/>
      <c r="U538" s="2498"/>
      <c r="V538" s="2581"/>
      <c r="W538" s="2498"/>
      <c r="X538" s="2498"/>
    </row>
    <row r="539" spans="1:24" ht="13.8" customHeight="1">
      <c r="A539" s="2578" t="s">
        <v>598</v>
      </c>
      <c r="B539" s="2578" t="s">
        <v>6976</v>
      </c>
      <c r="C539" s="2498"/>
      <c r="D539" s="2498"/>
      <c r="E539" s="2498"/>
      <c r="F539" s="2498"/>
      <c r="G539" s="2498"/>
      <c r="H539" s="2498"/>
      <c r="I539" s="2498"/>
      <c r="J539" s="2498" t="s">
        <v>266</v>
      </c>
      <c r="K539" s="2498"/>
      <c r="L539" s="2511"/>
      <c r="M539" s="2511" t="s">
        <v>479</v>
      </c>
      <c r="N539" s="2511"/>
      <c r="O539" s="2498"/>
      <c r="P539" s="2498" t="s">
        <v>267</v>
      </c>
      <c r="Q539" s="2498"/>
      <c r="R539" s="2498"/>
      <c r="S539" s="2498" t="s">
        <v>268</v>
      </c>
      <c r="T539" s="2498"/>
      <c r="U539" s="2498"/>
      <c r="V539" s="2580" t="str">
        <f>B539</f>
        <v>DEVELOPMENT BUDGET  (cont'd)</v>
      </c>
      <c r="W539" s="2498"/>
      <c r="X539" s="2498"/>
    </row>
    <row r="540" spans="1:24" ht="13.8">
      <c r="A540" s="2498"/>
      <c r="B540" s="2498"/>
      <c r="C540" s="2498"/>
      <c r="D540" s="2498"/>
      <c r="E540" s="2498"/>
      <c r="F540" s="2498"/>
      <c r="G540" s="2498" t="s">
        <v>98</v>
      </c>
      <c r="H540" s="2498"/>
      <c r="I540" s="2498"/>
      <c r="J540" s="2498"/>
      <c r="K540" s="2498"/>
      <c r="L540" s="2511"/>
      <c r="M540" s="2511"/>
      <c r="N540" s="2511"/>
      <c r="O540" s="2498"/>
      <c r="P540" s="2498"/>
      <c r="Q540" s="2498"/>
      <c r="R540" s="2498"/>
      <c r="S540" s="2498"/>
      <c r="T540" s="2498"/>
      <c r="U540" s="2498"/>
      <c r="V540" s="2506" t="s">
        <v>2607</v>
      </c>
      <c r="W540" s="2498"/>
      <c r="X540" s="2506"/>
    </row>
    <row r="541" spans="1:24" ht="13.8">
      <c r="A541" s="2498"/>
      <c r="B541" s="2498" t="s">
        <v>707</v>
      </c>
      <c r="C541" s="2498"/>
      <c r="D541" s="2498"/>
      <c r="E541" s="2498"/>
      <c r="F541" s="2498"/>
      <c r="G541" s="2498"/>
      <c r="H541" s="2498"/>
      <c r="I541" s="2498"/>
      <c r="J541" s="2513"/>
      <c r="K541" s="2513"/>
      <c r="L541" s="2498"/>
      <c r="M541" s="2513"/>
      <c r="N541" s="2513"/>
      <c r="O541" s="2513" t="str">
        <f>B541</f>
        <v>DCA-RELATED COSTS</v>
      </c>
      <c r="P541" s="2513"/>
      <c r="Q541" s="2513"/>
      <c r="R541" s="2498"/>
      <c r="S541" s="2513"/>
      <c r="T541" s="2513"/>
      <c r="U541" s="2498"/>
      <c r="V541" s="2581"/>
      <c r="W541" s="2498" t="str">
        <f>B541</f>
        <v>DCA-RELATED COSTS</v>
      </c>
      <c r="X541" s="2498"/>
    </row>
    <row r="542" spans="1:24" ht="13.8">
      <c r="A542" s="2498"/>
      <c r="B542" s="2498" t="str">
        <f>CONCATENATE("DCA HOME Loan Consent Pre-Application Fee ($",'DCA Underwriting Assumptions'!$Q$81, " FP/JV, $",'DCA Underwriting Assumptions'!$Q$82, " NP)")</f>
        <v>DCA HOME Loan Consent Pre-Application Fee ($1000 FP/JV, $500 NP)</v>
      </c>
      <c r="C542" s="2498"/>
      <c r="D542" s="2498"/>
      <c r="E542" s="2498"/>
      <c r="F542" s="2498"/>
      <c r="G542" s="2511">
        <f>'Part IV-A-Uses of Funds'!G96</f>
        <v>0</v>
      </c>
      <c r="H542" s="2511"/>
      <c r="I542" s="2498"/>
      <c r="J542" s="2513"/>
      <c r="K542" s="2513"/>
      <c r="L542" s="2513"/>
      <c r="M542" s="2513"/>
      <c r="N542" s="2513"/>
      <c r="O542" s="2498"/>
      <c r="P542" s="2513"/>
      <c r="Q542" s="2513"/>
      <c r="R542" s="2498"/>
      <c r="S542" s="2511">
        <f>'Part IV-A-Uses of Funds'!S96</f>
        <v>0</v>
      </c>
      <c r="T542" s="2511"/>
      <c r="U542" s="2498"/>
      <c r="V542" s="2581"/>
      <c r="W542" s="2359"/>
      <c r="X542" s="2359"/>
    </row>
    <row r="543" spans="1:24" ht="13.8">
      <c r="A543" s="2498"/>
      <c r="B543" s="2498" t="str">
        <f>CONCATENATE("Tax Credit Application Fee ($",'DCA Underwriting Assumptions'!$Q$87, " ForProf/JntVent, $",'DCA Underwriting Assumptions'!$Q$88, " NonProf)")</f>
        <v>Tax Credit Application Fee ($6500 ForProf/JntVent, $5500 NonProf)</v>
      </c>
      <c r="C543" s="2498"/>
      <c r="D543" s="2498"/>
      <c r="E543" s="2498"/>
      <c r="F543" s="2498"/>
      <c r="G543" s="2511">
        <f>'Part IV-A-Uses of Funds'!G97</f>
        <v>0</v>
      </c>
      <c r="H543" s="2511"/>
      <c r="I543" s="2498"/>
      <c r="J543" s="2513"/>
      <c r="K543" s="2513"/>
      <c r="L543" s="2604"/>
      <c r="M543" s="2513"/>
      <c r="N543" s="2513"/>
      <c r="O543" s="2498"/>
      <c r="P543" s="2513"/>
      <c r="Q543" s="2513"/>
      <c r="R543" s="2498"/>
      <c r="S543" s="2511">
        <f>'Part IV-A-Uses of Funds'!S97</f>
        <v>0</v>
      </c>
      <c r="T543" s="2511"/>
      <c r="U543" s="2498"/>
      <c r="V543" s="2581"/>
      <c r="W543" s="2359"/>
      <c r="X543" s="2359"/>
    </row>
    <row r="544" spans="1:24" ht="13.8">
      <c r="A544" s="2498"/>
      <c r="B544" s="2498" t="s">
        <v>3707</v>
      </c>
      <c r="C544" s="2498"/>
      <c r="D544" s="2498"/>
      <c r="E544" s="2498"/>
      <c r="F544" s="2498"/>
      <c r="G544" s="2511">
        <f>'Part IV-A-Uses of Funds'!G98</f>
        <v>0</v>
      </c>
      <c r="H544" s="2511"/>
      <c r="I544" s="2498"/>
      <c r="J544" s="2513"/>
      <c r="K544" s="2513"/>
      <c r="L544" s="2604"/>
      <c r="M544" s="2513"/>
      <c r="N544" s="2513"/>
      <c r="O544" s="2498"/>
      <c r="P544" s="2513"/>
      <c r="Q544" s="2513"/>
      <c r="R544" s="2498"/>
      <c r="S544" s="2511">
        <f>'Part IV-A-Uses of Funds'!S98</f>
        <v>0</v>
      </c>
      <c r="T544" s="2511"/>
      <c r="U544" s="2498"/>
      <c r="V544" s="2581"/>
      <c r="W544" s="2359"/>
      <c r="X544" s="2359"/>
    </row>
    <row r="545" spans="1:33" ht="13.8">
      <c r="A545" s="2498"/>
      <c r="B545" s="2498" t="s">
        <v>505</v>
      </c>
      <c r="C545" s="2498"/>
      <c r="D545" s="2498"/>
      <c r="E545" s="2511">
        <f>'Part IV-A-Uses of Funds'!E99</f>
        <v>160089</v>
      </c>
      <c r="F545" s="2511"/>
      <c r="G545" s="2511">
        <f>'Part IV-A-Uses of Funds'!G99</f>
        <v>160089</v>
      </c>
      <c r="H545" s="2511"/>
      <c r="I545" s="2498"/>
      <c r="J545" s="2605" t="str">
        <f>IF(E545&gt;G545,"WARNING!  LIHTC Allocation Fee proposed is below minimum required.","")</f>
        <v/>
      </c>
      <c r="K545" s="2513"/>
      <c r="L545" s="2513"/>
      <c r="M545" s="2513"/>
      <c r="N545" s="2513"/>
      <c r="O545" s="2498"/>
      <c r="P545" s="2513"/>
      <c r="Q545" s="2513"/>
      <c r="R545" s="2498"/>
      <c r="S545" s="2511">
        <f>'Part IV-A-Uses of Funds'!S99</f>
        <v>159830</v>
      </c>
      <c r="T545" s="2511"/>
      <c r="U545" s="2498"/>
      <c r="V545" s="2581"/>
      <c r="W545" s="2359"/>
      <c r="X545" s="2359"/>
    </row>
    <row r="546" spans="1:33" ht="13.8">
      <c r="A546" s="2498"/>
      <c r="B546" s="2498" t="s">
        <v>735</v>
      </c>
      <c r="C546" s="2498"/>
      <c r="D546" s="2498"/>
      <c r="E546" s="2511">
        <f>'Part IV-A-Uses of Funds'!E100</f>
        <v>160000</v>
      </c>
      <c r="F546" s="2511"/>
      <c r="G546" s="2511">
        <f>'Part IV-A-Uses of Funds'!G100</f>
        <v>160000</v>
      </c>
      <c r="H546" s="2511"/>
      <c r="I546" s="2498"/>
      <c r="J546" s="2605" t="str">
        <f>IF(E546&gt;G546,"WARNING!  LIHTC Compliance Fee proposed is below minimum required.","")</f>
        <v/>
      </c>
      <c r="K546" s="2506"/>
      <c r="L546" s="2506"/>
      <c r="M546" s="2506"/>
      <c r="N546" s="2506"/>
      <c r="O546" s="2506"/>
      <c r="P546" s="2506"/>
      <c r="Q546" s="2506"/>
      <c r="R546" s="2498"/>
      <c r="S546" s="2511">
        <f>'Part IV-A-Uses of Funds'!S100</f>
        <v>160000</v>
      </c>
      <c r="T546" s="2511"/>
      <c r="U546" s="2498"/>
      <c r="V546" s="2581"/>
      <c r="W546" s="2359"/>
      <c r="X546" s="2359"/>
    </row>
    <row r="547" spans="1:33" ht="13.8">
      <c r="A547" s="2498"/>
      <c r="B547" s="2498" t="s">
        <v>3886</v>
      </c>
      <c r="C547" s="2498"/>
      <c r="D547" s="2498"/>
      <c r="E547" s="2498"/>
      <c r="F547" s="2606">
        <f>ROUNDUP('DCA Underwriting Assumptions'!$Q$94,0)</f>
        <v>3000</v>
      </c>
      <c r="G547" s="2511">
        <f>'Part IV-A-Uses of Funds'!G101</f>
        <v>3000</v>
      </c>
      <c r="H547" s="2511"/>
      <c r="I547" s="2498"/>
      <c r="J547" s="2506"/>
      <c r="K547" s="2506"/>
      <c r="L547" s="2506"/>
      <c r="M547" s="2506"/>
      <c r="N547" s="2506"/>
      <c r="O547" s="2506"/>
      <c r="P547" s="2506"/>
      <c r="Q547" s="2506"/>
      <c r="R547" s="2498"/>
      <c r="S547" s="2511">
        <f>'Part IV-A-Uses of Funds'!S101</f>
        <v>3000</v>
      </c>
      <c r="T547" s="2511"/>
      <c r="U547" s="2498"/>
      <c r="V547" s="2581"/>
      <c r="W547" s="2359"/>
      <c r="X547" s="2359"/>
    </row>
    <row r="548" spans="1:33" ht="13.8">
      <c r="A548" s="2498"/>
      <c r="B548" s="2498" t="s">
        <v>3887</v>
      </c>
      <c r="C548" s="2498"/>
      <c r="D548" s="2498"/>
      <c r="E548" s="2498"/>
      <c r="F548" s="2606">
        <f>ROUNDUP('DCA Underwriting Assumptions'!$Q$128,0)</f>
        <v>3000</v>
      </c>
      <c r="G548" s="2511">
        <f>'Part IV-A-Uses of Funds'!G102</f>
        <v>3000</v>
      </c>
      <c r="H548" s="2511"/>
      <c r="I548" s="2498"/>
      <c r="J548" s="2506"/>
      <c r="K548" s="2506"/>
      <c r="L548" s="2506"/>
      <c r="M548" s="2506"/>
      <c r="N548" s="2506"/>
      <c r="O548" s="2506"/>
      <c r="P548" s="2506"/>
      <c r="Q548" s="2506"/>
      <c r="R548" s="2498"/>
      <c r="S548" s="2511">
        <f>'Part IV-A-Uses of Funds'!S102</f>
        <v>3000</v>
      </c>
      <c r="T548" s="2511"/>
      <c r="U548" s="2498"/>
      <c r="V548" s="2581"/>
      <c r="W548" s="2359"/>
      <c r="X548" s="2359"/>
    </row>
    <row r="549" spans="1:33" ht="15.6" customHeight="1">
      <c r="A549" s="2582" t="str">
        <f>IF(AND(G549&gt;0,OR(C549="",C549="&lt;Enter detailed description here; use Comments section if needed&gt;")),"X","")</f>
        <v/>
      </c>
      <c r="B549" s="2498" t="s">
        <v>723</v>
      </c>
      <c r="C549" s="2509" t="str">
        <f>'Part IV-A-Uses of Funds'!C103</f>
        <v>&lt;&lt; Enter description here; provide detail &amp; justification in tab Part IV-b &gt;&gt;</v>
      </c>
      <c r="D549" s="2509"/>
      <c r="E549" s="2509"/>
      <c r="F549" s="2509"/>
      <c r="G549" s="2511">
        <f>'Part IV-A-Uses of Funds'!G103</f>
        <v>0</v>
      </c>
      <c r="H549" s="2511"/>
      <c r="I549" s="2498"/>
      <c r="J549" s="2506"/>
      <c r="K549" s="2506"/>
      <c r="L549" s="2506"/>
      <c r="M549" s="2506"/>
      <c r="N549" s="2506"/>
      <c r="O549" s="2506"/>
      <c r="P549" s="2506"/>
      <c r="Q549" s="2506"/>
      <c r="R549" s="2498"/>
      <c r="S549" s="2511">
        <f>'Part IV-A-Uses of Funds'!S103</f>
        <v>0</v>
      </c>
      <c r="T549" s="2511"/>
      <c r="U549" s="2500" t="str">
        <f>IF(AND(G549&gt;0,OR(C549="",C549="&lt;Enter detailed description here; use Comments section if needed&gt;")),"NO DESCRIPTION PROVIDED - please enter detailed description in Other box at left; use Comments section below if needed.","")</f>
        <v/>
      </c>
      <c r="V549" s="2581"/>
      <c r="W549" s="2359"/>
      <c r="X549" s="2359"/>
    </row>
    <row r="550" spans="1:33" ht="16.2" customHeight="1">
      <c r="A550" s="2582" t="str">
        <f>IF(AND(G550&gt;0,OR(C550="",C550="&lt;Enter detailed description here; use Comments section if needed&gt;")),"X","")</f>
        <v/>
      </c>
      <c r="B550" s="2498" t="s">
        <v>723</v>
      </c>
      <c r="C550" s="2509" t="str">
        <f>'Part IV-A-Uses of Funds'!C104</f>
        <v>&lt;&lt; Enter description here; provide detail &amp; justification in tab Part IV-b &gt;&gt;</v>
      </c>
      <c r="D550" s="2509"/>
      <c r="E550" s="2509"/>
      <c r="F550" s="2509"/>
      <c r="G550" s="2511">
        <f>'Part IV-A-Uses of Funds'!G104</f>
        <v>0</v>
      </c>
      <c r="H550" s="2511"/>
      <c r="I550" s="2498"/>
      <c r="J550" s="2506"/>
      <c r="K550" s="2506"/>
      <c r="L550" s="2506"/>
      <c r="M550" s="2506"/>
      <c r="N550" s="2506"/>
      <c r="O550" s="2506"/>
      <c r="P550" s="2506"/>
      <c r="Q550" s="2506"/>
      <c r="R550" s="2498"/>
      <c r="S550" s="2511">
        <f>'Part IV-A-Uses of Funds'!S104</f>
        <v>0</v>
      </c>
      <c r="T550" s="2511"/>
      <c r="U550" s="2500" t="str">
        <f>IF(AND(G550&gt;0,OR(C550="",C550="&lt;Enter detailed description here; use Comments section if needed&gt;")),"NO DESCRIPTION PROVIDED - please enter detailed description in Other box at left; use Comments section below if needed.","")</f>
        <v/>
      </c>
      <c r="V550" s="2581"/>
      <c r="W550" s="2359"/>
      <c r="X550" s="2359"/>
    </row>
    <row r="551" spans="1:33" ht="13.8">
      <c r="A551" s="2498"/>
      <c r="B551" s="2498"/>
      <c r="C551" s="2498"/>
      <c r="D551" s="2498"/>
      <c r="E551" s="2498"/>
      <c r="F551" s="2502" t="s">
        <v>187</v>
      </c>
      <c r="G551" s="2511">
        <f>SUM(G542:H550)</f>
        <v>326089</v>
      </c>
      <c r="H551" s="2511"/>
      <c r="I551" s="2498"/>
      <c r="J551" s="2513"/>
      <c r="K551" s="2513"/>
      <c r="L551" s="2513"/>
      <c r="M551" s="2513"/>
      <c r="N551" s="2513"/>
      <c r="O551" s="2498"/>
      <c r="P551" s="2513"/>
      <c r="Q551" s="2513"/>
      <c r="R551" s="2498"/>
      <c r="S551" s="2511">
        <f>SUM(S542:T550)</f>
        <v>325830</v>
      </c>
      <c r="T551" s="2511"/>
      <c r="U551" s="2498"/>
      <c r="V551" s="2581">
        <f>SUM(V542:V550)</f>
        <v>0</v>
      </c>
      <c r="W551" s="2607"/>
      <c r="X551" s="2607"/>
    </row>
    <row r="552" spans="1:33" ht="13.8">
      <c r="A552" s="2498"/>
      <c r="B552" s="2498" t="s">
        <v>2241</v>
      </c>
      <c r="C552" s="2498"/>
      <c r="D552" s="2498"/>
      <c r="E552" s="2498"/>
      <c r="F552" s="2498"/>
      <c r="G552" s="2498"/>
      <c r="H552" s="2498"/>
      <c r="I552" s="2498"/>
      <c r="J552" s="2513"/>
      <c r="K552" s="2513"/>
      <c r="L552" s="2498"/>
      <c r="M552" s="2513"/>
      <c r="N552" s="2513"/>
      <c r="O552" s="2513" t="str">
        <f>B552</f>
        <v>EQUITY COSTS</v>
      </c>
      <c r="P552" s="2513"/>
      <c r="Q552" s="2513"/>
      <c r="R552" s="2498"/>
      <c r="S552" s="2513"/>
      <c r="T552" s="2513"/>
      <c r="U552" s="2498"/>
      <c r="V552" s="2581"/>
      <c r="W552" s="2498" t="str">
        <f>B552</f>
        <v>EQUITY COSTS</v>
      </c>
      <c r="X552" s="2498"/>
    </row>
    <row r="553" spans="1:33" ht="13.8">
      <c r="A553" s="2498"/>
      <c r="B553" s="2498" t="s">
        <v>274</v>
      </c>
      <c r="C553" s="2498"/>
      <c r="D553" s="2498"/>
      <c r="E553" s="2498"/>
      <c r="F553" s="2498"/>
      <c r="G553" s="2511">
        <f>'Part IV-A-Uses of Funds'!G107</f>
        <v>5000</v>
      </c>
      <c r="H553" s="2511"/>
      <c r="I553" s="2498"/>
      <c r="J553" s="2511"/>
      <c r="K553" s="2511"/>
      <c r="L553" s="2513"/>
      <c r="M553" s="2511"/>
      <c r="N553" s="2511"/>
      <c r="O553" s="2498"/>
      <c r="P553" s="2511"/>
      <c r="Q553" s="2511"/>
      <c r="R553" s="2498"/>
      <c r="S553" s="2511">
        <f>'Part IV-A-Uses of Funds'!S107</f>
        <v>5000</v>
      </c>
      <c r="T553" s="2511"/>
      <c r="U553" s="2498"/>
      <c r="V553" s="2581"/>
      <c r="W553" s="2359"/>
      <c r="X553" s="2359"/>
    </row>
    <row r="554" spans="1:33" ht="13.8">
      <c r="A554" s="2498"/>
      <c r="B554" s="2498" t="s">
        <v>275</v>
      </c>
      <c r="C554" s="2498"/>
      <c r="D554" s="2498"/>
      <c r="E554" s="2498"/>
      <c r="F554" s="2498"/>
      <c r="G554" s="2511">
        <f>'Part IV-A-Uses of Funds'!G108</f>
        <v>0</v>
      </c>
      <c r="H554" s="2511"/>
      <c r="I554" s="2498"/>
      <c r="J554" s="2511"/>
      <c r="K554" s="2511"/>
      <c r="L554" s="2513"/>
      <c r="M554" s="2511"/>
      <c r="N554" s="2511"/>
      <c r="O554" s="2498"/>
      <c r="P554" s="2511"/>
      <c r="Q554" s="2511"/>
      <c r="R554" s="2498"/>
      <c r="S554" s="2511">
        <f>'Part IV-A-Uses of Funds'!S108</f>
        <v>0</v>
      </c>
      <c r="T554" s="2511"/>
      <c r="U554" s="2498"/>
      <c r="V554" s="2581"/>
      <c r="W554" s="2359"/>
      <c r="X554" s="2359"/>
    </row>
    <row r="555" spans="1:33" ht="13.8">
      <c r="A555" s="2498"/>
      <c r="B555" s="2498" t="s">
        <v>2324</v>
      </c>
      <c r="C555" s="2498"/>
      <c r="D555" s="2498"/>
      <c r="E555" s="2498"/>
      <c r="F555" s="2498"/>
      <c r="G555" s="2511">
        <f>'Part IV-A-Uses of Funds'!G109</f>
        <v>35000</v>
      </c>
      <c r="H555" s="2511"/>
      <c r="I555" s="2498"/>
      <c r="J555" s="2511"/>
      <c r="K555" s="2511"/>
      <c r="L555" s="2513"/>
      <c r="M555" s="2511"/>
      <c r="N555" s="2511"/>
      <c r="O555" s="2498"/>
      <c r="P555" s="2511"/>
      <c r="Q555" s="2511"/>
      <c r="R555" s="2498"/>
      <c r="S555" s="2511">
        <f>'Part IV-A-Uses of Funds'!S109</f>
        <v>35000</v>
      </c>
      <c r="T555" s="2511"/>
      <c r="U555" s="2498"/>
      <c r="V555" s="2581"/>
      <c r="W555" s="2359"/>
      <c r="X555" s="2359"/>
    </row>
    <row r="556" spans="1:33" ht="16.2" customHeight="1">
      <c r="A556" s="2582" t="str">
        <f>IF(AND(G556&gt;0,OR(C556="",C556="&lt;Enter detailed description here; use Comments section if needed&gt;")),"X","")</f>
        <v/>
      </c>
      <c r="B556" s="2498" t="s">
        <v>723</v>
      </c>
      <c r="C556" s="2509" t="str">
        <f>'Part IV-A-Uses of Funds'!C110</f>
        <v>&lt;&lt; Enter description here; provide detail &amp; justification in tab Part IV-b &gt;&gt;</v>
      </c>
      <c r="D556" s="2509"/>
      <c r="E556" s="2509"/>
      <c r="F556" s="2509"/>
      <c r="G556" s="2511">
        <f>'Part IV-A-Uses of Funds'!G110</f>
        <v>0</v>
      </c>
      <c r="H556" s="2511"/>
      <c r="I556" s="2498"/>
      <c r="J556" s="2511"/>
      <c r="K556" s="2511"/>
      <c r="L556" s="2513"/>
      <c r="M556" s="2511"/>
      <c r="N556" s="2511"/>
      <c r="O556" s="2498"/>
      <c r="P556" s="2511"/>
      <c r="Q556" s="2511"/>
      <c r="R556" s="2498"/>
      <c r="S556" s="2511">
        <f>'Part IV-A-Uses of Funds'!S110</f>
        <v>0</v>
      </c>
      <c r="T556" s="2511"/>
      <c r="U556" s="2500" t="str">
        <f>IF(AND(G556&gt;0,OR(C556="",C556="&lt;Enter detailed description here; use Comments section if needed&gt;")),"NO DESCRIPTION PROVIDED - please enter detailed description in Other box at left; use Comments section below if needed.","")</f>
        <v/>
      </c>
      <c r="V556" s="2581"/>
      <c r="W556" s="2359"/>
      <c r="X556" s="2359"/>
    </row>
    <row r="557" spans="1:33" ht="13.8" customHeight="1">
      <c r="A557" s="2498"/>
      <c r="B557" s="2498"/>
      <c r="C557" s="2498"/>
      <c r="D557" s="2498"/>
      <c r="E557" s="2498"/>
      <c r="F557" s="2502" t="s">
        <v>187</v>
      </c>
      <c r="G557" s="2511">
        <f>SUM(G553:H556)</f>
        <v>40000</v>
      </c>
      <c r="H557" s="2511"/>
      <c r="I557" s="2498"/>
      <c r="J557" s="2511"/>
      <c r="K557" s="2511"/>
      <c r="L557" s="2513"/>
      <c r="M557" s="2511"/>
      <c r="N557" s="2511"/>
      <c r="O557" s="2498"/>
      <c r="P557" s="2511"/>
      <c r="Q557" s="2511"/>
      <c r="R557" s="2498"/>
      <c r="S557" s="2511">
        <f>SUM(S553:T556)</f>
        <v>40000</v>
      </c>
      <c r="T557" s="2511"/>
      <c r="U557" s="2498"/>
      <c r="V557" s="2581">
        <f>SUM(V553:V556)</f>
        <v>0</v>
      </c>
      <c r="W557" s="2359"/>
      <c r="X557" s="2359"/>
      <c r="Y557" s="2498"/>
      <c r="Z557" s="2498"/>
      <c r="AA557" s="2498"/>
      <c r="AB557" s="2498"/>
      <c r="AC557" s="2531" t="s">
        <v>4517</v>
      </c>
      <c r="AD557" s="2531" t="s">
        <v>4518</v>
      </c>
      <c r="AE557" s="2531" t="s">
        <v>4523</v>
      </c>
      <c r="AF557" s="2505" t="s">
        <v>4519</v>
      </c>
      <c r="AG557" s="2498"/>
    </row>
    <row r="558" spans="1:33" ht="13.8">
      <c r="A558" s="2498"/>
      <c r="B558" s="2498" t="s">
        <v>276</v>
      </c>
      <c r="C558" s="2498"/>
      <c r="D558" s="2573" t="s">
        <v>4520</v>
      </c>
      <c r="E558" s="2501" t="str">
        <f>'Part IV-A-Uses of Funds'!E112</f>
        <v>4%</v>
      </c>
      <c r="F558" s="2505"/>
      <c r="G558" s="2498"/>
      <c r="H558" s="2498"/>
      <c r="I558" s="2498"/>
      <c r="J558" s="2513"/>
      <c r="K558" s="2511"/>
      <c r="L558" s="2498"/>
      <c r="M558" s="2513"/>
      <c r="N558" s="2511"/>
      <c r="O558" s="2513" t="str">
        <f>B558</f>
        <v>DEVELOPER'S FEE</v>
      </c>
      <c r="P558" s="2513"/>
      <c r="Q558" s="2511"/>
      <c r="R558" s="2498"/>
      <c r="S558" s="2513"/>
      <c r="T558" s="2511"/>
      <c r="U558" s="2498"/>
      <c r="V558" s="2581"/>
      <c r="W558" s="2498" t="str">
        <f>B558</f>
        <v>DEVELOPER'S FEE</v>
      </c>
      <c r="X558" s="2498"/>
      <c r="Y558" s="2531" t="s">
        <v>4505</v>
      </c>
      <c r="Z558" s="2531"/>
      <c r="AA558" s="2602" t="s">
        <v>4514</v>
      </c>
      <c r="AB558" s="2602" t="s">
        <v>4515</v>
      </c>
      <c r="AC558" s="2531"/>
      <c r="AD558" s="2531"/>
      <c r="AE558" s="2531"/>
      <c r="AF558" s="2505"/>
      <c r="AG558" s="2498"/>
    </row>
    <row r="559" spans="1:33" ht="13.8">
      <c r="A559" s="2498"/>
      <c r="B559" s="2498" t="s">
        <v>1814</v>
      </c>
      <c r="C559" s="2498"/>
      <c r="D559" s="2498"/>
      <c r="E559" s="2498"/>
      <c r="F559" s="2568">
        <f>'Part IV-A-Uses of Funds'!F113</f>
        <v>1</v>
      </c>
      <c r="G559" s="2511">
        <f>'Part IV-A-Uses of Funds'!G113</f>
        <v>3175000</v>
      </c>
      <c r="H559" s="2511"/>
      <c r="I559" s="2498"/>
      <c r="J559" s="2511">
        <f>'Part IV-A-Uses of Funds'!J113</f>
        <v>3175000</v>
      </c>
      <c r="K559" s="2511"/>
      <c r="L559" s="2513"/>
      <c r="M559" s="2511">
        <f>'Part IV-A-Uses of Funds'!M113</f>
        <v>0</v>
      </c>
      <c r="N559" s="2511"/>
      <c r="O559" s="2498"/>
      <c r="P559" s="2511">
        <f>'Part IV-A-Uses of Funds'!P113</f>
        <v>0</v>
      </c>
      <c r="Q559" s="2511"/>
      <c r="R559" s="2498"/>
      <c r="S559" s="2511">
        <f>'Part IV-A-Uses of Funds'!S113</f>
        <v>0</v>
      </c>
      <c r="T559" s="2511"/>
      <c r="U559" s="2498"/>
      <c r="V559" s="2581"/>
      <c r="W559" s="2359"/>
      <c r="X559" s="2359"/>
      <c r="Z559" s="2608">
        <v>0.09</v>
      </c>
      <c r="AA559" s="2609">
        <f>'DCA Underwriting Assumptions'!$J$104</f>
        <v>1</v>
      </c>
      <c r="AB559" s="2609">
        <f>'DCA Underwriting Assumptions'!$K$104</f>
        <v>50</v>
      </c>
      <c r="AC559" s="2610">
        <f>'DCA Underwriting Assumptions'!$Q$104</f>
        <v>25000</v>
      </c>
      <c r="AD559" s="2610">
        <f>AB559*AC559</f>
        <v>1250000</v>
      </c>
      <c r="AE559" s="2610">
        <f>IF('Part VI-Revenues &amp; Expenses'!$P$67&lt;AA560,'Part VI-Revenues &amp; Expenses'!$P$67*'Part IV-A-Uses of Funds'!AC559,AB559*AC559)</f>
        <v>1250000</v>
      </c>
      <c r="AF559" s="2611">
        <f>SUM(AE559:AE561)</f>
        <v>1600000</v>
      </c>
      <c r="AG559" s="2498"/>
    </row>
    <row r="560" spans="1:33" ht="13.8">
      <c r="A560" s="2498"/>
      <c r="B560" s="2498" t="s">
        <v>3847</v>
      </c>
      <c r="C560" s="2498"/>
      <c r="D560" s="2498"/>
      <c r="E560" s="2498"/>
      <c r="F560" s="2612"/>
      <c r="G560" s="2498"/>
      <c r="H560" s="2498"/>
      <c r="I560" s="2498"/>
      <c r="J560" s="2498"/>
      <c r="K560" s="2498"/>
      <c r="L560" s="2498"/>
      <c r="M560" s="2498"/>
      <c r="N560" s="2498"/>
      <c r="O560" s="2498"/>
      <c r="P560" s="2498"/>
      <c r="Q560" s="2498"/>
      <c r="R560" s="2498"/>
      <c r="S560" s="2498"/>
      <c r="T560" s="2498"/>
      <c r="U560" s="2498"/>
      <c r="V560" s="2581"/>
      <c r="W560" s="2359"/>
      <c r="X560" s="2359"/>
      <c r="Z560" s="2613"/>
      <c r="AA560" s="2609">
        <f>'DCA Underwriting Assumptions'!$J$105</f>
        <v>51</v>
      </c>
      <c r="AB560" s="2609">
        <f>'DCA Underwriting Assumptions'!$K$105</f>
        <v>70</v>
      </c>
      <c r="AC560" s="2610">
        <f>'DCA Underwriting Assumptions'!$Q$105</f>
        <v>20000</v>
      </c>
      <c r="AD560" s="2610">
        <f>(AB560-AB559)*AC560</f>
        <v>400000</v>
      </c>
      <c r="AE560" s="2610">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1"/>
      <c r="AG560" s="2498"/>
    </row>
    <row r="561" spans="1:33" ht="13.8">
      <c r="A561" s="2498"/>
      <c r="B561" s="2498" t="s">
        <v>1815</v>
      </c>
      <c r="C561" s="2498"/>
      <c r="D561" s="2498"/>
      <c r="E561" s="2498"/>
      <c r="F561" s="2568">
        <f>'Part IV-A-Uses of Funds'!F115</f>
        <v>0</v>
      </c>
      <c r="G561" s="2511">
        <f>'Part IV-A-Uses of Funds'!G115</f>
        <v>0</v>
      </c>
      <c r="H561" s="2511"/>
      <c r="I561" s="2498"/>
      <c r="J561" s="2511">
        <f>'Part IV-A-Uses of Funds'!J115</f>
        <v>0</v>
      </c>
      <c r="K561" s="2511"/>
      <c r="L561" s="2513"/>
      <c r="M561" s="2511">
        <f>'Part IV-A-Uses of Funds'!M115</f>
        <v>0</v>
      </c>
      <c r="N561" s="2511"/>
      <c r="O561" s="2498"/>
      <c r="P561" s="2511">
        <f>'Part IV-A-Uses of Funds'!P115</f>
        <v>0</v>
      </c>
      <c r="Q561" s="2511"/>
      <c r="R561" s="2498"/>
      <c r="S561" s="2511">
        <f>'Part IV-A-Uses of Funds'!S115</f>
        <v>0</v>
      </c>
      <c r="T561" s="2511"/>
      <c r="U561" s="2498"/>
      <c r="V561" s="2581"/>
      <c r="W561" s="2359"/>
      <c r="X561" s="2359"/>
      <c r="Z561" s="2613"/>
      <c r="AA561" s="2609">
        <f>'DCA Underwriting Assumptions'!$J$106</f>
        <v>71</v>
      </c>
      <c r="AB561" s="2613"/>
      <c r="AC561" s="2610">
        <f>'DCA Underwriting Assumptions'!$Q$106</f>
        <v>15000</v>
      </c>
      <c r="AD561" s="2610">
        <f>AF567-AD560-AD559</f>
        <v>350000</v>
      </c>
      <c r="AE561" s="2610">
        <f>MIN(AD561,IF('Part VI-Revenues &amp; Expenses'!$P$67&gt;AB560,('Part VI-Revenues &amp; Expenses'!$P$67-AB560)*AC561,0))</f>
        <v>350000</v>
      </c>
      <c r="AF561" s="2611"/>
      <c r="AG561" s="2498"/>
    </row>
    <row r="562" spans="1:33" ht="13.8">
      <c r="A562" s="2498"/>
      <c r="B562" s="2498" t="s">
        <v>3470</v>
      </c>
      <c r="C562" s="2498"/>
      <c r="D562" s="2498"/>
      <c r="E562" s="2498"/>
      <c r="F562" s="2568">
        <f>'Part IV-A-Uses of Funds'!F116</f>
        <v>0</v>
      </c>
      <c r="G562" s="2511">
        <f>'Part IV-A-Uses of Funds'!G116</f>
        <v>0</v>
      </c>
      <c r="H562" s="2511"/>
      <c r="I562" s="2498"/>
      <c r="J562" s="2511">
        <f>'Part IV-A-Uses of Funds'!J116</f>
        <v>0</v>
      </c>
      <c r="K562" s="2511"/>
      <c r="L562" s="2513"/>
      <c r="M562" s="2511">
        <f>'Part IV-A-Uses of Funds'!M116</f>
        <v>0</v>
      </c>
      <c r="N562" s="2511"/>
      <c r="O562" s="2498"/>
      <c r="P562" s="2511">
        <f>'Part IV-A-Uses of Funds'!P116</f>
        <v>0</v>
      </c>
      <c r="Q562" s="2511"/>
      <c r="R562" s="2498"/>
      <c r="S562" s="2511">
        <f>'Part IV-A-Uses of Funds'!S116</f>
        <v>0</v>
      </c>
      <c r="T562" s="2511"/>
      <c r="U562" s="2498"/>
      <c r="V562" s="2581"/>
      <c r="W562" s="2359"/>
      <c r="X562" s="2359"/>
      <c r="Z562" s="2608">
        <v>0.04</v>
      </c>
      <c r="AA562" s="2609">
        <f>'DCA Underwriting Assumptions'!$J$107</f>
        <v>1</v>
      </c>
      <c r="AB562" s="2609">
        <f>'DCA Underwriting Assumptions'!$K$107</f>
        <v>100</v>
      </c>
      <c r="AC562" s="2610">
        <f>'DCA Underwriting Assumptions'!$Q$107</f>
        <v>18000</v>
      </c>
      <c r="AD562" s="2610">
        <f>AB562*AC562</f>
        <v>1800000</v>
      </c>
      <c r="AE562" s="2610">
        <f>IF('Part VI-Revenues &amp; Expenses'!$P$67&lt;AA563,'Part VI-Revenues &amp; Expenses'!$P$67*'Part IV-A-Uses of Funds'!AC562,AB562*AC562)</f>
        <v>1800000</v>
      </c>
      <c r="AF562" s="2611">
        <f>SUM(AE562:AE564)</f>
        <v>2710000</v>
      </c>
      <c r="AG562" s="2614">
        <f>51*AC562</f>
        <v>918000</v>
      </c>
    </row>
    <row r="563" spans="1:33" ht="13.8">
      <c r="A563" s="2498"/>
      <c r="B563" s="2498" t="s">
        <v>1807</v>
      </c>
      <c r="C563" s="2498"/>
      <c r="D563" s="2498"/>
      <c r="E563" s="2498"/>
      <c r="F563" s="2568">
        <f>'Part IV-A-Uses of Funds'!F117</f>
        <v>0</v>
      </c>
      <c r="G563" s="2511">
        <f>'Part IV-A-Uses of Funds'!G117</f>
        <v>0</v>
      </c>
      <c r="H563" s="2511"/>
      <c r="I563" s="2498"/>
      <c r="J563" s="2511">
        <f>'Part IV-A-Uses of Funds'!J117</f>
        <v>0</v>
      </c>
      <c r="K563" s="2511"/>
      <c r="L563" s="2513"/>
      <c r="M563" s="2511">
        <f>'Part IV-A-Uses of Funds'!M117</f>
        <v>0</v>
      </c>
      <c r="N563" s="2511"/>
      <c r="O563" s="2498"/>
      <c r="P563" s="2511">
        <f>'Part IV-A-Uses of Funds'!P117</f>
        <v>0</v>
      </c>
      <c r="Q563" s="2511"/>
      <c r="R563" s="2498"/>
      <c r="S563" s="2511">
        <f>'Part IV-A-Uses of Funds'!S117</f>
        <v>0</v>
      </c>
      <c r="T563" s="2511"/>
      <c r="U563" s="2498"/>
      <c r="V563" s="2581"/>
      <c r="W563" s="2359"/>
      <c r="X563" s="2359"/>
      <c r="Z563" s="2613"/>
      <c r="AA563" s="2609">
        <f>'DCA Underwriting Assumptions'!$J$108</f>
        <v>101</v>
      </c>
      <c r="AB563" s="2609">
        <f>'DCA Underwriting Assumptions'!$K$108</f>
        <v>130</v>
      </c>
      <c r="AC563" s="2610">
        <f>'DCA Underwriting Assumptions'!$Q$108</f>
        <v>15500</v>
      </c>
      <c r="AD563" s="2610">
        <f>(AB563-AB562)*AC563</f>
        <v>465000</v>
      </c>
      <c r="AE563" s="2610">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1"/>
      <c r="AG563" s="2614"/>
    </row>
    <row r="564" spans="1:33" ht="13.8">
      <c r="A564" s="2501" t="str">
        <f>IF(G564&gt;E564,"DF over limit!  Round down/Enter nbr.","")</f>
        <v/>
      </c>
      <c r="B564" s="2615"/>
      <c r="C564" s="2498"/>
      <c r="D564" s="2573" t="s">
        <v>4516</v>
      </c>
      <c r="E564" s="2616">
        <f>'Part IV-A-Uses of Funds'!E118</f>
        <v>3175000</v>
      </c>
      <c r="F564" s="2502" t="s">
        <v>187</v>
      </c>
      <c r="G564" s="2617">
        <f>SUM(G559:H563)</f>
        <v>3175000</v>
      </c>
      <c r="H564" s="2617"/>
      <c r="I564" s="2498"/>
      <c r="J564" s="2511">
        <f>SUM(J559:K563)</f>
        <v>3175000</v>
      </c>
      <c r="K564" s="2511"/>
      <c r="L564" s="2513"/>
      <c r="M564" s="2511">
        <f>SUM(M559:N563)</f>
        <v>0</v>
      </c>
      <c r="N564" s="2511"/>
      <c r="O564" s="2498"/>
      <c r="P564" s="2511">
        <f>SUM(P559:Q563)</f>
        <v>0</v>
      </c>
      <c r="Q564" s="2511"/>
      <c r="R564" s="2498"/>
      <c r="S564" s="2511">
        <f>SUM(S559:T563)</f>
        <v>0</v>
      </c>
      <c r="T564" s="2511"/>
      <c r="U564" s="2498"/>
      <c r="V564" s="2581">
        <f>SUM(V559:V563)</f>
        <v>0</v>
      </c>
      <c r="W564" s="2359"/>
      <c r="X564" s="2359"/>
      <c r="Z564" s="2613"/>
      <c r="AA564" s="2609">
        <f>'DCA Underwriting Assumptions'!$J$109</f>
        <v>131</v>
      </c>
      <c r="AB564" s="2613"/>
      <c r="AC564" s="2610">
        <f>'DCA Underwriting Assumptions'!$Q$109</f>
        <v>13000</v>
      </c>
      <c r="AD564" s="2610">
        <f>AF568-AD563-AD562</f>
        <v>1235000</v>
      </c>
      <c r="AE564" s="2610">
        <f>MIN(AD564,IF('Part VI-Revenues &amp; Expenses'!$P$67&gt;AB563,('Part VI-Revenues &amp; Expenses'!$P$67-AB563)*AC564,0))</f>
        <v>910000</v>
      </c>
      <c r="AF564" s="2611"/>
      <c r="AG564" s="2614"/>
    </row>
    <row r="565" spans="1:33" ht="13.8">
      <c r="A565" s="2498"/>
      <c r="B565" s="2498" t="s">
        <v>1282</v>
      </c>
      <c r="C565" s="2498"/>
      <c r="D565" s="2498"/>
      <c r="E565" s="2498"/>
      <c r="F565" s="2498"/>
      <c r="G565" s="2498"/>
      <c r="H565" s="2498"/>
      <c r="I565" s="2498"/>
      <c r="J565" s="2511"/>
      <c r="K565" s="2511"/>
      <c r="L565" s="2498"/>
      <c r="M565" s="2511"/>
      <c r="N565" s="2511"/>
      <c r="O565" s="2513" t="str">
        <f>B565</f>
        <v>START-UP AND RESERVES</v>
      </c>
      <c r="P565" s="2511"/>
      <c r="Q565" s="2511"/>
      <c r="R565" s="2498"/>
      <c r="S565" s="2511"/>
      <c r="T565" s="2511"/>
      <c r="U565" s="2498"/>
      <c r="V565" s="2581"/>
      <c r="W565" s="2498" t="str">
        <f>B565</f>
        <v>START-UP AND RESERVES</v>
      </c>
      <c r="X565" s="2498"/>
      <c r="Y565" s="2618"/>
      <c r="Z565" s="2619"/>
      <c r="AA565" s="2498"/>
      <c r="AB565" s="2618"/>
      <c r="AE565" s="2498"/>
    </row>
    <row r="566" spans="1:33" ht="13.8">
      <c r="A566" s="2498"/>
      <c r="B566" s="2498" t="s">
        <v>246</v>
      </c>
      <c r="C566" s="2498"/>
      <c r="D566" s="2498"/>
      <c r="E566" s="2498"/>
      <c r="F566" s="2498"/>
      <c r="G566" s="2511">
        <f>'Part IV-A-Uses of Funds'!G120</f>
        <v>50000</v>
      </c>
      <c r="H566" s="2511"/>
      <c r="I566" s="2498"/>
      <c r="J566" s="2604"/>
      <c r="K566" s="2604"/>
      <c r="L566" s="2604"/>
      <c r="M566" s="2604"/>
      <c r="N566" s="2604"/>
      <c r="O566" s="2498"/>
      <c r="P566" s="2604"/>
      <c r="Q566" s="2604"/>
      <c r="R566" s="2498"/>
      <c r="S566" s="2511">
        <f>'Part IV-A-Uses of Funds'!S120</f>
        <v>50000</v>
      </c>
      <c r="T566" s="2511"/>
      <c r="U566" s="2498"/>
      <c r="V566" s="2581"/>
      <c r="W566" s="2359"/>
      <c r="X566" s="2359"/>
      <c r="Y566" s="2531" t="s">
        <v>4507</v>
      </c>
      <c r="Z566" s="2619"/>
      <c r="AA566" s="2498"/>
      <c r="AB566" s="2618"/>
      <c r="AE566" s="2498"/>
    </row>
    <row r="567" spans="1:33" ht="13.8">
      <c r="A567" s="2498"/>
      <c r="B567" s="2498" t="s">
        <v>1503</v>
      </c>
      <c r="C567" s="2498"/>
      <c r="D567" s="2498"/>
      <c r="E567" s="2498"/>
      <c r="F567" s="2584">
        <f>'Part IV-A-Uses of Funds'!F121</f>
        <v>233635.5</v>
      </c>
      <c r="G567" s="2511">
        <f>'Part IV-A-Uses of Funds'!G121</f>
        <v>100000</v>
      </c>
      <c r="H567" s="2511"/>
      <c r="I567" s="2498"/>
      <c r="J567" s="2620" t="str">
        <f>IF(E567&gt;G567,"WARNING! Rent-Up Reserves proposed is below minimum - add comment.","")</f>
        <v/>
      </c>
      <c r="K567" s="2620"/>
      <c r="L567" s="2513"/>
      <c r="M567" s="2511"/>
      <c r="N567" s="2511"/>
      <c r="O567" s="2498"/>
      <c r="P567" s="2511"/>
      <c r="Q567" s="2511"/>
      <c r="R567" s="2498"/>
      <c r="S567" s="2511">
        <f>'Part IV-A-Uses of Funds'!S121</f>
        <v>100000</v>
      </c>
      <c r="T567" s="2511"/>
      <c r="U567" s="2498"/>
      <c r="V567" s="2581"/>
      <c r="W567" s="2359"/>
      <c r="X567" s="2359"/>
      <c r="Z567" s="2608">
        <v>0.09</v>
      </c>
      <c r="AA567" s="2498"/>
      <c r="AB567" s="2531"/>
      <c r="AC567" s="2498"/>
      <c r="AE567" s="2498"/>
      <c r="AF567" s="2610">
        <f>'DCA Underwriting Assumptions'!$Q$112</f>
        <v>2000000</v>
      </c>
    </row>
    <row r="568" spans="1:33" ht="13.8">
      <c r="A568" s="2498"/>
      <c r="B568" s="2498" t="s">
        <v>660</v>
      </c>
      <c r="C568" s="2498"/>
      <c r="D568" s="2498"/>
      <c r="E568" s="2498"/>
      <c r="F568" s="2584">
        <f>'Part IV-A-Uses of Funds'!F122</f>
        <v>831231.83712938498</v>
      </c>
      <c r="G568" s="2511">
        <f>'Part IV-A-Uses of Funds'!G122</f>
        <v>831271</v>
      </c>
      <c r="H568" s="2511"/>
      <c r="I568" s="2498"/>
      <c r="J568" s="2620" t="str">
        <f>IF(E568&gt;G568,"WARNING! ODR proposed is below minimum - add comment.","")</f>
        <v/>
      </c>
      <c r="K568" s="2604"/>
      <c r="L568" s="2604"/>
      <c r="M568" s="2604"/>
      <c r="N568" s="2604"/>
      <c r="O568" s="2498"/>
      <c r="P568" s="2604"/>
      <c r="Q568" s="2604"/>
      <c r="R568" s="2498"/>
      <c r="S568" s="2511">
        <f>'Part IV-A-Uses of Funds'!S122</f>
        <v>831271</v>
      </c>
      <c r="T568" s="2511"/>
      <c r="U568" s="2498"/>
      <c r="V568" s="2581"/>
      <c r="W568" s="2359"/>
      <c r="X568" s="2359"/>
      <c r="Z568" s="2608">
        <v>0.04</v>
      </c>
      <c r="AA568" s="2498"/>
      <c r="AB568" s="2531"/>
      <c r="AC568" s="2498"/>
      <c r="AE568" s="2498"/>
      <c r="AF568" s="2610">
        <f>'DCA Underwriting Assumptions'!$Q$113</f>
        <v>3500000</v>
      </c>
    </row>
    <row r="569" spans="1:33" ht="13.8">
      <c r="A569" s="2498"/>
      <c r="B569" s="2498" t="s">
        <v>1218</v>
      </c>
      <c r="C569" s="2498"/>
      <c r="D569" s="2498"/>
      <c r="E569" s="2498"/>
      <c r="F569" s="2584"/>
      <c r="G569" s="2511">
        <f>'Part IV-A-Uses of Funds'!G123</f>
        <v>0</v>
      </c>
      <c r="H569" s="2511"/>
      <c r="I569" s="2498"/>
      <c r="J569" s="2604"/>
      <c r="K569" s="2604"/>
      <c r="L569" s="2604"/>
      <c r="M569" s="2604"/>
      <c r="N569" s="2604"/>
      <c r="O569" s="2498"/>
      <c r="P569" s="2604"/>
      <c r="Q569" s="2604"/>
      <c r="R569" s="2498"/>
      <c r="S569" s="2511">
        <f>'Part IV-A-Uses of Funds'!S123</f>
        <v>0</v>
      </c>
      <c r="T569" s="2511"/>
      <c r="U569" s="2498"/>
      <c r="V569" s="2581"/>
      <c r="W569" s="2359"/>
      <c r="X569" s="2359"/>
    </row>
    <row r="570" spans="1:33" ht="13.8">
      <c r="A570" s="2498"/>
      <c r="B570" s="2498" t="s">
        <v>1219</v>
      </c>
      <c r="C570" s="2498"/>
      <c r="D570" s="2498"/>
      <c r="E570" s="2583" t="s">
        <v>3436</v>
      </c>
      <c r="F570" s="2584">
        <f>'Part IV-A-Uses of Funds'!F124</f>
        <v>775</v>
      </c>
      <c r="G570" s="2511">
        <f>'Part IV-A-Uses of Funds'!G124</f>
        <v>155000</v>
      </c>
      <c r="H570" s="2511"/>
      <c r="I570" s="2498"/>
      <c r="J570" s="2511">
        <f>'Part IV-A-Uses of Funds'!J124</f>
        <v>155000</v>
      </c>
      <c r="K570" s="2511"/>
      <c r="L570" s="2513"/>
      <c r="M570" s="2511">
        <f>'Part IV-A-Uses of Funds'!M124</f>
        <v>0</v>
      </c>
      <c r="N570" s="2511"/>
      <c r="O570" s="2498"/>
      <c r="P570" s="2511">
        <f>'Part IV-A-Uses of Funds'!P124</f>
        <v>0</v>
      </c>
      <c r="Q570" s="2511"/>
      <c r="R570" s="2498"/>
      <c r="S570" s="2511">
        <f>'Part IV-A-Uses of Funds'!S124</f>
        <v>0</v>
      </c>
      <c r="T570" s="2511"/>
      <c r="U570" s="2498"/>
      <c r="V570" s="2581"/>
      <c r="W570" s="2359"/>
      <c r="X570" s="2359"/>
    </row>
    <row r="571" spans="1:33" ht="16.2" customHeight="1">
      <c r="A571" s="2582" t="str">
        <f>IF(AND(G571&gt;0,OR(C571="",C571="&lt;Enter detailed description here; use Comments section if needed&gt;")),"X","")</f>
        <v/>
      </c>
      <c r="B571" s="2498" t="s">
        <v>723</v>
      </c>
      <c r="C571" s="2509" t="str">
        <f>'Part IV-A-Uses of Funds'!C125</f>
        <v xml:space="preserve">Taxes, Insurance &amp; Replacement Reserve </v>
      </c>
      <c r="D571" s="2509"/>
      <c r="E571" s="2509"/>
      <c r="F571" s="2509"/>
      <c r="G571" s="2511">
        <f>'Part IV-A-Uses of Funds'!G125</f>
        <v>170000</v>
      </c>
      <c r="H571" s="2511"/>
      <c r="I571" s="2498"/>
      <c r="J571" s="2511">
        <f>'Part IV-A-Uses of Funds'!J125</f>
        <v>0</v>
      </c>
      <c r="K571" s="2511"/>
      <c r="L571" s="2513"/>
      <c r="M571" s="2511">
        <f>'Part IV-A-Uses of Funds'!M125</f>
        <v>0</v>
      </c>
      <c r="N571" s="2511"/>
      <c r="O571" s="2498"/>
      <c r="P571" s="2511">
        <f>'Part IV-A-Uses of Funds'!P125</f>
        <v>0</v>
      </c>
      <c r="Q571" s="2511"/>
      <c r="R571" s="2498"/>
      <c r="S571" s="2511">
        <f>'Part IV-A-Uses of Funds'!S125</f>
        <v>170000</v>
      </c>
      <c r="T571" s="2511"/>
      <c r="U571" s="2500" t="str">
        <f>IF(AND(G571&gt;0,OR(C571="",C571="&lt;Enter detailed description here; use Comments section if needed&gt;")),"NO DESCRIPTION PROVIDED - please enter detailed description in Other box at left; use Comments section below if needed.","")</f>
        <v/>
      </c>
      <c r="V571" s="2581"/>
      <c r="W571" s="2359"/>
      <c r="X571" s="2359"/>
    </row>
    <row r="572" spans="1:33" ht="13.8">
      <c r="A572" s="2498"/>
      <c r="B572" s="2499"/>
      <c r="C572" s="2498"/>
      <c r="D572" s="2498"/>
      <c r="E572" s="2498"/>
      <c r="F572" s="2502" t="s">
        <v>187</v>
      </c>
      <c r="G572" s="2511">
        <f>SUM(G566:H571)</f>
        <v>1306271</v>
      </c>
      <c r="H572" s="2511"/>
      <c r="I572" s="2498"/>
      <c r="J572" s="2511">
        <f>SUM(J570:K571)</f>
        <v>155000</v>
      </c>
      <c r="K572" s="2511"/>
      <c r="L572" s="2513"/>
      <c r="M572" s="2511">
        <f>SUM(M570:N571)</f>
        <v>0</v>
      </c>
      <c r="N572" s="2511"/>
      <c r="O572" s="2498"/>
      <c r="P572" s="2511">
        <f>SUM(P570:Q571)</f>
        <v>0</v>
      </c>
      <c r="Q572" s="2511"/>
      <c r="R572" s="2498"/>
      <c r="S572" s="2511">
        <f>SUM(S566:T571)</f>
        <v>1151271</v>
      </c>
      <c r="T572" s="2511"/>
      <c r="U572" s="2498"/>
      <c r="V572" s="2581">
        <f>SUM(V566:V571)</f>
        <v>0</v>
      </c>
      <c r="W572" s="2359"/>
      <c r="X572" s="2359"/>
    </row>
    <row r="573" spans="1:33" ht="13.8">
      <c r="A573" s="2498"/>
      <c r="B573" s="2498" t="s">
        <v>593</v>
      </c>
      <c r="C573" s="2500"/>
      <c r="D573" s="2498"/>
      <c r="E573" s="2498"/>
      <c r="F573" s="2498"/>
      <c r="G573" s="2498"/>
      <c r="H573" s="2621"/>
      <c r="I573" s="2621"/>
      <c r="J573" s="2511"/>
      <c r="K573" s="2511"/>
      <c r="L573" s="2498"/>
      <c r="M573" s="2511"/>
      <c r="N573" s="2511"/>
      <c r="O573" s="2513" t="str">
        <f>B573</f>
        <v>OTHER COSTS</v>
      </c>
      <c r="P573" s="2511"/>
      <c r="Q573" s="2511"/>
      <c r="R573" s="2498"/>
      <c r="S573" s="2511"/>
      <c r="T573" s="2511"/>
      <c r="U573" s="2498"/>
      <c r="V573" s="2581"/>
      <c r="W573" s="2498" t="str">
        <f>B573</f>
        <v>OTHER COSTS</v>
      </c>
      <c r="X573" s="2498"/>
    </row>
    <row r="574" spans="1:33" ht="13.8">
      <c r="A574" s="2498"/>
      <c r="B574" s="2498" t="s">
        <v>594</v>
      </c>
      <c r="C574" s="2500"/>
      <c r="D574" s="2498"/>
      <c r="E574" s="2498"/>
      <c r="F574" s="2498"/>
      <c r="G574" s="2511">
        <f>'Part IV-A-Uses of Funds'!G128</f>
        <v>0</v>
      </c>
      <c r="H574" s="2511"/>
      <c r="I574" s="2498"/>
      <c r="J574" s="2511">
        <f>'Part IV-A-Uses of Funds'!J128</f>
        <v>0</v>
      </c>
      <c r="K574" s="2511"/>
      <c r="L574" s="2513"/>
      <c r="M574" s="2511">
        <f>'Part IV-A-Uses of Funds'!M128</f>
        <v>0</v>
      </c>
      <c r="N574" s="2511"/>
      <c r="O574" s="2498"/>
      <c r="P574" s="2511">
        <f>'Part IV-A-Uses of Funds'!P128</f>
        <v>0</v>
      </c>
      <c r="Q574" s="2511"/>
      <c r="R574" s="2498"/>
      <c r="S574" s="2511">
        <f>'Part IV-A-Uses of Funds'!S128</f>
        <v>0</v>
      </c>
      <c r="T574" s="2511"/>
      <c r="U574" s="2498"/>
      <c r="V574" s="2581"/>
      <c r="W574" s="2359"/>
      <c r="X574" s="2359"/>
    </row>
    <row r="575" spans="1:33" ht="16.2" customHeight="1">
      <c r="A575" s="2582" t="str">
        <f>IF(AND(G575&gt;0,OR(C575="",C575="&lt;Enter detailed description here; use Comments section if needed&gt;")),"X","")</f>
        <v/>
      </c>
      <c r="B575" s="2498" t="s">
        <v>723</v>
      </c>
      <c r="C575" s="2509" t="str">
        <f>'Part IV-A-Uses of Funds'!C129</f>
        <v>&lt;&lt; Enter description here; provide detail &amp; justification in tab Part IV-b &gt;&gt;</v>
      </c>
      <c r="D575" s="2509"/>
      <c r="E575" s="2509"/>
      <c r="F575" s="2509"/>
      <c r="G575" s="2511">
        <f>'Part IV-A-Uses of Funds'!G129</f>
        <v>0</v>
      </c>
      <c r="H575" s="2511"/>
      <c r="I575" s="2498"/>
      <c r="J575" s="2511">
        <f>'Part IV-A-Uses of Funds'!J129</f>
        <v>0</v>
      </c>
      <c r="K575" s="2511"/>
      <c r="L575" s="2513"/>
      <c r="M575" s="2511">
        <f>'Part IV-A-Uses of Funds'!M129</f>
        <v>0</v>
      </c>
      <c r="N575" s="2511"/>
      <c r="O575" s="2498"/>
      <c r="P575" s="2511">
        <f>'Part IV-A-Uses of Funds'!P129</f>
        <v>0</v>
      </c>
      <c r="Q575" s="2511"/>
      <c r="R575" s="2498"/>
      <c r="S575" s="2511">
        <f>'Part IV-A-Uses of Funds'!S129</f>
        <v>0</v>
      </c>
      <c r="T575" s="2511"/>
      <c r="U575" s="2500" t="str">
        <f>IF(AND(G575&gt;0,OR(C575="",C575="&lt;Enter detailed description here; use Comments section if needed&gt;")),"NO DESCRIPTION PROVIDED - please enter detailed description in Other box at left; use Comments section below if needed.","")</f>
        <v/>
      </c>
      <c r="V575" s="2581"/>
      <c r="W575" s="2359"/>
      <c r="X575" s="2359"/>
    </row>
    <row r="576" spans="1:33" ht="13.8">
      <c r="A576" s="2498"/>
      <c r="B576" s="2498"/>
      <c r="C576" s="2500"/>
      <c r="D576" s="2498"/>
      <c r="E576" s="2498"/>
      <c r="F576" s="2502" t="s">
        <v>187</v>
      </c>
      <c r="G576" s="2511">
        <f>SUM(G574:H575)</f>
        <v>0</v>
      </c>
      <c r="H576" s="2511"/>
      <c r="I576" s="2498"/>
      <c r="J576" s="2511">
        <f>SUM(J574:K575)</f>
        <v>0</v>
      </c>
      <c r="K576" s="2511"/>
      <c r="L576" s="2513"/>
      <c r="M576" s="2511">
        <f>SUM(M574:N575)</f>
        <v>0</v>
      </c>
      <c r="N576" s="2511"/>
      <c r="O576" s="2498"/>
      <c r="P576" s="2511">
        <f>SUM(P574:Q575)</f>
        <v>0</v>
      </c>
      <c r="Q576" s="2511"/>
      <c r="R576" s="2498"/>
      <c r="S576" s="2511">
        <f>SUM(S574:T575)</f>
        <v>0</v>
      </c>
      <c r="T576" s="2511"/>
      <c r="U576" s="2498"/>
      <c r="V576" s="2581">
        <f>SUM(V574:V575)</f>
        <v>0</v>
      </c>
      <c r="W576" s="2359"/>
      <c r="X576" s="2359"/>
    </row>
    <row r="577" spans="1:24" ht="13.8">
      <c r="A577" s="2498"/>
      <c r="B577" s="2498"/>
      <c r="C577" s="2500"/>
      <c r="D577" s="2498"/>
      <c r="E577" s="2498"/>
      <c r="F577" s="2498"/>
      <c r="G577" s="2498"/>
      <c r="H577" s="2621"/>
      <c r="I577" s="2621"/>
      <c r="J577" s="2498"/>
      <c r="K577" s="2498"/>
      <c r="L577" s="2498"/>
      <c r="M577" s="2498"/>
      <c r="N577" s="2498"/>
      <c r="O577" s="2498"/>
      <c r="P577" s="2498"/>
      <c r="Q577" s="2498"/>
      <c r="R577" s="2498"/>
      <c r="S577" s="2498"/>
      <c r="T577" s="2498"/>
      <c r="U577" s="2498"/>
      <c r="V577" s="2581"/>
      <c r="W577" s="2607"/>
      <c r="X577" s="2607"/>
    </row>
    <row r="578" spans="1:24" ht="13.8">
      <c r="A578" s="2498"/>
      <c r="B578" s="2500" t="s">
        <v>6893</v>
      </c>
      <c r="C578" s="2498"/>
      <c r="D578" s="2498"/>
      <c r="E578" s="2583"/>
      <c r="F578" s="2622"/>
      <c r="G578" s="2511">
        <f>G463+G469+G473+G479+G484+G487+G493+G510+G523+G529+G537+G551+G557+G564+G572+G576</f>
        <v>43012994</v>
      </c>
      <c r="H578" s="2511"/>
      <c r="I578" s="2498"/>
      <c r="J578" s="2511">
        <f>J463+J469+J473+J479+J484+J487+J493+J510+J523+J529+J537+J551+J557+J564+J572+J576</f>
        <v>38482904</v>
      </c>
      <c r="K578" s="2511"/>
      <c r="L578" s="2498"/>
      <c r="M578" s="2511">
        <f>M463+M469+M473+M479+M484+M487+M493+M510+M523+M529+M537+M551+M557+M564+M572+M576</f>
        <v>0</v>
      </c>
      <c r="N578" s="2511"/>
      <c r="O578" s="2498"/>
      <c r="P578" s="2511">
        <f>P463+P469+P473+P479+P484+P487+P493+P510+P523+P529+P537+P551+P557+P564+P572+P576</f>
        <v>0</v>
      </c>
      <c r="Q578" s="2511"/>
      <c r="R578" s="2498"/>
      <c r="S578" s="2511">
        <f>S463+S469+S473+S479+S484+S487+S493+S510+S523+S529+S537+S551+S557+S564+S572+S576</f>
        <v>4529831</v>
      </c>
      <c r="T578" s="2511"/>
      <c r="U578" s="2498"/>
      <c r="V578" s="2581">
        <f>V463+V469+V473+V479+V484+V487+V493+V510+V523+V529+V537+V551+V557+V564+V572+V576</f>
        <v>0</v>
      </c>
      <c r="W578" s="2359"/>
      <c r="X578" s="2359"/>
    </row>
    <row r="579" spans="1:24" ht="13.8">
      <c r="A579" s="2498"/>
      <c r="B579" s="2498"/>
      <c r="C579" s="2500"/>
      <c r="D579" s="2498"/>
      <c r="E579" s="2498"/>
      <c r="F579" s="2498"/>
      <c r="G579" s="2498"/>
      <c r="H579" s="2621"/>
      <c r="I579" s="2621"/>
      <c r="J579" s="2498"/>
      <c r="K579" s="2498"/>
      <c r="L579" s="2498"/>
      <c r="M579" s="2498"/>
      <c r="N579" s="2498"/>
      <c r="O579" s="2498"/>
      <c r="P579" s="2498"/>
      <c r="Q579" s="2498"/>
      <c r="R579" s="2498"/>
      <c r="S579" s="2498"/>
      <c r="T579" s="2498"/>
      <c r="U579" s="2498"/>
      <c r="V579" s="2581"/>
      <c r="W579" s="2498"/>
      <c r="X579" s="2498"/>
    </row>
    <row r="580" spans="1:24" ht="13.8">
      <c r="A580" s="2498"/>
      <c r="B580" s="2500" t="s">
        <v>6849</v>
      </c>
      <c r="C580" s="2498"/>
      <c r="D580" s="2594">
        <f>IF('Part VI-Revenues &amp; Expenses'!$P$67=0,0,G578/'Part VI-Revenues &amp; Expenses'!$P$67)</f>
        <v>215064.97</v>
      </c>
      <c r="E580" s="2594"/>
      <c r="F580" s="2499" t="s">
        <v>2674</v>
      </c>
      <c r="G580" s="2594">
        <f>IF('Part I-Project Information'!$P$75=0,0,G578/'Part I-Project Information'!$P$75)</f>
        <v>191.39854047078717</v>
      </c>
      <c r="H580" s="2594"/>
      <c r="I580" s="2623"/>
      <c r="J580" s="2498"/>
      <c r="K580" s="2498"/>
      <c r="L580" s="2498"/>
      <c r="M580" s="2498"/>
      <c r="N580" s="2498"/>
      <c r="O580" s="2498"/>
      <c r="P580" s="2498"/>
      <c r="Q580" s="2498"/>
      <c r="R580" s="2498"/>
      <c r="S580" s="2498"/>
      <c r="T580" s="2498"/>
      <c r="U580" s="2498"/>
      <c r="V580" s="2581"/>
      <c r="W580" s="2498"/>
      <c r="X580" s="2498"/>
    </row>
    <row r="581" spans="1:24" ht="13.8">
      <c r="A581" s="2498"/>
      <c r="B581" s="2498"/>
      <c r="C581" s="2498"/>
      <c r="D581" s="2498"/>
      <c r="E581" s="2498"/>
      <c r="F581" s="2498"/>
      <c r="G581" s="2498"/>
      <c r="H581" s="2498"/>
      <c r="I581" s="2623"/>
      <c r="J581" s="2498"/>
      <c r="K581" s="2498"/>
      <c r="L581" s="2623"/>
      <c r="M581" s="2498"/>
      <c r="N581" s="2498"/>
      <c r="O581" s="2498"/>
      <c r="P581" s="2498"/>
      <c r="Q581" s="2498"/>
      <c r="R581" s="2498"/>
      <c r="S581" s="2498"/>
      <c r="T581" s="2498"/>
      <c r="U581" s="2498"/>
      <c r="V581" s="2581"/>
      <c r="W581" s="2498"/>
      <c r="X581" s="2498"/>
    </row>
    <row r="582" spans="1:24" ht="13.8">
      <c r="A582" s="2498"/>
      <c r="B582" s="2498"/>
      <c r="C582" s="2498"/>
      <c r="D582" s="2500"/>
      <c r="E582" s="2500"/>
      <c r="F582" s="2498"/>
      <c r="G582" s="2498"/>
      <c r="H582" s="2498"/>
      <c r="I582" s="2621"/>
      <c r="J582" s="2621"/>
      <c r="K582" s="2624"/>
      <c r="L582" s="2500"/>
      <c r="M582" s="2498"/>
      <c r="N582" s="2498"/>
      <c r="O582" s="2498"/>
      <c r="P582" s="2498"/>
      <c r="Q582" s="2498"/>
      <c r="R582" s="2498"/>
      <c r="S582" s="2498"/>
      <c r="T582" s="2498"/>
      <c r="U582" s="2498"/>
      <c r="V582" s="2581"/>
      <c r="W582" s="2498"/>
      <c r="X582" s="2498"/>
    </row>
    <row r="583" spans="1:24" ht="13.8" customHeight="1">
      <c r="A583" s="2578" t="s">
        <v>722</v>
      </c>
      <c r="B583" s="2625" t="s">
        <v>1398</v>
      </c>
      <c r="C583" s="2499"/>
      <c r="D583" s="2513"/>
      <c r="E583" s="2513"/>
      <c r="F583" s="2513"/>
      <c r="G583" s="2498"/>
      <c r="H583" s="2498"/>
      <c r="I583" s="2502"/>
      <c r="J583" s="2498" t="s">
        <v>266</v>
      </c>
      <c r="K583" s="2498"/>
      <c r="L583" s="2498"/>
      <c r="M583" s="2498" t="s">
        <v>97</v>
      </c>
      <c r="N583" s="2498"/>
      <c r="O583" s="2498"/>
      <c r="P583" s="2498" t="s">
        <v>267</v>
      </c>
      <c r="Q583" s="2498"/>
      <c r="R583" s="2498"/>
      <c r="S583" s="2498"/>
      <c r="T583" s="2498"/>
      <c r="U583" s="2498"/>
      <c r="V583" s="2581"/>
      <c r="W583" s="2580" t="str">
        <f>B583</f>
        <v>TAX CREDIT CALCULATION - BASIS METHOD</v>
      </c>
      <c r="X583" s="2498"/>
    </row>
    <row r="584" spans="1:24" ht="13.8">
      <c r="A584" s="2498"/>
      <c r="B584" s="2500" t="s">
        <v>1996</v>
      </c>
      <c r="C584" s="2498"/>
      <c r="D584" s="2513"/>
      <c r="E584" s="2513"/>
      <c r="F584" s="2498"/>
      <c r="G584" s="2498"/>
      <c r="H584" s="2498"/>
      <c r="I584" s="2502"/>
      <c r="J584" s="2498"/>
      <c r="K584" s="2498"/>
      <c r="L584" s="2499"/>
      <c r="M584" s="2498"/>
      <c r="N584" s="2498"/>
      <c r="O584" s="2498"/>
      <c r="P584" s="2498"/>
      <c r="Q584" s="2498"/>
      <c r="R584" s="2498"/>
      <c r="S584" s="2498"/>
      <c r="T584" s="2498"/>
      <c r="U584" s="2498"/>
      <c r="V584" s="2581"/>
      <c r="W584" s="2498" t="str">
        <f>B584</f>
        <v>Subtractions From Eligible Basis</v>
      </c>
      <c r="X584" s="2506"/>
    </row>
    <row r="585" spans="1:24" ht="13.8">
      <c r="A585" s="2498"/>
      <c r="B585" s="2498"/>
      <c r="C585" s="2498"/>
      <c r="D585" s="2500"/>
      <c r="E585" s="2500"/>
      <c r="F585" s="2498"/>
      <c r="G585" s="2498"/>
      <c r="H585" s="2498"/>
      <c r="I585" s="2621"/>
      <c r="J585" s="2621"/>
      <c r="K585" s="2624"/>
      <c r="L585" s="2500"/>
      <c r="M585" s="2498"/>
      <c r="N585" s="2498"/>
      <c r="O585" s="2498"/>
      <c r="P585" s="2498"/>
      <c r="Q585" s="2498"/>
      <c r="R585" s="2498"/>
      <c r="S585" s="2498"/>
      <c r="T585" s="2498"/>
      <c r="U585" s="2498"/>
      <c r="V585" s="2581"/>
      <c r="W585" s="2498"/>
      <c r="X585" s="2498"/>
    </row>
    <row r="586" spans="1:24" ht="13.8">
      <c r="A586" s="2498"/>
      <c r="B586" s="2500" t="s">
        <v>141</v>
      </c>
      <c r="C586" s="2498"/>
      <c r="D586" s="2498"/>
      <c r="E586" s="2498"/>
      <c r="F586" s="2498"/>
      <c r="G586" s="2498"/>
      <c r="H586" s="2498"/>
      <c r="I586" s="2502"/>
      <c r="J586" s="2511">
        <f>'Part IV-A-Uses of Funds'!J140</f>
        <v>0</v>
      </c>
      <c r="K586" s="2511"/>
      <c r="L586" s="2498"/>
      <c r="M586" s="2498"/>
      <c r="N586" s="2498"/>
      <c r="O586" s="2498"/>
      <c r="P586" s="2511">
        <f>'Part IV-A-Uses of Funds'!P140</f>
        <v>0</v>
      </c>
      <c r="Q586" s="2511"/>
      <c r="R586" s="2498"/>
      <c r="S586" s="2498"/>
      <c r="T586" s="2498"/>
      <c r="U586" s="2498"/>
      <c r="V586" s="2581"/>
      <c r="W586" s="2359"/>
      <c r="X586" s="2359"/>
    </row>
    <row r="587" spans="1:24" ht="13.8">
      <c r="A587" s="2498"/>
      <c r="B587" s="2498" t="s">
        <v>2102</v>
      </c>
      <c r="C587" s="2498"/>
      <c r="D587" s="2498"/>
      <c r="E587" s="2498"/>
      <c r="F587" s="2498"/>
      <c r="G587" s="2498"/>
      <c r="H587" s="2498"/>
      <c r="I587" s="2502"/>
      <c r="J587" s="2511">
        <f>'Part IV-A-Uses of Funds'!J141</f>
        <v>0</v>
      </c>
      <c r="K587" s="2511"/>
      <c r="L587" s="2498"/>
      <c r="M587" s="2498"/>
      <c r="N587" s="2498"/>
      <c r="O587" s="2498"/>
      <c r="P587" s="2511">
        <f>'Part IV-A-Uses of Funds'!P141</f>
        <v>0</v>
      </c>
      <c r="Q587" s="2511"/>
      <c r="R587" s="2498"/>
      <c r="S587" s="2498"/>
      <c r="T587" s="2498"/>
      <c r="U587" s="2498"/>
      <c r="V587" s="2581"/>
      <c r="W587" s="2359"/>
      <c r="X587" s="2359"/>
    </row>
    <row r="588" spans="1:24" ht="13.8">
      <c r="A588" s="2498"/>
      <c r="B588" s="2498" t="s">
        <v>1817</v>
      </c>
      <c r="C588" s="2498"/>
      <c r="D588" s="2498"/>
      <c r="E588" s="2498"/>
      <c r="F588" s="2498"/>
      <c r="G588" s="2498"/>
      <c r="H588" s="2498"/>
      <c r="I588" s="2502"/>
      <c r="J588" s="2511">
        <f>'Part IV-A-Uses of Funds'!J142</f>
        <v>0</v>
      </c>
      <c r="K588" s="2511"/>
      <c r="L588" s="2498"/>
      <c r="M588" s="2498"/>
      <c r="N588" s="2498"/>
      <c r="O588" s="2498"/>
      <c r="P588" s="2511">
        <f>'Part IV-A-Uses of Funds'!P142</f>
        <v>0</v>
      </c>
      <c r="Q588" s="2511"/>
      <c r="R588" s="2498"/>
      <c r="S588" s="2498"/>
      <c r="T588" s="2498"/>
      <c r="U588" s="2498"/>
      <c r="V588" s="2581"/>
      <c r="W588" s="2359"/>
      <c r="X588" s="2359"/>
    </row>
    <row r="589" spans="1:24" ht="13.8">
      <c r="A589" s="2498"/>
      <c r="B589" s="2498" t="s">
        <v>1818</v>
      </c>
      <c r="C589" s="2498"/>
      <c r="D589" s="2498"/>
      <c r="E589" s="2498"/>
      <c r="F589" s="2498"/>
      <c r="G589" s="2498"/>
      <c r="H589" s="2498"/>
      <c r="I589" s="2502"/>
      <c r="J589" s="2511">
        <f>'Part IV-A-Uses of Funds'!J143</f>
        <v>0</v>
      </c>
      <c r="K589" s="2511"/>
      <c r="L589" s="2498"/>
      <c r="M589" s="2498"/>
      <c r="N589" s="2498"/>
      <c r="O589" s="2498"/>
      <c r="P589" s="2511">
        <f>'Part IV-A-Uses of Funds'!P143</f>
        <v>0</v>
      </c>
      <c r="Q589" s="2511"/>
      <c r="R589" s="2498"/>
      <c r="S589" s="2498"/>
      <c r="T589" s="2498"/>
      <c r="U589" s="2498"/>
      <c r="V589" s="2581"/>
      <c r="W589" s="2359"/>
      <c r="X589" s="2359"/>
    </row>
    <row r="590" spans="1:24" ht="13.8">
      <c r="A590" s="2498"/>
      <c r="B590" s="2498" t="s">
        <v>249</v>
      </c>
      <c r="C590" s="2498"/>
      <c r="D590" s="2498"/>
      <c r="E590" s="2498"/>
      <c r="F590" s="2498"/>
      <c r="G590" s="2498"/>
      <c r="H590" s="2498"/>
      <c r="I590" s="2502"/>
      <c r="J590" s="2511">
        <f>'Part IV-A-Uses of Funds'!J144</f>
        <v>0</v>
      </c>
      <c r="K590" s="2511"/>
      <c r="L590" s="2498"/>
      <c r="M590" s="2498"/>
      <c r="N590" s="2498"/>
      <c r="O590" s="2498"/>
      <c r="P590" s="2511">
        <f>'Part IV-A-Uses of Funds'!P144</f>
        <v>0</v>
      </c>
      <c r="Q590" s="2511"/>
      <c r="R590" s="2498"/>
      <c r="S590" s="2498"/>
      <c r="T590" s="2498"/>
      <c r="U590" s="2498"/>
      <c r="V590" s="2581"/>
      <c r="W590" s="2359"/>
      <c r="X590" s="2359"/>
    </row>
    <row r="591" spans="1:24" ht="13.8" customHeight="1">
      <c r="A591" s="2498"/>
      <c r="B591" s="2498" t="s">
        <v>1568</v>
      </c>
      <c r="C591" s="2498" t="str">
        <f>'Part IV-A-Uses of Funds'!C145</f>
        <v>&lt;Enter detailed description here; use Comments section if needed&gt;</v>
      </c>
      <c r="D591" s="2498"/>
      <c r="E591" s="2498"/>
      <c r="F591" s="2498"/>
      <c r="G591" s="2498"/>
      <c r="H591" s="2498"/>
      <c r="I591" s="2498"/>
      <c r="J591" s="2511">
        <f>'Part IV-A-Uses of Funds'!J145</f>
        <v>0</v>
      </c>
      <c r="K591" s="2511"/>
      <c r="L591" s="2498"/>
      <c r="M591" s="2498"/>
      <c r="N591" s="2498"/>
      <c r="O591" s="2498"/>
      <c r="P591" s="2511">
        <f>'Part IV-A-Uses of Funds'!P145</f>
        <v>0</v>
      </c>
      <c r="Q591" s="2511"/>
      <c r="R591" s="2498"/>
      <c r="S591" s="2498"/>
      <c r="T591" s="2498"/>
      <c r="U591" s="2498"/>
      <c r="V591" s="2581"/>
      <c r="W591" s="2359"/>
      <c r="X591" s="2359"/>
    </row>
    <row r="592" spans="1:24" ht="13.8">
      <c r="A592" s="2498"/>
      <c r="B592" s="2498" t="s">
        <v>1819</v>
      </c>
      <c r="C592" s="2523"/>
      <c r="D592" s="2498"/>
      <c r="E592" s="2498"/>
      <c r="F592" s="2498"/>
      <c r="G592" s="2498"/>
      <c r="H592" s="2498"/>
      <c r="I592" s="2498"/>
      <c r="J592" s="2528">
        <f>SUM(J586:K591)</f>
        <v>0</v>
      </c>
      <c r="K592" s="2528"/>
      <c r="L592" s="2498"/>
      <c r="M592" s="2498"/>
      <c r="N592" s="2498"/>
      <c r="O592" s="2498"/>
      <c r="P592" s="2528">
        <f>SUM(P586:Q591)</f>
        <v>0</v>
      </c>
      <c r="Q592" s="2528"/>
      <c r="R592" s="2498"/>
      <c r="S592" s="2498"/>
      <c r="T592" s="2498"/>
      <c r="U592" s="2498"/>
      <c r="V592" s="2581">
        <f>SUM(V586:V591)</f>
        <v>0</v>
      </c>
      <c r="W592" s="2359"/>
      <c r="X592" s="2359"/>
    </row>
    <row r="593" spans="1:24" ht="13.8">
      <c r="A593" s="2498"/>
      <c r="B593" s="2498"/>
      <c r="C593" s="2498"/>
      <c r="D593" s="2498"/>
      <c r="E593" s="2498"/>
      <c r="F593" s="2498"/>
      <c r="G593" s="2498"/>
      <c r="H593" s="2498"/>
      <c r="I593" s="2498"/>
      <c r="J593" s="2498"/>
      <c r="K593" s="2498"/>
      <c r="L593" s="2498"/>
      <c r="M593" s="2498"/>
      <c r="N593" s="2498"/>
      <c r="O593" s="2498"/>
      <c r="P593" s="2498"/>
      <c r="Q593" s="2498"/>
      <c r="R593" s="2498"/>
      <c r="S593" s="2498"/>
      <c r="T593" s="2498"/>
      <c r="U593" s="2498"/>
      <c r="V593" s="2581"/>
      <c r="W593" s="2498"/>
      <c r="X593" s="2498"/>
    </row>
    <row r="594" spans="1:24" ht="13.8">
      <c r="A594" s="2498"/>
      <c r="B594" s="2498" t="s">
        <v>2281</v>
      </c>
      <c r="C594" s="2498"/>
      <c r="D594" s="2498"/>
      <c r="E594" s="2498"/>
      <c r="F594" s="2498"/>
      <c r="G594" s="2498"/>
      <c r="H594" s="2498"/>
      <c r="I594" s="2498"/>
      <c r="J594" s="2498"/>
      <c r="K594" s="2498"/>
      <c r="L594" s="2498"/>
      <c r="M594" s="2498"/>
      <c r="N594" s="2498"/>
      <c r="O594" s="2498"/>
      <c r="P594" s="2498"/>
      <c r="Q594" s="2498"/>
      <c r="R594" s="2498"/>
      <c r="S594" s="2498"/>
      <c r="T594" s="2498"/>
      <c r="U594" s="2498"/>
      <c r="V594" s="2581"/>
      <c r="W594" s="2498" t="str">
        <f>B594</f>
        <v>Eligible Basis Calculation</v>
      </c>
      <c r="X594" s="2498"/>
    </row>
    <row r="595" spans="1:24" ht="13.8" customHeight="1">
      <c r="A595" s="2498"/>
      <c r="B595" s="2498" t="s">
        <v>1746</v>
      </c>
      <c r="C595" s="2498"/>
      <c r="D595" s="2498"/>
      <c r="E595" s="2498"/>
      <c r="F595" s="2498"/>
      <c r="G595" s="2498"/>
      <c r="H595" s="2498"/>
      <c r="I595" s="2498"/>
      <c r="J595" s="2528">
        <f>J578</f>
        <v>38482904</v>
      </c>
      <c r="K595" s="2528"/>
      <c r="L595" s="2498"/>
      <c r="M595" s="2528">
        <f>M578</f>
        <v>0</v>
      </c>
      <c r="N595" s="2528"/>
      <c r="O595" s="2498"/>
      <c r="P595" s="2528">
        <f>P578</f>
        <v>0</v>
      </c>
      <c r="Q595" s="2528"/>
      <c r="R595" s="2505" t="s">
        <v>4235</v>
      </c>
      <c r="S595" s="2505"/>
      <c r="T595" s="2505"/>
      <c r="U595" s="2498"/>
      <c r="V595" s="2581"/>
      <c r="W595" s="2359"/>
      <c r="X595" s="2359"/>
    </row>
    <row r="596" spans="1:24" ht="13.8">
      <c r="A596" s="2498"/>
      <c r="B596" s="2498" t="s">
        <v>2164</v>
      </c>
      <c r="C596" s="2498"/>
      <c r="D596" s="2498"/>
      <c r="E596" s="2498"/>
      <c r="F596" s="2498"/>
      <c r="G596" s="2498"/>
      <c r="H596" s="2498"/>
      <c r="I596" s="2498"/>
      <c r="J596" s="2528">
        <f>J592</f>
        <v>0</v>
      </c>
      <c r="K596" s="2528"/>
      <c r="L596" s="2498"/>
      <c r="M596" s="2528"/>
      <c r="N596" s="2528"/>
      <c r="O596" s="2498"/>
      <c r="P596" s="2528">
        <f>P592</f>
        <v>0</v>
      </c>
      <c r="Q596" s="2528"/>
      <c r="R596" s="2505"/>
      <c r="S596" s="2505"/>
      <c r="T596" s="2505"/>
      <c r="U596" s="2505"/>
      <c r="V596" s="2581"/>
      <c r="W596" s="2359"/>
      <c r="X596" s="2359"/>
    </row>
    <row r="597" spans="1:24" ht="13.8">
      <c r="A597" s="2498"/>
      <c r="B597" s="2498" t="s">
        <v>2165</v>
      </c>
      <c r="C597" s="2498"/>
      <c r="D597" s="2498"/>
      <c r="E597" s="2498"/>
      <c r="F597" s="2498"/>
      <c r="G597" s="2498"/>
      <c r="H597" s="2498"/>
      <c r="I597" s="2498"/>
      <c r="J597" s="2528">
        <f>J595-J596</f>
        <v>38482904</v>
      </c>
      <c r="K597" s="2528"/>
      <c r="L597" s="2498"/>
      <c r="M597" s="2528">
        <f>M595</f>
        <v>0</v>
      </c>
      <c r="N597" s="2528"/>
      <c r="O597" s="2498"/>
      <c r="P597" s="2528">
        <f>P595-P596</f>
        <v>0</v>
      </c>
      <c r="Q597" s="2528"/>
      <c r="R597" s="2505"/>
      <c r="S597" s="2505"/>
      <c r="T597" s="2505"/>
      <c r="U597" s="2505"/>
      <c r="V597" s="2581"/>
      <c r="W597" s="2359"/>
      <c r="X597" s="2359"/>
    </row>
    <row r="598" spans="1:24" ht="13.8">
      <c r="A598" s="2498"/>
      <c r="B598" s="2498" t="s">
        <v>1454</v>
      </c>
      <c r="C598" s="2498"/>
      <c r="D598" s="2498"/>
      <c r="E598" s="2498"/>
      <c r="F598" s="2498"/>
      <c r="G598" s="2499" t="s">
        <v>1672</v>
      </c>
      <c r="H598" s="2498" t="str">
        <f>'Part IV-A-Uses of Funds'!H152</f>
        <v>DDA/QCT</v>
      </c>
      <c r="I598" s="2498"/>
      <c r="J598" s="2511">
        <f>'Part IV-A-Uses of Funds'!J152</f>
        <v>1.3</v>
      </c>
      <c r="K598" s="2511"/>
      <c r="L598" s="2498"/>
      <c r="M598" s="2626"/>
      <c r="N598" s="2626"/>
      <c r="O598" s="2498"/>
      <c r="P598" s="2511">
        <f>'Part IV-A-Uses of Funds'!P152</f>
        <v>0</v>
      </c>
      <c r="Q598" s="2511"/>
      <c r="R598" s="2505" t="str">
        <f>'Part IV-A-Uses of Funds'!R152</f>
        <v>&lt;&lt; Select &gt;&gt;</v>
      </c>
      <c r="S598" s="2505"/>
      <c r="T598" s="2505"/>
      <c r="U598" s="2498"/>
      <c r="V598" s="2581"/>
      <c r="W598" s="2359"/>
      <c r="X598" s="2359"/>
    </row>
    <row r="599" spans="1:24" ht="13.8">
      <c r="A599" s="2498"/>
      <c r="B599" s="2498" t="s">
        <v>2006</v>
      </c>
      <c r="C599" s="2498"/>
      <c r="D599" s="2498"/>
      <c r="E599" s="2498"/>
      <c r="F599" s="2498"/>
      <c r="G599" s="2498"/>
      <c r="H599" s="2498"/>
      <c r="I599" s="2498"/>
      <c r="J599" s="2528">
        <f>J597*J598</f>
        <v>50027775.200000003</v>
      </c>
      <c r="K599" s="2528"/>
      <c r="L599" s="2498"/>
      <c r="M599" s="2528">
        <f>+M597</f>
        <v>0</v>
      </c>
      <c r="N599" s="2528"/>
      <c r="O599" s="2498"/>
      <c r="P599" s="2528">
        <f>P597*P598</f>
        <v>0</v>
      </c>
      <c r="Q599" s="2528"/>
      <c r="R599" s="2505"/>
      <c r="S599" s="2505"/>
      <c r="T599" s="2505"/>
      <c r="U599" s="2498"/>
      <c r="V599" s="2581"/>
      <c r="W599" s="2359"/>
      <c r="X599" s="2359"/>
    </row>
    <row r="600" spans="1:24" ht="13.8">
      <c r="A600" s="2498"/>
      <c r="B600" s="2498" t="s">
        <v>2475</v>
      </c>
      <c r="C600" s="2498"/>
      <c r="D600" s="2498"/>
      <c r="E600" s="2498"/>
      <c r="F600" s="2498"/>
      <c r="G600" s="2498"/>
      <c r="H600" s="2498"/>
      <c r="I600" s="2498"/>
      <c r="J600" s="2626">
        <f>MIN('Part VI-Revenues &amp; Expenses'!$P$63/'Part VI-Revenues &amp; Expenses'!$P$65,'Part VI-Revenues &amp; Expenses'!$P$166/'Part VI-Revenues &amp; Expenses'!$P$168)</f>
        <v>1</v>
      </c>
      <c r="K600" s="2626"/>
      <c r="L600" s="2498"/>
      <c r="M600" s="2626">
        <f>MIN('Part VI-Revenues &amp; Expenses'!$P$63/'Part VI-Revenues &amp; Expenses'!$P$65,'Part VI-Revenues &amp; Expenses'!$P$166/'Part VI-Revenues &amp; Expenses'!$P$168)</f>
        <v>1</v>
      </c>
      <c r="N600" s="2626"/>
      <c r="O600" s="2498"/>
      <c r="P600" s="2626">
        <f>MIN('Part VI-Revenues &amp; Expenses'!$P$63/'Part VI-Revenues &amp; Expenses'!$P$65,'Part VI-Revenues &amp; Expenses'!$P$166/'Part VI-Revenues &amp; Expenses'!$P$168)</f>
        <v>1</v>
      </c>
      <c r="Q600" s="2626"/>
      <c r="R600" s="2505"/>
      <c r="S600" s="2505"/>
      <c r="T600" s="2505"/>
      <c r="U600" s="2498"/>
      <c r="V600" s="2581"/>
      <c r="W600" s="2359"/>
      <c r="X600" s="2359"/>
    </row>
    <row r="601" spans="1:24" ht="13.8">
      <c r="A601" s="2498"/>
      <c r="B601" s="2498" t="s">
        <v>1997</v>
      </c>
      <c r="C601" s="2498"/>
      <c r="D601" s="2498"/>
      <c r="E601" s="2498"/>
      <c r="F601" s="2498"/>
      <c r="G601" s="2498"/>
      <c r="H601" s="2498"/>
      <c r="I601" s="2498"/>
      <c r="J601" s="2528">
        <f>J599*J600</f>
        <v>50027775.200000003</v>
      </c>
      <c r="K601" s="2528"/>
      <c r="L601" s="2498"/>
      <c r="M601" s="2528">
        <f>M599*M600</f>
        <v>0</v>
      </c>
      <c r="N601" s="2528"/>
      <c r="O601" s="2498"/>
      <c r="P601" s="2528">
        <f>P599*P600</f>
        <v>0</v>
      </c>
      <c r="Q601" s="2528"/>
      <c r="R601" s="2498"/>
      <c r="S601" s="2498"/>
      <c r="T601" s="2498"/>
      <c r="U601" s="2498"/>
      <c r="V601" s="2581"/>
      <c r="W601" s="2359"/>
      <c r="X601" s="2359"/>
    </row>
    <row r="602" spans="1:24" ht="13.8">
      <c r="A602" s="2498"/>
      <c r="B602" s="2498" t="s">
        <v>1998</v>
      </c>
      <c r="C602" s="2498"/>
      <c r="D602" s="2498"/>
      <c r="E602" s="2498"/>
      <c r="F602" s="2498"/>
      <c r="G602" s="2498"/>
      <c r="H602" s="2498"/>
      <c r="I602" s="2498"/>
      <c r="J602" s="2626">
        <f>'Part IV-A-Uses of Funds'!J156</f>
        <v>0.04</v>
      </c>
      <c r="K602" s="2626"/>
      <c r="L602" s="2498"/>
      <c r="M602" s="2626">
        <f>'Part IV-A-Uses of Funds'!M156</f>
        <v>0</v>
      </c>
      <c r="N602" s="2626"/>
      <c r="O602" s="2498"/>
      <c r="P602" s="2626">
        <f>'Part IV-A-Uses of Funds'!P156</f>
        <v>0</v>
      </c>
      <c r="Q602" s="2626"/>
      <c r="R602" s="2498"/>
      <c r="S602" s="2498"/>
      <c r="T602" s="2498"/>
      <c r="U602" s="2498"/>
      <c r="V602" s="2581"/>
      <c r="W602" s="2359"/>
      <c r="X602" s="2359"/>
    </row>
    <row r="603" spans="1:24" ht="13.8">
      <c r="A603" s="2498"/>
      <c r="B603" s="2498" t="s">
        <v>2476</v>
      </c>
      <c r="C603" s="2498"/>
      <c r="D603" s="2498"/>
      <c r="E603" s="2498"/>
      <c r="F603" s="2498"/>
      <c r="G603" s="2498"/>
      <c r="H603" s="2498"/>
      <c r="I603" s="2498"/>
      <c r="J603" s="2528">
        <f>J601*J602</f>
        <v>2001111.0080000001</v>
      </c>
      <c r="K603" s="2528"/>
      <c r="L603" s="2498"/>
      <c r="M603" s="2528">
        <f>M601*M602</f>
        <v>0</v>
      </c>
      <c r="N603" s="2528"/>
      <c r="O603" s="2498"/>
      <c r="P603" s="2528">
        <f>P601*P602</f>
        <v>0</v>
      </c>
      <c r="Q603" s="2528"/>
      <c r="R603" s="2498"/>
      <c r="S603" s="2498"/>
      <c r="T603" s="2498"/>
      <c r="U603" s="2498"/>
      <c r="V603" s="2581"/>
      <c r="W603" s="2359"/>
      <c r="X603" s="2359"/>
    </row>
    <row r="604" spans="1:24" ht="13.8">
      <c r="A604" s="2498"/>
      <c r="B604" s="2498" t="s">
        <v>1396</v>
      </c>
      <c r="C604" s="2498"/>
      <c r="D604" s="2498"/>
      <c r="E604" s="2498"/>
      <c r="F604" s="2498"/>
      <c r="G604" s="2498"/>
      <c r="H604" s="2498"/>
      <c r="I604" s="2498"/>
      <c r="J604" s="2528">
        <f>ROUNDDOWN(J603+M603+P603,0)</f>
        <v>2001111</v>
      </c>
      <c r="K604" s="2528"/>
      <c r="L604" s="2528"/>
      <c r="M604" s="2528"/>
      <c r="N604" s="2528"/>
      <c r="O604" s="2528"/>
      <c r="P604" s="2528"/>
      <c r="Q604" s="2528"/>
      <c r="R604" s="2498"/>
      <c r="S604" s="2498"/>
      <c r="T604" s="2498"/>
      <c r="U604" s="2498"/>
      <c r="V604" s="2581"/>
      <c r="W604" s="2607"/>
      <c r="X604" s="2607"/>
    </row>
    <row r="605" spans="1:24" ht="13.8">
      <c r="A605" s="2498"/>
      <c r="B605" s="2627"/>
      <c r="C605" s="2498"/>
      <c r="D605" s="2498"/>
      <c r="E605" s="2498"/>
      <c r="F605" s="2498"/>
      <c r="G605" s="2498"/>
      <c r="H605" s="2498"/>
      <c r="I605" s="2498"/>
      <c r="J605" s="2498"/>
      <c r="K605" s="2498"/>
      <c r="L605" s="2570"/>
      <c r="M605" s="2570"/>
      <c r="N605" s="2570"/>
      <c r="O605" s="2570"/>
      <c r="P605" s="2498"/>
      <c r="Q605" s="2498"/>
      <c r="R605" s="2498"/>
      <c r="S605" s="2498"/>
      <c r="T605" s="2498"/>
      <c r="U605" s="2498"/>
      <c r="V605" s="2581"/>
      <c r="W605" s="2498"/>
      <c r="X605" s="2498"/>
    </row>
    <row r="606" spans="1:24" ht="13.8">
      <c r="A606" s="2580" t="s">
        <v>724</v>
      </c>
      <c r="B606" s="2580" t="s">
        <v>1399</v>
      </c>
      <c r="C606" s="2498"/>
      <c r="D606" s="2498"/>
      <c r="E606" s="2498"/>
      <c r="F606" s="2498"/>
      <c r="G606" s="2498"/>
      <c r="H606" s="2621"/>
      <c r="I606" s="2621"/>
      <c r="J606" s="2498"/>
      <c r="K606" s="2498"/>
      <c r="L606" s="2498"/>
      <c r="M606" s="2628"/>
      <c r="N606" s="2498"/>
      <c r="O606" s="2498"/>
      <c r="P606" s="2498"/>
      <c r="Q606" s="2498"/>
      <c r="R606" s="2498"/>
      <c r="S606" s="2498"/>
      <c r="T606" s="2498"/>
      <c r="U606" s="2498"/>
      <c r="V606" s="2581"/>
      <c r="W606" s="2498"/>
      <c r="X606" s="2498"/>
    </row>
    <row r="607" spans="1:24" ht="13.8">
      <c r="A607" s="2498"/>
      <c r="B607" s="2498"/>
      <c r="C607" s="2498"/>
      <c r="D607" s="2498"/>
      <c r="E607" s="2498"/>
      <c r="F607" s="2498"/>
      <c r="G607" s="2498"/>
      <c r="H607" s="2621"/>
      <c r="I607" s="2621"/>
      <c r="J607" s="2498"/>
      <c r="K607" s="2498"/>
      <c r="L607" s="2498"/>
      <c r="M607" s="2628"/>
      <c r="N607" s="2498"/>
      <c r="O607" s="2498"/>
      <c r="P607" s="2498"/>
      <c r="Q607" s="2498"/>
      <c r="R607" s="2498"/>
      <c r="S607" s="2498"/>
      <c r="T607" s="2498"/>
      <c r="U607" s="2498"/>
      <c r="V607" s="2498"/>
      <c r="W607" s="2498"/>
      <c r="X607" s="2498"/>
    </row>
    <row r="608" spans="1:24" ht="13.8">
      <c r="A608" s="2498"/>
      <c r="B608" s="2498" t="s">
        <v>4532</v>
      </c>
      <c r="C608" s="2498"/>
      <c r="D608" s="2498"/>
      <c r="E608" s="2498"/>
      <c r="F608" s="2498"/>
      <c r="G608" s="2498"/>
      <c r="H608" s="2621"/>
      <c r="I608" s="2621"/>
      <c r="J608" s="2498"/>
      <c r="K608" s="2498"/>
      <c r="L608" s="2498"/>
      <c r="M608" s="2628"/>
      <c r="N608" s="2498"/>
      <c r="O608" s="2499"/>
      <c r="P608" s="2499"/>
      <c r="Q608" s="2499"/>
      <c r="R608" s="2499"/>
      <c r="S608" s="2499"/>
      <c r="T608" s="2499"/>
      <c r="U608" s="2499"/>
      <c r="V608" s="2499"/>
      <c r="W608" s="2498"/>
      <c r="X608" s="2498"/>
    </row>
    <row r="609" spans="1:24" ht="13.8">
      <c r="A609" s="2498"/>
      <c r="B609" s="2498" t="s">
        <v>6894</v>
      </c>
      <c r="C609" s="2498"/>
      <c r="D609" s="2498"/>
      <c r="E609" s="2498"/>
      <c r="F609" s="2498"/>
      <c r="G609" s="2498"/>
      <c r="H609" s="2498"/>
      <c r="I609" s="2498"/>
      <c r="J609" s="2566">
        <f>G578</f>
        <v>43012994</v>
      </c>
      <c r="K609" s="2566"/>
      <c r="L609" s="2566"/>
      <c r="M609" s="2498"/>
      <c r="N609" s="2498"/>
      <c r="O609" s="2498"/>
      <c r="P609" s="2498"/>
      <c r="Q609" s="2498"/>
      <c r="R609" s="2498"/>
      <c r="S609" s="2498"/>
      <c r="T609" s="2498"/>
      <c r="U609" s="2498"/>
      <c r="V609" s="2581"/>
      <c r="W609" s="2580"/>
      <c r="X609" s="2498"/>
    </row>
    <row r="610" spans="1:24" ht="13.8">
      <c r="A610" s="2498"/>
      <c r="B610" s="2498" t="s">
        <v>4536</v>
      </c>
      <c r="C610" s="2498"/>
      <c r="D610" s="2498"/>
      <c r="E610" s="2498"/>
      <c r="F610" s="2498"/>
      <c r="G610" s="2498"/>
      <c r="H610" s="2498"/>
      <c r="I610" s="2498"/>
      <c r="J610" s="2566">
        <f>'Part IV-A-Uses of Funds'!$G$83+'Part IV-A-Uses of Funds'!$G$105+SUM('Part IV-A-Uses of Funds'!$G$121:$H$123)</f>
        <v>1402360</v>
      </c>
      <c r="K610" s="2566"/>
      <c r="L610" s="2566"/>
      <c r="M610" s="2498"/>
      <c r="N610" s="2498"/>
      <c r="O610" s="2498"/>
      <c r="P610" s="2498"/>
      <c r="Q610" s="2498"/>
      <c r="R610" s="2498"/>
      <c r="S610" s="2498"/>
      <c r="T610" s="2498"/>
      <c r="U610" s="2498"/>
      <c r="V610" s="2581"/>
      <c r="W610" s="2580"/>
      <c r="X610" s="2498"/>
    </row>
    <row r="611" spans="1:24" ht="13.8">
      <c r="A611" s="2498"/>
      <c r="B611" s="2500" t="s">
        <v>4535</v>
      </c>
      <c r="C611" s="2498"/>
      <c r="D611" s="2498"/>
      <c r="E611" s="2498"/>
      <c r="F611" s="2498"/>
      <c r="G611" s="2498"/>
      <c r="H611" s="2498"/>
      <c r="I611" s="2498"/>
      <c r="J611" s="2566">
        <f>J609-J610</f>
        <v>41610634</v>
      </c>
      <c r="K611" s="2566"/>
      <c r="L611" s="2566"/>
      <c r="M611" s="2498" t="str">
        <f>IF(J611&lt;=J612, "","Exceeds Project Cost Limit!   Needs Cost Limit waiver.")</f>
        <v/>
      </c>
      <c r="N611" s="2498"/>
      <c r="O611" s="2498"/>
      <c r="P611" s="2498"/>
      <c r="Q611" s="2498"/>
      <c r="R611" s="2498"/>
      <c r="S611" s="2498"/>
      <c r="T611" s="2498"/>
      <c r="U611" s="2498"/>
      <c r="V611" s="2581"/>
      <c r="W611" s="2580"/>
      <c r="X611" s="2498"/>
    </row>
    <row r="612" spans="1:24" ht="13.8">
      <c r="A612" s="2498"/>
      <c r="B612" s="2501" t="s">
        <v>2679</v>
      </c>
      <c r="C612" s="2500"/>
      <c r="D612" s="2500"/>
      <c r="E612" s="2498"/>
      <c r="F612" s="2498"/>
      <c r="G612" s="2498"/>
      <c r="H612" s="2498"/>
      <c r="I612" s="2498"/>
      <c r="J612" s="2566">
        <f>'Part VIII-Threshold Criteria'!$P$63</f>
        <v>47362202</v>
      </c>
      <c r="K612" s="2566"/>
      <c r="L612" s="2566"/>
      <c r="M612" s="2498"/>
      <c r="N612" s="2498"/>
      <c r="O612" s="2498"/>
      <c r="P612" s="2498"/>
      <c r="Q612" s="2498"/>
      <c r="R612" s="2498"/>
      <c r="S612" s="2498"/>
      <c r="T612" s="2498"/>
      <c r="U612" s="2498"/>
      <c r="V612" s="2581"/>
      <c r="W612" s="2580"/>
      <c r="X612" s="2498"/>
    </row>
    <row r="613" spans="1:24" ht="13.8">
      <c r="A613" s="2498"/>
      <c r="B613" s="2501"/>
      <c r="C613" s="2500"/>
      <c r="D613" s="2500"/>
      <c r="E613" s="2498"/>
      <c r="F613" s="2498"/>
      <c r="G613" s="2498"/>
      <c r="H613" s="2498"/>
      <c r="I613" s="2498"/>
      <c r="J613" s="2537"/>
      <c r="K613" s="2537"/>
      <c r="L613" s="2537"/>
      <c r="M613" s="2498"/>
      <c r="N613" s="2498"/>
      <c r="O613" s="2498"/>
      <c r="P613" s="2498"/>
      <c r="Q613" s="2498"/>
      <c r="R613" s="2498"/>
      <c r="S613" s="2498"/>
      <c r="T613" s="2498"/>
      <c r="U613" s="2498"/>
      <c r="V613" s="2581"/>
      <c r="W613" s="2580"/>
      <c r="X613" s="2498"/>
    </row>
    <row r="614" spans="1:24" ht="13.8">
      <c r="A614" s="2498"/>
      <c r="B614" s="2498" t="s">
        <v>170</v>
      </c>
      <c r="C614" s="2498"/>
      <c r="D614" s="2498"/>
      <c r="E614" s="2498"/>
      <c r="F614" s="2498"/>
      <c r="G614" s="2498"/>
      <c r="H614" s="2498"/>
      <c r="I614" s="2498"/>
      <c r="J614" s="2498"/>
      <c r="K614" s="2498"/>
      <c r="L614" s="2498"/>
      <c r="M614" s="2498"/>
      <c r="N614" s="2498"/>
      <c r="O614" s="2498"/>
      <c r="P614" s="2498"/>
      <c r="Q614" s="2498"/>
      <c r="R614" s="2498"/>
      <c r="S614" s="2498"/>
      <c r="T614" s="2498"/>
      <c r="U614" s="2498"/>
      <c r="V614" s="2581"/>
      <c r="W614" s="2580" t="str">
        <f>B606</f>
        <v>TAX CREDIT CALCULATION - GAP METHOD</v>
      </c>
      <c r="X614" s="2498"/>
    </row>
    <row r="615" spans="1:24" ht="13.8" customHeight="1">
      <c r="A615" s="2498"/>
      <c r="B615" s="2498" t="s">
        <v>4537</v>
      </c>
      <c r="C615" s="2498"/>
      <c r="D615" s="2498"/>
      <c r="E615" s="2498"/>
      <c r="F615" s="2498"/>
      <c r="G615" s="2498"/>
      <c r="H615" s="2498"/>
      <c r="I615" s="2498"/>
      <c r="J615" s="2528">
        <f>'Part IV-A-Uses of Funds'!J169</f>
        <v>43012994</v>
      </c>
      <c r="K615" s="2528"/>
      <c r="L615" s="2528"/>
      <c r="M615" s="2505" t="s">
        <v>4560</v>
      </c>
      <c r="N615" s="2505"/>
      <c r="O615" s="2505"/>
      <c r="P615" s="2505"/>
      <c r="Q615" s="2505"/>
      <c r="R615" s="2505"/>
      <c r="S615" s="2505" t="s">
        <v>3503</v>
      </c>
      <c r="T615" s="2505"/>
      <c r="U615" s="2498"/>
      <c r="V615" s="2581"/>
      <c r="W615" s="2359"/>
      <c r="X615" s="2359"/>
    </row>
    <row r="616" spans="1:24" ht="13.8">
      <c r="A616" s="2498"/>
      <c r="B616" s="2498" t="s">
        <v>258</v>
      </c>
      <c r="C616" s="2498"/>
      <c r="D616" s="2498"/>
      <c r="E616" s="2498"/>
      <c r="F616" s="2498"/>
      <c r="G616" s="2498"/>
      <c r="H616" s="2498"/>
      <c r="I616" s="2498"/>
      <c r="J616" s="2528">
        <f>'Part III-Sources of Funds'!$I$58-'Part III-Sources of Funds'!$I$42-'Part III-Sources of Funds'!$I$43-'Part III-Sources of Funds'!$I$49-'Part III-Sources of Funds'!$I$50</f>
        <v>13700000</v>
      </c>
      <c r="K616" s="2528"/>
      <c r="L616" s="2528"/>
      <c r="M616" s="2505"/>
      <c r="N616" s="2505"/>
      <c r="O616" s="2505"/>
      <c r="P616" s="2505"/>
      <c r="Q616" s="2505"/>
      <c r="R616" s="2505"/>
      <c r="S616" s="2505"/>
      <c r="T616" s="2505"/>
      <c r="U616" s="2498"/>
      <c r="V616" s="2581"/>
      <c r="W616" s="2359"/>
      <c r="X616" s="2359"/>
    </row>
    <row r="617" spans="1:24" ht="13.8">
      <c r="A617" s="2498"/>
      <c r="B617" s="2498" t="s">
        <v>2176</v>
      </c>
      <c r="C617" s="2498"/>
      <c r="D617" s="2498"/>
      <c r="E617" s="2498"/>
      <c r="F617" s="2498"/>
      <c r="G617" s="2498"/>
      <c r="H617" s="2498"/>
      <c r="I617" s="2498"/>
      <c r="J617" s="2528">
        <f>+J615-J616</f>
        <v>29312994</v>
      </c>
      <c r="K617" s="2528"/>
      <c r="L617" s="2528"/>
      <c r="M617" s="2505"/>
      <c r="N617" s="2505"/>
      <c r="O617" s="2505"/>
      <c r="P617" s="2505"/>
      <c r="Q617" s="2505"/>
      <c r="R617" s="2505"/>
      <c r="S617" s="2505"/>
      <c r="T617" s="2505"/>
      <c r="U617" s="2498"/>
      <c r="V617" s="2581"/>
      <c r="W617" s="2359"/>
      <c r="X617" s="2359"/>
    </row>
    <row r="618" spans="1:24" ht="13.8">
      <c r="A618" s="2498"/>
      <c r="B618" s="2498" t="s">
        <v>1260</v>
      </c>
      <c r="C618" s="2498"/>
      <c r="D618" s="2498"/>
      <c r="E618" s="2498"/>
      <c r="F618" s="2498"/>
      <c r="G618" s="2498"/>
      <c r="H618" s="2498"/>
      <c r="I618" s="2498"/>
      <c r="J618" s="2498" t="str">
        <f>"/ 10"</f>
        <v>/ 10</v>
      </c>
      <c r="K618" s="2498"/>
      <c r="L618" s="2498"/>
      <c r="M618" s="2509" t="s">
        <v>2661</v>
      </c>
      <c r="N618" s="2509"/>
      <c r="O618" s="2629">
        <f>'Part III-Sources of Funds'!$I$42</f>
        <v>0</v>
      </c>
      <c r="P618" s="2629"/>
      <c r="Q618" s="2629"/>
      <c r="R618" s="2629"/>
      <c r="S618" s="2524" t="s">
        <v>1623</v>
      </c>
      <c r="T618" s="2630" t="str">
        <f>'Part IV-A-Uses of Funds'!T172</f>
        <v>No</v>
      </c>
      <c r="U618" s="2498"/>
      <c r="V618" s="2581"/>
      <c r="W618" s="2359"/>
      <c r="X618" s="2359"/>
    </row>
    <row r="619" spans="1:24" ht="13.8">
      <c r="A619" s="2498"/>
      <c r="B619" s="2498" t="s">
        <v>1261</v>
      </c>
      <c r="C619" s="2498"/>
      <c r="D619" s="2498"/>
      <c r="E619" s="2498"/>
      <c r="F619" s="2498"/>
      <c r="G619" s="2498"/>
      <c r="H619" s="2498"/>
      <c r="I619" s="2498"/>
      <c r="J619" s="2528">
        <f>J617/10</f>
        <v>2931299.4</v>
      </c>
      <c r="K619" s="2528"/>
      <c r="L619" s="2528"/>
      <c r="M619" s="2498"/>
      <c r="N619" s="2629"/>
      <c r="O619" s="2629"/>
      <c r="P619" s="2629"/>
      <c r="Q619" s="2629"/>
      <c r="R619" s="2629"/>
      <c r="S619" s="2498"/>
      <c r="T619" s="2498"/>
      <c r="U619" s="2498"/>
      <c r="V619" s="2581"/>
      <c r="W619" s="2359"/>
      <c r="X619" s="2359"/>
    </row>
    <row r="620" spans="1:24" ht="13.8">
      <c r="A620" s="2498"/>
      <c r="B620" s="2498"/>
      <c r="C620" s="2498"/>
      <c r="D620" s="2498"/>
      <c r="E620" s="2498"/>
      <c r="F620" s="2498"/>
      <c r="G620" s="2498"/>
      <c r="H620" s="2498"/>
      <c r="I620" s="2498"/>
      <c r="J620" s="2498"/>
      <c r="K620" s="2498"/>
      <c r="L620" s="2498"/>
      <c r="M620" s="2506"/>
      <c r="N620" s="2498" t="s">
        <v>1262</v>
      </c>
      <c r="O620" s="2498"/>
      <c r="P620" s="2498"/>
      <c r="Q620" s="2498" t="s">
        <v>1754</v>
      </c>
      <c r="R620" s="2498"/>
      <c r="S620" s="2498"/>
      <c r="T620" s="2498"/>
      <c r="U620" s="2498"/>
      <c r="V620" s="2581"/>
      <c r="W620" s="2359"/>
      <c r="X620" s="2359"/>
    </row>
    <row r="621" spans="1:24" ht="13.8">
      <c r="A621" s="2498"/>
      <c r="B621" s="2498" t="s">
        <v>6850</v>
      </c>
      <c r="C621" s="2498"/>
      <c r="D621" s="2498"/>
      <c r="E621" s="2498"/>
      <c r="F621" s="2498"/>
      <c r="G621" s="2498"/>
      <c r="H621" s="2498"/>
      <c r="I621" s="2498"/>
      <c r="J621" s="2631">
        <f>N621+Q621</f>
        <v>1.42</v>
      </c>
      <c r="K621" s="2631"/>
      <c r="L621" s="2631"/>
      <c r="M621" s="2499" t="s">
        <v>1263</v>
      </c>
      <c r="N621" s="2632">
        <f>'Part IV-A-Uses of Funds'!N175</f>
        <v>0.88</v>
      </c>
      <c r="O621" s="2632"/>
      <c r="P621" s="2499" t="s">
        <v>595</v>
      </c>
      <c r="Q621" s="2632">
        <f>'Part IV-A-Uses of Funds'!Q175</f>
        <v>0.54</v>
      </c>
      <c r="R621" s="2632"/>
      <c r="S621" s="2498"/>
      <c r="T621" s="2498"/>
      <c r="U621" s="2498"/>
      <c r="V621" s="2581"/>
      <c r="W621" s="2359"/>
      <c r="X621" s="2359"/>
    </row>
    <row r="622" spans="1:24" ht="13.8">
      <c r="A622" s="2498"/>
      <c r="B622" s="2498" t="s">
        <v>1397</v>
      </c>
      <c r="C622" s="2498"/>
      <c r="D622" s="2498"/>
      <c r="E622" s="2498"/>
      <c r="F622" s="2498"/>
      <c r="G622" s="2498"/>
      <c r="H622" s="2498"/>
      <c r="I622" s="2498"/>
      <c r="J622" s="2528">
        <f>ROUNDDOWN(IF(J621=0,"",J619/J621),0)</f>
        <v>2064295</v>
      </c>
      <c r="K622" s="2528"/>
      <c r="L622" s="2528"/>
      <c r="M622" s="2506"/>
      <c r="N622" s="2498"/>
      <c r="O622" s="2498"/>
      <c r="P622" s="2498"/>
      <c r="Q622" s="2498"/>
      <c r="R622" s="2498"/>
      <c r="S622" s="2498"/>
      <c r="T622" s="2498"/>
      <c r="U622" s="2498"/>
      <c r="V622" s="2581"/>
      <c r="W622" s="2359"/>
      <c r="X622" s="2359"/>
    </row>
    <row r="623" spans="1:24" ht="13.8">
      <c r="A623" s="2498"/>
      <c r="B623" s="2498"/>
      <c r="C623" s="2498"/>
      <c r="D623" s="2498"/>
      <c r="E623" s="2498"/>
      <c r="F623" s="2498"/>
      <c r="G623" s="2498"/>
      <c r="H623" s="2498"/>
      <c r="I623" s="2498"/>
      <c r="J623" s="2570"/>
      <c r="K623" s="2570"/>
      <c r="L623" s="2570"/>
      <c r="M623" s="2506"/>
      <c r="N623" s="2499"/>
      <c r="O623" s="2499"/>
      <c r="P623" s="2498"/>
      <c r="Q623" s="2498"/>
      <c r="R623" s="2498"/>
      <c r="S623" s="2498"/>
      <c r="T623" s="2498"/>
      <c r="U623" s="2498"/>
      <c r="V623" s="2581"/>
      <c r="W623" s="2359"/>
      <c r="X623" s="2359"/>
    </row>
    <row r="624" spans="1:24" ht="13.8">
      <c r="A624" s="2580" t="s">
        <v>1748</v>
      </c>
      <c r="B624" s="2580" t="s">
        <v>4533</v>
      </c>
      <c r="C624" s="2498"/>
      <c r="D624" s="2498"/>
      <c r="E624" s="2498"/>
      <c r="F624" s="2498"/>
      <c r="G624" s="2498"/>
      <c r="H624" s="2621"/>
      <c r="I624" s="2621"/>
      <c r="J624" s="2498"/>
      <c r="K624" s="2498"/>
      <c r="L624" s="2498"/>
      <c r="M624" s="2628"/>
      <c r="N624" s="2498"/>
      <c r="O624" s="2498"/>
      <c r="P624" s="2498"/>
      <c r="Q624" s="2498"/>
      <c r="R624" s="2498"/>
      <c r="S624" s="2498"/>
      <c r="T624" s="2498"/>
      <c r="U624" s="2498"/>
      <c r="V624" s="2581"/>
      <c r="W624" s="2498"/>
      <c r="X624" s="2498"/>
    </row>
    <row r="625" spans="1:24" ht="13.8">
      <c r="A625" s="2498"/>
      <c r="B625" s="2498"/>
      <c r="C625" s="2498"/>
      <c r="D625" s="2498"/>
      <c r="E625" s="2498"/>
      <c r="F625" s="2498"/>
      <c r="G625" s="2498"/>
      <c r="H625" s="2621"/>
      <c r="I625" s="2621"/>
      <c r="J625" s="2498"/>
      <c r="K625" s="2498"/>
      <c r="L625" s="2498"/>
      <c r="M625" s="2628"/>
      <c r="N625" s="2498"/>
      <c r="O625" s="2498"/>
      <c r="P625" s="2498"/>
      <c r="Q625" s="2498"/>
      <c r="R625" s="2498"/>
      <c r="S625" s="2498"/>
      <c r="T625" s="2498"/>
      <c r="U625" s="2498"/>
      <c r="V625" s="2498"/>
      <c r="W625" s="2498"/>
      <c r="X625" s="2498"/>
    </row>
    <row r="626" spans="1:24" ht="13.8">
      <c r="A626" s="2498"/>
      <c r="B626" s="2498" t="s">
        <v>6851</v>
      </c>
      <c r="C626" s="2498"/>
      <c r="D626" s="2498"/>
      <c r="E626" s="2498"/>
      <c r="F626" s="2498"/>
      <c r="G626" s="2498"/>
      <c r="H626" s="2498"/>
      <c r="I626" s="2498"/>
      <c r="J626" s="252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2001111</v>
      </c>
      <c r="K626" s="2528"/>
      <c r="L626" s="2528"/>
      <c r="M626" s="2506"/>
      <c r="N626" s="2499"/>
      <c r="O626" s="2499"/>
      <c r="P626" s="2498"/>
      <c r="Q626" s="2498"/>
      <c r="R626" s="2498"/>
      <c r="S626" s="2498"/>
      <c r="T626" s="2498"/>
      <c r="U626" s="2498"/>
      <c r="V626" s="2581"/>
      <c r="W626" s="2359"/>
      <c r="X626" s="2359"/>
    </row>
    <row r="627" spans="1:24" ht="13.8">
      <c r="A627" s="2498"/>
      <c r="B627" s="2498"/>
      <c r="C627" s="2498"/>
      <c r="D627" s="2498"/>
      <c r="E627" s="2498"/>
      <c r="F627" s="2498"/>
      <c r="G627" s="2498"/>
      <c r="H627" s="2498"/>
      <c r="I627" s="2498"/>
      <c r="J627" s="2570"/>
      <c r="K627" s="2570"/>
      <c r="L627" s="2570"/>
      <c r="M627" s="2506"/>
      <c r="N627" s="2499"/>
      <c r="O627" s="2499"/>
      <c r="P627" s="2498"/>
      <c r="Q627" s="2498"/>
      <c r="R627" s="2498"/>
      <c r="S627" s="2498"/>
      <c r="T627" s="2498"/>
      <c r="U627" s="2498"/>
      <c r="V627" s="2581"/>
      <c r="W627" s="2607"/>
      <c r="X627" s="2607"/>
    </row>
    <row r="628" spans="1:24" ht="13.8">
      <c r="A628" s="2498"/>
      <c r="B628" s="2498" t="s">
        <v>6852</v>
      </c>
      <c r="C628" s="2498"/>
      <c r="D628" s="2498"/>
      <c r="E628" s="2498"/>
      <c r="F628" s="2498"/>
      <c r="G628" s="2498"/>
      <c r="H628" s="2498"/>
      <c r="I628" s="2498"/>
      <c r="J628" s="2528">
        <f>'Part IV-A-Uses of Funds'!J182</f>
        <v>2001110</v>
      </c>
      <c r="K628" s="2528"/>
      <c r="L628" s="2528"/>
      <c r="M628" s="2500" t="str">
        <f>IF(J626=0,"",IF(J628&gt;J626,"ALLOCATION CANNOT EXCEED MAXIMUM - REVISE REQUEST (Try Round Down)!",""))</f>
        <v/>
      </c>
      <c r="N628" s="2499"/>
      <c r="O628" s="2499"/>
      <c r="P628" s="2498"/>
      <c r="Q628" s="2498"/>
      <c r="R628" s="2498"/>
      <c r="S628" s="2498"/>
      <c r="T628" s="2498"/>
      <c r="U628" s="2498"/>
      <c r="V628" s="2581"/>
      <c r="W628" s="2359"/>
      <c r="X628" s="2359"/>
    </row>
    <row r="629" spans="1:24" ht="13.8">
      <c r="A629" s="2498"/>
      <c r="B629" s="2498"/>
      <c r="C629" s="2498"/>
      <c r="D629" s="2498"/>
      <c r="E629" s="2498"/>
      <c r="F629" s="2498"/>
      <c r="G629" s="2498"/>
      <c r="H629" s="2498"/>
      <c r="I629" s="2498"/>
      <c r="J629" s="2570"/>
      <c r="K629" s="2570"/>
      <c r="L629" s="2570"/>
      <c r="M629" s="2506"/>
      <c r="N629" s="2499"/>
      <c r="O629" s="2499"/>
      <c r="P629" s="2498"/>
      <c r="Q629" s="2498"/>
      <c r="R629" s="2498"/>
      <c r="S629" s="2498"/>
      <c r="T629" s="2498"/>
      <c r="U629" s="2498"/>
      <c r="V629" s="2581"/>
      <c r="W629" s="2607"/>
      <c r="X629" s="2607"/>
    </row>
    <row r="630" spans="1:24" ht="13.8">
      <c r="A630" s="2580"/>
      <c r="B630" s="2580" t="s">
        <v>6977</v>
      </c>
      <c r="C630" s="2498"/>
      <c r="D630" s="2506"/>
      <c r="E630" s="2506"/>
      <c r="F630" s="2500"/>
      <c r="G630" s="2498"/>
      <c r="H630" s="2498"/>
      <c r="I630" s="2498"/>
      <c r="J630" s="2528">
        <f>IF(J628="",0,+MIN(J626,J628))</f>
        <v>2001110</v>
      </c>
      <c r="K630" s="2528"/>
      <c r="L630" s="2528"/>
      <c r="M630" s="2498"/>
      <c r="N630" s="2506"/>
      <c r="O630" s="2506"/>
      <c r="P630" s="2506"/>
      <c r="Q630" s="2506"/>
      <c r="R630" s="2506"/>
      <c r="S630" s="2506"/>
      <c r="T630" s="2506"/>
      <c r="U630" s="2498"/>
      <c r="V630" s="2581"/>
      <c r="W630" s="2359"/>
      <c r="X630" s="2359"/>
    </row>
    <row r="631" spans="1:24" ht="13.8">
      <c r="A631" s="2506"/>
      <c r="B631" s="2506"/>
      <c r="C631" s="2506"/>
      <c r="D631" s="2506"/>
      <c r="E631" s="2506"/>
      <c r="F631" s="2506"/>
      <c r="G631" s="2506"/>
      <c r="H631" s="2506"/>
      <c r="I631" s="2506"/>
      <c r="J631" s="2506"/>
      <c r="K631" s="2506"/>
      <c r="L631" s="2506"/>
      <c r="M631" s="2506"/>
      <c r="N631" s="2506"/>
      <c r="O631" s="2506"/>
      <c r="P631" s="2506"/>
      <c r="Q631" s="2506"/>
      <c r="R631" s="2506"/>
      <c r="S631" s="2506"/>
      <c r="T631" s="2506"/>
      <c r="U631" s="2506"/>
      <c r="V631" s="2506"/>
      <c r="W631" s="2506"/>
      <c r="X631" s="2506"/>
    </row>
    <row r="632" spans="1:24" ht="13.8">
      <c r="A632" s="2506"/>
      <c r="B632" s="2506"/>
      <c r="C632" s="2506"/>
      <c r="D632" s="2506"/>
      <c r="E632" s="2506"/>
      <c r="F632" s="2506"/>
      <c r="G632" s="2506"/>
      <c r="H632" s="2506"/>
      <c r="I632" s="2506"/>
      <c r="J632" s="2506"/>
      <c r="K632" s="2506"/>
      <c r="L632" s="2506"/>
      <c r="M632" s="2506"/>
      <c r="N632" s="2506"/>
      <c r="O632" s="2506"/>
      <c r="P632" s="2506"/>
      <c r="Q632" s="2506"/>
      <c r="R632" s="2506"/>
      <c r="S632" s="2506"/>
      <c r="T632" s="2506"/>
      <c r="U632" s="2506"/>
      <c r="V632" s="2506"/>
      <c r="W632" s="2506"/>
      <c r="X632" s="2506"/>
    </row>
    <row r="633" spans="1:24" ht="13.8">
      <c r="A633" s="2498" t="s">
        <v>1750</v>
      </c>
      <c r="B633" s="2506" t="s">
        <v>555</v>
      </c>
      <c r="C633" s="2506"/>
      <c r="D633" s="2506"/>
      <c r="E633" s="2506"/>
      <c r="F633" s="2506"/>
      <c r="G633" s="2506"/>
      <c r="H633" s="2506"/>
      <c r="I633" s="2506"/>
      <c r="J633" s="2506"/>
      <c r="K633" s="2506"/>
      <c r="L633" s="2506"/>
      <c r="M633" s="2506"/>
      <c r="N633" s="2498" t="s">
        <v>516</v>
      </c>
      <c r="O633" s="2498" t="s">
        <v>77</v>
      </c>
      <c r="P633" s="2506"/>
      <c r="Q633" s="2506"/>
      <c r="R633" s="2506"/>
      <c r="S633" s="2506"/>
      <c r="T633" s="2506"/>
      <c r="U633" s="2506"/>
      <c r="V633" s="2506"/>
      <c r="W633" s="2506"/>
      <c r="X633" s="2506"/>
    </row>
    <row r="634" spans="1:24" ht="15.6" customHeight="1">
      <c r="A634" s="2524" t="str">
        <f>'Part IV-A-Uses of Funds'!A188</f>
        <v>Construction Costs were provided by the project general contractor, Wolgast Corporation. The estimates provided were based on similar projects built by Wolgast Corporation.</v>
      </c>
      <c r="B634" s="2524"/>
      <c r="C634" s="2524"/>
      <c r="D634" s="2524"/>
      <c r="E634" s="2524"/>
      <c r="F634" s="2524"/>
      <c r="G634" s="2524"/>
      <c r="H634" s="2524"/>
      <c r="I634" s="2524"/>
      <c r="J634" s="2524"/>
      <c r="K634" s="2524"/>
      <c r="L634" s="2524"/>
      <c r="M634" s="2524"/>
      <c r="N634" s="2524">
        <f>'Part IV-A-Uses of Funds'!N188</f>
        <v>0</v>
      </c>
      <c r="O634" s="2524"/>
      <c r="P634" s="2524"/>
      <c r="Q634" s="2524"/>
      <c r="R634" s="2524"/>
      <c r="S634" s="2524"/>
      <c r="T634" s="2524"/>
      <c r="U634" s="2506"/>
      <c r="V634" s="2496"/>
      <c r="W634" s="2497" t="s">
        <v>2614</v>
      </c>
      <c r="X634" s="2497"/>
    </row>
    <row r="638" spans="1:24" ht="15">
      <c r="A638" s="2633" t="str">
        <f>CONCATENATE("PART FOUR (b) -  OTHER COSTS","  -  ",'Part I-Project Information'!$O$6," - ",'Part I-Project Information'!$F$34,"  -  ",'Part I-Project Information'!$F$38,"  -  ",'Part I-Project Information'!$J$39,",  ","County")</f>
        <v>PART FOUR (b) -  OTHER COSTS  -  2020-5 - Lakeview Terrace  -  Augusta  -  Richmond,  County</v>
      </c>
      <c r="B638" s="2633"/>
      <c r="C638" s="2633"/>
      <c r="D638" s="2633"/>
      <c r="E638" s="2633"/>
      <c r="F638" s="2633"/>
      <c r="G638" s="2633"/>
      <c r="H638" s="2633"/>
    </row>
    <row r="639" spans="1:24">
      <c r="A639" s="2634"/>
      <c r="B639" s="2634"/>
      <c r="C639" s="2634"/>
      <c r="D639" s="2634"/>
      <c r="E639" s="2634"/>
      <c r="F639" s="2634"/>
      <c r="G639" s="2634"/>
      <c r="H639" s="2634"/>
    </row>
    <row r="640" spans="1:24" ht="13.8" customHeight="1">
      <c r="A640" s="2635" t="s">
        <v>3537</v>
      </c>
      <c r="B640" s="2635"/>
      <c r="C640" s="2635"/>
      <c r="D640" s="2635"/>
      <c r="E640" s="2635"/>
      <c r="F640" s="2635"/>
      <c r="G640" s="2635"/>
      <c r="H640" s="2635"/>
    </row>
    <row r="641" spans="1:8">
      <c r="A641" s="2634"/>
      <c r="B641" s="2634"/>
      <c r="C641" s="2634"/>
      <c r="D641" s="2634"/>
      <c r="E641" s="2634"/>
      <c r="F641" s="2634"/>
      <c r="G641" s="2634"/>
      <c r="H641" s="2634"/>
    </row>
    <row r="642" spans="1:8" ht="87" customHeight="1">
      <c r="A642" s="2636" t="s">
        <v>6853</v>
      </c>
      <c r="B642" s="2636"/>
      <c r="C642" s="2636"/>
      <c r="D642" s="2636"/>
      <c r="E642" s="2634"/>
      <c r="F642" s="2637" t="s">
        <v>3528</v>
      </c>
      <c r="G642" s="2638"/>
      <c r="H642" s="2637" t="s">
        <v>3529</v>
      </c>
    </row>
    <row r="643" spans="1:8">
      <c r="A643" s="2638"/>
      <c r="B643" s="2638"/>
      <c r="C643" s="2638"/>
      <c r="D643" s="2638"/>
      <c r="E643" s="2634"/>
      <c r="F643" s="2634"/>
      <c r="G643" s="2634"/>
      <c r="H643" s="2634"/>
    </row>
    <row r="644" spans="1:8">
      <c r="A644" s="2639"/>
      <c r="B644" s="2639"/>
      <c r="C644" s="2639"/>
      <c r="D644" s="2639"/>
      <c r="E644" s="2639"/>
      <c r="F644" s="2639"/>
      <c r="G644" s="2639"/>
      <c r="H644" s="2640"/>
    </row>
    <row r="645" spans="1:8">
      <c r="A645" s="2638" t="s">
        <v>99</v>
      </c>
      <c r="B645" s="2641"/>
      <c r="C645" s="2641"/>
      <c r="D645" s="2641"/>
      <c r="E645" s="2641"/>
      <c r="F645" s="2641"/>
      <c r="G645" s="2641"/>
      <c r="H645" s="2641"/>
    </row>
    <row r="646" spans="1:8" ht="13.2" customHeight="1">
      <c r="A646" s="2642" t="str">
        <f>'Part IV-A-Uses of Funds'!$C$14</f>
        <v>&lt;&lt; Enter description here; provide detail &amp; justification in tab Part IV-b &gt;&gt;</v>
      </c>
      <c r="B646" s="2642"/>
      <c r="C646" s="2642"/>
      <c r="D646" s="2642"/>
      <c r="E646" s="2640"/>
      <c r="F646" s="2643">
        <f>'Part IV-B-Other Items'!F9</f>
        <v>0</v>
      </c>
      <c r="G646" s="2641"/>
      <c r="H646" s="2643">
        <f>'Part IV-B-Other Items'!H9</f>
        <v>0</v>
      </c>
    </row>
    <row r="647" spans="1:8">
      <c r="A647" s="2642"/>
      <c r="B647" s="2642"/>
      <c r="C647" s="2642"/>
      <c r="D647" s="2642"/>
      <c r="E647" s="2640"/>
      <c r="F647" s="2643"/>
      <c r="G647" s="2641"/>
      <c r="H647" s="2643"/>
    </row>
    <row r="648" spans="1:8">
      <c r="A648" s="2640"/>
      <c r="B648" s="2640"/>
      <c r="C648" s="2640"/>
      <c r="D648" s="2640"/>
      <c r="E648" s="2640"/>
      <c r="F648" s="2643"/>
      <c r="G648" s="2641"/>
      <c r="H648" s="2643"/>
    </row>
    <row r="649" spans="1:8">
      <c r="A649" s="2644" t="s">
        <v>3531</v>
      </c>
      <c r="B649" s="2645">
        <f>'Part IV-A-Uses of Funds'!$G$14</f>
        <v>0</v>
      </c>
      <c r="C649" s="2644" t="s">
        <v>1746</v>
      </c>
      <c r="D649" s="2645">
        <f>'Part IV-A-Uses of Funds'!$J$14+'Part IV-A-Uses of Funds'!$M$14+'Part IV-A-Uses of Funds'!$P$14</f>
        <v>0</v>
      </c>
      <c r="E649" s="2640"/>
      <c r="F649" s="2643"/>
      <c r="G649" s="2641"/>
      <c r="H649" s="2643"/>
    </row>
    <row r="650" spans="1:8">
      <c r="A650" s="2641"/>
      <c r="B650" s="2646"/>
      <c r="C650" s="2641"/>
      <c r="D650" s="2641"/>
      <c r="E650" s="2640"/>
      <c r="F650" s="2643"/>
      <c r="G650" s="2647"/>
      <c r="H650" s="2643"/>
    </row>
    <row r="651" spans="1:8" ht="13.2" customHeight="1">
      <c r="A651" s="2642" t="str">
        <f>'Part IV-A-Uses of Funds'!$C$15</f>
        <v>&lt;&lt; Enter description here; provide detail &amp; justification in tab Part IV-b &gt;&gt;</v>
      </c>
      <c r="B651" s="2642"/>
      <c r="C651" s="2642"/>
      <c r="D651" s="2642"/>
      <c r="E651" s="2640"/>
      <c r="F651" s="2643">
        <f>'Part IV-B-Other Items'!F14</f>
        <v>0</v>
      </c>
      <c r="G651" s="2641"/>
      <c r="H651" s="2643">
        <f>'Part IV-B-Other Items'!H14</f>
        <v>0</v>
      </c>
    </row>
    <row r="652" spans="1:8">
      <c r="A652" s="2642"/>
      <c r="B652" s="2642"/>
      <c r="C652" s="2642"/>
      <c r="D652" s="2642"/>
      <c r="E652" s="2640"/>
      <c r="F652" s="2643"/>
      <c r="G652" s="2641"/>
      <c r="H652" s="2643"/>
    </row>
    <row r="653" spans="1:8">
      <c r="A653" s="2640"/>
      <c r="B653" s="2640"/>
      <c r="C653" s="2640"/>
      <c r="D653" s="2640"/>
      <c r="E653" s="2640"/>
      <c r="F653" s="2643"/>
      <c r="G653" s="2641"/>
      <c r="H653" s="2643"/>
    </row>
    <row r="654" spans="1:8">
      <c r="A654" s="2644" t="s">
        <v>3531</v>
      </c>
      <c r="B654" s="2645">
        <f>'Part IV-A-Uses of Funds'!$G$15</f>
        <v>0</v>
      </c>
      <c r="C654" s="2644" t="s">
        <v>1746</v>
      </c>
      <c r="D654" s="2645">
        <f>'Part IV-A-Uses of Funds'!$J$15+'Part IV-A-Uses of Funds'!$M$15+'Part IV-A-Uses of Funds'!$P$15</f>
        <v>0</v>
      </c>
      <c r="E654" s="2640"/>
      <c r="F654" s="2643"/>
      <c r="G654" s="2641"/>
      <c r="H654" s="2643"/>
    </row>
    <row r="655" spans="1:8">
      <c r="A655" s="2641"/>
      <c r="B655" s="2646"/>
      <c r="C655" s="2641"/>
      <c r="D655" s="2641"/>
      <c r="E655" s="2640"/>
      <c r="F655" s="2643"/>
      <c r="G655" s="2647"/>
      <c r="H655" s="2643"/>
    </row>
    <row r="656" spans="1:8" ht="13.2" customHeight="1">
      <c r="A656" s="2642" t="str">
        <f>'Part IV-A-Uses of Funds'!$C$16</f>
        <v>&lt;&lt; Enter description here; provide detail &amp; justification in tab Part IV-b &gt;&gt;</v>
      </c>
      <c r="B656" s="2642"/>
      <c r="C656" s="2642"/>
      <c r="D656" s="2642"/>
      <c r="E656" s="2640"/>
      <c r="F656" s="2643">
        <f>'Part IV-B-Other Items'!F19</f>
        <v>0</v>
      </c>
      <c r="G656" s="2641"/>
      <c r="H656" s="2643">
        <f>'Part IV-B-Other Items'!H19</f>
        <v>0</v>
      </c>
    </row>
    <row r="657" spans="1:8">
      <c r="A657" s="2642"/>
      <c r="B657" s="2642"/>
      <c r="C657" s="2642"/>
      <c r="D657" s="2642"/>
      <c r="E657" s="2640"/>
      <c r="F657" s="2643"/>
      <c r="G657" s="2641"/>
      <c r="H657" s="2643"/>
    </row>
    <row r="658" spans="1:8">
      <c r="A658" s="2640"/>
      <c r="B658" s="2640"/>
      <c r="C658" s="2640"/>
      <c r="D658" s="2640"/>
      <c r="E658" s="2640"/>
      <c r="F658" s="2643"/>
      <c r="G658" s="2641"/>
      <c r="H658" s="2643"/>
    </row>
    <row r="659" spans="1:8">
      <c r="A659" s="2644" t="s">
        <v>3531</v>
      </c>
      <c r="B659" s="2645">
        <f>'Part IV-A-Uses of Funds'!$G$16</f>
        <v>0</v>
      </c>
      <c r="C659" s="2644" t="s">
        <v>1746</v>
      </c>
      <c r="D659" s="2645">
        <f>'Part IV-A-Uses of Funds'!$J$16+'Part IV-A-Uses of Funds'!$M$16+'Part IV-A-Uses of Funds'!$P$16</f>
        <v>0</v>
      </c>
      <c r="E659" s="2640"/>
      <c r="F659" s="2643"/>
      <c r="G659" s="2641"/>
      <c r="H659" s="2643"/>
    </row>
    <row r="660" spans="1:8">
      <c r="A660" s="2641"/>
      <c r="B660" s="2646"/>
      <c r="C660" s="2641"/>
      <c r="D660" s="2641"/>
      <c r="E660" s="2640"/>
      <c r="F660" s="2643"/>
      <c r="G660" s="2647"/>
      <c r="H660" s="2643"/>
    </row>
    <row r="661" spans="1:8">
      <c r="A661" s="2638" t="s">
        <v>3530</v>
      </c>
      <c r="B661" s="2641"/>
      <c r="C661" s="2641"/>
      <c r="D661" s="2641"/>
      <c r="E661" s="2641"/>
      <c r="F661" s="2641"/>
      <c r="G661" s="2641"/>
      <c r="H661" s="2640"/>
    </row>
    <row r="662" spans="1:8" ht="13.2" customHeight="1">
      <c r="A662" s="2642" t="str">
        <f>'Part IV-A-Uses of Funds'!$C$41</f>
        <v>&lt;&lt; Enter description here; provide detail &amp; justification in tab Part IV-b &gt;&gt;</v>
      </c>
      <c r="B662" s="2642"/>
      <c r="C662" s="2642"/>
      <c r="D662" s="2642"/>
      <c r="E662" s="2641"/>
      <c r="F662" s="2643">
        <f>'Part IV-B-Other Items'!F25</f>
        <v>0</v>
      </c>
      <c r="G662" s="2641"/>
      <c r="H662" s="2643">
        <f>'Part IV-B-Other Items'!H25</f>
        <v>0</v>
      </c>
    </row>
    <row r="663" spans="1:8">
      <c r="A663" s="2642"/>
      <c r="B663" s="2642"/>
      <c r="C663" s="2642"/>
      <c r="D663" s="2642"/>
      <c r="E663" s="2641"/>
      <c r="F663" s="2643"/>
      <c r="G663" s="2641"/>
      <c r="H663" s="2643"/>
    </row>
    <row r="664" spans="1:8">
      <c r="A664" s="2641"/>
      <c r="B664" s="2641"/>
      <c r="C664" s="2641"/>
      <c r="D664" s="2641"/>
      <c r="E664" s="2641"/>
      <c r="F664" s="2643"/>
      <c r="G664" s="2641"/>
      <c r="H664" s="2643"/>
    </row>
    <row r="665" spans="1:8">
      <c r="A665" s="2644" t="s">
        <v>3531</v>
      </c>
      <c r="B665" s="2645">
        <f>'Part IV-A-Uses of Funds'!$G$41</f>
        <v>0</v>
      </c>
      <c r="C665" s="2644" t="s">
        <v>1746</v>
      </c>
      <c r="D665" s="2645">
        <f>'Part IV-A-Uses of Funds'!$J$41+'Part IV-A-Uses of Funds'!$M$41+'Part IV-A-Uses of Funds'!$P$41</f>
        <v>0</v>
      </c>
      <c r="E665" s="2641"/>
      <c r="F665" s="2643"/>
      <c r="G665" s="2641"/>
      <c r="H665" s="2643"/>
    </row>
    <row r="666" spans="1:8">
      <c r="A666" s="2641"/>
      <c r="B666" s="2646"/>
      <c r="C666" s="2641"/>
      <c r="D666" s="2641"/>
      <c r="E666" s="2641"/>
      <c r="F666" s="2643"/>
      <c r="G666" s="2647"/>
      <c r="H666" s="2643"/>
    </row>
    <row r="667" spans="1:8">
      <c r="A667" s="2638" t="s">
        <v>704</v>
      </c>
      <c r="B667" s="2641"/>
      <c r="C667" s="2641"/>
      <c r="D667" s="2641"/>
      <c r="E667" s="2641"/>
      <c r="F667" s="2641"/>
      <c r="G667" s="2641"/>
      <c r="H667" s="2640"/>
    </row>
    <row r="668" spans="1:8" ht="13.2" customHeight="1">
      <c r="A668" s="2642" t="str">
        <f>'Part IV-A-Uses of Funds'!$C$62</f>
        <v>&lt;&lt; Enter description here; provide detail &amp; justification in tab Part IV-b &gt;&gt;</v>
      </c>
      <c r="B668" s="2642"/>
      <c r="C668" s="2642"/>
      <c r="D668" s="2642"/>
      <c r="E668" s="2641"/>
      <c r="F668" s="2643">
        <f>'Part IV-B-Other Items'!F31</f>
        <v>0</v>
      </c>
      <c r="G668" s="2641"/>
      <c r="H668" s="2643">
        <f>'Part IV-B-Other Items'!H31</f>
        <v>0</v>
      </c>
    </row>
    <row r="669" spans="1:8">
      <c r="A669" s="2642"/>
      <c r="B669" s="2642"/>
      <c r="C669" s="2642"/>
      <c r="D669" s="2642"/>
      <c r="E669" s="2641"/>
      <c r="F669" s="2643"/>
      <c r="G669" s="2641"/>
      <c r="H669" s="2643"/>
    </row>
    <row r="670" spans="1:8">
      <c r="A670" s="2641"/>
      <c r="B670" s="2641"/>
      <c r="C670" s="2641"/>
      <c r="D670" s="2641"/>
      <c r="E670" s="2641"/>
      <c r="F670" s="2643"/>
      <c r="G670" s="2641"/>
      <c r="H670" s="2643"/>
    </row>
    <row r="671" spans="1:8">
      <c r="A671" s="2644" t="s">
        <v>3531</v>
      </c>
      <c r="B671" s="2645">
        <f>'Part IV-A-Uses of Funds'!$G$62</f>
        <v>0</v>
      </c>
      <c r="C671" s="2644" t="s">
        <v>1746</v>
      </c>
      <c r="D671" s="2645">
        <f>'Part IV-A-Uses of Funds'!$J$62+'Part IV-A-Uses of Funds'!$M$62+'Part IV-A-Uses of Funds'!$P$62</f>
        <v>0</v>
      </c>
      <c r="E671" s="2641"/>
      <c r="F671" s="2643"/>
      <c r="G671" s="2641"/>
      <c r="H671" s="2643"/>
    </row>
    <row r="672" spans="1:8">
      <c r="A672" s="2640"/>
      <c r="B672" s="2640"/>
      <c r="C672" s="2640"/>
      <c r="D672" s="2641"/>
      <c r="E672" s="2641"/>
      <c r="F672" s="2643"/>
      <c r="G672" s="2647"/>
      <c r="H672" s="2643"/>
    </row>
    <row r="673" spans="1:8" ht="13.2" customHeight="1">
      <c r="A673" s="2642" t="str">
        <f>'Part IV-A-Uses of Funds'!$C$63</f>
        <v>&lt;&lt; Enter description here; provide detail &amp; justification in tab Part IV-b &gt;&gt;</v>
      </c>
      <c r="B673" s="2642"/>
      <c r="C673" s="2642"/>
      <c r="D673" s="2642"/>
      <c r="E673" s="2641"/>
      <c r="F673" s="2643">
        <f>'Part IV-B-Other Items'!F36</f>
        <v>0</v>
      </c>
      <c r="G673" s="2641"/>
      <c r="H673" s="2643">
        <f>'Part IV-B-Other Items'!H36</f>
        <v>0</v>
      </c>
    </row>
    <row r="674" spans="1:8">
      <c r="A674" s="2642"/>
      <c r="B674" s="2642"/>
      <c r="C674" s="2642"/>
      <c r="D674" s="2642"/>
      <c r="E674" s="2641"/>
      <c r="F674" s="2643"/>
      <c r="G674" s="2641"/>
      <c r="H674" s="2643"/>
    </row>
    <row r="675" spans="1:8">
      <c r="A675" s="2641"/>
      <c r="B675" s="2641"/>
      <c r="C675" s="2641"/>
      <c r="D675" s="2641"/>
      <c r="E675" s="2641"/>
      <c r="F675" s="2643"/>
      <c r="G675" s="2641"/>
      <c r="H675" s="2643"/>
    </row>
    <row r="676" spans="1:8">
      <c r="A676" s="2644" t="s">
        <v>3531</v>
      </c>
      <c r="B676" s="2645">
        <f>'Part IV-A-Uses of Funds'!$G$63</f>
        <v>0</v>
      </c>
      <c r="C676" s="2644" t="s">
        <v>1746</v>
      </c>
      <c r="D676" s="2645">
        <f>'Part IV-A-Uses of Funds'!$J$63+'Part IV-A-Uses of Funds'!$M$63+'Part IV-A-Uses of Funds'!$P$63</f>
        <v>0</v>
      </c>
      <c r="E676" s="2641"/>
      <c r="F676" s="2643"/>
      <c r="G676" s="2641"/>
      <c r="H676" s="2643"/>
    </row>
    <row r="677" spans="1:8">
      <c r="A677" s="2640"/>
      <c r="B677" s="2640"/>
      <c r="C677" s="2640"/>
      <c r="D677" s="2641"/>
      <c r="E677" s="2641"/>
      <c r="F677" s="2643"/>
      <c r="G677" s="2647"/>
      <c r="H677" s="2643"/>
    </row>
    <row r="678" spans="1:8">
      <c r="A678" s="2638" t="s">
        <v>467</v>
      </c>
      <c r="B678" s="2641"/>
      <c r="C678" s="2641"/>
      <c r="D678" s="2641"/>
      <c r="E678" s="2620"/>
      <c r="F678" s="2620"/>
      <c r="G678" s="2641"/>
      <c r="H678" s="2640"/>
    </row>
    <row r="679" spans="1:8" ht="13.2" customHeight="1">
      <c r="A679" s="2642" t="str">
        <f>'Part IV-A-Uses of Funds'!$C$76</f>
        <v>&lt;&lt; Enter description here; provide detail &amp; justification in tab Part IV-b &gt;&gt;</v>
      </c>
      <c r="B679" s="2642"/>
      <c r="C679" s="2642"/>
      <c r="D679" s="2642"/>
      <c r="E679" s="2640"/>
      <c r="F679" s="2643">
        <f>'Part IV-B-Other Items'!F42</f>
        <v>0</v>
      </c>
      <c r="G679" s="2641"/>
      <c r="H679" s="2643">
        <f>'Part IV-B-Other Items'!H42</f>
        <v>0</v>
      </c>
    </row>
    <row r="680" spans="1:8">
      <c r="A680" s="2642"/>
      <c r="B680" s="2642"/>
      <c r="C680" s="2642"/>
      <c r="D680" s="2642"/>
      <c r="E680" s="2641"/>
      <c r="F680" s="2643"/>
      <c r="G680" s="2641"/>
      <c r="H680" s="2643"/>
    </row>
    <row r="681" spans="1:8">
      <c r="A681" s="2641"/>
      <c r="B681" s="2641"/>
      <c r="C681" s="2641"/>
      <c r="D681" s="2641"/>
      <c r="E681" s="2641"/>
      <c r="F681" s="2643"/>
      <c r="G681" s="2641"/>
      <c r="H681" s="2643"/>
    </row>
    <row r="682" spans="1:8">
      <c r="A682" s="2644" t="s">
        <v>3531</v>
      </c>
      <c r="B682" s="2645">
        <f>'Part IV-A-Uses of Funds'!$G$76</f>
        <v>0</v>
      </c>
      <c r="C682" s="2644" t="s">
        <v>1746</v>
      </c>
      <c r="D682" s="2645">
        <f>'Part IV-A-Uses of Funds'!$J$76+'Part IV-A-Uses of Funds'!$M$76+'Part IV-A-Uses of Funds'!$P$76</f>
        <v>0</v>
      </c>
      <c r="E682" s="2641"/>
      <c r="F682" s="2643"/>
      <c r="G682" s="2641"/>
      <c r="H682" s="2643"/>
    </row>
    <row r="683" spans="1:8">
      <c r="A683" s="2641"/>
      <c r="B683" s="2646"/>
      <c r="C683" s="2641"/>
      <c r="D683" s="2641"/>
      <c r="E683" s="2641"/>
      <c r="F683" s="2643"/>
      <c r="G683" s="2647"/>
      <c r="H683" s="2643"/>
    </row>
    <row r="684" spans="1:8">
      <c r="A684" s="2638" t="s">
        <v>706</v>
      </c>
      <c r="B684" s="2641"/>
      <c r="C684" s="2641"/>
      <c r="D684" s="2641"/>
      <c r="E684" s="2641"/>
      <c r="F684" s="2641"/>
      <c r="G684" s="2641"/>
      <c r="H684" s="2640"/>
    </row>
    <row r="685" spans="1:8" ht="13.2" customHeight="1">
      <c r="A685" s="2642" t="str">
        <f>'Part IV-A-Uses of Funds'!$C$90</f>
        <v>Freddie Fees</v>
      </c>
      <c r="B685" s="2642"/>
      <c r="C685" s="2642"/>
      <c r="D685" s="2642"/>
      <c r="E685" s="2640"/>
      <c r="F685" s="2643">
        <f>'Part IV-B-Other Items'!F48</f>
        <v>0</v>
      </c>
      <c r="G685" s="2641"/>
      <c r="H685" s="2640"/>
    </row>
    <row r="686" spans="1:8">
      <c r="A686" s="2642"/>
      <c r="B686" s="2642"/>
      <c r="C686" s="2642"/>
      <c r="D686" s="2642"/>
      <c r="E686" s="2641"/>
      <c r="F686" s="2643"/>
      <c r="G686" s="2641"/>
      <c r="H686" s="2640"/>
    </row>
    <row r="687" spans="1:8">
      <c r="A687" s="2641"/>
      <c r="B687" s="2641"/>
      <c r="C687" s="2641"/>
      <c r="D687" s="2641"/>
      <c r="E687" s="2641"/>
      <c r="F687" s="2643"/>
      <c r="G687" s="2641"/>
      <c r="H687" s="2640"/>
    </row>
    <row r="688" spans="1:8">
      <c r="A688" s="2644" t="s">
        <v>3531</v>
      </c>
      <c r="B688" s="2645">
        <f>'Part IV-A-Uses of Funds'!$G$90</f>
        <v>68500</v>
      </c>
      <c r="C688" s="2644"/>
      <c r="D688" s="2644"/>
      <c r="E688" s="2641"/>
      <c r="F688" s="2643"/>
      <c r="G688" s="2641"/>
      <c r="H688" s="2640"/>
    </row>
    <row r="689" spans="1:8">
      <c r="A689" s="2641"/>
      <c r="B689" s="2641"/>
      <c r="C689" s="2641"/>
      <c r="D689" s="2641"/>
      <c r="E689" s="2641"/>
      <c r="F689" s="2643"/>
      <c r="G689" s="2647"/>
      <c r="H689" s="2640"/>
    </row>
    <row r="690" spans="1:8">
      <c r="A690" s="2638" t="s">
        <v>6854</v>
      </c>
      <c r="B690" s="2641"/>
      <c r="C690" s="2641"/>
      <c r="D690" s="2641"/>
      <c r="E690" s="2641"/>
      <c r="F690" s="2641"/>
      <c r="G690" s="2641"/>
      <c r="H690" s="2640"/>
    </row>
    <row r="691" spans="1:8" ht="13.2" customHeight="1">
      <c r="A691" s="2642" t="str">
        <f>'Part IV-A-Uses of Funds'!$C$103</f>
        <v>&lt;&lt; Enter description here; provide detail &amp; justification in tab Part IV-b &gt;&gt;</v>
      </c>
      <c r="B691" s="2642"/>
      <c r="C691" s="2642"/>
      <c r="D691" s="2642"/>
      <c r="E691" s="2640"/>
      <c r="F691" s="2643">
        <f>'Part IV-B-Other Items'!F54</f>
        <v>0</v>
      </c>
      <c r="G691" s="2641"/>
      <c r="H691" s="2640"/>
    </row>
    <row r="692" spans="1:8">
      <c r="A692" s="2642"/>
      <c r="B692" s="2642"/>
      <c r="C692" s="2642"/>
      <c r="D692" s="2642"/>
      <c r="E692" s="2641"/>
      <c r="F692" s="2643"/>
      <c r="G692" s="2641"/>
      <c r="H692" s="2640"/>
    </row>
    <row r="693" spans="1:8">
      <c r="A693" s="2641"/>
      <c r="B693" s="2641"/>
      <c r="C693" s="2641"/>
      <c r="D693" s="2641"/>
      <c r="E693" s="2641"/>
      <c r="F693" s="2643"/>
      <c r="G693" s="2641"/>
      <c r="H693" s="2640"/>
    </row>
    <row r="694" spans="1:8">
      <c r="A694" s="2644" t="s">
        <v>3531</v>
      </c>
      <c r="B694" s="2645">
        <f>'Part IV-A-Uses of Funds'!$G$103</f>
        <v>0</v>
      </c>
      <c r="C694" s="2644"/>
      <c r="D694" s="2644"/>
      <c r="E694" s="2641"/>
      <c r="F694" s="2643"/>
      <c r="G694" s="2641"/>
      <c r="H694" s="2640"/>
    </row>
    <row r="695" spans="1:8">
      <c r="A695" s="2639"/>
      <c r="B695" s="2639"/>
      <c r="C695" s="2639"/>
      <c r="D695" s="2639"/>
      <c r="E695" s="2639"/>
      <c r="F695" s="2643"/>
      <c r="G695" s="2647"/>
      <c r="H695" s="2640"/>
    </row>
    <row r="696" spans="1:8" ht="13.2" customHeight="1">
      <c r="A696" s="2642" t="str">
        <f>'Part IV-A-Uses of Funds'!$C$104</f>
        <v>&lt;&lt; Enter description here; provide detail &amp; justification in tab Part IV-b &gt;&gt;</v>
      </c>
      <c r="B696" s="2642"/>
      <c r="C696" s="2642"/>
      <c r="D696" s="2642"/>
      <c r="E696" s="2640"/>
      <c r="F696" s="2643">
        <f>'Part IV-B-Other Items'!F59</f>
        <v>0</v>
      </c>
      <c r="G696" s="2641"/>
      <c r="H696" s="2640"/>
    </row>
    <row r="697" spans="1:8">
      <c r="A697" s="2642"/>
      <c r="B697" s="2642"/>
      <c r="C697" s="2642"/>
      <c r="D697" s="2642"/>
      <c r="E697" s="2641"/>
      <c r="F697" s="2643"/>
      <c r="G697" s="2641"/>
      <c r="H697" s="2640"/>
    </row>
    <row r="698" spans="1:8">
      <c r="A698" s="2641"/>
      <c r="B698" s="2641"/>
      <c r="C698" s="2641"/>
      <c r="D698" s="2641"/>
      <c r="E698" s="2641"/>
      <c r="F698" s="2643"/>
      <c r="G698" s="2641"/>
      <c r="H698" s="2640"/>
    </row>
    <row r="699" spans="1:8">
      <c r="A699" s="2644" t="s">
        <v>3531</v>
      </c>
      <c r="B699" s="2645">
        <f>'Part IV-A-Uses of Funds'!$G$104</f>
        <v>0</v>
      </c>
      <c r="C699" s="2644"/>
      <c r="D699" s="2644"/>
      <c r="E699" s="2641"/>
      <c r="F699" s="2643"/>
      <c r="G699" s="2641"/>
      <c r="H699" s="2640"/>
    </row>
    <row r="700" spans="1:8">
      <c r="A700" s="2639"/>
      <c r="B700" s="2639"/>
      <c r="C700" s="2639"/>
      <c r="D700" s="2639"/>
      <c r="E700" s="2639"/>
      <c r="F700" s="2643"/>
      <c r="G700" s="2647"/>
      <c r="H700" s="2640"/>
    </row>
    <row r="701" spans="1:8">
      <c r="A701" s="2638" t="s">
        <v>6855</v>
      </c>
      <c r="B701" s="2641"/>
      <c r="C701" s="2641"/>
      <c r="D701" s="2641"/>
      <c r="E701" s="2641"/>
      <c r="F701" s="2641"/>
      <c r="G701" s="2641"/>
      <c r="H701" s="2640"/>
    </row>
    <row r="702" spans="1:8" ht="13.2" customHeight="1">
      <c r="A702" s="2642" t="str">
        <f>'Part IV-A-Uses of Funds'!$C$110</f>
        <v>&lt;&lt; Enter description here; provide detail &amp; justification in tab Part IV-b &gt;&gt;</v>
      </c>
      <c r="B702" s="2642"/>
      <c r="C702" s="2642"/>
      <c r="D702" s="2642"/>
      <c r="E702" s="2640"/>
      <c r="F702" s="2643">
        <f>'Part IV-B-Other Items'!F65</f>
        <v>0</v>
      </c>
      <c r="G702" s="2641"/>
      <c r="H702" s="2640"/>
    </row>
    <row r="703" spans="1:8">
      <c r="A703" s="2642"/>
      <c r="B703" s="2642"/>
      <c r="C703" s="2642"/>
      <c r="D703" s="2642"/>
      <c r="E703" s="2641"/>
      <c r="F703" s="2643"/>
      <c r="G703" s="2641"/>
      <c r="H703" s="2640"/>
    </row>
    <row r="704" spans="1:8">
      <c r="A704" s="2641"/>
      <c r="B704" s="2641"/>
      <c r="C704" s="2641"/>
      <c r="D704" s="2641"/>
      <c r="E704" s="2641"/>
      <c r="F704" s="2643"/>
      <c r="G704" s="2641"/>
      <c r="H704" s="2640"/>
    </row>
    <row r="705" spans="1:8">
      <c r="A705" s="2644" t="s">
        <v>3531</v>
      </c>
      <c r="B705" s="2645">
        <f>'Part IV-A-Uses of Funds'!$G$110</f>
        <v>0</v>
      </c>
      <c r="C705" s="2644"/>
      <c r="D705" s="2644"/>
      <c r="E705" s="2641"/>
      <c r="F705" s="2643"/>
      <c r="G705" s="2641"/>
      <c r="H705" s="2640"/>
    </row>
    <row r="706" spans="1:8">
      <c r="A706" s="2641"/>
      <c r="B706" s="2646"/>
      <c r="C706" s="2641"/>
      <c r="D706" s="2641"/>
      <c r="E706" s="2641"/>
      <c r="F706" s="2643"/>
      <c r="G706" s="2647"/>
      <c r="H706" s="2640"/>
    </row>
    <row r="707" spans="1:8">
      <c r="A707" s="2638" t="s">
        <v>1282</v>
      </c>
      <c r="B707" s="2641"/>
      <c r="C707" s="2641"/>
      <c r="D707" s="2641"/>
      <c r="E707" s="2641"/>
      <c r="F707" s="2641"/>
      <c r="G707" s="2641"/>
      <c r="H707" s="2640"/>
    </row>
    <row r="708" spans="1:8" ht="13.2" customHeight="1">
      <c r="A708" s="2642" t="str">
        <f>'Part IV-A-Uses of Funds'!$C$125</f>
        <v xml:space="preserve">Taxes, Insurance &amp; Replacement Reserve </v>
      </c>
      <c r="B708" s="2642"/>
      <c r="C708" s="2642"/>
      <c r="D708" s="2642"/>
      <c r="E708" s="2640"/>
      <c r="F708" s="2643">
        <f>'Part IV-B-Other Items'!F71</f>
        <v>0</v>
      </c>
      <c r="G708" s="2641"/>
      <c r="H708" s="2643">
        <f>'Part IV-B-Other Items'!H71</f>
        <v>0</v>
      </c>
    </row>
    <row r="709" spans="1:8">
      <c r="A709" s="2642"/>
      <c r="B709" s="2642"/>
      <c r="C709" s="2642"/>
      <c r="D709" s="2642"/>
      <c r="E709" s="2641"/>
      <c r="F709" s="2643"/>
      <c r="G709" s="2641"/>
      <c r="H709" s="2643"/>
    </row>
    <row r="710" spans="1:8">
      <c r="A710" s="2641"/>
      <c r="B710" s="2641"/>
      <c r="C710" s="2641"/>
      <c r="D710" s="2641"/>
      <c r="E710" s="2641"/>
      <c r="F710" s="2643"/>
      <c r="G710" s="2641"/>
      <c r="H710" s="2643"/>
    </row>
    <row r="711" spans="1:8">
      <c r="A711" s="2644" t="s">
        <v>3531</v>
      </c>
      <c r="B711" s="2645">
        <f>'Part IV-A-Uses of Funds'!$G$125</f>
        <v>170000</v>
      </c>
      <c r="C711" s="2644" t="s">
        <v>1746</v>
      </c>
      <c r="D711" s="2645">
        <f>'Part IV-A-Uses of Funds'!$J$125+'Part IV-A-Uses of Funds'!$M$125+'Part IV-A-Uses of Funds'!$P$125</f>
        <v>0</v>
      </c>
      <c r="E711" s="2641"/>
      <c r="F711" s="2643"/>
      <c r="G711" s="2641"/>
      <c r="H711" s="2643"/>
    </row>
    <row r="712" spans="1:8">
      <c r="A712" s="2641"/>
      <c r="B712" s="2646"/>
      <c r="C712" s="2641"/>
      <c r="D712" s="2641"/>
      <c r="E712" s="2641"/>
      <c r="F712" s="2643"/>
      <c r="G712" s="2647"/>
      <c r="H712" s="2643"/>
    </row>
    <row r="713" spans="1:8">
      <c r="A713" s="2638" t="s">
        <v>6856</v>
      </c>
      <c r="B713" s="2646"/>
      <c r="C713" s="2641"/>
      <c r="D713" s="2641"/>
      <c r="E713" s="2641"/>
      <c r="F713" s="2641"/>
      <c r="G713" s="2647"/>
      <c r="H713" s="2640"/>
    </row>
    <row r="714" spans="1:8" ht="13.2" customHeight="1">
      <c r="A714" s="2642" t="str">
        <f>'Part IV-A-Uses of Funds'!$C$129</f>
        <v>&lt;&lt; Enter description here; provide detail &amp; justification in tab Part IV-b &gt;&gt;</v>
      </c>
      <c r="B714" s="2642"/>
      <c r="C714" s="2642"/>
      <c r="D714" s="2642"/>
      <c r="E714" s="2640"/>
      <c r="F714" s="2643">
        <f>'Part IV-B-Other Items'!F77</f>
        <v>0</v>
      </c>
      <c r="G714" s="2641"/>
      <c r="H714" s="2643">
        <f>'Part IV-B-Other Items'!H77</f>
        <v>0</v>
      </c>
    </row>
    <row r="715" spans="1:8">
      <c r="A715" s="2642"/>
      <c r="B715" s="2642"/>
      <c r="C715" s="2642"/>
      <c r="D715" s="2642"/>
      <c r="E715" s="2641"/>
      <c r="F715" s="2643"/>
      <c r="G715" s="2641"/>
      <c r="H715" s="2643"/>
    </row>
    <row r="716" spans="1:8">
      <c r="A716" s="2641"/>
      <c r="B716" s="2641"/>
      <c r="C716" s="2641"/>
      <c r="D716" s="2641"/>
      <c r="E716" s="2641"/>
      <c r="F716" s="2643"/>
      <c r="G716" s="2641"/>
      <c r="H716" s="2643"/>
    </row>
    <row r="717" spans="1:8">
      <c r="A717" s="2644" t="s">
        <v>3531</v>
      </c>
      <c r="B717" s="2645">
        <f>'Part IV-A-Uses of Funds'!$G$129</f>
        <v>0</v>
      </c>
      <c r="C717" s="2644" t="s">
        <v>1746</v>
      </c>
      <c r="D717" s="2645">
        <f>'Part IV-A-Uses of Funds'!$J$129+'Part IV-A-Uses of Funds'!$M$129+'Part IV-A-Uses of Funds'!$P$129</f>
        <v>0</v>
      </c>
      <c r="E717" s="2641"/>
      <c r="F717" s="2643"/>
      <c r="G717" s="2641"/>
      <c r="H717" s="2643"/>
    </row>
    <row r="718" spans="1:8">
      <c r="A718" s="2640"/>
      <c r="B718" s="2640"/>
      <c r="C718" s="2640"/>
      <c r="D718" s="2641"/>
      <c r="E718" s="2645"/>
      <c r="F718" s="2643"/>
      <c r="G718" s="2647"/>
      <c r="H718" s="2643"/>
    </row>
    <row r="721" spans="1:13">
      <c r="A721" s="2408" t="str">
        <f>CONCATENATE("PART FIVE - UTILITY ALLOWANCES","  -  ",'Part I-Project Information'!$O$6," ",'Part I-Project Information'!$F$34,", ",'Part I-Project Information'!F758,", ",'Part I-Project Information'!J759," County")</f>
        <v>PART FIVE - UTILITY ALLOWANCES  -  2020-5 Lakeview Terrace, ,  County</v>
      </c>
      <c r="B721" s="2408"/>
      <c r="C721" s="2408"/>
      <c r="D721" s="2408"/>
      <c r="E721" s="2408"/>
      <c r="F721" s="2408"/>
      <c r="G721" s="2408"/>
      <c r="H721" s="2408"/>
      <c r="I721" s="2408"/>
      <c r="J721" s="2408"/>
      <c r="K721" s="2408"/>
      <c r="L721" s="2408"/>
      <c r="M721" s="2408"/>
    </row>
    <row r="723" spans="1:13">
      <c r="B723" s="2648" t="str">
        <f>'Part I-Project Information'!$B$6</f>
        <v>July 15, 2020 Version (4%)</v>
      </c>
      <c r="C723" s="2648"/>
      <c r="D723" s="2648"/>
      <c r="E723" s="2648"/>
      <c r="F723" s="2408" t="s">
        <v>4123</v>
      </c>
      <c r="I723" s="2649" t="str">
        <f>VLOOKUP('Part I-Project Information'!$J$39,'DCA Underwriting Assumptions'!$G$173:$H$332,2)</f>
        <v>Local PHA</v>
      </c>
    </row>
    <row r="725" spans="1:13">
      <c r="A725" s="2650" t="s">
        <v>3616</v>
      </c>
    </row>
    <row r="727" spans="1:13">
      <c r="A727" s="2494" t="s">
        <v>598</v>
      </c>
      <c r="B727" s="2494" t="s">
        <v>2171</v>
      </c>
      <c r="F727" s="2408" t="s">
        <v>2453</v>
      </c>
      <c r="G727" s="2408"/>
      <c r="H727" s="2408"/>
      <c r="I727" s="2408" t="str">
        <f>'Part V-Utility Allowances'!I7</f>
        <v>HUD Office of Public and Indian Housing</v>
      </c>
      <c r="J727" s="2408"/>
      <c r="K727" s="2408"/>
      <c r="L727" s="2408"/>
      <c r="M727" s="2408"/>
    </row>
    <row r="728" spans="1:13">
      <c r="F728" s="2408" t="s">
        <v>618</v>
      </c>
      <c r="G728" s="2408"/>
      <c r="H728" s="2408"/>
      <c r="I728" s="2651">
        <f>'Part V-Utility Allowances'!I8</f>
        <v>44372</v>
      </c>
      <c r="J728" s="2651"/>
      <c r="K728" s="2652" t="s">
        <v>525</v>
      </c>
      <c r="L728" s="2408" t="str">
        <f>'Part V-Utility Allowances'!L8</f>
        <v>3+ Story</v>
      </c>
      <c r="M728" s="2408"/>
    </row>
    <row r="730" spans="1:13">
      <c r="F730" s="2494" t="s">
        <v>592</v>
      </c>
      <c r="I730" s="2494" t="s">
        <v>196</v>
      </c>
    </row>
    <row r="731" spans="1:13">
      <c r="B731" s="2494" t="s">
        <v>778</v>
      </c>
      <c r="D731" s="2494" t="s">
        <v>1566</v>
      </c>
      <c r="F731" s="2613" t="s">
        <v>624</v>
      </c>
      <c r="G731" s="2613" t="s">
        <v>1804</v>
      </c>
      <c r="I731" s="2613" t="s">
        <v>551</v>
      </c>
      <c r="J731" s="2613">
        <v>1</v>
      </c>
      <c r="K731" s="2613">
        <v>2</v>
      </c>
      <c r="L731" s="2613">
        <v>3</v>
      </c>
      <c r="M731" s="2613">
        <v>4</v>
      </c>
    </row>
    <row r="732" spans="1:13">
      <c r="B732" s="2408" t="s">
        <v>1806</v>
      </c>
      <c r="C732" s="2408"/>
      <c r="D732" s="2408" t="str">
        <f>'Part V-Utility Allowances'!D12</f>
        <v>Electric</v>
      </c>
      <c r="E732" s="2408"/>
      <c r="F732" s="2653" t="str">
        <f>'Part V-Utility Allowances'!F12</f>
        <v>X</v>
      </c>
      <c r="G732" s="2653">
        <f>'Part V-Utility Allowances'!G12</f>
        <v>0</v>
      </c>
      <c r="I732" s="2652">
        <f>'Part V-Utility Allowances'!I12</f>
        <v>0</v>
      </c>
      <c r="J732" s="2652">
        <f>'Part V-Utility Allowances'!J12</f>
        <v>25</v>
      </c>
      <c r="K732" s="2652">
        <f>'Part V-Utility Allowances'!K12</f>
        <v>26</v>
      </c>
      <c r="L732" s="2652">
        <f>'Part V-Utility Allowances'!L12</f>
        <v>27</v>
      </c>
      <c r="M732" s="2652">
        <f>'Part V-Utility Allowances'!M12</f>
        <v>0</v>
      </c>
    </row>
    <row r="733" spans="1:13">
      <c r="B733" s="2408" t="s">
        <v>1564</v>
      </c>
      <c r="C733" s="2408"/>
      <c r="D733" s="2408" t="str">
        <f>'Part V-Utility Allowances'!D13</f>
        <v>Electric</v>
      </c>
      <c r="E733" s="2408"/>
      <c r="F733" s="2653" t="str">
        <f>'Part V-Utility Allowances'!F13</f>
        <v>X</v>
      </c>
      <c r="G733" s="2653">
        <f>'Part V-Utility Allowances'!G13</f>
        <v>0</v>
      </c>
      <c r="I733" s="2652">
        <f>'Part V-Utility Allowances'!I13</f>
        <v>0</v>
      </c>
      <c r="J733" s="2652">
        <f>'Part V-Utility Allowances'!J13</f>
        <v>4</v>
      </c>
      <c r="K733" s="2652">
        <f>'Part V-Utility Allowances'!K13</f>
        <v>6</v>
      </c>
      <c r="L733" s="2652">
        <f>'Part V-Utility Allowances'!L13</f>
        <v>8</v>
      </c>
      <c r="M733" s="2652">
        <f>'Part V-Utility Allowances'!M13</f>
        <v>0</v>
      </c>
    </row>
    <row r="734" spans="1:13">
      <c r="B734" s="2408" t="s">
        <v>1565</v>
      </c>
      <c r="C734" s="2408"/>
      <c r="D734" s="2408" t="str">
        <f>'Part V-Utility Allowances'!D14</f>
        <v>Electric</v>
      </c>
      <c r="E734" s="2408"/>
      <c r="F734" s="2653" t="str">
        <f>'Part V-Utility Allowances'!F14</f>
        <v>X</v>
      </c>
      <c r="G734" s="2653">
        <f>'Part V-Utility Allowances'!G14</f>
        <v>0</v>
      </c>
      <c r="I734" s="2652">
        <f>'Part V-Utility Allowances'!I14</f>
        <v>0</v>
      </c>
      <c r="J734" s="2652">
        <f>'Part V-Utility Allowances'!J14</f>
        <v>10</v>
      </c>
      <c r="K734" s="2652">
        <f>'Part V-Utility Allowances'!K14</f>
        <v>13</v>
      </c>
      <c r="L734" s="2652">
        <f>'Part V-Utility Allowances'!L14</f>
        <v>16</v>
      </c>
      <c r="M734" s="2652">
        <f>'Part V-Utility Allowances'!M14</f>
        <v>0</v>
      </c>
    </row>
    <row r="735" spans="1:13">
      <c r="B735" s="2408" t="s">
        <v>458</v>
      </c>
      <c r="C735" s="2408"/>
      <c r="D735" s="2408" t="s">
        <v>1563</v>
      </c>
      <c r="F735" s="2653" t="str">
        <f>'Part V-Utility Allowances'!F15</f>
        <v>X</v>
      </c>
      <c r="G735" s="2653">
        <f>'Part V-Utility Allowances'!G15</f>
        <v>0</v>
      </c>
      <c r="I735" s="2652">
        <f>'Part V-Utility Allowances'!I15</f>
        <v>0</v>
      </c>
      <c r="J735" s="2652">
        <f>'Part V-Utility Allowances'!J15</f>
        <v>10</v>
      </c>
      <c r="K735" s="2652">
        <f>'Part V-Utility Allowances'!K15</f>
        <v>14</v>
      </c>
      <c r="L735" s="2652">
        <f>'Part V-Utility Allowances'!L15</f>
        <v>21</v>
      </c>
      <c r="M735" s="2652">
        <f>'Part V-Utility Allowances'!M15</f>
        <v>0</v>
      </c>
    </row>
    <row r="736" spans="1:13">
      <c r="B736" s="2408" t="s">
        <v>3613</v>
      </c>
      <c r="C736" s="2408"/>
      <c r="D736" s="2408" t="s">
        <v>1563</v>
      </c>
      <c r="F736" s="2653">
        <f>'Part V-Utility Allowances'!F16</f>
        <v>0</v>
      </c>
      <c r="G736" s="2653" t="str">
        <f>'Part V-Utility Allowances'!G16</f>
        <v>X</v>
      </c>
      <c r="I736" s="2652">
        <f>'Part V-Utility Allowances'!I16</f>
        <v>0</v>
      </c>
      <c r="J736" s="2652">
        <f>'Part V-Utility Allowances'!J16</f>
        <v>0</v>
      </c>
      <c r="K736" s="2652">
        <f>'Part V-Utility Allowances'!K16</f>
        <v>0</v>
      </c>
      <c r="L736" s="2652">
        <f>'Part V-Utility Allowances'!L16</f>
        <v>0</v>
      </c>
      <c r="M736" s="2652">
        <f>'Part V-Utility Allowances'!M16</f>
        <v>0</v>
      </c>
    </row>
    <row r="737" spans="1:13">
      <c r="B737" s="2408" t="s">
        <v>3614</v>
      </c>
      <c r="C737" s="2408"/>
      <c r="D737" s="2408" t="s">
        <v>1563</v>
      </c>
      <c r="F737" s="2653">
        <f>'Part V-Utility Allowances'!F17</f>
        <v>0</v>
      </c>
      <c r="G737" s="2653" t="str">
        <f>'Part V-Utility Allowances'!G17</f>
        <v>X</v>
      </c>
      <c r="I737" s="2652">
        <f>'Part V-Utility Allowances'!I17</f>
        <v>0</v>
      </c>
      <c r="J737" s="2652">
        <f>'Part V-Utility Allowances'!J17</f>
        <v>0</v>
      </c>
      <c r="K737" s="2652">
        <f>'Part V-Utility Allowances'!K17</f>
        <v>0</v>
      </c>
      <c r="L737" s="2652">
        <f>'Part V-Utility Allowances'!L17</f>
        <v>0</v>
      </c>
      <c r="M737" s="2652">
        <f>'Part V-Utility Allowances'!M17</f>
        <v>0</v>
      </c>
    </row>
    <row r="738" spans="1:13">
      <c r="B738" s="2408" t="s">
        <v>3615</v>
      </c>
      <c r="C738" s="2408"/>
      <c r="D738" s="2408" t="s">
        <v>1563</v>
      </c>
      <c r="F738" s="2653" t="str">
        <f>'Part V-Utility Allowances'!F18</f>
        <v>X</v>
      </c>
      <c r="G738" s="2653">
        <f>'Part V-Utility Allowances'!G18</f>
        <v>0</v>
      </c>
      <c r="I738" s="2652">
        <f>'Part V-Utility Allowances'!I18</f>
        <v>0</v>
      </c>
      <c r="J738" s="2652">
        <f>'Part V-Utility Allowances'!J18</f>
        <v>17</v>
      </c>
      <c r="K738" s="2652">
        <f>'Part V-Utility Allowances'!K18</f>
        <v>23</v>
      </c>
      <c r="L738" s="2652">
        <f>'Part V-Utility Allowances'!L18</f>
        <v>30</v>
      </c>
      <c r="M738" s="2652">
        <f>'Part V-Utility Allowances'!M18</f>
        <v>0</v>
      </c>
    </row>
    <row r="739" spans="1:13">
      <c r="B739" s="2408" t="s">
        <v>1343</v>
      </c>
      <c r="C739" s="2408"/>
      <c r="D739" s="2408" t="s">
        <v>6817</v>
      </c>
      <c r="E739" s="2652" t="str">
        <f>'Part V-Utility Allowances'!E19</f>
        <v>Yes</v>
      </c>
      <c r="F739" s="2653" t="str">
        <f>'Part V-Utility Allowances'!F19</f>
        <v>X</v>
      </c>
      <c r="G739" s="2653">
        <f>'Part V-Utility Allowances'!G19</f>
        <v>0</v>
      </c>
      <c r="I739" s="2652">
        <f>'Part V-Utility Allowances'!I19</f>
        <v>0</v>
      </c>
      <c r="J739" s="2652">
        <f>'Part V-Utility Allowances'!J19</f>
        <v>47</v>
      </c>
      <c r="K739" s="2652">
        <f>'Part V-Utility Allowances'!K19</f>
        <v>59</v>
      </c>
      <c r="L739" s="2652">
        <f>'Part V-Utility Allowances'!L19</f>
        <v>80</v>
      </c>
      <c r="M739" s="2652">
        <f>'Part V-Utility Allowances'!M19</f>
        <v>0</v>
      </c>
    </row>
    <row r="740" spans="1:13">
      <c r="B740" s="2408" t="s">
        <v>1805</v>
      </c>
      <c r="C740" s="2408"/>
      <c r="F740" s="2653">
        <f>'Part V-Utility Allowances'!F20</f>
        <v>0</v>
      </c>
      <c r="G740" s="2653" t="str">
        <f>'Part V-Utility Allowances'!G20</f>
        <v>X</v>
      </c>
      <c r="I740" s="2652">
        <f>'Part V-Utility Allowances'!I20</f>
        <v>0</v>
      </c>
      <c r="J740" s="2652">
        <f>'Part V-Utility Allowances'!J20</f>
        <v>0</v>
      </c>
      <c r="K740" s="2652">
        <f>'Part V-Utility Allowances'!K20</f>
        <v>0</v>
      </c>
      <c r="L740" s="2652">
        <f>'Part V-Utility Allowances'!L20</f>
        <v>0</v>
      </c>
      <c r="M740" s="2652">
        <f>'Part V-Utility Allowances'!M20</f>
        <v>0</v>
      </c>
    </row>
    <row r="741" spans="1:13">
      <c r="B741" s="2408" t="s">
        <v>723</v>
      </c>
      <c r="C741" s="512">
        <f>'Part V-Utility Allowances'!C21</f>
        <v>0</v>
      </c>
      <c r="D741" s="512"/>
      <c r="E741" s="512"/>
      <c r="F741" s="2653">
        <f>'Part V-Utility Allowances'!F21</f>
        <v>0</v>
      </c>
      <c r="G741" s="2653">
        <f>'Part V-Utility Allowances'!G21</f>
        <v>0</v>
      </c>
      <c r="I741" s="2652">
        <f>'Part V-Utility Allowances'!I21</f>
        <v>0</v>
      </c>
      <c r="J741" s="2652">
        <f>'Part V-Utility Allowances'!J21</f>
        <v>0</v>
      </c>
      <c r="K741" s="2652">
        <f>'Part V-Utility Allowances'!K21</f>
        <v>0</v>
      </c>
      <c r="L741" s="2652">
        <f>'Part V-Utility Allowances'!L21</f>
        <v>0</v>
      </c>
      <c r="M741" s="2652">
        <f>'Part V-Utility Allowances'!M21</f>
        <v>0</v>
      </c>
    </row>
    <row r="742" spans="1:13">
      <c r="B742" s="2494" t="s">
        <v>998</v>
      </c>
      <c r="F742" s="2613"/>
      <c r="G742" s="2613"/>
      <c r="I742" s="2652">
        <f>IF(SUM(I732:I741)=0,0,IF(OR($D732="&lt;&lt;Select Fuel &gt;&gt;",$D733="&lt;&lt;Select Fuel &gt;&gt;",$D734="&lt;&lt;Select Fuel &gt;&gt;"),"Select Fuel",IF($E739="&lt;Select&gt;","Submeter?",SUM(I732:I741))))</f>
        <v>0</v>
      </c>
      <c r="J742" s="2652">
        <f>IF(SUM(J732:J741)=0,0,IF(OR($D732="&lt;&lt;Select Fuel &gt;&gt;",$D733="&lt;&lt;Select Fuel &gt;&gt;",$D734="&lt;&lt;Select Fuel &gt;&gt;"),"Select Fuel",IF($E739="&lt;Select&gt;","Submeter?",SUM(J732:J741))))</f>
        <v>113</v>
      </c>
      <c r="K742" s="2652">
        <f>IF(SUM(K732:K741)=0,0,IF(OR($D732="&lt;&lt;Select Fuel &gt;&gt;",$D733="&lt;&lt;Select Fuel &gt;&gt;",$D734="&lt;&lt;Select Fuel &gt;&gt;"),"Select Fuel",IF($E739="&lt;Select&gt;","Submeter?",SUM(K732:K741))))</f>
        <v>141</v>
      </c>
      <c r="L742" s="2652">
        <f>IF(SUM(L732:L741)=0,0,IF(OR($D732="&lt;&lt;Select Fuel &gt;&gt;",$D733="&lt;&lt;Select Fuel &gt;&gt;",$D734="&lt;&lt;Select Fuel &gt;&gt;"),"Select Fuel",IF($E739="&lt;Select&gt;","Submeter?",SUM(L732:L741))))</f>
        <v>182</v>
      </c>
      <c r="M742" s="2652">
        <f>IF(SUM(M732:M741)=0,0,IF(OR($D732="&lt;&lt;Select Fuel &gt;&gt;",$D733="&lt;&lt;Select Fuel &gt;&gt;",$D734="&lt;&lt;Select Fuel &gt;&gt;"),"Select Fuel",IF($E739="&lt;Select&gt;","Submeter?",SUM(M732:M741))))</f>
        <v>0</v>
      </c>
    </row>
    <row r="744" spans="1:13">
      <c r="A744" s="2494" t="s">
        <v>722</v>
      </c>
      <c r="B744" s="2494" t="s">
        <v>2172</v>
      </c>
      <c r="F744" s="2408" t="s">
        <v>2453</v>
      </c>
      <c r="G744" s="2408"/>
      <c r="H744" s="2408"/>
      <c r="I744" s="2408">
        <f>'Part V-Utility Allowances'!I24</f>
        <v>0</v>
      </c>
      <c r="J744" s="2408"/>
      <c r="K744" s="2408"/>
      <c r="L744" s="2408"/>
      <c r="M744" s="2408"/>
    </row>
    <row r="745" spans="1:13">
      <c r="F745" s="2408" t="s">
        <v>618</v>
      </c>
      <c r="G745" s="2408"/>
      <c r="H745" s="2408"/>
      <c r="I745" s="2651">
        <f>'Part V-Utility Allowances'!I25</f>
        <v>0</v>
      </c>
      <c r="J745" s="2651"/>
      <c r="K745" s="2652" t="s">
        <v>525</v>
      </c>
      <c r="L745" s="2408">
        <f>'Part V-Utility Allowances'!L25</f>
        <v>0</v>
      </c>
      <c r="M745" s="2408"/>
    </row>
    <row r="747" spans="1:13">
      <c r="F747" s="2494" t="s">
        <v>592</v>
      </c>
      <c r="I747" s="2494" t="s">
        <v>196</v>
      </c>
    </row>
    <row r="748" spans="1:13">
      <c r="B748" s="2494" t="s">
        <v>778</v>
      </c>
      <c r="D748" s="2494" t="s">
        <v>1566</v>
      </c>
      <c r="F748" s="2613" t="s">
        <v>624</v>
      </c>
      <c r="G748" s="2613" t="s">
        <v>1804</v>
      </c>
      <c r="I748" s="2613" t="s">
        <v>551</v>
      </c>
      <c r="J748" s="2613">
        <v>1</v>
      </c>
      <c r="K748" s="2613">
        <v>2</v>
      </c>
      <c r="L748" s="2613">
        <v>3</v>
      </c>
      <c r="M748" s="2613">
        <v>4</v>
      </c>
    </row>
    <row r="749" spans="1:13">
      <c r="B749" s="2408" t="s">
        <v>1806</v>
      </c>
      <c r="C749" s="2408"/>
      <c r="D749" s="2408" t="str">
        <f>'Part V-Utility Allowances'!D29</f>
        <v>&lt;&lt;Select Fuel &gt;&gt;</v>
      </c>
      <c r="E749" s="2408"/>
      <c r="F749" s="2653">
        <f>'Part V-Utility Allowances'!F29</f>
        <v>0</v>
      </c>
      <c r="G749" s="2653">
        <f>'Part V-Utility Allowances'!G29</f>
        <v>0</v>
      </c>
      <c r="I749" s="2652">
        <f>'Part V-Utility Allowances'!I29</f>
        <v>0</v>
      </c>
      <c r="J749" s="2652">
        <f>'Part V-Utility Allowances'!J29</f>
        <v>0</v>
      </c>
      <c r="K749" s="2652">
        <f>'Part V-Utility Allowances'!K29</f>
        <v>0</v>
      </c>
      <c r="L749" s="2652">
        <f>'Part V-Utility Allowances'!L29</f>
        <v>0</v>
      </c>
      <c r="M749" s="2652">
        <f>'Part V-Utility Allowances'!M29</f>
        <v>0</v>
      </c>
    </row>
    <row r="750" spans="1:13">
      <c r="B750" s="2408" t="s">
        <v>1564</v>
      </c>
      <c r="C750" s="2408"/>
      <c r="D750" s="2408" t="str">
        <f>'Part V-Utility Allowances'!D30</f>
        <v>&lt;&lt;Select Fuel &gt;&gt;</v>
      </c>
      <c r="E750" s="2408"/>
      <c r="F750" s="2653">
        <f>'Part V-Utility Allowances'!F30</f>
        <v>0</v>
      </c>
      <c r="G750" s="2653">
        <f>'Part V-Utility Allowances'!G30</f>
        <v>0</v>
      </c>
      <c r="I750" s="2652">
        <f>'Part V-Utility Allowances'!I30</f>
        <v>0</v>
      </c>
      <c r="J750" s="2652">
        <f>'Part V-Utility Allowances'!J30</f>
        <v>0</v>
      </c>
      <c r="K750" s="2652">
        <f>'Part V-Utility Allowances'!K30</f>
        <v>0</v>
      </c>
      <c r="L750" s="2652">
        <f>'Part V-Utility Allowances'!L30</f>
        <v>0</v>
      </c>
      <c r="M750" s="2652">
        <f>'Part V-Utility Allowances'!M30</f>
        <v>0</v>
      </c>
    </row>
    <row r="751" spans="1:13">
      <c r="B751" s="2408" t="s">
        <v>1565</v>
      </c>
      <c r="C751" s="2408"/>
      <c r="D751" s="2408" t="str">
        <f>'Part V-Utility Allowances'!D31</f>
        <v>&lt;&lt;Select Fuel &gt;&gt;</v>
      </c>
      <c r="E751" s="2408"/>
      <c r="F751" s="2653">
        <f>'Part V-Utility Allowances'!F31</f>
        <v>0</v>
      </c>
      <c r="G751" s="2653">
        <f>'Part V-Utility Allowances'!G31</f>
        <v>0</v>
      </c>
      <c r="I751" s="2652">
        <f>'Part V-Utility Allowances'!I31</f>
        <v>0</v>
      </c>
      <c r="J751" s="2652">
        <f>'Part V-Utility Allowances'!J31</f>
        <v>0</v>
      </c>
      <c r="K751" s="2652">
        <f>'Part V-Utility Allowances'!K31</f>
        <v>0</v>
      </c>
      <c r="L751" s="2652">
        <f>'Part V-Utility Allowances'!L31</f>
        <v>0</v>
      </c>
      <c r="M751" s="2652">
        <f>'Part V-Utility Allowances'!M31</f>
        <v>0</v>
      </c>
    </row>
    <row r="752" spans="1:13">
      <c r="B752" s="2408" t="s">
        <v>458</v>
      </c>
      <c r="C752" s="2408"/>
      <c r="D752" s="2408" t="s">
        <v>1563</v>
      </c>
      <c r="F752" s="2653">
        <f>'Part V-Utility Allowances'!F32</f>
        <v>0</v>
      </c>
      <c r="G752" s="2653">
        <f>'Part V-Utility Allowances'!G32</f>
        <v>0</v>
      </c>
      <c r="I752" s="2652">
        <f>'Part V-Utility Allowances'!I32</f>
        <v>0</v>
      </c>
      <c r="J752" s="2652">
        <f>'Part V-Utility Allowances'!J32</f>
        <v>0</v>
      </c>
      <c r="K752" s="2652">
        <f>'Part V-Utility Allowances'!K32</f>
        <v>0</v>
      </c>
      <c r="L752" s="2652">
        <f>'Part V-Utility Allowances'!L32</f>
        <v>0</v>
      </c>
      <c r="M752" s="2652">
        <f>'Part V-Utility Allowances'!M32</f>
        <v>0</v>
      </c>
    </row>
    <row r="753" spans="2:13">
      <c r="B753" s="2408" t="s">
        <v>3613</v>
      </c>
      <c r="C753" s="2408"/>
      <c r="D753" s="2408" t="s">
        <v>1563</v>
      </c>
      <c r="F753" s="2653">
        <f>'Part V-Utility Allowances'!F33</f>
        <v>0</v>
      </c>
      <c r="G753" s="2653">
        <f>'Part V-Utility Allowances'!G33</f>
        <v>0</v>
      </c>
      <c r="I753" s="2652">
        <f>'Part V-Utility Allowances'!I33</f>
        <v>0</v>
      </c>
      <c r="J753" s="2652">
        <f>'Part V-Utility Allowances'!J33</f>
        <v>0</v>
      </c>
      <c r="K753" s="2652">
        <f>'Part V-Utility Allowances'!K33</f>
        <v>0</v>
      </c>
      <c r="L753" s="2652">
        <f>'Part V-Utility Allowances'!L33</f>
        <v>0</v>
      </c>
      <c r="M753" s="2652">
        <f>'Part V-Utility Allowances'!M33</f>
        <v>0</v>
      </c>
    </row>
    <row r="754" spans="2:13">
      <c r="B754" s="2408" t="s">
        <v>3614</v>
      </c>
      <c r="C754" s="2408"/>
      <c r="D754" s="2408" t="s">
        <v>1563</v>
      </c>
      <c r="F754" s="2653">
        <f>'Part V-Utility Allowances'!F34</f>
        <v>0</v>
      </c>
      <c r="G754" s="2653">
        <f>'Part V-Utility Allowances'!G34</f>
        <v>0</v>
      </c>
      <c r="I754" s="2652">
        <f>'Part V-Utility Allowances'!I34</f>
        <v>0</v>
      </c>
      <c r="J754" s="2652">
        <f>'Part V-Utility Allowances'!J34</f>
        <v>0</v>
      </c>
      <c r="K754" s="2652">
        <f>'Part V-Utility Allowances'!K34</f>
        <v>0</v>
      </c>
      <c r="L754" s="2652">
        <f>'Part V-Utility Allowances'!L34</f>
        <v>0</v>
      </c>
      <c r="M754" s="2652">
        <f>'Part V-Utility Allowances'!M34</f>
        <v>0</v>
      </c>
    </row>
    <row r="755" spans="2:13">
      <c r="B755" s="2408" t="s">
        <v>3615</v>
      </c>
      <c r="C755" s="2408"/>
      <c r="D755" s="2408" t="s">
        <v>1563</v>
      </c>
      <c r="F755" s="2653">
        <f>'Part V-Utility Allowances'!F35</f>
        <v>0</v>
      </c>
      <c r="G755" s="2653">
        <f>'Part V-Utility Allowances'!G35</f>
        <v>0</v>
      </c>
      <c r="I755" s="2652">
        <f>'Part V-Utility Allowances'!I35</f>
        <v>0</v>
      </c>
      <c r="J755" s="2652">
        <f>'Part V-Utility Allowances'!J35</f>
        <v>0</v>
      </c>
      <c r="K755" s="2652">
        <f>'Part V-Utility Allowances'!K35</f>
        <v>0</v>
      </c>
      <c r="L755" s="2652">
        <f>'Part V-Utility Allowances'!L35</f>
        <v>0</v>
      </c>
      <c r="M755" s="2652">
        <f>'Part V-Utility Allowances'!M35</f>
        <v>0</v>
      </c>
    </row>
    <row r="756" spans="2:13">
      <c r="B756" s="2408" t="s">
        <v>1343</v>
      </c>
      <c r="C756" s="2408"/>
      <c r="D756" s="2408" t="s">
        <v>6817</v>
      </c>
      <c r="E756" s="2652" t="str">
        <f>'Part V-Utility Allowances'!E36</f>
        <v>&lt;Select&gt;</v>
      </c>
      <c r="F756" s="2653">
        <f>'Part V-Utility Allowances'!F36</f>
        <v>0</v>
      </c>
      <c r="G756" s="2653">
        <f>'Part V-Utility Allowances'!G36</f>
        <v>0</v>
      </c>
      <c r="I756" s="2652">
        <f>'Part V-Utility Allowances'!I36</f>
        <v>0</v>
      </c>
      <c r="J756" s="2652">
        <f>'Part V-Utility Allowances'!J36</f>
        <v>0</v>
      </c>
      <c r="K756" s="2652">
        <f>'Part V-Utility Allowances'!K36</f>
        <v>0</v>
      </c>
      <c r="L756" s="2652">
        <f>'Part V-Utility Allowances'!L36</f>
        <v>0</v>
      </c>
      <c r="M756" s="2652">
        <f>'Part V-Utility Allowances'!M36</f>
        <v>0</v>
      </c>
    </row>
    <row r="757" spans="2:13">
      <c r="B757" s="2408" t="s">
        <v>1805</v>
      </c>
      <c r="C757" s="2408"/>
      <c r="F757" s="2653">
        <f>'Part V-Utility Allowances'!F37</f>
        <v>0</v>
      </c>
      <c r="G757" s="2653">
        <f>'Part V-Utility Allowances'!G37</f>
        <v>0</v>
      </c>
      <c r="I757" s="2652">
        <f>'Part V-Utility Allowances'!I37</f>
        <v>0</v>
      </c>
      <c r="J757" s="2652">
        <f>'Part V-Utility Allowances'!J37</f>
        <v>0</v>
      </c>
      <c r="K757" s="2652">
        <f>'Part V-Utility Allowances'!K37</f>
        <v>0</v>
      </c>
      <c r="L757" s="2652">
        <f>'Part V-Utility Allowances'!L37</f>
        <v>0</v>
      </c>
      <c r="M757" s="2652">
        <f>'Part V-Utility Allowances'!M37</f>
        <v>0</v>
      </c>
    </row>
    <row r="758" spans="2:13">
      <c r="B758" s="2408" t="s">
        <v>723</v>
      </c>
      <c r="C758" s="512">
        <f>'Part V-Utility Allowances'!C38</f>
        <v>0</v>
      </c>
      <c r="D758" s="512"/>
      <c r="E758" s="512"/>
      <c r="F758" s="2653">
        <f>'Part V-Utility Allowances'!F38</f>
        <v>0</v>
      </c>
      <c r="G758" s="2653">
        <f>'Part V-Utility Allowances'!G38</f>
        <v>0</v>
      </c>
      <c r="I758" s="2652">
        <f>'Part V-Utility Allowances'!I38</f>
        <v>0</v>
      </c>
      <c r="J758" s="2652">
        <f>'Part V-Utility Allowances'!J38</f>
        <v>0</v>
      </c>
      <c r="K758" s="2652">
        <f>'Part V-Utility Allowances'!K38</f>
        <v>0</v>
      </c>
      <c r="L758" s="2652">
        <f>'Part V-Utility Allowances'!L38</f>
        <v>0</v>
      </c>
      <c r="M758" s="2652">
        <f>'Part V-Utility Allowances'!M38</f>
        <v>0</v>
      </c>
    </row>
    <row r="759" spans="2:13">
      <c r="B759" s="2494" t="s">
        <v>998</v>
      </c>
      <c r="F759" s="2613"/>
      <c r="G759" s="2613"/>
      <c r="I759" s="2652">
        <f>IF(SUM(I749:I758)=0,0,IF(OR($D749="&lt;&lt;Select Fuel &gt;&gt;",$D751="&lt;&lt;Select Fuel &gt;&gt;",$D752="&lt;&lt;Select Fuel &gt;&gt;"),"Select Fuel",IF($E756="&lt;Select&gt;","Submeter?",SUM(I749:I758))))</f>
        <v>0</v>
      </c>
      <c r="J759" s="2652">
        <f>IF(SUM(J749:J758)=0,0,IF(OR($D749="&lt;&lt;Select Fuel &gt;&gt;",$D751="&lt;&lt;Select Fuel &gt;&gt;",$D752="&lt;&lt;Select Fuel &gt;&gt;"),"Select Fuel",IF($E756="&lt;Select&gt;","Submeter?",SUM(J749:J758))))</f>
        <v>0</v>
      </c>
      <c r="K759" s="2652">
        <f>IF(SUM(K749:K758)=0,0,IF(OR($D749="&lt;&lt;Select Fuel &gt;&gt;",$D751="&lt;&lt;Select Fuel &gt;&gt;",$D752="&lt;&lt;Select Fuel &gt;&gt;"),"Select Fuel",IF($E756="&lt;Select&gt;","Submeter?",SUM(K749:K758))))</f>
        <v>0</v>
      </c>
      <c r="L759" s="2652">
        <f>IF(SUM(L749:L758)=0,0,IF(OR($D749="&lt;&lt;Select Fuel &gt;&gt;",$D751="&lt;&lt;Select Fuel &gt;&gt;",$D752="&lt;&lt;Select Fuel &gt;&gt;"),"Select Fuel",IF($E756="&lt;Select&gt;","Submeter?",SUM(L749:L758))))</f>
        <v>0</v>
      </c>
      <c r="M759" s="2652">
        <f>IF(SUM(M749:M758)=0,0,IF(OR($D749="&lt;&lt;Select Fuel &gt;&gt;",$D751="&lt;&lt;Select Fuel &gt;&gt;",$D752="&lt;&lt;Select Fuel &gt;&gt;"),"Select Fuel",IF($E756="&lt;Select&gt;","Submeter?",SUM(M749:M758))))</f>
        <v>0</v>
      </c>
    </row>
    <row r="761" spans="2:13">
      <c r="B761" s="2618" t="s">
        <v>6818</v>
      </c>
      <c r="F761" s="2613"/>
      <c r="G761" s="2613"/>
      <c r="I761" s="2613"/>
      <c r="J761" s="2613"/>
      <c r="K761" s="2613"/>
      <c r="L761" s="2613"/>
      <c r="M761" s="2613"/>
    </row>
    <row r="762" spans="2:13">
      <c r="B762" s="2494" t="s">
        <v>555</v>
      </c>
    </row>
    <row r="763" spans="2:13">
      <c r="B763" s="2359" t="str">
        <f>'Part V-Utility Allowances'!B43</f>
        <v>Allowances prepared using the HUD Utility Schedule Model (HUSM). Report based on Form HUD-52667. Please note that the UA form is not totalling the 2 bedrooms correctly.  It should be a total of $141 not $142.</v>
      </c>
      <c r="C763" s="2359"/>
      <c r="D763" s="2359"/>
      <c r="E763" s="2359"/>
      <c r="F763" s="2359"/>
      <c r="G763" s="2359"/>
      <c r="H763" s="2359"/>
      <c r="I763" s="2359"/>
      <c r="J763" s="2359"/>
      <c r="K763" s="2359"/>
      <c r="L763" s="2359"/>
      <c r="M763" s="2359"/>
    </row>
    <row r="765" spans="2:13">
      <c r="B765" s="2494" t="s">
        <v>1799</v>
      </c>
    </row>
    <row r="766" spans="2:13">
      <c r="B766" s="2359">
        <f>'Part V-Utility Allowances'!B46</f>
        <v>0</v>
      </c>
      <c r="C766" s="2359"/>
      <c r="D766" s="2359"/>
      <c r="E766" s="2359"/>
      <c r="F766" s="2359"/>
      <c r="G766" s="2359"/>
      <c r="H766" s="2359"/>
      <c r="I766" s="2359"/>
      <c r="J766" s="2359"/>
      <c r="K766" s="2359"/>
      <c r="L766" s="2359"/>
      <c r="M766" s="2359"/>
    </row>
    <row r="770" spans="1:368" s="2408" customFormat="1" ht="14.1" customHeight="1">
      <c r="A770" s="2408" t="str">
        <f>CONCATENATE("PART SIX - PROJECTED REVENUES &amp; EXPENSES","  -  ",'Part I-Project Information'!$O$6," ",'Part I-Project Information'!$F$34,", ",'Part I-Project Information'!F807,", ",'Part I-Project Information'!J808," County")</f>
        <v>PART SIX - PROJECTED REVENUES &amp; EXPENSES  -  2020-5 Lakeview Terrace, ,  County</v>
      </c>
      <c r="T770" s="2408" t="str">
        <f>A770</f>
        <v>PART SIX - PROJECTED REVENUES &amp; EXPENSES  -  2020-5 Lakeview Terrace, ,  County</v>
      </c>
      <c r="HX770" s="2652"/>
      <c r="HY770" s="2652"/>
      <c r="HZ770" s="2652"/>
      <c r="IA770" s="2652"/>
      <c r="IB770" s="2652"/>
      <c r="IC770" s="2652"/>
      <c r="ID770" s="2652"/>
      <c r="IE770" s="2652"/>
      <c r="IF770" s="2652"/>
      <c r="IG770" s="2652"/>
      <c r="IH770" s="2652"/>
      <c r="II770" s="2652"/>
      <c r="IJ770" s="2652"/>
      <c r="IK770" s="2652"/>
      <c r="IL770" s="2652"/>
      <c r="IM770" s="2652"/>
      <c r="IN770" s="2652"/>
      <c r="IO770" s="2652"/>
      <c r="IP770" s="2652"/>
      <c r="IQ770" s="2652"/>
      <c r="IR770" s="2652"/>
      <c r="IS770" s="2652"/>
      <c r="IT770" s="2652"/>
      <c r="IU770" s="2652"/>
      <c r="IV770" s="2652"/>
      <c r="IW770" s="2652"/>
      <c r="IX770" s="2652"/>
      <c r="IY770" s="2652"/>
      <c r="IZ770" s="2652"/>
      <c r="JA770" s="2652"/>
      <c r="JB770" s="2652"/>
      <c r="JC770" s="2652"/>
      <c r="JD770" s="2652"/>
      <c r="JE770" s="2652"/>
      <c r="JF770" s="2652"/>
      <c r="JG770" s="2652"/>
      <c r="JH770" s="2652"/>
      <c r="JI770" s="2652"/>
      <c r="JJ770" s="2652"/>
      <c r="JK770" s="2652"/>
      <c r="JL770" s="2652"/>
      <c r="JM770" s="2652"/>
      <c r="JN770" s="2652"/>
      <c r="JO770" s="2652"/>
      <c r="JP770" s="2652"/>
      <c r="JQ770" s="2652"/>
      <c r="JR770" s="2652"/>
      <c r="JS770" s="2652"/>
      <c r="JT770" s="2652"/>
      <c r="JU770" s="2652"/>
      <c r="JV770" s="2652"/>
      <c r="JW770" s="2652"/>
      <c r="JX770" s="2652"/>
      <c r="JY770" s="2652"/>
      <c r="JZ770" s="2652"/>
      <c r="KA770" s="2652"/>
      <c r="KB770" s="2652"/>
      <c r="KC770" s="2652"/>
      <c r="KD770" s="2652"/>
      <c r="KE770" s="2652"/>
      <c r="KF770" s="2652"/>
      <c r="KG770" s="2652"/>
      <c r="KH770" s="2652"/>
      <c r="KI770" s="2652"/>
      <c r="KJ770" s="2652"/>
      <c r="KK770" s="2652"/>
      <c r="KL770" s="2652"/>
      <c r="KM770" s="2652"/>
      <c r="KN770" s="2652"/>
      <c r="KO770" s="2652"/>
      <c r="KR770" s="2652"/>
      <c r="KS770" s="2652"/>
      <c r="KT770" s="2652"/>
    </row>
    <row r="771" spans="1:368" ht="6" customHeight="1">
      <c r="X771" s="2650"/>
      <c r="Y771" s="2650"/>
      <c r="Z771" s="2650"/>
      <c r="AA771" s="2650"/>
      <c r="AB771" s="2650"/>
      <c r="AC771" s="2650"/>
      <c r="AD771" s="2650"/>
      <c r="AE771" s="2650"/>
      <c r="AF771" s="2650"/>
      <c r="AG771" s="2650"/>
      <c r="AH771" s="2650"/>
      <c r="AI771" s="2650"/>
      <c r="AJ771" s="2650"/>
      <c r="AK771" s="2650"/>
      <c r="AL771" s="2650"/>
      <c r="AM771" s="2650"/>
      <c r="AN771" s="2650"/>
      <c r="AO771" s="2650"/>
      <c r="AP771" s="2650"/>
      <c r="AQ771" s="2650"/>
      <c r="AR771" s="2650"/>
      <c r="AS771" s="2650"/>
      <c r="AT771" s="2650"/>
      <c r="AU771" s="2650"/>
      <c r="AV771" s="2650"/>
      <c r="AW771" s="2650"/>
      <c r="AX771" s="2650"/>
      <c r="AY771" s="2650"/>
      <c r="AZ771" s="2650"/>
      <c r="BA771" s="2650"/>
      <c r="BB771" s="2650"/>
      <c r="BC771" s="2650"/>
      <c r="BD771" s="2650"/>
      <c r="BE771" s="2650"/>
      <c r="BF771" s="2650"/>
      <c r="BG771" s="2650"/>
      <c r="BH771" s="2650"/>
      <c r="BI771" s="2650"/>
      <c r="BJ771" s="2650"/>
      <c r="BK771" s="2650"/>
      <c r="BL771" s="2650"/>
      <c r="BM771" s="2650"/>
      <c r="BN771" s="2650"/>
      <c r="BO771" s="2650"/>
      <c r="BP771" s="2650"/>
      <c r="BQ771" s="2650"/>
      <c r="BR771" s="2650"/>
      <c r="BS771" s="2650"/>
      <c r="BT771" s="2650"/>
      <c r="BU771" s="2650"/>
      <c r="BV771" s="2650"/>
      <c r="BW771" s="2650"/>
      <c r="BX771" s="2650"/>
      <c r="BY771" s="2650"/>
      <c r="BZ771" s="2650"/>
      <c r="CA771" s="2650"/>
      <c r="CB771" s="2650"/>
      <c r="CC771" s="2650"/>
      <c r="CD771" s="2650"/>
      <c r="CE771" s="2650"/>
      <c r="CF771" s="2650"/>
      <c r="CG771" s="2650"/>
      <c r="CH771" s="2650"/>
      <c r="CI771" s="2650"/>
      <c r="CJ771" s="2650"/>
      <c r="CK771" s="2650"/>
      <c r="CL771" s="2650"/>
      <c r="CM771" s="2650"/>
      <c r="CN771" s="2650"/>
      <c r="CO771" s="2650"/>
      <c r="CP771" s="2650"/>
      <c r="CQ771" s="2650"/>
      <c r="CR771" s="2650"/>
      <c r="CS771" s="2650"/>
      <c r="CT771" s="2650"/>
      <c r="CU771" s="2650"/>
      <c r="CV771" s="2650"/>
      <c r="CW771" s="2650"/>
      <c r="CX771" s="2650"/>
      <c r="CY771" s="2650"/>
      <c r="CZ771" s="2650"/>
      <c r="DA771" s="2650"/>
      <c r="DB771" s="2650"/>
      <c r="DC771" s="2650"/>
      <c r="DD771" s="2650"/>
      <c r="DE771" s="2650"/>
      <c r="DF771" s="2650"/>
      <c r="DG771" s="2650"/>
      <c r="DH771" s="2650"/>
      <c r="DI771" s="2650"/>
      <c r="DJ771" s="2650"/>
      <c r="DK771" s="2650"/>
      <c r="DL771" s="2650"/>
      <c r="DM771" s="2650"/>
      <c r="DN771" s="2650"/>
      <c r="DO771" s="2650"/>
      <c r="DP771" s="2650"/>
      <c r="DQ771" s="2650"/>
      <c r="DR771" s="2650"/>
      <c r="DS771" s="2650"/>
      <c r="DT771" s="2650"/>
      <c r="DU771" s="2650"/>
      <c r="DV771" s="2650"/>
      <c r="DW771" s="2650"/>
      <c r="DX771" s="2650"/>
      <c r="DY771" s="2650"/>
      <c r="DZ771" s="2650"/>
      <c r="EA771" s="2650"/>
      <c r="EB771" s="2650"/>
      <c r="EC771" s="2650"/>
      <c r="ED771" s="2650"/>
      <c r="EE771" s="2650"/>
      <c r="EF771" s="2650"/>
      <c r="EG771" s="2650"/>
      <c r="EH771" s="2650"/>
      <c r="EI771" s="2650"/>
      <c r="EJ771" s="2650"/>
      <c r="EK771" s="2650"/>
      <c r="EL771" s="2650"/>
      <c r="EM771" s="2650"/>
      <c r="EN771" s="2650"/>
      <c r="EO771" s="2650"/>
      <c r="EP771" s="2650"/>
      <c r="EQ771" s="2650"/>
      <c r="ER771" s="2650"/>
      <c r="ES771" s="2650"/>
      <c r="ET771" s="2650"/>
      <c r="EU771" s="2650"/>
      <c r="EV771" s="2650"/>
      <c r="EW771" s="2650"/>
      <c r="EX771" s="2650"/>
      <c r="EY771" s="2650"/>
      <c r="EZ771" s="2650"/>
      <c r="FA771" s="2650"/>
      <c r="FB771" s="2650"/>
      <c r="FC771" s="2650"/>
      <c r="FD771" s="2650"/>
      <c r="FE771" s="2650"/>
      <c r="FF771" s="2650"/>
      <c r="FG771" s="2650"/>
      <c r="FH771" s="2650"/>
      <c r="FI771" s="2650"/>
      <c r="FJ771" s="2650"/>
      <c r="FK771" s="2650"/>
      <c r="FL771" s="2650"/>
      <c r="FM771" s="2650"/>
      <c r="FN771" s="2650"/>
      <c r="FO771" s="2650"/>
      <c r="FP771" s="2650"/>
      <c r="FQ771" s="2650"/>
      <c r="FR771" s="2650"/>
      <c r="FS771" s="2650"/>
      <c r="FT771" s="2650"/>
      <c r="FU771" s="2650"/>
      <c r="FV771" s="2650"/>
      <c r="FW771" s="2650"/>
      <c r="FX771" s="2650"/>
      <c r="FY771" s="2650"/>
      <c r="FZ771" s="2650"/>
      <c r="GA771" s="2650"/>
      <c r="GB771" s="2650"/>
      <c r="GC771" s="2650"/>
      <c r="GD771" s="2650"/>
      <c r="GE771" s="2650"/>
      <c r="GF771" s="2650"/>
      <c r="GG771" s="2650"/>
      <c r="GH771" s="2650"/>
      <c r="GI771" s="2650"/>
      <c r="GJ771" s="2650"/>
      <c r="GK771" s="2650"/>
      <c r="GL771" s="2650"/>
      <c r="GM771" s="2650"/>
      <c r="GN771" s="2650"/>
      <c r="GO771" s="2650"/>
      <c r="GP771" s="2650"/>
      <c r="GQ771" s="2650"/>
      <c r="GR771" s="2650"/>
      <c r="GS771" s="2650"/>
      <c r="GT771" s="2650"/>
      <c r="GU771" s="2650"/>
      <c r="GV771" s="2650"/>
      <c r="GW771" s="2650"/>
      <c r="GX771" s="2650"/>
      <c r="GY771" s="2650"/>
      <c r="GZ771" s="2650"/>
      <c r="HA771" s="2650"/>
      <c r="HB771" s="2650"/>
      <c r="HC771" s="2650"/>
      <c r="HD771" s="2650"/>
      <c r="HE771" s="2650"/>
      <c r="HF771" s="2650"/>
      <c r="HG771" s="2650"/>
      <c r="HH771" s="2650"/>
      <c r="HI771" s="2650"/>
      <c r="HJ771" s="2650"/>
      <c r="HK771" s="2650"/>
      <c r="HL771" s="2650"/>
      <c r="HM771" s="2650"/>
      <c r="HN771" s="2650"/>
      <c r="HO771" s="2650"/>
      <c r="HP771" s="2650"/>
      <c r="HQ771" s="2650"/>
      <c r="HR771" s="2650"/>
      <c r="HS771" s="2650"/>
      <c r="HT771" s="2650"/>
      <c r="HU771" s="2650"/>
      <c r="HV771" s="2650"/>
      <c r="HW771" s="2650"/>
      <c r="HX771" s="2650"/>
      <c r="HY771" s="2650"/>
      <c r="HZ771" s="2489"/>
      <c r="IA771" s="2489"/>
      <c r="IB771" s="2489"/>
      <c r="IC771" s="2489"/>
      <c r="ID771" s="2489"/>
      <c r="IE771" s="2489"/>
      <c r="IF771" s="2489"/>
      <c r="IG771" s="2489"/>
      <c r="IH771" s="2489"/>
      <c r="II771" s="2489"/>
      <c r="IJ771" s="2489"/>
      <c r="IK771" s="2489"/>
      <c r="IL771" s="2489"/>
      <c r="IM771" s="2489"/>
      <c r="IN771" s="2489"/>
      <c r="IO771" s="2489"/>
      <c r="IP771" s="2489"/>
      <c r="IQ771" s="2489"/>
      <c r="IR771" s="2489"/>
      <c r="IS771" s="2489"/>
      <c r="IT771" s="2489"/>
      <c r="IU771" s="2489"/>
      <c r="IV771" s="2489"/>
      <c r="IW771" s="2489"/>
      <c r="IX771" s="2489"/>
      <c r="IY771" s="2489"/>
      <c r="IZ771" s="2489"/>
      <c r="JA771" s="2489"/>
      <c r="JB771" s="2489"/>
      <c r="JC771" s="2489"/>
      <c r="JD771" s="2489"/>
      <c r="JE771" s="2489"/>
      <c r="JF771" s="2489"/>
      <c r="JG771" s="2489"/>
      <c r="JH771" s="2489"/>
      <c r="JI771" s="2489"/>
      <c r="JJ771" s="2489"/>
      <c r="JK771" s="2489"/>
      <c r="JL771" s="2489"/>
      <c r="JM771" s="2489"/>
      <c r="JN771" s="2489"/>
      <c r="JO771" s="2489"/>
      <c r="JP771" s="2489"/>
      <c r="JQ771" s="2489"/>
      <c r="JR771" s="2489"/>
      <c r="JS771" s="2489"/>
      <c r="JT771" s="2489"/>
      <c r="JU771" s="2489"/>
      <c r="JV771" s="2489"/>
      <c r="JW771" s="2489"/>
      <c r="JX771" s="2489"/>
      <c r="JY771" s="2489"/>
      <c r="JZ771" s="2489"/>
      <c r="KA771" s="2489"/>
      <c r="KB771" s="2489"/>
      <c r="KC771" s="2489"/>
      <c r="KD771" s="2489"/>
      <c r="KE771" s="2489"/>
      <c r="KF771" s="2489"/>
      <c r="KG771" s="2489"/>
      <c r="KH771" s="2489"/>
      <c r="KI771" s="2489"/>
      <c r="KJ771" s="2489"/>
      <c r="KK771" s="2489"/>
      <c r="KL771" s="2489"/>
      <c r="KM771" s="2489"/>
      <c r="KN771" s="2489"/>
      <c r="KO771" s="2489"/>
      <c r="KP771" s="2489"/>
      <c r="KQ771" s="2489"/>
      <c r="KR771" s="2489"/>
      <c r="KS771" s="2489"/>
      <c r="KT771" s="2489"/>
      <c r="KU771" s="2489"/>
      <c r="KV771" s="2489"/>
      <c r="KW771" s="2650"/>
      <c r="KX771" s="2650"/>
      <c r="KY771" s="2650"/>
      <c r="KZ771" s="2650"/>
      <c r="LA771" s="2650"/>
      <c r="LB771" s="2650"/>
      <c r="LC771" s="2650"/>
      <c r="LD771" s="2650"/>
      <c r="LE771" s="2650"/>
      <c r="LF771" s="2650"/>
      <c r="LG771" s="2650"/>
      <c r="LH771" s="2650"/>
      <c r="LI771" s="2650"/>
      <c r="LJ771" s="2650"/>
      <c r="LK771" s="2650"/>
      <c r="LL771" s="2650"/>
      <c r="LM771" s="2650"/>
      <c r="LN771" s="2650"/>
      <c r="LO771" s="2650"/>
      <c r="LP771" s="2650"/>
      <c r="LV771" s="2650"/>
      <c r="LW771" s="2650"/>
      <c r="LX771" s="2650"/>
      <c r="LY771" s="2650"/>
      <c r="LZ771" s="2650"/>
      <c r="MA771" s="2650"/>
      <c r="MB771" s="2650"/>
      <c r="MC771" s="2650"/>
      <c r="MD771" s="2650"/>
      <c r="ME771" s="2650"/>
      <c r="MF771" s="2650"/>
      <c r="MG771" s="2650"/>
      <c r="MH771" s="2650"/>
      <c r="MI771" s="2650"/>
      <c r="MJ771" s="2650"/>
      <c r="MK771" s="2650"/>
      <c r="ML771" s="2650"/>
      <c r="MM771" s="2650"/>
      <c r="MN771" s="2650"/>
      <c r="MO771" s="2650"/>
    </row>
    <row r="772" spans="1:368" s="2408" customFormat="1" ht="12.6" customHeight="1">
      <c r="A772" s="2408" t="s">
        <v>598</v>
      </c>
      <c r="B772" s="2408" t="s">
        <v>2306</v>
      </c>
      <c r="D772" s="2505" t="s">
        <v>3437</v>
      </c>
      <c r="T772" s="2408" t="str">
        <f>B772</f>
        <v>RENT SCHEDULE</v>
      </c>
      <c r="X772" s="2654"/>
      <c r="Y772" s="2654"/>
      <c r="Z772" s="2654"/>
      <c r="AA772" s="2654"/>
      <c r="AB772" s="2654"/>
      <c r="AC772" s="2654"/>
      <c r="AD772" s="2654"/>
      <c r="AE772" s="2654"/>
      <c r="AF772" s="2654"/>
      <c r="AG772" s="2654"/>
      <c r="AH772" s="2654"/>
      <c r="AI772" s="2654"/>
      <c r="AJ772" s="2654"/>
      <c r="AK772" s="2654"/>
      <c r="AL772" s="2654"/>
      <c r="AM772" s="2654"/>
      <c r="AN772" s="2654"/>
      <c r="AO772" s="2654"/>
      <c r="AP772" s="2654"/>
      <c r="AQ772" s="2654"/>
      <c r="AR772" s="2654"/>
      <c r="AS772" s="2654"/>
      <c r="AT772" s="2654"/>
      <c r="AU772" s="2654"/>
      <c r="AV772" s="2654"/>
      <c r="AW772" s="2654"/>
      <c r="AX772" s="2654"/>
      <c r="AY772" s="2654"/>
      <c r="AZ772" s="2654"/>
      <c r="BA772" s="2654"/>
      <c r="BB772" s="2654"/>
      <c r="BC772" s="2654"/>
      <c r="BD772" s="2654"/>
      <c r="BE772" s="2654"/>
      <c r="BF772" s="2654"/>
      <c r="BG772" s="2654"/>
      <c r="BH772" s="2654"/>
      <c r="BI772" s="2654"/>
      <c r="BJ772" s="2654"/>
      <c r="BK772" s="2654"/>
      <c r="BL772" s="2654"/>
      <c r="BM772" s="2654"/>
      <c r="BN772" s="2654"/>
      <c r="BO772" s="2654"/>
      <c r="BP772" s="2654"/>
      <c r="BQ772" s="2654"/>
      <c r="BR772" s="2654"/>
      <c r="BS772" s="2654"/>
      <c r="BT772" s="2654"/>
      <c r="BU772" s="2654"/>
      <c r="BV772" s="2654"/>
      <c r="BW772" s="2654"/>
      <c r="BX772" s="2654"/>
      <c r="BY772" s="2654"/>
      <c r="BZ772" s="2654"/>
      <c r="CA772" s="2654"/>
      <c r="CB772" s="2654"/>
      <c r="CC772" s="2654"/>
      <c r="CD772" s="2654"/>
      <c r="CE772" s="2654"/>
      <c r="CF772" s="2654"/>
      <c r="CG772" s="2654"/>
      <c r="CH772" s="2654"/>
      <c r="CI772" s="2654"/>
      <c r="CJ772" s="2654"/>
      <c r="CK772" s="2654"/>
      <c r="CL772" s="2654"/>
      <c r="CM772" s="2654"/>
      <c r="CN772" s="2654"/>
      <c r="CO772" s="2654"/>
      <c r="CP772" s="2654"/>
      <c r="CQ772" s="2654"/>
      <c r="CR772" s="2654"/>
      <c r="CS772" s="2654"/>
      <c r="CT772" s="2654"/>
      <c r="CU772" s="2654"/>
      <c r="CV772" s="2654"/>
      <c r="CW772" s="2654"/>
      <c r="CX772" s="2654"/>
      <c r="CY772" s="2654"/>
      <c r="CZ772" s="2654"/>
      <c r="DA772" s="2654"/>
      <c r="DB772" s="2654"/>
      <c r="DC772" s="2654"/>
      <c r="DD772" s="2654"/>
      <c r="DE772" s="2654"/>
      <c r="DF772" s="2654"/>
      <c r="DG772" s="2654"/>
      <c r="DH772" s="2654"/>
      <c r="DI772" s="2654"/>
      <c r="DJ772" s="2654"/>
      <c r="DK772" s="2654"/>
      <c r="DL772" s="2654"/>
      <c r="DM772" s="2654"/>
      <c r="DN772" s="2654"/>
      <c r="DO772" s="2654"/>
      <c r="DP772" s="2654"/>
      <c r="DQ772" s="2654"/>
      <c r="DR772" s="2654"/>
      <c r="DS772" s="2654"/>
      <c r="DT772" s="2654"/>
      <c r="DU772" s="2654"/>
      <c r="DV772" s="2654"/>
      <c r="DW772" s="2654"/>
      <c r="DX772" s="2654"/>
      <c r="DY772" s="2654"/>
      <c r="DZ772" s="2654"/>
      <c r="EA772" s="2654"/>
      <c r="EB772" s="2654"/>
      <c r="EC772" s="2654"/>
      <c r="ED772" s="2654"/>
      <c r="EE772" s="2654"/>
      <c r="EF772" s="2654"/>
      <c r="EG772" s="2654"/>
      <c r="EH772" s="2654"/>
      <c r="EI772" s="2654"/>
      <c r="EJ772" s="2654"/>
      <c r="EK772" s="2654"/>
      <c r="EL772" s="2654"/>
      <c r="EM772" s="2654"/>
      <c r="EN772" s="2654"/>
      <c r="EO772" s="2654"/>
      <c r="EP772" s="2654"/>
      <c r="EQ772" s="2654"/>
      <c r="ER772" s="2654"/>
      <c r="ES772" s="2654"/>
      <c r="ET772" s="2654"/>
      <c r="EU772" s="2654"/>
      <c r="EV772" s="2654"/>
      <c r="EW772" s="2654"/>
      <c r="EX772" s="2654"/>
      <c r="EY772" s="2654"/>
      <c r="EZ772" s="2654"/>
      <c r="FA772" s="2654"/>
      <c r="FB772" s="2654"/>
      <c r="FC772" s="2654"/>
      <c r="FD772" s="2654"/>
      <c r="FE772" s="2654"/>
      <c r="FF772" s="2654"/>
      <c r="FG772" s="2654"/>
      <c r="FH772" s="2654"/>
      <c r="FI772" s="2654"/>
      <c r="FJ772" s="2654"/>
      <c r="FK772" s="2654"/>
      <c r="FL772" s="2654"/>
      <c r="FM772" s="2654"/>
      <c r="FN772" s="2654"/>
      <c r="FO772" s="2654"/>
      <c r="FP772" s="2654"/>
      <c r="FQ772" s="2654"/>
      <c r="FR772" s="2654"/>
      <c r="FS772" s="2654"/>
      <c r="FT772" s="2654"/>
      <c r="FU772" s="2654"/>
      <c r="FV772" s="2654"/>
      <c r="FW772" s="2654"/>
      <c r="FX772" s="2654"/>
      <c r="FY772" s="2654"/>
      <c r="FZ772" s="2654"/>
      <c r="GA772" s="2654"/>
      <c r="GB772" s="2654"/>
      <c r="GC772" s="2654"/>
      <c r="GD772" s="2654"/>
      <c r="GE772" s="2654"/>
      <c r="GF772" s="2654"/>
      <c r="GG772" s="2654"/>
      <c r="GH772" s="2654"/>
      <c r="GI772" s="2654"/>
      <c r="GJ772" s="2654"/>
      <c r="GK772" s="2654"/>
      <c r="GL772" s="2654"/>
      <c r="GM772" s="2654"/>
      <c r="GN772" s="2654"/>
      <c r="GO772" s="2654"/>
      <c r="GP772" s="2654"/>
      <c r="GQ772" s="2654"/>
      <c r="GR772" s="2654"/>
      <c r="GS772" s="2654"/>
      <c r="GT772" s="2654"/>
      <c r="GU772" s="2654"/>
      <c r="GV772" s="2654"/>
      <c r="GW772" s="2654"/>
      <c r="GX772" s="2654"/>
      <c r="GY772" s="2654"/>
      <c r="GZ772" s="2654"/>
      <c r="HA772" s="2654"/>
      <c r="HB772" s="2654"/>
      <c r="HC772" s="2654"/>
      <c r="HD772" s="2654"/>
      <c r="HE772" s="2654"/>
      <c r="HF772" s="2654"/>
      <c r="HG772" s="2654"/>
      <c r="HH772" s="2654"/>
      <c r="HI772" s="2654"/>
      <c r="HJ772" s="2654"/>
      <c r="HK772" s="2654"/>
      <c r="HL772" s="2654"/>
      <c r="HM772" s="2654"/>
      <c r="HN772" s="2654"/>
      <c r="HO772" s="2654"/>
      <c r="HP772" s="2654"/>
      <c r="HQ772" s="2654"/>
      <c r="HR772" s="2654"/>
      <c r="HS772" s="2654"/>
      <c r="HT772" s="2654"/>
      <c r="HU772" s="2654"/>
      <c r="HV772" s="2654"/>
      <c r="HW772" s="2654"/>
      <c r="HX772" s="2654"/>
      <c r="HY772" s="2654"/>
      <c r="HZ772" s="2251"/>
      <c r="IA772" s="2251"/>
      <c r="IB772" s="2251"/>
      <c r="IC772" s="2251"/>
      <c r="ID772" s="2251"/>
      <c r="IE772" s="2489" t="s">
        <v>476</v>
      </c>
      <c r="IF772" s="2489" t="s">
        <v>2377</v>
      </c>
      <c r="IG772" s="2489" t="s">
        <v>2378</v>
      </c>
      <c r="IH772" s="2489" t="s">
        <v>2379</v>
      </c>
      <c r="II772" s="2489" t="s">
        <v>2380</v>
      </c>
      <c r="IJ772" s="2489" t="s">
        <v>476</v>
      </c>
      <c r="IK772" s="2489" t="s">
        <v>2377</v>
      </c>
      <c r="IL772" s="2489" t="s">
        <v>2378</v>
      </c>
      <c r="IM772" s="2489" t="s">
        <v>2379</v>
      </c>
      <c r="IN772" s="2489" t="s">
        <v>2380</v>
      </c>
      <c r="IO772" s="2251"/>
      <c r="IP772" s="2251"/>
      <c r="IQ772" s="2251"/>
      <c r="IR772" s="2251"/>
      <c r="IS772" s="2251"/>
      <c r="IT772" s="2251"/>
      <c r="IU772" s="2251"/>
      <c r="IV772" s="2251"/>
      <c r="IW772" s="2251"/>
      <c r="IX772" s="2251"/>
      <c r="IY772" s="2489" t="s">
        <v>476</v>
      </c>
      <c r="IZ772" s="2489" t="s">
        <v>2377</v>
      </c>
      <c r="JA772" s="2489" t="s">
        <v>2378</v>
      </c>
      <c r="JB772" s="2489" t="s">
        <v>2379</v>
      </c>
      <c r="JC772" s="2489" t="s">
        <v>2380</v>
      </c>
      <c r="JD772" s="2489" t="s">
        <v>476</v>
      </c>
      <c r="JE772" s="2489" t="s">
        <v>2377</v>
      </c>
      <c r="JF772" s="2489" t="s">
        <v>2378</v>
      </c>
      <c r="JG772" s="2489" t="s">
        <v>2379</v>
      </c>
      <c r="JH772" s="2489" t="s">
        <v>2380</v>
      </c>
      <c r="JI772" s="2489" t="s">
        <v>476</v>
      </c>
      <c r="JJ772" s="2489" t="s">
        <v>2377</v>
      </c>
      <c r="JK772" s="2489" t="s">
        <v>2378</v>
      </c>
      <c r="JL772" s="2489" t="s">
        <v>2379</v>
      </c>
      <c r="JM772" s="2489" t="s">
        <v>2380</v>
      </c>
      <c r="JN772" s="2489" t="s">
        <v>476</v>
      </c>
      <c r="JO772" s="2489" t="s">
        <v>2377</v>
      </c>
      <c r="JP772" s="2489" t="s">
        <v>2378</v>
      </c>
      <c r="JQ772" s="2489" t="s">
        <v>2379</v>
      </c>
      <c r="JR772" s="2489" t="s">
        <v>2380</v>
      </c>
      <c r="JS772" s="2489" t="s">
        <v>476</v>
      </c>
      <c r="JT772" s="2489" t="s">
        <v>2377</v>
      </c>
      <c r="JU772" s="2489" t="s">
        <v>2378</v>
      </c>
      <c r="JV772" s="2489" t="s">
        <v>2379</v>
      </c>
      <c r="JW772" s="2489" t="s">
        <v>2380</v>
      </c>
      <c r="JX772" s="2489" t="s">
        <v>476</v>
      </c>
      <c r="JY772" s="2489" t="s">
        <v>2377</v>
      </c>
      <c r="JZ772" s="2489" t="s">
        <v>2378</v>
      </c>
      <c r="KA772" s="2489" t="s">
        <v>2379</v>
      </c>
      <c r="KB772" s="2489" t="s">
        <v>2380</v>
      </c>
      <c r="KC772" s="2489" t="s">
        <v>476</v>
      </c>
      <c r="KD772" s="2489" t="s">
        <v>2377</v>
      </c>
      <c r="KE772" s="2489" t="s">
        <v>2378</v>
      </c>
      <c r="KF772" s="2489" t="s">
        <v>2379</v>
      </c>
      <c r="KG772" s="2489" t="s">
        <v>2380</v>
      </c>
      <c r="KH772" s="2489" t="s">
        <v>476</v>
      </c>
      <c r="KI772" s="2489" t="s">
        <v>2377</v>
      </c>
      <c r="KJ772" s="2489" t="s">
        <v>2378</v>
      </c>
      <c r="KK772" s="2489" t="s">
        <v>2379</v>
      </c>
      <c r="KL772" s="2489" t="s">
        <v>2380</v>
      </c>
      <c r="KM772" s="2489" t="s">
        <v>476</v>
      </c>
      <c r="KN772" s="2489" t="s">
        <v>2377</v>
      </c>
      <c r="KO772" s="2489" t="s">
        <v>2378</v>
      </c>
      <c r="KP772" s="2489" t="s">
        <v>2379</v>
      </c>
      <c r="KQ772" s="2489" t="s">
        <v>2380</v>
      </c>
      <c r="KR772" s="2489" t="s">
        <v>476</v>
      </c>
      <c r="KS772" s="2489" t="s">
        <v>2377</v>
      </c>
      <c r="KT772" s="2489" t="s">
        <v>2378</v>
      </c>
      <c r="KU772" s="2489" t="s">
        <v>2379</v>
      </c>
      <c r="KV772" s="2489" t="s">
        <v>2380</v>
      </c>
      <c r="KW772" s="2489" t="s">
        <v>476</v>
      </c>
      <c r="KX772" s="2489" t="s">
        <v>2377</v>
      </c>
      <c r="KY772" s="2489" t="s">
        <v>2378</v>
      </c>
      <c r="KZ772" s="2489" t="s">
        <v>2379</v>
      </c>
      <c r="LA772" s="2489" t="s">
        <v>2380</v>
      </c>
      <c r="LB772" s="2489" t="s">
        <v>476</v>
      </c>
      <c r="LC772" s="2489" t="s">
        <v>2377</v>
      </c>
      <c r="LD772" s="2489" t="s">
        <v>2378</v>
      </c>
      <c r="LE772" s="2489" t="s">
        <v>2379</v>
      </c>
      <c r="LF772" s="2489" t="s">
        <v>2380</v>
      </c>
      <c r="LG772" s="2489" t="s">
        <v>476</v>
      </c>
      <c r="LH772" s="2489" t="s">
        <v>2377</v>
      </c>
      <c r="LI772" s="2489" t="s">
        <v>2378</v>
      </c>
      <c r="LJ772" s="2489" t="s">
        <v>2379</v>
      </c>
      <c r="LK772" s="2489" t="s">
        <v>2380</v>
      </c>
      <c r="LL772" s="2489" t="s">
        <v>476</v>
      </c>
      <c r="LM772" s="2489" t="s">
        <v>2377</v>
      </c>
      <c r="LN772" s="2489" t="s">
        <v>2378</v>
      </c>
      <c r="LO772" s="2489" t="s">
        <v>2379</v>
      </c>
      <c r="LP772" s="2489" t="s">
        <v>2380</v>
      </c>
      <c r="LV772" s="2654"/>
      <c r="LW772" s="2654"/>
      <c r="LX772" s="2654"/>
      <c r="LY772" s="2654"/>
      <c r="LZ772" s="2654"/>
      <c r="MA772" s="2654"/>
      <c r="MB772" s="2654"/>
      <c r="MC772" s="2654"/>
      <c r="MD772" s="2654"/>
      <c r="ME772" s="2654"/>
      <c r="MF772" s="2654"/>
      <c r="MG772" s="2654"/>
      <c r="MH772" s="2654"/>
      <c r="MI772" s="2654"/>
      <c r="MJ772" s="2654"/>
      <c r="MK772" s="2654"/>
      <c r="ML772" s="2654"/>
      <c r="MM772" s="2654"/>
      <c r="MN772" s="2654"/>
      <c r="MO772" s="2654"/>
      <c r="MP772" s="2494" t="s">
        <v>3309</v>
      </c>
      <c r="MQ772" s="2494" t="s">
        <v>3310</v>
      </c>
      <c r="MR772" s="2494" t="s">
        <v>3311</v>
      </c>
      <c r="MS772" s="2494" t="s">
        <v>3312</v>
      </c>
      <c r="MT772" s="2494" t="s">
        <v>3313</v>
      </c>
    </row>
    <row r="773" spans="1:368" s="2408" customFormat="1" ht="3" customHeight="1">
      <c r="Q773" s="2650" t="s">
        <v>6978</v>
      </c>
      <c r="R773" s="2489"/>
      <c r="X773" s="2650" t="s">
        <v>4132</v>
      </c>
      <c r="Y773" s="2650" t="s">
        <v>4133</v>
      </c>
      <c r="Z773" s="2650" t="s">
        <v>4134</v>
      </c>
      <c r="AA773" s="2650" t="s">
        <v>4135</v>
      </c>
      <c r="AB773" s="2650" t="s">
        <v>4136</v>
      </c>
      <c r="AC773" s="2650" t="s">
        <v>4137</v>
      </c>
      <c r="AD773" s="2650" t="s">
        <v>4138</v>
      </c>
      <c r="AE773" s="2650" t="s">
        <v>4139</v>
      </c>
      <c r="AF773" s="2650" t="s">
        <v>4140</v>
      </c>
      <c r="AG773" s="2650" t="s">
        <v>4141</v>
      </c>
      <c r="AH773" s="2650" t="s">
        <v>898</v>
      </c>
      <c r="AI773" s="2650" t="s">
        <v>738</v>
      </c>
      <c r="AJ773" s="2650" t="s">
        <v>739</v>
      </c>
      <c r="AK773" s="2650" t="s">
        <v>740</v>
      </c>
      <c r="AL773" s="2650" t="s">
        <v>741</v>
      </c>
      <c r="AM773" s="2650" t="s">
        <v>899</v>
      </c>
      <c r="AN773" s="2650" t="s">
        <v>2251</v>
      </c>
      <c r="AO773" s="2650" t="s">
        <v>2252</v>
      </c>
      <c r="AP773" s="2650" t="s">
        <v>2253</v>
      </c>
      <c r="AQ773" s="2650" t="s">
        <v>2254</v>
      </c>
      <c r="AR773" s="2650" t="s">
        <v>4143</v>
      </c>
      <c r="AS773" s="2650" t="s">
        <v>4144</v>
      </c>
      <c r="AT773" s="2650" t="s">
        <v>4145</v>
      </c>
      <c r="AU773" s="2650" t="s">
        <v>4146</v>
      </c>
      <c r="AV773" s="2650" t="s">
        <v>4142</v>
      </c>
      <c r="AW773" s="2650" t="s">
        <v>900</v>
      </c>
      <c r="AX773" s="2650" t="s">
        <v>2255</v>
      </c>
      <c r="AY773" s="2650" t="s">
        <v>2256</v>
      </c>
      <c r="AZ773" s="2650" t="s">
        <v>2257</v>
      </c>
      <c r="BA773" s="2650" t="s">
        <v>2258</v>
      </c>
      <c r="BB773" s="2650" t="s">
        <v>4147</v>
      </c>
      <c r="BC773" s="2650" t="s">
        <v>4148</v>
      </c>
      <c r="BD773" s="2650" t="s">
        <v>4149</v>
      </c>
      <c r="BE773" s="2650" t="s">
        <v>4150</v>
      </c>
      <c r="BF773" s="2650" t="s">
        <v>4151</v>
      </c>
      <c r="BG773" s="2650" t="s">
        <v>126</v>
      </c>
      <c r="BH773" s="2650" t="s">
        <v>2259</v>
      </c>
      <c r="BI773" s="2650" t="s">
        <v>2260</v>
      </c>
      <c r="BJ773" s="2650" t="s">
        <v>2261</v>
      </c>
      <c r="BK773" s="2650" t="s">
        <v>1126</v>
      </c>
      <c r="BL773" s="2650" t="s">
        <v>4152</v>
      </c>
      <c r="BM773" s="2650" t="s">
        <v>4153</v>
      </c>
      <c r="BN773" s="2650" t="s">
        <v>4154</v>
      </c>
      <c r="BO773" s="2650" t="s">
        <v>4155</v>
      </c>
      <c r="BP773" s="2650" t="s">
        <v>4156</v>
      </c>
      <c r="BQ773" s="2650" t="s">
        <v>540</v>
      </c>
      <c r="BR773" s="2650" t="s">
        <v>541</v>
      </c>
      <c r="BS773" s="2650" t="s">
        <v>560</v>
      </c>
      <c r="BT773" s="2650" t="s">
        <v>561</v>
      </c>
      <c r="BU773" s="2650" t="s">
        <v>562</v>
      </c>
      <c r="BV773" s="2650" t="s">
        <v>4157</v>
      </c>
      <c r="BW773" s="2650" t="s">
        <v>4158</v>
      </c>
      <c r="BX773" s="2650" t="s">
        <v>4159</v>
      </c>
      <c r="BY773" s="2650" t="s">
        <v>4160</v>
      </c>
      <c r="BZ773" s="2650" t="s">
        <v>4161</v>
      </c>
      <c r="CA773" s="2650" t="s">
        <v>563</v>
      </c>
      <c r="CB773" s="2650" t="s">
        <v>564</v>
      </c>
      <c r="CC773" s="2650" t="s">
        <v>565</v>
      </c>
      <c r="CD773" s="2650" t="s">
        <v>566</v>
      </c>
      <c r="CE773" s="2650" t="s">
        <v>567</v>
      </c>
      <c r="CF773" s="2650" t="s">
        <v>568</v>
      </c>
      <c r="CG773" s="2650" t="s">
        <v>569</v>
      </c>
      <c r="CH773" s="2650" t="s">
        <v>909</v>
      </c>
      <c r="CI773" s="2650" t="s">
        <v>910</v>
      </c>
      <c r="CJ773" s="2650" t="s">
        <v>911</v>
      </c>
      <c r="CK773" s="2650" t="s">
        <v>4167</v>
      </c>
      <c r="CL773" s="2650" t="s">
        <v>4168</v>
      </c>
      <c r="CM773" s="2650" t="s">
        <v>4169</v>
      </c>
      <c r="CN773" s="2650" t="s">
        <v>4170</v>
      </c>
      <c r="CO773" s="2650" t="s">
        <v>4171</v>
      </c>
      <c r="CP773" s="2650" t="s">
        <v>4162</v>
      </c>
      <c r="CQ773" s="2650" t="s">
        <v>4163</v>
      </c>
      <c r="CR773" s="2650" t="s">
        <v>4164</v>
      </c>
      <c r="CS773" s="2650" t="s">
        <v>4165</v>
      </c>
      <c r="CT773" s="2650" t="s">
        <v>4166</v>
      </c>
      <c r="CU773" s="2650" t="s">
        <v>4172</v>
      </c>
      <c r="CV773" s="2650" t="s">
        <v>4173</v>
      </c>
      <c r="CW773" s="2650" t="s">
        <v>4174</v>
      </c>
      <c r="CX773" s="2650" t="s">
        <v>4175</v>
      </c>
      <c r="CY773" s="2650" t="s">
        <v>4176</v>
      </c>
      <c r="CZ773" s="2650" t="s">
        <v>485</v>
      </c>
      <c r="DA773" s="2650" t="s">
        <v>486</v>
      </c>
      <c r="DB773" s="2650" t="s">
        <v>487</v>
      </c>
      <c r="DC773" s="2650" t="s">
        <v>488</v>
      </c>
      <c r="DD773" s="2650" t="s">
        <v>489</v>
      </c>
      <c r="DE773" s="2650" t="s">
        <v>4177</v>
      </c>
      <c r="DF773" s="2650" t="s">
        <v>4178</v>
      </c>
      <c r="DG773" s="2650" t="s">
        <v>4179</v>
      </c>
      <c r="DH773" s="2650" t="s">
        <v>4180</v>
      </c>
      <c r="DI773" s="2650" t="s">
        <v>4181</v>
      </c>
      <c r="DJ773" s="2650" t="s">
        <v>859</v>
      </c>
      <c r="DK773" s="2650" t="s">
        <v>860</v>
      </c>
      <c r="DL773" s="2650" t="s">
        <v>861</v>
      </c>
      <c r="DM773" s="2650" t="s">
        <v>862</v>
      </c>
      <c r="DN773" s="2650" t="s">
        <v>863</v>
      </c>
      <c r="DO773" s="2650" t="s">
        <v>864</v>
      </c>
      <c r="DP773" s="2650" t="s">
        <v>865</v>
      </c>
      <c r="DQ773" s="2650" t="s">
        <v>866</v>
      </c>
      <c r="DR773" s="2650" t="s">
        <v>867</v>
      </c>
      <c r="DS773" s="2650" t="s">
        <v>868</v>
      </c>
      <c r="DT773" s="2650" t="s">
        <v>4182</v>
      </c>
      <c r="DU773" s="2650" t="s">
        <v>4183</v>
      </c>
      <c r="DV773" s="2650" t="s">
        <v>4184</v>
      </c>
      <c r="DW773" s="2650" t="s">
        <v>4185</v>
      </c>
      <c r="DX773" s="2650" t="s">
        <v>4186</v>
      </c>
      <c r="DY773" s="2650" t="s">
        <v>4187</v>
      </c>
      <c r="DZ773" s="2650" t="s">
        <v>4188</v>
      </c>
      <c r="EA773" s="2650" t="s">
        <v>4189</v>
      </c>
      <c r="EB773" s="2650" t="s">
        <v>4190</v>
      </c>
      <c r="EC773" s="2650" t="s">
        <v>4191</v>
      </c>
      <c r="ED773" s="2650" t="s">
        <v>2367</v>
      </c>
      <c r="EE773" s="2650" t="s">
        <v>2368</v>
      </c>
      <c r="EF773" s="2650" t="s">
        <v>2369</v>
      </c>
      <c r="EG773" s="2650" t="s">
        <v>2370</v>
      </c>
      <c r="EH773" s="2650" t="s">
        <v>2371</v>
      </c>
      <c r="EI773" s="2650" t="s">
        <v>4192</v>
      </c>
      <c r="EJ773" s="2650" t="s">
        <v>4193</v>
      </c>
      <c r="EK773" s="2650" t="s">
        <v>4194</v>
      </c>
      <c r="EL773" s="2650" t="s">
        <v>4195</v>
      </c>
      <c r="EM773" s="2650" t="s">
        <v>4196</v>
      </c>
      <c r="EN773" s="2650" t="s">
        <v>4197</v>
      </c>
      <c r="EO773" s="2650" t="s">
        <v>4198</v>
      </c>
      <c r="EP773" s="2650" t="s">
        <v>4199</v>
      </c>
      <c r="EQ773" s="2650" t="s">
        <v>4200</v>
      </c>
      <c r="ER773" s="2650" t="s">
        <v>4201</v>
      </c>
      <c r="ES773" s="2494" t="s">
        <v>114</v>
      </c>
      <c r="ET773" s="2494" t="s">
        <v>1129</v>
      </c>
      <c r="EU773" s="2494" t="s">
        <v>1130</v>
      </c>
      <c r="EV773" s="2494" t="s">
        <v>1187</v>
      </c>
      <c r="EW773" s="2494" t="s">
        <v>1188</v>
      </c>
      <c r="EX773" s="2494" t="s">
        <v>129</v>
      </c>
      <c r="EY773" s="2494" t="s">
        <v>1189</v>
      </c>
      <c r="EZ773" s="2494" t="s">
        <v>1190</v>
      </c>
      <c r="FA773" s="2494" t="s">
        <v>1191</v>
      </c>
      <c r="FB773" s="2494" t="s">
        <v>1192</v>
      </c>
      <c r="FC773" s="2650" t="s">
        <v>4202</v>
      </c>
      <c r="FD773" s="2650" t="s">
        <v>4203</v>
      </c>
      <c r="FE773" s="2650" t="s">
        <v>4204</v>
      </c>
      <c r="FF773" s="2650" t="s">
        <v>4205</v>
      </c>
      <c r="FG773" s="2650" t="s">
        <v>4206</v>
      </c>
      <c r="FH773" s="2494" t="s">
        <v>128</v>
      </c>
      <c r="FI773" s="2494" t="s">
        <v>890</v>
      </c>
      <c r="FJ773" s="2494" t="s">
        <v>891</v>
      </c>
      <c r="FK773" s="2494" t="s">
        <v>892</v>
      </c>
      <c r="FL773" s="2494" t="s">
        <v>893</v>
      </c>
      <c r="FM773" s="2650" t="s">
        <v>4207</v>
      </c>
      <c r="FN773" s="2650" t="s">
        <v>4208</v>
      </c>
      <c r="FO773" s="2650" t="s">
        <v>4209</v>
      </c>
      <c r="FP773" s="2650" t="s">
        <v>4210</v>
      </c>
      <c r="FQ773" s="2650" t="s">
        <v>4211</v>
      </c>
      <c r="FR773" s="2494" t="s">
        <v>127</v>
      </c>
      <c r="FS773" s="2494" t="s">
        <v>894</v>
      </c>
      <c r="FT773" s="2494" t="s">
        <v>895</v>
      </c>
      <c r="FU773" s="2494" t="s">
        <v>896</v>
      </c>
      <c r="FV773" s="2494" t="s">
        <v>897</v>
      </c>
      <c r="FW773" s="2494" t="s">
        <v>789</v>
      </c>
      <c r="FX773" s="2494" t="s">
        <v>790</v>
      </c>
      <c r="FY773" s="2494" t="s">
        <v>791</v>
      </c>
      <c r="FZ773" s="2494" t="s">
        <v>792</v>
      </c>
      <c r="GA773" s="2494" t="s">
        <v>793</v>
      </c>
      <c r="GB773" s="2494" t="s">
        <v>935</v>
      </c>
      <c r="GC773" s="2494" t="s">
        <v>936</v>
      </c>
      <c r="GD773" s="2494" t="s">
        <v>937</v>
      </c>
      <c r="GE773" s="2494" t="s">
        <v>938</v>
      </c>
      <c r="GF773" s="2494" t="s">
        <v>2366</v>
      </c>
      <c r="GG773" s="2494" t="s">
        <v>1405</v>
      </c>
      <c r="GH773" s="2494" t="s">
        <v>1406</v>
      </c>
      <c r="GI773" s="2494" t="s">
        <v>1407</v>
      </c>
      <c r="GJ773" s="2494" t="s">
        <v>1408</v>
      </c>
      <c r="GK773" s="2494" t="s">
        <v>1409</v>
      </c>
      <c r="GL773" s="2494" t="s">
        <v>428</v>
      </c>
      <c r="GM773" s="2494" t="s">
        <v>429</v>
      </c>
      <c r="GN773" s="2494" t="s">
        <v>430</v>
      </c>
      <c r="GO773" s="2494" t="s">
        <v>431</v>
      </c>
      <c r="GP773" s="2494" t="s">
        <v>432</v>
      </c>
      <c r="GQ773" s="2494" t="s">
        <v>15</v>
      </c>
      <c r="GR773" s="2494" t="s">
        <v>16</v>
      </c>
      <c r="GS773" s="2494" t="s">
        <v>17</v>
      </c>
      <c r="GT773" s="2494" t="s">
        <v>18</v>
      </c>
      <c r="GU773" s="2494" t="s">
        <v>19</v>
      </c>
      <c r="GV773" s="2494" t="s">
        <v>217</v>
      </c>
      <c r="GW773" s="2494" t="s">
        <v>218</v>
      </c>
      <c r="GX773" s="2494" t="s">
        <v>219</v>
      </c>
      <c r="GY773" s="2494" t="s">
        <v>1765</v>
      </c>
      <c r="GZ773" s="2494" t="s">
        <v>1766</v>
      </c>
      <c r="HA773" s="2494" t="s">
        <v>1767</v>
      </c>
      <c r="HB773" s="2494" t="s">
        <v>575</v>
      </c>
      <c r="HC773" s="2494" t="s">
        <v>576</v>
      </c>
      <c r="HD773" s="2494" t="s">
        <v>577</v>
      </c>
      <c r="HE773" s="2494" t="s">
        <v>578</v>
      </c>
      <c r="HF773" s="2494" t="s">
        <v>20</v>
      </c>
      <c r="HG773" s="2494" t="s">
        <v>21</v>
      </c>
      <c r="HH773" s="2494" t="s">
        <v>22</v>
      </c>
      <c r="HI773" s="2494" t="s">
        <v>23</v>
      </c>
      <c r="HJ773" s="2494" t="s">
        <v>24</v>
      </c>
      <c r="HK773" s="2494" t="s">
        <v>484</v>
      </c>
      <c r="HL773" s="2494" t="s">
        <v>424</v>
      </c>
      <c r="HM773" s="2494" t="s">
        <v>425</v>
      </c>
      <c r="HN773" s="2494" t="s">
        <v>426</v>
      </c>
      <c r="HO773" s="2494" t="s">
        <v>427</v>
      </c>
      <c r="HP773" s="2494" t="s">
        <v>2152</v>
      </c>
      <c r="HQ773" s="2494" t="s">
        <v>2153</v>
      </c>
      <c r="HR773" s="2494" t="s">
        <v>2154</v>
      </c>
      <c r="HS773" s="2494" t="s">
        <v>1448</v>
      </c>
      <c r="HT773" s="2494" t="s">
        <v>1449</v>
      </c>
      <c r="HU773" s="2494" t="s">
        <v>25</v>
      </c>
      <c r="HV773" s="2494" t="s">
        <v>26</v>
      </c>
      <c r="HW773" s="2494" t="s">
        <v>27</v>
      </c>
      <c r="HX773" s="2494" t="s">
        <v>28</v>
      </c>
      <c r="HY773" s="2494" t="s">
        <v>29</v>
      </c>
      <c r="HZ773" s="2652"/>
      <c r="IA773" s="2652"/>
      <c r="IB773" s="2652"/>
      <c r="IC773" s="2652"/>
      <c r="ID773" s="2652"/>
      <c r="IE773" s="2652"/>
      <c r="IF773" s="2652"/>
      <c r="IG773" s="2652"/>
      <c r="IH773" s="2652"/>
      <c r="II773" s="2652"/>
      <c r="IJ773" s="2652"/>
      <c r="IK773" s="2652"/>
      <c r="IL773" s="2652"/>
      <c r="IM773" s="2652"/>
      <c r="IN773" s="2652"/>
      <c r="IO773" s="2652"/>
      <c r="IP773" s="2652"/>
      <c r="IQ773" s="2652"/>
      <c r="IR773" s="2652"/>
      <c r="IS773" s="2652"/>
      <c r="IT773" s="2652"/>
      <c r="IU773" s="2652"/>
      <c r="IV773" s="2652"/>
      <c r="IW773" s="2652"/>
      <c r="IX773" s="2652"/>
      <c r="IY773" s="2652"/>
      <c r="IZ773" s="2652"/>
      <c r="JA773" s="2652"/>
      <c r="JB773" s="2652"/>
      <c r="JC773" s="2652"/>
      <c r="JD773" s="2652"/>
      <c r="JE773" s="2652"/>
      <c r="JF773" s="2652"/>
      <c r="JG773" s="2652"/>
      <c r="JH773" s="2652"/>
      <c r="JI773" s="2652"/>
      <c r="JJ773" s="2652"/>
      <c r="JK773" s="2652"/>
      <c r="JL773" s="2652"/>
      <c r="JM773" s="2652"/>
      <c r="JN773" s="2652"/>
      <c r="JO773" s="2652"/>
      <c r="JP773" s="2652"/>
      <c r="JQ773" s="2652"/>
      <c r="JR773" s="2652"/>
      <c r="JS773" s="2652"/>
      <c r="JT773" s="2652"/>
      <c r="JU773" s="2652"/>
      <c r="JV773" s="2652"/>
      <c r="JW773" s="2652"/>
      <c r="JX773" s="2652"/>
      <c r="JY773" s="2652"/>
      <c r="JZ773" s="2652"/>
      <c r="KA773" s="2652"/>
      <c r="KB773" s="2652"/>
      <c r="KC773" s="2652"/>
      <c r="KD773" s="2652"/>
      <c r="KE773" s="2652"/>
      <c r="KF773" s="2652"/>
      <c r="KG773" s="2652"/>
      <c r="KH773" s="2652"/>
      <c r="KI773" s="2652"/>
      <c r="KJ773" s="2652"/>
      <c r="KK773" s="2652"/>
      <c r="KL773" s="2652"/>
      <c r="KM773" s="2652"/>
      <c r="KN773" s="2652"/>
      <c r="KO773" s="2652"/>
      <c r="KP773" s="2652"/>
      <c r="KQ773" s="2652"/>
      <c r="KR773" s="2652"/>
      <c r="KS773" s="2652"/>
      <c r="KT773" s="2652"/>
      <c r="KU773" s="2652"/>
      <c r="KV773" s="2652"/>
      <c r="LQ773" s="2494" t="s">
        <v>1592</v>
      </c>
      <c r="LR773" s="2494" t="s">
        <v>2457</v>
      </c>
      <c r="LS773" s="2494" t="s">
        <v>2458</v>
      </c>
      <c r="LT773" s="2494" t="s">
        <v>379</v>
      </c>
      <c r="LU773" s="2494" t="s">
        <v>380</v>
      </c>
      <c r="LV773" s="2494" t="s">
        <v>381</v>
      </c>
      <c r="LW773" s="2494" t="s">
        <v>382</v>
      </c>
      <c r="LX773" s="2494" t="s">
        <v>383</v>
      </c>
      <c r="LY773" s="2494" t="s">
        <v>384</v>
      </c>
      <c r="LZ773" s="2494" t="s">
        <v>385</v>
      </c>
      <c r="MA773" s="2494" t="s">
        <v>198</v>
      </c>
      <c r="MB773" s="2494" t="s">
        <v>199</v>
      </c>
      <c r="MC773" s="2494" t="s">
        <v>200</v>
      </c>
      <c r="MD773" s="2494" t="s">
        <v>201</v>
      </c>
      <c r="ME773" s="2494" t="s">
        <v>202</v>
      </c>
      <c r="MF773" s="2494" t="s">
        <v>203</v>
      </c>
      <c r="MG773" s="2494" t="s">
        <v>204</v>
      </c>
      <c r="MH773" s="2494" t="s">
        <v>205</v>
      </c>
      <c r="MI773" s="2494" t="s">
        <v>206</v>
      </c>
      <c r="MJ773" s="2494" t="s">
        <v>207</v>
      </c>
      <c r="MK773" s="2494" t="s">
        <v>208</v>
      </c>
      <c r="ML773" s="2494" t="s">
        <v>209</v>
      </c>
      <c r="MM773" s="2494" t="s">
        <v>210</v>
      </c>
      <c r="MN773" s="2494" t="s">
        <v>211</v>
      </c>
      <c r="MO773" s="2494" t="s">
        <v>212</v>
      </c>
      <c r="MP773" s="2494"/>
      <c r="MQ773" s="2494"/>
      <c r="MR773" s="2494"/>
      <c r="MS773" s="2494"/>
      <c r="MT773" s="2494"/>
    </row>
    <row r="774" spans="1:368" s="2408" customFormat="1" ht="13.35" customHeight="1">
      <c r="A774" s="2655" t="str">
        <f>IF(A817&gt;0,"Finish Row!","")</f>
        <v/>
      </c>
      <c r="B774" s="2408" t="s">
        <v>1800</v>
      </c>
      <c r="G774" s="2652" t="str">
        <f>'Part VI-Revenues &amp; Expenses'!G5</f>
        <v>&lt;Select&gt;</v>
      </c>
      <c r="I774" s="2650" t="s">
        <v>4801</v>
      </c>
      <c r="K774" s="2251" t="s">
        <v>3434</v>
      </c>
      <c r="L774" s="2656" t="str">
        <f>'Part I-Project Information'!$B$6</f>
        <v>July 15, 2020 Version (4%)</v>
      </c>
      <c r="M774" s="2657"/>
      <c r="N774" s="2649" t="s">
        <v>559</v>
      </c>
      <c r="P774" s="2652" t="s">
        <v>6979</v>
      </c>
      <c r="Q774" s="2650"/>
      <c r="R774" s="2489"/>
      <c r="X774" s="2650"/>
      <c r="Y774" s="2650"/>
      <c r="Z774" s="2650"/>
      <c r="AA774" s="2650"/>
      <c r="AB774" s="2650"/>
      <c r="AC774" s="2650"/>
      <c r="AD774" s="2650"/>
      <c r="AE774" s="2650"/>
      <c r="AF774" s="2650"/>
      <c r="AG774" s="2650"/>
      <c r="AH774" s="2650"/>
      <c r="AI774" s="2650"/>
      <c r="AJ774" s="2650"/>
      <c r="AK774" s="2650"/>
      <c r="AL774" s="2650"/>
      <c r="AM774" s="2650"/>
      <c r="AN774" s="2650"/>
      <c r="AO774" s="2650"/>
      <c r="AP774" s="2650"/>
      <c r="AQ774" s="2650"/>
      <c r="AR774" s="2650"/>
      <c r="AS774" s="2650"/>
      <c r="AT774" s="2650"/>
      <c r="AU774" s="2650"/>
      <c r="AV774" s="2650"/>
      <c r="AW774" s="2650"/>
      <c r="AX774" s="2650"/>
      <c r="AY774" s="2650"/>
      <c r="AZ774" s="2650"/>
      <c r="BA774" s="2650"/>
      <c r="BB774" s="2650"/>
      <c r="BC774" s="2650"/>
      <c r="BD774" s="2650"/>
      <c r="BE774" s="2650"/>
      <c r="BF774" s="2650"/>
      <c r="BG774" s="2650"/>
      <c r="BH774" s="2650"/>
      <c r="BI774" s="2650"/>
      <c r="BJ774" s="2650"/>
      <c r="BK774" s="2650"/>
      <c r="BL774" s="2650"/>
      <c r="BM774" s="2650"/>
      <c r="BN774" s="2650"/>
      <c r="BO774" s="2650"/>
      <c r="BP774" s="2650"/>
      <c r="BQ774" s="2650"/>
      <c r="BR774" s="2650"/>
      <c r="BS774" s="2650"/>
      <c r="BT774" s="2650"/>
      <c r="BU774" s="2650"/>
      <c r="BV774" s="2650"/>
      <c r="BW774" s="2650"/>
      <c r="BX774" s="2650"/>
      <c r="BY774" s="2650"/>
      <c r="BZ774" s="2650"/>
      <c r="CA774" s="2650"/>
      <c r="CB774" s="2650"/>
      <c r="CC774" s="2650"/>
      <c r="CD774" s="2650"/>
      <c r="CE774" s="2650"/>
      <c r="CF774" s="2650"/>
      <c r="CG774" s="2650"/>
      <c r="CH774" s="2650"/>
      <c r="CI774" s="2650"/>
      <c r="CJ774" s="2650"/>
      <c r="CK774" s="2650"/>
      <c r="CL774" s="2650"/>
      <c r="CM774" s="2650"/>
      <c r="CN774" s="2650"/>
      <c r="CO774" s="2650"/>
      <c r="CP774" s="2650"/>
      <c r="CQ774" s="2650"/>
      <c r="CR774" s="2650"/>
      <c r="CS774" s="2650"/>
      <c r="CT774" s="2650"/>
      <c r="CU774" s="2650"/>
      <c r="CV774" s="2650"/>
      <c r="CW774" s="2650"/>
      <c r="CX774" s="2650"/>
      <c r="CY774" s="2650"/>
      <c r="CZ774" s="2650"/>
      <c r="DA774" s="2650"/>
      <c r="DB774" s="2650"/>
      <c r="DC774" s="2650"/>
      <c r="DD774" s="2650"/>
      <c r="DE774" s="2650"/>
      <c r="DF774" s="2650"/>
      <c r="DG774" s="2650"/>
      <c r="DH774" s="2650"/>
      <c r="DI774" s="2650"/>
      <c r="DJ774" s="2650"/>
      <c r="DK774" s="2650"/>
      <c r="DL774" s="2650"/>
      <c r="DM774" s="2650"/>
      <c r="DN774" s="2650"/>
      <c r="DO774" s="2650"/>
      <c r="DP774" s="2650"/>
      <c r="DQ774" s="2650"/>
      <c r="DR774" s="2650"/>
      <c r="DS774" s="2650"/>
      <c r="DT774" s="2650"/>
      <c r="DU774" s="2650"/>
      <c r="DV774" s="2650"/>
      <c r="DW774" s="2650"/>
      <c r="DX774" s="2650"/>
      <c r="DY774" s="2650"/>
      <c r="DZ774" s="2650"/>
      <c r="EA774" s="2650"/>
      <c r="EB774" s="2650"/>
      <c r="EC774" s="2650"/>
      <c r="ED774" s="2650"/>
      <c r="EE774" s="2650"/>
      <c r="EF774" s="2650"/>
      <c r="EG774" s="2650"/>
      <c r="EH774" s="2650"/>
      <c r="EI774" s="2650"/>
      <c r="EJ774" s="2650"/>
      <c r="EK774" s="2650"/>
      <c r="EL774" s="2650"/>
      <c r="EM774" s="2650"/>
      <c r="EN774" s="2650"/>
      <c r="EO774" s="2650"/>
      <c r="EP774" s="2650"/>
      <c r="EQ774" s="2650"/>
      <c r="ER774" s="2650"/>
      <c r="ES774" s="2494"/>
      <c r="ET774" s="2494"/>
      <c r="EU774" s="2494"/>
      <c r="EV774" s="2494"/>
      <c r="EW774" s="2494"/>
      <c r="EX774" s="2494"/>
      <c r="EY774" s="2494"/>
      <c r="EZ774" s="2494"/>
      <c r="FA774" s="2494"/>
      <c r="FB774" s="2494"/>
      <c r="FC774" s="2650"/>
      <c r="FD774" s="2650"/>
      <c r="FE774" s="2650"/>
      <c r="FF774" s="2650"/>
      <c r="FG774" s="2650"/>
      <c r="FH774" s="2494"/>
      <c r="FI774" s="2494"/>
      <c r="FJ774" s="2494"/>
      <c r="FK774" s="2494"/>
      <c r="FL774" s="2494"/>
      <c r="FM774" s="2650"/>
      <c r="FN774" s="2650"/>
      <c r="FO774" s="2650"/>
      <c r="FP774" s="2650"/>
      <c r="FQ774" s="2650"/>
      <c r="FR774" s="2494"/>
      <c r="FS774" s="2494"/>
      <c r="FT774" s="2494"/>
      <c r="FU774" s="2494"/>
      <c r="FV774" s="2494"/>
      <c r="FW774" s="2494"/>
      <c r="FX774" s="2494"/>
      <c r="FY774" s="2494"/>
      <c r="FZ774" s="2494"/>
      <c r="GA774" s="2494"/>
      <c r="GB774" s="2494"/>
      <c r="GC774" s="2494"/>
      <c r="GD774" s="2494"/>
      <c r="GE774" s="2494"/>
      <c r="GF774" s="2494"/>
      <c r="GG774" s="2494"/>
      <c r="GH774" s="2494"/>
      <c r="GI774" s="2494"/>
      <c r="GJ774" s="2494"/>
      <c r="GK774" s="2494"/>
      <c r="GL774" s="2494"/>
      <c r="GM774" s="2494"/>
      <c r="GN774" s="2494"/>
      <c r="GO774" s="2494"/>
      <c r="GP774" s="2494"/>
      <c r="GQ774" s="2494"/>
      <c r="GR774" s="2494"/>
      <c r="GS774" s="2494"/>
      <c r="GT774" s="2494"/>
      <c r="GU774" s="2494"/>
      <c r="GV774" s="2494"/>
      <c r="GW774" s="2494"/>
      <c r="GX774" s="2494"/>
      <c r="GY774" s="2494"/>
      <c r="GZ774" s="2494"/>
      <c r="HA774" s="2494"/>
      <c r="HB774" s="2494"/>
      <c r="HC774" s="2494"/>
      <c r="HD774" s="2494"/>
      <c r="HE774" s="2494"/>
      <c r="HF774" s="2494"/>
      <c r="HG774" s="2494"/>
      <c r="HH774" s="2494"/>
      <c r="HI774" s="2494"/>
      <c r="HJ774" s="2494"/>
      <c r="HK774" s="2494"/>
      <c r="HL774" s="2494"/>
      <c r="HM774" s="2494"/>
      <c r="HN774" s="2494"/>
      <c r="HO774" s="2494"/>
      <c r="HP774" s="2494"/>
      <c r="HQ774" s="2494"/>
      <c r="HR774" s="2494"/>
      <c r="HS774" s="2494"/>
      <c r="HT774" s="2494"/>
      <c r="HU774" s="2494"/>
      <c r="HV774" s="2494"/>
      <c r="HW774" s="2494"/>
      <c r="HX774" s="2494"/>
      <c r="HY774" s="2494"/>
      <c r="HZ774" s="2652"/>
      <c r="IA774" s="2652"/>
      <c r="IB774" s="2652"/>
      <c r="IC774" s="2652"/>
      <c r="ID774" s="2652"/>
      <c r="IE774" s="2652"/>
      <c r="IF774" s="2652"/>
      <c r="IG774" s="2652"/>
      <c r="IH774" s="2652"/>
      <c r="II774" s="2652"/>
      <c r="IJ774" s="2652"/>
      <c r="IK774" s="2652"/>
      <c r="IL774" s="2652"/>
      <c r="IM774" s="2652"/>
      <c r="IN774" s="2652"/>
      <c r="IO774" s="2652"/>
      <c r="IP774" s="2652"/>
      <c r="IQ774" s="2652"/>
      <c r="IR774" s="2652"/>
      <c r="IS774" s="2652"/>
      <c r="IT774" s="2652"/>
      <c r="IU774" s="2652"/>
      <c r="IV774" s="2652"/>
      <c r="IW774" s="2652"/>
      <c r="IX774" s="2652"/>
      <c r="IY774" s="2652"/>
      <c r="IZ774" s="2652"/>
      <c r="JA774" s="2652"/>
      <c r="JB774" s="2652"/>
      <c r="JC774" s="2652"/>
      <c r="JD774" s="2652"/>
      <c r="JE774" s="2652"/>
      <c r="JF774" s="2652"/>
      <c r="JG774" s="2652"/>
      <c r="JH774" s="2652"/>
      <c r="JI774" s="2652"/>
      <c r="JJ774" s="2652"/>
      <c r="JK774" s="2652"/>
      <c r="JL774" s="2652"/>
      <c r="JM774" s="2652"/>
      <c r="JN774" s="2652"/>
      <c r="JO774" s="2652"/>
      <c r="JP774" s="2652"/>
      <c r="JQ774" s="2652"/>
      <c r="JR774" s="2652"/>
      <c r="JS774" s="2652"/>
      <c r="JT774" s="2652"/>
      <c r="JU774" s="2652"/>
      <c r="JV774" s="2652"/>
      <c r="JW774" s="2652"/>
      <c r="JX774" s="2652"/>
      <c r="JY774" s="2652"/>
      <c r="JZ774" s="2652"/>
      <c r="KA774" s="2652"/>
      <c r="KB774" s="2652"/>
      <c r="KC774" s="2652"/>
      <c r="KD774" s="2652"/>
      <c r="KE774" s="2652"/>
      <c r="KF774" s="2652"/>
      <c r="KG774" s="2652"/>
      <c r="KH774" s="2652"/>
      <c r="KI774" s="2652"/>
      <c r="KJ774" s="2652"/>
      <c r="KK774" s="2652"/>
      <c r="KL774" s="2652"/>
      <c r="KM774" s="2652"/>
      <c r="KN774" s="2652"/>
      <c r="KO774" s="2652"/>
      <c r="KP774" s="2652"/>
      <c r="KQ774" s="2652"/>
      <c r="KR774" s="2652"/>
      <c r="KS774" s="2652"/>
      <c r="KT774" s="2652"/>
      <c r="KU774" s="2652"/>
      <c r="KV774" s="2652"/>
      <c r="LQ774" s="2494"/>
      <c r="LR774" s="2494"/>
      <c r="LS774" s="2494"/>
      <c r="LT774" s="2494"/>
      <c r="LU774" s="2494"/>
      <c r="LV774" s="2494"/>
      <c r="LW774" s="2494"/>
      <c r="LX774" s="2494"/>
      <c r="LY774" s="2494"/>
      <c r="LZ774" s="2494"/>
      <c r="MA774" s="2494"/>
      <c r="MB774" s="2494"/>
      <c r="MC774" s="2494"/>
      <c r="MD774" s="2494"/>
      <c r="ME774" s="2494"/>
      <c r="MF774" s="2494"/>
      <c r="MG774" s="2494"/>
      <c r="MH774" s="2494"/>
      <c r="MI774" s="2494"/>
      <c r="MJ774" s="2494"/>
      <c r="MK774" s="2494"/>
      <c r="ML774" s="2494"/>
      <c r="MM774" s="2494"/>
      <c r="MN774" s="2494"/>
      <c r="MO774" s="2494"/>
      <c r="MP774" s="2494"/>
      <c r="MQ774" s="2494"/>
      <c r="MR774" s="2494"/>
      <c r="MS774" s="2494"/>
      <c r="MT774" s="2494"/>
      <c r="MU774" s="2408" t="s">
        <v>3304</v>
      </c>
      <c r="MV774" s="2408" t="s">
        <v>3305</v>
      </c>
      <c r="MW774" s="2408" t="s">
        <v>3306</v>
      </c>
      <c r="MX774" s="2408" t="s">
        <v>3307</v>
      </c>
      <c r="MY774" s="2408" t="s">
        <v>3308</v>
      </c>
      <c r="MZ774" s="2494" t="s">
        <v>3318</v>
      </c>
      <c r="NA774" s="2494" t="s">
        <v>3320</v>
      </c>
      <c r="NB774" s="2494" t="s">
        <v>3321</v>
      </c>
      <c r="NC774" s="2494" t="s">
        <v>3322</v>
      </c>
      <c r="ND774" s="2494" t="s">
        <v>3323</v>
      </c>
    </row>
    <row r="775" spans="1:368" s="2408" customFormat="1" ht="13.35" customHeight="1">
      <c r="A775" s="2655"/>
      <c r="B775" s="2658" t="s">
        <v>1759</v>
      </c>
      <c r="F775" s="2652" t="str">
        <f>'Part VI-Revenues &amp; Expenses'!F6</f>
        <v>No</v>
      </c>
      <c r="G775" s="2251" t="s">
        <v>3493</v>
      </c>
      <c r="H775" s="2650" t="s">
        <v>3669</v>
      </c>
      <c r="I775" s="2650"/>
      <c r="J775" s="2251" t="s">
        <v>778</v>
      </c>
      <c r="K775" s="2251" t="s">
        <v>3496</v>
      </c>
      <c r="L775" s="2657"/>
      <c r="M775" s="2657"/>
      <c r="N775" s="2659" t="str">
        <f>'Part I-Project Information'!$O$40</f>
        <v>Augusta-Richmond Co.</v>
      </c>
      <c r="O775" s="2659"/>
      <c r="P775" s="2660">
        <f>VLOOKUP('Part I-Project Information'!$O$40,'DCA Underwriting Assumptions'!$C$173:$D$283,2)</f>
        <v>62800</v>
      </c>
      <c r="Q775" s="2650"/>
      <c r="R775" s="2408" t="s">
        <v>2619</v>
      </c>
      <c r="X775" s="2650"/>
      <c r="Y775" s="2650"/>
      <c r="Z775" s="2650"/>
      <c r="AA775" s="2650"/>
      <c r="AB775" s="2650"/>
      <c r="AC775" s="2650"/>
      <c r="AD775" s="2650"/>
      <c r="AE775" s="2650"/>
      <c r="AF775" s="2650"/>
      <c r="AG775" s="2650"/>
      <c r="AH775" s="2650"/>
      <c r="AI775" s="2650"/>
      <c r="AJ775" s="2650"/>
      <c r="AK775" s="2650"/>
      <c r="AL775" s="2650"/>
      <c r="AM775" s="2650"/>
      <c r="AN775" s="2650"/>
      <c r="AO775" s="2650"/>
      <c r="AP775" s="2650"/>
      <c r="AQ775" s="2650"/>
      <c r="AR775" s="2650"/>
      <c r="AS775" s="2650"/>
      <c r="AT775" s="2650"/>
      <c r="AU775" s="2650"/>
      <c r="AV775" s="2650"/>
      <c r="AW775" s="2650"/>
      <c r="AX775" s="2650"/>
      <c r="AY775" s="2650"/>
      <c r="AZ775" s="2650"/>
      <c r="BA775" s="2650"/>
      <c r="BB775" s="2650"/>
      <c r="BC775" s="2650"/>
      <c r="BD775" s="2650"/>
      <c r="BE775" s="2650"/>
      <c r="BF775" s="2650"/>
      <c r="BG775" s="2650"/>
      <c r="BH775" s="2650"/>
      <c r="BI775" s="2650"/>
      <c r="BJ775" s="2650"/>
      <c r="BK775" s="2650"/>
      <c r="BL775" s="2650"/>
      <c r="BM775" s="2650"/>
      <c r="BN775" s="2650"/>
      <c r="BO775" s="2650"/>
      <c r="BP775" s="2650"/>
      <c r="BQ775" s="2650"/>
      <c r="BR775" s="2650"/>
      <c r="BS775" s="2650"/>
      <c r="BT775" s="2650"/>
      <c r="BU775" s="2650"/>
      <c r="BV775" s="2650"/>
      <c r="BW775" s="2650"/>
      <c r="BX775" s="2650"/>
      <c r="BY775" s="2650"/>
      <c r="BZ775" s="2650"/>
      <c r="CA775" s="2650"/>
      <c r="CB775" s="2650"/>
      <c r="CC775" s="2650"/>
      <c r="CD775" s="2650"/>
      <c r="CE775" s="2650"/>
      <c r="CF775" s="2650"/>
      <c r="CG775" s="2650"/>
      <c r="CH775" s="2650"/>
      <c r="CI775" s="2650"/>
      <c r="CJ775" s="2650"/>
      <c r="CK775" s="2650"/>
      <c r="CL775" s="2650"/>
      <c r="CM775" s="2650"/>
      <c r="CN775" s="2650"/>
      <c r="CO775" s="2650"/>
      <c r="CP775" s="2650"/>
      <c r="CQ775" s="2650"/>
      <c r="CR775" s="2650"/>
      <c r="CS775" s="2650"/>
      <c r="CT775" s="2650"/>
      <c r="CU775" s="2650"/>
      <c r="CV775" s="2650"/>
      <c r="CW775" s="2650"/>
      <c r="CX775" s="2650"/>
      <c r="CY775" s="2650"/>
      <c r="CZ775" s="2650"/>
      <c r="DA775" s="2650"/>
      <c r="DB775" s="2650"/>
      <c r="DC775" s="2650"/>
      <c r="DD775" s="2650"/>
      <c r="DE775" s="2650"/>
      <c r="DF775" s="2650"/>
      <c r="DG775" s="2650"/>
      <c r="DH775" s="2650"/>
      <c r="DI775" s="2650"/>
      <c r="DJ775" s="2650"/>
      <c r="DK775" s="2650"/>
      <c r="DL775" s="2650"/>
      <c r="DM775" s="2650"/>
      <c r="DN775" s="2650"/>
      <c r="DO775" s="2650"/>
      <c r="DP775" s="2650"/>
      <c r="DQ775" s="2650"/>
      <c r="DR775" s="2650"/>
      <c r="DS775" s="2650"/>
      <c r="DT775" s="2650"/>
      <c r="DU775" s="2650"/>
      <c r="DV775" s="2650"/>
      <c r="DW775" s="2650"/>
      <c r="DX775" s="2650"/>
      <c r="DY775" s="2650"/>
      <c r="DZ775" s="2650"/>
      <c r="EA775" s="2650"/>
      <c r="EB775" s="2650"/>
      <c r="EC775" s="2650"/>
      <c r="ED775" s="2650"/>
      <c r="EE775" s="2650"/>
      <c r="EF775" s="2650"/>
      <c r="EG775" s="2650"/>
      <c r="EH775" s="2650"/>
      <c r="EI775" s="2650"/>
      <c r="EJ775" s="2650"/>
      <c r="EK775" s="2650"/>
      <c r="EL775" s="2650"/>
      <c r="EM775" s="2650"/>
      <c r="EN775" s="2650"/>
      <c r="EO775" s="2650"/>
      <c r="EP775" s="2650"/>
      <c r="EQ775" s="2650"/>
      <c r="ER775" s="2650"/>
      <c r="ES775" s="2494"/>
      <c r="ET775" s="2494"/>
      <c r="EU775" s="2494"/>
      <c r="EV775" s="2494"/>
      <c r="EW775" s="2494"/>
      <c r="EX775" s="2494"/>
      <c r="EY775" s="2494"/>
      <c r="EZ775" s="2494"/>
      <c r="FA775" s="2494"/>
      <c r="FB775" s="2494"/>
      <c r="FC775" s="2650"/>
      <c r="FD775" s="2650"/>
      <c r="FE775" s="2650"/>
      <c r="FF775" s="2650"/>
      <c r="FG775" s="2650"/>
      <c r="FH775" s="2494"/>
      <c r="FI775" s="2494"/>
      <c r="FJ775" s="2494"/>
      <c r="FK775" s="2494"/>
      <c r="FL775" s="2494"/>
      <c r="FM775" s="2650"/>
      <c r="FN775" s="2650"/>
      <c r="FO775" s="2650"/>
      <c r="FP775" s="2650"/>
      <c r="FQ775" s="2650"/>
      <c r="FR775" s="2494"/>
      <c r="FS775" s="2494"/>
      <c r="FT775" s="2494"/>
      <c r="FU775" s="2494"/>
      <c r="FV775" s="2494"/>
      <c r="FW775" s="2494"/>
      <c r="FX775" s="2494"/>
      <c r="FY775" s="2494"/>
      <c r="FZ775" s="2494"/>
      <c r="GA775" s="2494"/>
      <c r="GB775" s="2494"/>
      <c r="GC775" s="2494"/>
      <c r="GD775" s="2494"/>
      <c r="GE775" s="2494"/>
      <c r="GF775" s="2494"/>
      <c r="GG775" s="2494"/>
      <c r="GH775" s="2494"/>
      <c r="GI775" s="2494"/>
      <c r="GJ775" s="2494"/>
      <c r="GK775" s="2494"/>
      <c r="GL775" s="2494"/>
      <c r="GM775" s="2494"/>
      <c r="GN775" s="2494"/>
      <c r="GO775" s="2494"/>
      <c r="GP775" s="2494"/>
      <c r="GQ775" s="2494"/>
      <c r="GR775" s="2494"/>
      <c r="GS775" s="2494"/>
      <c r="GT775" s="2494"/>
      <c r="GU775" s="2494"/>
      <c r="GV775" s="2494"/>
      <c r="GW775" s="2494"/>
      <c r="GX775" s="2494"/>
      <c r="GY775" s="2494"/>
      <c r="GZ775" s="2494"/>
      <c r="HA775" s="2494"/>
      <c r="HB775" s="2494"/>
      <c r="HC775" s="2494"/>
      <c r="HD775" s="2494"/>
      <c r="HE775" s="2494"/>
      <c r="HF775" s="2494"/>
      <c r="HG775" s="2494"/>
      <c r="HH775" s="2494"/>
      <c r="HI775" s="2494"/>
      <c r="HJ775" s="2494"/>
      <c r="HK775" s="2494"/>
      <c r="HL775" s="2494"/>
      <c r="HM775" s="2494"/>
      <c r="HN775" s="2494"/>
      <c r="HO775" s="2494"/>
      <c r="HP775" s="2494"/>
      <c r="HQ775" s="2494"/>
      <c r="HR775" s="2494"/>
      <c r="HS775" s="2494"/>
      <c r="HT775" s="2494"/>
      <c r="HU775" s="2494"/>
      <c r="HV775" s="2494"/>
      <c r="HW775" s="2494"/>
      <c r="HX775" s="2494"/>
      <c r="HY775" s="2494"/>
      <c r="HZ775" s="2652"/>
      <c r="IA775" s="2652"/>
      <c r="IB775" s="2652"/>
      <c r="IC775" s="2652"/>
      <c r="ID775" s="2652"/>
      <c r="IE775" s="2652"/>
      <c r="IF775" s="2652"/>
      <c r="IG775" s="2652"/>
      <c r="IH775" s="2652"/>
      <c r="II775" s="2652"/>
      <c r="IJ775" s="2652"/>
      <c r="IK775" s="2652"/>
      <c r="IL775" s="2652"/>
      <c r="IM775" s="2652"/>
      <c r="IN775" s="2652"/>
      <c r="IO775" s="2652"/>
      <c r="IP775" s="2652"/>
      <c r="IQ775" s="2652"/>
      <c r="IR775" s="2652"/>
      <c r="IS775" s="2652"/>
      <c r="IT775" s="2652"/>
      <c r="IU775" s="2652"/>
      <c r="IV775" s="2652"/>
      <c r="IW775" s="2652"/>
      <c r="IX775" s="2652"/>
      <c r="IY775" s="2652"/>
      <c r="IZ775" s="2652"/>
      <c r="JA775" s="2652"/>
      <c r="JB775" s="2652"/>
      <c r="JC775" s="2652"/>
      <c r="JD775" s="2652"/>
      <c r="JE775" s="2652"/>
      <c r="JF775" s="2652"/>
      <c r="JG775" s="2652"/>
      <c r="JH775" s="2652"/>
      <c r="JI775" s="2652"/>
      <c r="JJ775" s="2652"/>
      <c r="JK775" s="2652"/>
      <c r="JL775" s="2652"/>
      <c r="JM775" s="2652"/>
      <c r="JN775" s="2652"/>
      <c r="JO775" s="2652"/>
      <c r="JP775" s="2652"/>
      <c r="JQ775" s="2652"/>
      <c r="JR775" s="2652"/>
      <c r="JS775" s="2652"/>
      <c r="JT775" s="2652"/>
      <c r="JU775" s="2652"/>
      <c r="JV775" s="2652"/>
      <c r="JW775" s="2652"/>
      <c r="JX775" s="2652"/>
      <c r="JY775" s="2652"/>
      <c r="JZ775" s="2652"/>
      <c r="KA775" s="2652"/>
      <c r="KB775" s="2652"/>
      <c r="KC775" s="2652"/>
      <c r="KD775" s="2652"/>
      <c r="KE775" s="2652"/>
      <c r="KF775" s="2652"/>
      <c r="KG775" s="2652"/>
      <c r="KH775" s="2652"/>
      <c r="KI775" s="2652"/>
      <c r="KJ775" s="2652"/>
      <c r="KK775" s="2652"/>
      <c r="KL775" s="2652"/>
      <c r="KM775" s="2652"/>
      <c r="KN775" s="2652"/>
      <c r="KO775" s="2652"/>
      <c r="KP775" s="2652"/>
      <c r="KQ775" s="2652"/>
      <c r="KR775" s="2652"/>
      <c r="KS775" s="2652"/>
      <c r="KT775" s="2652"/>
      <c r="KU775" s="2652"/>
      <c r="KV775" s="2652"/>
      <c r="LQ775" s="2494"/>
      <c r="LR775" s="2494"/>
      <c r="LS775" s="2494"/>
      <c r="LT775" s="2494"/>
      <c r="LU775" s="2494"/>
      <c r="LV775" s="2494"/>
      <c r="LW775" s="2494"/>
      <c r="LX775" s="2494"/>
      <c r="LY775" s="2494"/>
      <c r="LZ775" s="2494"/>
      <c r="MA775" s="2494"/>
      <c r="MB775" s="2494"/>
      <c r="MC775" s="2494"/>
      <c r="MD775" s="2494"/>
      <c r="ME775" s="2494"/>
      <c r="MF775" s="2494"/>
      <c r="MG775" s="2494"/>
      <c r="MH775" s="2494"/>
      <c r="MI775" s="2494"/>
      <c r="MJ775" s="2494"/>
      <c r="MK775" s="2494"/>
      <c r="ML775" s="2494"/>
      <c r="MM775" s="2494"/>
      <c r="MN775" s="2494"/>
      <c r="MO775" s="2494"/>
      <c r="MP775" s="2494"/>
      <c r="MQ775" s="2494"/>
      <c r="MR775" s="2494"/>
      <c r="MS775" s="2494"/>
      <c r="MT775" s="2494"/>
      <c r="MZ775" s="2494"/>
      <c r="NA775" s="2494"/>
      <c r="NB775" s="2494"/>
      <c r="NC775" s="2494"/>
      <c r="ND775" s="2494"/>
    </row>
    <row r="776" spans="1:368" s="2408" customFormat="1" ht="11.25" customHeight="1">
      <c r="A776" s="2655"/>
      <c r="B776" s="2251" t="s">
        <v>4214</v>
      </c>
      <c r="G776" s="2251" t="s">
        <v>3494</v>
      </c>
      <c r="H776" s="2650"/>
      <c r="I776" s="2650"/>
      <c r="J776" s="2251" t="s">
        <v>779</v>
      </c>
      <c r="K776" s="2251" t="s">
        <v>3497</v>
      </c>
      <c r="N776" s="2659"/>
      <c r="O776" s="2659"/>
      <c r="Q776" s="2650"/>
      <c r="S776" s="2652" t="s">
        <v>2616</v>
      </c>
      <c r="X776" s="2650"/>
      <c r="Y776" s="2650"/>
      <c r="Z776" s="2650"/>
      <c r="AA776" s="2650"/>
      <c r="AB776" s="2650"/>
      <c r="AC776" s="2650"/>
      <c r="AD776" s="2650"/>
      <c r="AE776" s="2650"/>
      <c r="AF776" s="2650"/>
      <c r="AG776" s="2650"/>
      <c r="AH776" s="2650"/>
      <c r="AI776" s="2650"/>
      <c r="AJ776" s="2650"/>
      <c r="AK776" s="2650"/>
      <c r="AL776" s="2650"/>
      <c r="AM776" s="2650"/>
      <c r="AN776" s="2650"/>
      <c r="AO776" s="2650"/>
      <c r="AP776" s="2650"/>
      <c r="AQ776" s="2650"/>
      <c r="AR776" s="2650"/>
      <c r="AS776" s="2650"/>
      <c r="AT776" s="2650"/>
      <c r="AU776" s="2650"/>
      <c r="AV776" s="2650"/>
      <c r="AW776" s="2650"/>
      <c r="AX776" s="2650"/>
      <c r="AY776" s="2650"/>
      <c r="AZ776" s="2650"/>
      <c r="BA776" s="2650"/>
      <c r="BB776" s="2650"/>
      <c r="BC776" s="2650"/>
      <c r="BD776" s="2650"/>
      <c r="BE776" s="2650"/>
      <c r="BF776" s="2650"/>
      <c r="BG776" s="2650"/>
      <c r="BH776" s="2650"/>
      <c r="BI776" s="2650"/>
      <c r="BJ776" s="2650"/>
      <c r="BK776" s="2650"/>
      <c r="BL776" s="2650"/>
      <c r="BM776" s="2650"/>
      <c r="BN776" s="2650"/>
      <c r="BO776" s="2650"/>
      <c r="BP776" s="2650"/>
      <c r="BQ776" s="2650"/>
      <c r="BR776" s="2650"/>
      <c r="BS776" s="2650"/>
      <c r="BT776" s="2650"/>
      <c r="BU776" s="2650"/>
      <c r="BV776" s="2650"/>
      <c r="BW776" s="2650"/>
      <c r="BX776" s="2650"/>
      <c r="BY776" s="2650"/>
      <c r="BZ776" s="2650"/>
      <c r="CA776" s="2650"/>
      <c r="CB776" s="2650"/>
      <c r="CC776" s="2650"/>
      <c r="CD776" s="2650"/>
      <c r="CE776" s="2650"/>
      <c r="CF776" s="2650"/>
      <c r="CG776" s="2650"/>
      <c r="CH776" s="2650"/>
      <c r="CI776" s="2650"/>
      <c r="CJ776" s="2650"/>
      <c r="CK776" s="2650"/>
      <c r="CL776" s="2650"/>
      <c r="CM776" s="2650"/>
      <c r="CN776" s="2650"/>
      <c r="CO776" s="2650"/>
      <c r="CP776" s="2650"/>
      <c r="CQ776" s="2650"/>
      <c r="CR776" s="2650"/>
      <c r="CS776" s="2650"/>
      <c r="CT776" s="2650"/>
      <c r="CU776" s="2650"/>
      <c r="CV776" s="2650"/>
      <c r="CW776" s="2650"/>
      <c r="CX776" s="2650"/>
      <c r="CY776" s="2650"/>
      <c r="CZ776" s="2650"/>
      <c r="DA776" s="2650"/>
      <c r="DB776" s="2650"/>
      <c r="DC776" s="2650"/>
      <c r="DD776" s="2650"/>
      <c r="DE776" s="2650"/>
      <c r="DF776" s="2650"/>
      <c r="DG776" s="2650"/>
      <c r="DH776" s="2650"/>
      <c r="DI776" s="2650"/>
      <c r="DJ776" s="2650"/>
      <c r="DK776" s="2650"/>
      <c r="DL776" s="2650"/>
      <c r="DM776" s="2650"/>
      <c r="DN776" s="2650"/>
      <c r="DO776" s="2650"/>
      <c r="DP776" s="2650"/>
      <c r="DQ776" s="2650"/>
      <c r="DR776" s="2650"/>
      <c r="DS776" s="2650"/>
      <c r="DT776" s="2650"/>
      <c r="DU776" s="2650"/>
      <c r="DV776" s="2650"/>
      <c r="DW776" s="2650"/>
      <c r="DX776" s="2650"/>
      <c r="DY776" s="2650"/>
      <c r="DZ776" s="2650"/>
      <c r="EA776" s="2650"/>
      <c r="EB776" s="2650"/>
      <c r="EC776" s="2650"/>
      <c r="ED776" s="2650"/>
      <c r="EE776" s="2650"/>
      <c r="EF776" s="2650"/>
      <c r="EG776" s="2650"/>
      <c r="EH776" s="2650"/>
      <c r="EI776" s="2650"/>
      <c r="EJ776" s="2650"/>
      <c r="EK776" s="2650"/>
      <c r="EL776" s="2650"/>
      <c r="EM776" s="2650"/>
      <c r="EN776" s="2650"/>
      <c r="EO776" s="2650"/>
      <c r="EP776" s="2650"/>
      <c r="EQ776" s="2650"/>
      <c r="ER776" s="2650"/>
      <c r="ES776" s="2494"/>
      <c r="ET776" s="2494"/>
      <c r="EU776" s="2494"/>
      <c r="EV776" s="2494"/>
      <c r="EW776" s="2494"/>
      <c r="EX776" s="2494"/>
      <c r="EY776" s="2494"/>
      <c r="EZ776" s="2494"/>
      <c r="FA776" s="2494"/>
      <c r="FB776" s="2494"/>
      <c r="FC776" s="2650"/>
      <c r="FD776" s="2650"/>
      <c r="FE776" s="2650"/>
      <c r="FF776" s="2650"/>
      <c r="FG776" s="2650"/>
      <c r="FH776" s="2494"/>
      <c r="FI776" s="2494"/>
      <c r="FJ776" s="2494"/>
      <c r="FK776" s="2494"/>
      <c r="FL776" s="2494"/>
      <c r="FM776" s="2650"/>
      <c r="FN776" s="2650"/>
      <c r="FO776" s="2650"/>
      <c r="FP776" s="2650"/>
      <c r="FQ776" s="2650"/>
      <c r="FR776" s="2494"/>
      <c r="FS776" s="2494"/>
      <c r="FT776" s="2494"/>
      <c r="FU776" s="2494"/>
      <c r="FV776" s="2494"/>
      <c r="FW776" s="2494"/>
      <c r="FX776" s="2494"/>
      <c r="FY776" s="2494"/>
      <c r="FZ776" s="2494"/>
      <c r="GA776" s="2494"/>
      <c r="GB776" s="2494"/>
      <c r="GC776" s="2494"/>
      <c r="GD776" s="2494"/>
      <c r="GE776" s="2494"/>
      <c r="GF776" s="2494"/>
      <c r="GG776" s="2494"/>
      <c r="GH776" s="2494"/>
      <c r="GI776" s="2494"/>
      <c r="GJ776" s="2494"/>
      <c r="GK776" s="2494"/>
      <c r="GL776" s="2494"/>
      <c r="GM776" s="2494"/>
      <c r="GN776" s="2494"/>
      <c r="GO776" s="2494"/>
      <c r="GP776" s="2494"/>
      <c r="GQ776" s="2494"/>
      <c r="GR776" s="2494"/>
      <c r="GS776" s="2494"/>
      <c r="GT776" s="2494"/>
      <c r="GU776" s="2494"/>
      <c r="GV776" s="2494"/>
      <c r="GW776" s="2494"/>
      <c r="GX776" s="2494"/>
      <c r="GY776" s="2494"/>
      <c r="GZ776" s="2494"/>
      <c r="HA776" s="2494"/>
      <c r="HB776" s="2494"/>
      <c r="HC776" s="2494"/>
      <c r="HD776" s="2494"/>
      <c r="HE776" s="2494"/>
      <c r="HF776" s="2494"/>
      <c r="HG776" s="2494"/>
      <c r="HH776" s="2494"/>
      <c r="HI776" s="2494"/>
      <c r="HJ776" s="2494"/>
      <c r="HK776" s="2494"/>
      <c r="HL776" s="2494"/>
      <c r="HM776" s="2494"/>
      <c r="HN776" s="2494"/>
      <c r="HO776" s="2494"/>
      <c r="HP776" s="2494"/>
      <c r="HQ776" s="2494"/>
      <c r="HR776" s="2494"/>
      <c r="HS776" s="2494"/>
      <c r="HT776" s="2494"/>
      <c r="HU776" s="2494"/>
      <c r="HV776" s="2494"/>
      <c r="HW776" s="2494"/>
      <c r="HX776" s="2494"/>
      <c r="HY776" s="2494"/>
      <c r="HZ776" s="2652"/>
      <c r="IA776" s="2652"/>
      <c r="IB776" s="2652"/>
      <c r="IC776" s="2652"/>
      <c r="ID776" s="2652"/>
      <c r="IE776" s="2652"/>
      <c r="IF776" s="2652"/>
      <c r="IG776" s="2652"/>
      <c r="IH776" s="2652"/>
      <c r="II776" s="2652"/>
      <c r="IJ776" s="2652"/>
      <c r="IK776" s="2652"/>
      <c r="IL776" s="2652"/>
      <c r="IM776" s="2652"/>
      <c r="IN776" s="2652"/>
      <c r="IO776" s="2652"/>
      <c r="IP776" s="2652"/>
      <c r="IQ776" s="2652"/>
      <c r="IR776" s="2652"/>
      <c r="IS776" s="2652"/>
      <c r="IT776" s="2652"/>
      <c r="IU776" s="2652"/>
      <c r="IV776" s="2652"/>
      <c r="IW776" s="2652"/>
      <c r="IX776" s="2652"/>
      <c r="IY776" s="2613" t="s">
        <v>551</v>
      </c>
      <c r="IZ776" s="2613" t="s">
        <v>2377</v>
      </c>
      <c r="JA776" s="2613" t="s">
        <v>2378</v>
      </c>
      <c r="JB776" s="2613" t="s">
        <v>2379</v>
      </c>
      <c r="JC776" s="2613" t="s">
        <v>2380</v>
      </c>
      <c r="JD776" s="2613" t="s">
        <v>551</v>
      </c>
      <c r="JE776" s="2613" t="s">
        <v>2377</v>
      </c>
      <c r="JF776" s="2613" t="s">
        <v>2378</v>
      </c>
      <c r="JG776" s="2613" t="s">
        <v>2379</v>
      </c>
      <c r="JH776" s="2613" t="s">
        <v>2380</v>
      </c>
      <c r="JI776" s="2613" t="s">
        <v>551</v>
      </c>
      <c r="JJ776" s="2613" t="s">
        <v>2377</v>
      </c>
      <c r="JK776" s="2613" t="s">
        <v>2378</v>
      </c>
      <c r="JL776" s="2613" t="s">
        <v>2379</v>
      </c>
      <c r="JM776" s="2613" t="s">
        <v>2380</v>
      </c>
      <c r="JN776" s="2613" t="s">
        <v>551</v>
      </c>
      <c r="JO776" s="2613" t="s">
        <v>2377</v>
      </c>
      <c r="JP776" s="2613" t="s">
        <v>2378</v>
      </c>
      <c r="JQ776" s="2613" t="s">
        <v>2379</v>
      </c>
      <c r="JR776" s="2613" t="s">
        <v>2380</v>
      </c>
      <c r="JS776" s="2613" t="s">
        <v>551</v>
      </c>
      <c r="JT776" s="2613" t="s">
        <v>2377</v>
      </c>
      <c r="JU776" s="2613" t="s">
        <v>2378</v>
      </c>
      <c r="JV776" s="2613" t="s">
        <v>2379</v>
      </c>
      <c r="JW776" s="2613" t="s">
        <v>2380</v>
      </c>
      <c r="JX776" s="2613" t="s">
        <v>551</v>
      </c>
      <c r="JY776" s="2613" t="s">
        <v>2377</v>
      </c>
      <c r="JZ776" s="2613" t="s">
        <v>2378</v>
      </c>
      <c r="KA776" s="2613" t="s">
        <v>2379</v>
      </c>
      <c r="KB776" s="2613" t="s">
        <v>2380</v>
      </c>
      <c r="KC776" s="2613" t="s">
        <v>551</v>
      </c>
      <c r="KD776" s="2613" t="s">
        <v>2377</v>
      </c>
      <c r="KE776" s="2613" t="s">
        <v>2378</v>
      </c>
      <c r="KF776" s="2613" t="s">
        <v>2379</v>
      </c>
      <c r="KG776" s="2613" t="s">
        <v>2380</v>
      </c>
      <c r="KH776" s="2613" t="s">
        <v>551</v>
      </c>
      <c r="KI776" s="2613" t="s">
        <v>2377</v>
      </c>
      <c r="KJ776" s="2613" t="s">
        <v>2378</v>
      </c>
      <c r="KK776" s="2613" t="s">
        <v>2379</v>
      </c>
      <c r="KL776" s="2613" t="s">
        <v>2380</v>
      </c>
      <c r="KM776" s="2613" t="s">
        <v>551</v>
      </c>
      <c r="KN776" s="2613" t="s">
        <v>2377</v>
      </c>
      <c r="KO776" s="2613" t="s">
        <v>2378</v>
      </c>
      <c r="KP776" s="2613" t="s">
        <v>2379</v>
      </c>
      <c r="KQ776" s="2613" t="s">
        <v>2380</v>
      </c>
      <c r="KR776" s="2613" t="s">
        <v>551</v>
      </c>
      <c r="KS776" s="2613" t="s">
        <v>2377</v>
      </c>
      <c r="KT776" s="2613" t="s">
        <v>2378</v>
      </c>
      <c r="KU776" s="2613" t="s">
        <v>2379</v>
      </c>
      <c r="KV776" s="2613" t="s">
        <v>2380</v>
      </c>
      <c r="KW776" s="2613" t="s">
        <v>551</v>
      </c>
      <c r="KX776" s="2613" t="s">
        <v>2377</v>
      </c>
      <c r="KY776" s="2613" t="s">
        <v>2378</v>
      </c>
      <c r="KZ776" s="2613" t="s">
        <v>2379</v>
      </c>
      <c r="LA776" s="2613" t="s">
        <v>2380</v>
      </c>
      <c r="LB776" s="2613" t="s">
        <v>551</v>
      </c>
      <c r="LC776" s="2613" t="s">
        <v>2377</v>
      </c>
      <c r="LD776" s="2613" t="s">
        <v>2378</v>
      </c>
      <c r="LE776" s="2613" t="s">
        <v>2379</v>
      </c>
      <c r="LF776" s="2613" t="s">
        <v>2380</v>
      </c>
      <c r="LG776" s="2613" t="s">
        <v>551</v>
      </c>
      <c r="LH776" s="2613" t="s">
        <v>2377</v>
      </c>
      <c r="LI776" s="2613" t="s">
        <v>2378</v>
      </c>
      <c r="LJ776" s="2613" t="s">
        <v>2379</v>
      </c>
      <c r="LK776" s="2613" t="s">
        <v>2380</v>
      </c>
      <c r="LL776" s="2613" t="s">
        <v>551</v>
      </c>
      <c r="LM776" s="2613" t="s">
        <v>2377</v>
      </c>
      <c r="LN776" s="2613" t="s">
        <v>2378</v>
      </c>
      <c r="LO776" s="2613" t="s">
        <v>2379</v>
      </c>
      <c r="LP776" s="2613" t="s">
        <v>2380</v>
      </c>
      <c r="LQ776" s="2494"/>
      <c r="LR776" s="2494"/>
      <c r="LS776" s="2494"/>
      <c r="LT776" s="2494"/>
      <c r="LU776" s="2494"/>
      <c r="LV776" s="2494"/>
      <c r="LW776" s="2494"/>
      <c r="LX776" s="2494"/>
      <c r="LY776" s="2494"/>
      <c r="LZ776" s="2494"/>
      <c r="MA776" s="2494"/>
      <c r="MB776" s="2494"/>
      <c r="MC776" s="2494"/>
      <c r="MD776" s="2494"/>
      <c r="ME776" s="2494"/>
      <c r="MF776" s="2494"/>
      <c r="MG776" s="2494"/>
      <c r="MH776" s="2494"/>
      <c r="MI776" s="2494"/>
      <c r="MJ776" s="2494"/>
      <c r="MK776" s="2494"/>
      <c r="ML776" s="2494"/>
      <c r="MM776" s="2494"/>
      <c r="MN776" s="2494"/>
      <c r="MO776" s="2494"/>
      <c r="MP776" s="2494"/>
      <c r="MQ776" s="2494"/>
      <c r="MR776" s="2494"/>
      <c r="MS776" s="2494"/>
      <c r="MT776" s="2494"/>
      <c r="MZ776" s="2494"/>
      <c r="NA776" s="2494"/>
      <c r="NB776" s="2494"/>
      <c r="NC776" s="2494"/>
      <c r="ND776" s="2494"/>
    </row>
    <row r="777" spans="1:368" s="2650" customFormat="1" ht="11.25" customHeight="1">
      <c r="A777" s="2655"/>
      <c r="B777" s="2251" t="s">
        <v>4215</v>
      </c>
      <c r="C777" s="2251" t="s">
        <v>168</v>
      </c>
      <c r="D777" s="2251" t="s">
        <v>530</v>
      </c>
      <c r="E777" s="2251" t="s">
        <v>1445</v>
      </c>
      <c r="F777" s="2251" t="s">
        <v>1445</v>
      </c>
      <c r="G777" s="2251" t="s">
        <v>1447</v>
      </c>
      <c r="H777" s="2251" t="s">
        <v>3494</v>
      </c>
      <c r="J777" s="2661" t="s">
        <v>4483</v>
      </c>
      <c r="K777" s="2251" t="s">
        <v>6980</v>
      </c>
      <c r="L777" s="2654" t="s">
        <v>142</v>
      </c>
      <c r="M777" s="2654"/>
      <c r="N777" s="2251" t="s">
        <v>2307</v>
      </c>
      <c r="O777" s="2251" t="s">
        <v>4796</v>
      </c>
      <c r="P777" s="2251" t="s">
        <v>377</v>
      </c>
      <c r="R777" s="2251" t="s">
        <v>2615</v>
      </c>
      <c r="S777" s="2251" t="s">
        <v>2617</v>
      </c>
      <c r="T777" s="2251"/>
      <c r="ES777" s="2494"/>
      <c r="ET777" s="2494"/>
      <c r="EU777" s="2494"/>
      <c r="EV777" s="2494"/>
      <c r="EW777" s="2494"/>
      <c r="EX777" s="2494"/>
      <c r="EY777" s="2494"/>
      <c r="EZ777" s="2494"/>
      <c r="FA777" s="2494"/>
      <c r="FB777" s="2494"/>
      <c r="FH777" s="2494"/>
      <c r="FI777" s="2494"/>
      <c r="FJ777" s="2494"/>
      <c r="FK777" s="2494"/>
      <c r="FL777" s="2494"/>
      <c r="FR777" s="2494"/>
      <c r="FS777" s="2494"/>
      <c r="FT777" s="2494"/>
      <c r="FU777" s="2494"/>
      <c r="FV777" s="2494"/>
      <c r="FW777" s="2494"/>
      <c r="FX777" s="2494"/>
      <c r="FY777" s="2494"/>
      <c r="FZ777" s="2494"/>
      <c r="GA777" s="2494"/>
      <c r="GB777" s="2494"/>
      <c r="GC777" s="2494"/>
      <c r="GD777" s="2494"/>
      <c r="GE777" s="2494"/>
      <c r="GF777" s="2494"/>
      <c r="GG777" s="2494"/>
      <c r="GH777" s="2494"/>
      <c r="GI777" s="2494"/>
      <c r="GJ777" s="2494"/>
      <c r="GK777" s="2494"/>
      <c r="GL777" s="2494"/>
      <c r="GM777" s="2494"/>
      <c r="GN777" s="2494"/>
      <c r="GO777" s="2494"/>
      <c r="GP777" s="2494"/>
      <c r="GQ777" s="2494"/>
      <c r="GR777" s="2494"/>
      <c r="GS777" s="2494"/>
      <c r="GT777" s="2494"/>
      <c r="GU777" s="2494"/>
      <c r="GV777" s="2494"/>
      <c r="GW777" s="2494"/>
      <c r="GX777" s="2494"/>
      <c r="GY777" s="2494"/>
      <c r="GZ777" s="2494"/>
      <c r="HA777" s="2494"/>
      <c r="HB777" s="2494"/>
      <c r="HC777" s="2494"/>
      <c r="HD777" s="2494"/>
      <c r="HE777" s="2494"/>
      <c r="HF777" s="2494"/>
      <c r="HG777" s="2494"/>
      <c r="HH777" s="2494"/>
      <c r="HI777" s="2494"/>
      <c r="HJ777" s="2494"/>
      <c r="HK777" s="2494"/>
      <c r="HL777" s="2494"/>
      <c r="HM777" s="2494"/>
      <c r="HN777" s="2494"/>
      <c r="HO777" s="2494"/>
      <c r="HP777" s="2494"/>
      <c r="HQ777" s="2494"/>
      <c r="HR777" s="2494"/>
      <c r="HS777" s="2494"/>
      <c r="HT777" s="2494"/>
      <c r="HU777" s="2494"/>
      <c r="HV777" s="2494"/>
      <c r="HW777" s="2494"/>
      <c r="HX777" s="2494"/>
      <c r="HY777" s="2494"/>
      <c r="HZ777" s="2494" t="s">
        <v>1433</v>
      </c>
      <c r="IA777" s="2613" t="s">
        <v>2377</v>
      </c>
      <c r="IB777" s="2613" t="s">
        <v>2378</v>
      </c>
      <c r="IC777" s="2613" t="s">
        <v>2379</v>
      </c>
      <c r="ID777" s="2613" t="s">
        <v>2380</v>
      </c>
      <c r="IE777" s="2494" t="s">
        <v>2432</v>
      </c>
      <c r="IF777" s="2494" t="s">
        <v>2432</v>
      </c>
      <c r="IG777" s="2494" t="s">
        <v>2432</v>
      </c>
      <c r="IH777" s="2494" t="s">
        <v>2432</v>
      </c>
      <c r="II777" s="2494" t="s">
        <v>2432</v>
      </c>
      <c r="IJ777" s="2494" t="s">
        <v>3260</v>
      </c>
      <c r="IK777" s="2494" t="s">
        <v>3260</v>
      </c>
      <c r="IL777" s="2494" t="s">
        <v>3260</v>
      </c>
      <c r="IM777" s="2494" t="s">
        <v>3260</v>
      </c>
      <c r="IN777" s="2494" t="s">
        <v>3260</v>
      </c>
      <c r="IO777" s="2613" t="s">
        <v>551</v>
      </c>
      <c r="IP777" s="2613" t="s">
        <v>2377</v>
      </c>
      <c r="IQ777" s="2613" t="s">
        <v>2378</v>
      </c>
      <c r="IR777" s="2613" t="s">
        <v>2379</v>
      </c>
      <c r="IS777" s="2613" t="s">
        <v>2380</v>
      </c>
      <c r="IT777" s="2613" t="s">
        <v>551</v>
      </c>
      <c r="IU777" s="2613" t="s">
        <v>2377</v>
      </c>
      <c r="IV777" s="2613" t="s">
        <v>2378</v>
      </c>
      <c r="IW777" s="2613" t="s">
        <v>2379</v>
      </c>
      <c r="IX777" s="2613" t="s">
        <v>2380</v>
      </c>
      <c r="IY777" s="2494" t="s">
        <v>2434</v>
      </c>
      <c r="IZ777" s="2494" t="s">
        <v>2434</v>
      </c>
      <c r="JA777" s="2494" t="s">
        <v>2434</v>
      </c>
      <c r="JB777" s="2494" t="s">
        <v>2434</v>
      </c>
      <c r="JC777" s="2494" t="s">
        <v>2434</v>
      </c>
      <c r="JD777" s="2494" t="s">
        <v>3256</v>
      </c>
      <c r="JE777" s="2494" t="s">
        <v>3256</v>
      </c>
      <c r="JF777" s="2494" t="s">
        <v>3256</v>
      </c>
      <c r="JG777" s="2494" t="s">
        <v>3256</v>
      </c>
      <c r="JH777" s="2494" t="s">
        <v>3256</v>
      </c>
      <c r="JI777" s="2494" t="s">
        <v>352</v>
      </c>
      <c r="JJ777" s="2494" t="s">
        <v>352</v>
      </c>
      <c r="JK777" s="2494" t="s">
        <v>352</v>
      </c>
      <c r="JL777" s="2494" t="s">
        <v>352</v>
      </c>
      <c r="JM777" s="2494" t="s">
        <v>352</v>
      </c>
      <c r="JN777" s="2494" t="s">
        <v>3255</v>
      </c>
      <c r="JO777" s="2494" t="s">
        <v>3255</v>
      </c>
      <c r="JP777" s="2494" t="s">
        <v>3255</v>
      </c>
      <c r="JQ777" s="2494" t="s">
        <v>3255</v>
      </c>
      <c r="JR777" s="2494" t="s">
        <v>3255</v>
      </c>
      <c r="JS777" s="2494" t="s">
        <v>353</v>
      </c>
      <c r="JT777" s="2494" t="s">
        <v>353</v>
      </c>
      <c r="JU777" s="2494" t="s">
        <v>353</v>
      </c>
      <c r="JV777" s="2494" t="s">
        <v>353</v>
      </c>
      <c r="JW777" s="2494" t="s">
        <v>353</v>
      </c>
      <c r="JX777" s="2494" t="s">
        <v>3254</v>
      </c>
      <c r="JY777" s="2494" t="s">
        <v>3254</v>
      </c>
      <c r="JZ777" s="2494" t="s">
        <v>3254</v>
      </c>
      <c r="KA777" s="2494" t="s">
        <v>3254</v>
      </c>
      <c r="KB777" s="2494" t="s">
        <v>3254</v>
      </c>
      <c r="KC777" s="2494" t="s">
        <v>354</v>
      </c>
      <c r="KD777" s="2494" t="s">
        <v>354</v>
      </c>
      <c r="KE777" s="2494" t="s">
        <v>354</v>
      </c>
      <c r="KF777" s="2494" t="s">
        <v>354</v>
      </c>
      <c r="KG777" s="2494" t="s">
        <v>354</v>
      </c>
      <c r="KH777" s="2494" t="s">
        <v>3257</v>
      </c>
      <c r="KI777" s="2494" t="s">
        <v>3257</v>
      </c>
      <c r="KJ777" s="2494" t="s">
        <v>3257</v>
      </c>
      <c r="KK777" s="2494" t="s">
        <v>3257</v>
      </c>
      <c r="KL777" s="2494" t="s">
        <v>3257</v>
      </c>
      <c r="KM777" s="2494" t="s">
        <v>355</v>
      </c>
      <c r="KN777" s="2494" t="s">
        <v>355</v>
      </c>
      <c r="KO777" s="2494" t="s">
        <v>355</v>
      </c>
      <c r="KP777" s="2494" t="s">
        <v>355</v>
      </c>
      <c r="KQ777" s="2494" t="s">
        <v>355</v>
      </c>
      <c r="KR777" s="2494" t="s">
        <v>3258</v>
      </c>
      <c r="KS777" s="2494" t="s">
        <v>3258</v>
      </c>
      <c r="KT777" s="2494" t="s">
        <v>3258</v>
      </c>
      <c r="KU777" s="2494" t="s">
        <v>3258</v>
      </c>
      <c r="KV777" s="2494" t="s">
        <v>3258</v>
      </c>
      <c r="KW777" s="2494" t="s">
        <v>1432</v>
      </c>
      <c r="KX777" s="2494" t="s">
        <v>1432</v>
      </c>
      <c r="KY777" s="2494" t="s">
        <v>1432</v>
      </c>
      <c r="KZ777" s="2494" t="s">
        <v>1432</v>
      </c>
      <c r="LA777" s="2494" t="s">
        <v>1432</v>
      </c>
      <c r="LB777" s="2494" t="s">
        <v>3259</v>
      </c>
      <c r="LC777" s="2494" t="s">
        <v>3259</v>
      </c>
      <c r="LD777" s="2494" t="s">
        <v>3259</v>
      </c>
      <c r="LE777" s="2494" t="s">
        <v>3259</v>
      </c>
      <c r="LF777" s="2494" t="s">
        <v>3259</v>
      </c>
      <c r="LG777" s="2494" t="s">
        <v>4802</v>
      </c>
      <c r="LH777" s="2494" t="s">
        <v>4802</v>
      </c>
      <c r="LI777" s="2494" t="s">
        <v>4802</v>
      </c>
      <c r="LJ777" s="2494" t="s">
        <v>4802</v>
      </c>
      <c r="LK777" s="2494" t="s">
        <v>4802</v>
      </c>
      <c r="LL777" s="2494" t="s">
        <v>4803</v>
      </c>
      <c r="LM777" s="2494" t="s">
        <v>4803</v>
      </c>
      <c r="LN777" s="2494" t="s">
        <v>4803</v>
      </c>
      <c r="LO777" s="2494" t="s">
        <v>4803</v>
      </c>
      <c r="LP777" s="2494" t="s">
        <v>4803</v>
      </c>
      <c r="LQ777" s="2494"/>
      <c r="LR777" s="2494"/>
      <c r="LS777" s="2494"/>
      <c r="LT777" s="2494"/>
      <c r="LU777" s="2494"/>
      <c r="LV777" s="2494"/>
      <c r="LW777" s="2494"/>
      <c r="LX777" s="2494"/>
      <c r="LY777" s="2494"/>
      <c r="LZ777" s="2494"/>
      <c r="MA777" s="2494"/>
      <c r="MB777" s="2494"/>
      <c r="MC777" s="2494"/>
      <c r="MD777" s="2494"/>
      <c r="ME777" s="2494"/>
      <c r="MF777" s="2494"/>
      <c r="MG777" s="2494"/>
      <c r="MH777" s="2494"/>
      <c r="MI777" s="2494"/>
      <c r="MJ777" s="2494"/>
      <c r="MK777" s="2494"/>
      <c r="ML777" s="2494"/>
      <c r="MM777" s="2494"/>
      <c r="MN777" s="2494"/>
      <c r="MO777" s="2494"/>
      <c r="MP777" s="2494"/>
      <c r="MQ777" s="2494"/>
      <c r="MR777" s="2494"/>
      <c r="MS777" s="2494"/>
      <c r="MT777" s="2494"/>
      <c r="MU777" s="2408"/>
      <c r="MV777" s="2408"/>
      <c r="MW777" s="2408"/>
      <c r="MX777" s="2408"/>
      <c r="MY777" s="2408"/>
      <c r="MZ777" s="2494"/>
      <c r="NA777" s="2494"/>
      <c r="NB777" s="2494"/>
      <c r="NC777" s="2494"/>
      <c r="ND777" s="2494"/>
    </row>
    <row r="778" spans="1:368" s="2650" customFormat="1" ht="11.25" customHeight="1">
      <c r="A778" s="2655"/>
      <c r="B778" s="2662" t="s">
        <v>4529</v>
      </c>
      <c r="C778" s="2251" t="s">
        <v>167</v>
      </c>
      <c r="D778" s="2251" t="s">
        <v>169</v>
      </c>
      <c r="E778" s="2251" t="s">
        <v>1446</v>
      </c>
      <c r="F778" s="2251" t="s">
        <v>1253</v>
      </c>
      <c r="G778" s="2251" t="s">
        <v>3495</v>
      </c>
      <c r="H778" s="2251" t="s">
        <v>1447</v>
      </c>
      <c r="J778" s="2661"/>
      <c r="K778" s="2663" t="s">
        <v>344</v>
      </c>
      <c r="L778" s="2251" t="s">
        <v>1498</v>
      </c>
      <c r="M778" s="2251" t="s">
        <v>524</v>
      </c>
      <c r="N778" s="2251" t="s">
        <v>1445</v>
      </c>
      <c r="O778" s="2251" t="s">
        <v>3210</v>
      </c>
      <c r="P778" s="2251" t="s">
        <v>378</v>
      </c>
      <c r="R778" s="2251" t="s">
        <v>1447</v>
      </c>
      <c r="S778" s="2251" t="s">
        <v>2618</v>
      </c>
      <c r="T778" s="2494" t="s">
        <v>1799</v>
      </c>
      <c r="W778" s="2494"/>
      <c r="ES778" s="2494"/>
      <c r="ET778" s="2494"/>
      <c r="EU778" s="2494"/>
      <c r="EV778" s="2494"/>
      <c r="EW778" s="2494"/>
      <c r="EX778" s="2494"/>
      <c r="EY778" s="2494"/>
      <c r="EZ778" s="2494"/>
      <c r="FA778" s="2494"/>
      <c r="FB778" s="2494"/>
      <c r="FH778" s="2494"/>
      <c r="FI778" s="2494"/>
      <c r="FJ778" s="2494"/>
      <c r="FK778" s="2494"/>
      <c r="FL778" s="2494"/>
      <c r="FR778" s="2494"/>
      <c r="FS778" s="2494"/>
      <c r="FT778" s="2494"/>
      <c r="FU778" s="2494"/>
      <c r="FV778" s="2494"/>
      <c r="FW778" s="2494"/>
      <c r="FX778" s="2494"/>
      <c r="FY778" s="2494"/>
      <c r="FZ778" s="2494"/>
      <c r="GA778" s="2494"/>
      <c r="GB778" s="2494"/>
      <c r="GC778" s="2494"/>
      <c r="GD778" s="2494"/>
      <c r="GE778" s="2494"/>
      <c r="GF778" s="2494"/>
      <c r="GG778" s="2494"/>
      <c r="GH778" s="2494"/>
      <c r="GI778" s="2494"/>
      <c r="GJ778" s="2494"/>
      <c r="GK778" s="2494"/>
      <c r="GL778" s="2494"/>
      <c r="GM778" s="2494"/>
      <c r="GN778" s="2494"/>
      <c r="GO778" s="2494"/>
      <c r="GP778" s="2494"/>
      <c r="GQ778" s="2494"/>
      <c r="GR778" s="2494"/>
      <c r="GS778" s="2494"/>
      <c r="GT778" s="2494"/>
      <c r="GU778" s="2494"/>
      <c r="GV778" s="2494"/>
      <c r="GW778" s="2494"/>
      <c r="GX778" s="2494"/>
      <c r="GY778" s="2494"/>
      <c r="GZ778" s="2494"/>
      <c r="HA778" s="2494"/>
      <c r="HB778" s="2494"/>
      <c r="HC778" s="2494"/>
      <c r="HD778" s="2494"/>
      <c r="HE778" s="2494"/>
      <c r="HF778" s="2494"/>
      <c r="HG778" s="2494"/>
      <c r="HH778" s="2494"/>
      <c r="HI778" s="2494"/>
      <c r="HJ778" s="2494"/>
      <c r="HK778" s="2494"/>
      <c r="HL778" s="2494"/>
      <c r="HM778" s="2494"/>
      <c r="HN778" s="2494"/>
      <c r="HO778" s="2494"/>
      <c r="HP778" s="2494"/>
      <c r="HQ778" s="2494"/>
      <c r="HR778" s="2494"/>
      <c r="HS778" s="2494"/>
      <c r="HT778" s="2494"/>
      <c r="HU778" s="2494"/>
      <c r="HV778" s="2494"/>
      <c r="HW778" s="2494"/>
      <c r="HX778" s="2494"/>
      <c r="HY778" s="2494"/>
      <c r="HZ778" s="2494"/>
      <c r="IA778" s="2613" t="s">
        <v>2431</v>
      </c>
      <c r="IB778" s="2613" t="s">
        <v>2431</v>
      </c>
      <c r="IC778" s="2613" t="s">
        <v>2431</v>
      </c>
      <c r="ID778" s="2613" t="s">
        <v>2431</v>
      </c>
      <c r="IE778" s="2494"/>
      <c r="IF778" s="2494"/>
      <c r="IG778" s="2494"/>
      <c r="IH778" s="2494"/>
      <c r="II778" s="2494"/>
      <c r="IJ778" s="2494"/>
      <c r="IK778" s="2494"/>
      <c r="IL778" s="2494"/>
      <c r="IM778" s="2494"/>
      <c r="IN778" s="2494"/>
      <c r="IO778" s="2613" t="s">
        <v>2433</v>
      </c>
      <c r="IP778" s="2613" t="s">
        <v>2433</v>
      </c>
      <c r="IQ778" s="2613" t="s">
        <v>2433</v>
      </c>
      <c r="IR778" s="2613" t="s">
        <v>2433</v>
      </c>
      <c r="IS778" s="2613" t="s">
        <v>2433</v>
      </c>
      <c r="IT778" s="2613" t="s">
        <v>3261</v>
      </c>
      <c r="IU778" s="2613" t="s">
        <v>3261</v>
      </c>
      <c r="IV778" s="2613" t="s">
        <v>3261</v>
      </c>
      <c r="IW778" s="2613" t="s">
        <v>3261</v>
      </c>
      <c r="IX778" s="2613" t="s">
        <v>3261</v>
      </c>
      <c r="IY778" s="2494"/>
      <c r="IZ778" s="2494"/>
      <c r="JA778" s="2494"/>
      <c r="JB778" s="2494"/>
      <c r="JC778" s="2494"/>
      <c r="JD778" s="2494"/>
      <c r="JE778" s="2494"/>
      <c r="JF778" s="2494"/>
      <c r="JG778" s="2494"/>
      <c r="JH778" s="2494"/>
      <c r="JI778" s="2494"/>
      <c r="JJ778" s="2494"/>
      <c r="JK778" s="2494"/>
      <c r="JL778" s="2494"/>
      <c r="JM778" s="2494"/>
      <c r="JN778" s="2494"/>
      <c r="JO778" s="2494"/>
      <c r="JP778" s="2494"/>
      <c r="JQ778" s="2494"/>
      <c r="JR778" s="2494"/>
      <c r="JS778" s="2494"/>
      <c r="JT778" s="2494"/>
      <c r="JU778" s="2494"/>
      <c r="JV778" s="2494"/>
      <c r="JW778" s="2494"/>
      <c r="JX778" s="2494"/>
      <c r="JY778" s="2494"/>
      <c r="JZ778" s="2494"/>
      <c r="KA778" s="2494"/>
      <c r="KB778" s="2494"/>
      <c r="KC778" s="2494"/>
      <c r="KD778" s="2494"/>
      <c r="KE778" s="2494"/>
      <c r="KF778" s="2494"/>
      <c r="KG778" s="2494"/>
      <c r="KH778" s="2494"/>
      <c r="KI778" s="2494"/>
      <c r="KJ778" s="2494"/>
      <c r="KK778" s="2494"/>
      <c r="KL778" s="2494"/>
      <c r="KM778" s="2494"/>
      <c r="KN778" s="2494"/>
      <c r="KO778" s="2494"/>
      <c r="KP778" s="2494"/>
      <c r="KQ778" s="2494"/>
      <c r="KR778" s="2494"/>
      <c r="KS778" s="2494"/>
      <c r="KT778" s="2494"/>
      <c r="KU778" s="2494"/>
      <c r="KV778" s="2494"/>
      <c r="KW778" s="2494"/>
      <c r="KX778" s="2494"/>
      <c r="KY778" s="2494"/>
      <c r="KZ778" s="2494"/>
      <c r="LA778" s="2494"/>
      <c r="LB778" s="2494"/>
      <c r="LC778" s="2494"/>
      <c r="LD778" s="2494"/>
      <c r="LE778" s="2494"/>
      <c r="LF778" s="2494"/>
      <c r="LG778" s="2494"/>
      <c r="LH778" s="2494"/>
      <c r="LI778" s="2494"/>
      <c r="LJ778" s="2494"/>
      <c r="LK778" s="2494"/>
      <c r="LL778" s="2494"/>
      <c r="LM778" s="2494"/>
      <c r="LN778" s="2494"/>
      <c r="LO778" s="2494"/>
      <c r="LP778" s="2494"/>
      <c r="LQ778" s="2494"/>
      <c r="LR778" s="2494"/>
      <c r="LS778" s="2494"/>
      <c r="LT778" s="2494"/>
      <c r="LU778" s="2494"/>
      <c r="LV778" s="2494"/>
      <c r="LW778" s="2494"/>
      <c r="LX778" s="2494"/>
      <c r="LY778" s="2494"/>
      <c r="LZ778" s="2494"/>
      <c r="MA778" s="2494"/>
      <c r="MB778" s="2494"/>
      <c r="MC778" s="2494"/>
      <c r="MD778" s="2494"/>
      <c r="ME778" s="2494"/>
      <c r="MF778" s="2494"/>
      <c r="MG778" s="2494"/>
      <c r="MH778" s="2494"/>
      <c r="MI778" s="2494"/>
      <c r="MJ778" s="2494"/>
      <c r="MK778" s="2494"/>
      <c r="ML778" s="2494"/>
      <c r="MM778" s="2494"/>
      <c r="MN778" s="2494"/>
      <c r="MO778" s="2494"/>
      <c r="MP778" s="2494"/>
      <c r="MQ778" s="2494"/>
      <c r="MR778" s="2494"/>
      <c r="MS778" s="2494"/>
      <c r="MT778" s="2494"/>
      <c r="MU778" s="2408"/>
      <c r="MV778" s="2408"/>
      <c r="MW778" s="2408"/>
      <c r="MX778" s="2408"/>
      <c r="MY778" s="2408"/>
      <c r="MZ778" s="2494"/>
      <c r="NA778" s="2494"/>
      <c r="NB778" s="2494"/>
      <c r="NC778" s="2494"/>
      <c r="ND778" s="2494"/>
    </row>
    <row r="779" spans="1:368" ht="13.8" customHeight="1">
      <c r="A779" s="2652" t="str">
        <f>IF(AND(E779&gt;0,OR(B779="",C779="",D779="",F779="",G779="", H779="",I779="",N779="",O779="",P779="",Q779="")),1,"")</f>
        <v/>
      </c>
      <c r="B779" s="2664" t="str">
        <f>'Part VI-Revenues &amp; Expenses'!B10</f>
        <v>N/A-CS</v>
      </c>
      <c r="C779" s="2665">
        <f>'Part VI-Revenues &amp; Expenses'!C10</f>
        <v>0</v>
      </c>
      <c r="D779" s="2666">
        <f>'Part VI-Revenues &amp; Expenses'!D10</f>
        <v>0</v>
      </c>
      <c r="E779" s="2667">
        <f>'Part VI-Revenues &amp; Expenses'!E10</f>
        <v>0</v>
      </c>
      <c r="F779" s="2667">
        <f>'Part VI-Revenues &amp; Expenses'!F10</f>
        <v>0</v>
      </c>
      <c r="G779" s="2667">
        <f>'Part VI-Revenues &amp; Expenses'!G10</f>
        <v>0</v>
      </c>
      <c r="H779" s="2667">
        <f>'Part VI-Revenues &amp; Expenses'!H10</f>
        <v>0</v>
      </c>
      <c r="I779" s="2667">
        <f>'Part VI-Revenues &amp; Expenses'!I10</f>
        <v>0</v>
      </c>
      <c r="J779" s="2667">
        <f>'Part VI-Revenues &amp; Expenses'!J10</f>
        <v>0</v>
      </c>
      <c r="K779" s="2668">
        <f>'Part VI-Revenues &amp; Expenses'!K10</f>
        <v>0</v>
      </c>
      <c r="L779" s="2669">
        <f t="shared" ref="L779:L816" si="0">MAX(0,H779-I779-J779)</f>
        <v>0</v>
      </c>
      <c r="M779" s="2669">
        <f t="shared" ref="M779:M816" si="1">MAX(0,E779*L779)</f>
        <v>0</v>
      </c>
      <c r="N779" s="2545">
        <f>'Part VI-Revenues &amp; Expenses'!N10</f>
        <v>0</v>
      </c>
      <c r="O779" s="2545">
        <f>'Part VI-Revenues &amp; Expenses'!O10</f>
        <v>0</v>
      </c>
      <c r="P779" s="2545">
        <f>'Part VI-Revenues &amp; Expenses'!P10</f>
        <v>0</v>
      </c>
      <c r="Q779" s="2251">
        <f>'Part VI-Revenues &amp; Expenses'!Q10</f>
        <v>0</v>
      </c>
      <c r="R779" s="2670"/>
      <c r="S779" s="2671"/>
      <c r="T779" s="2607"/>
      <c r="U779" s="2607"/>
      <c r="V779" s="2607"/>
      <c r="W779" s="2607"/>
      <c r="X779" s="2494" t="str">
        <f t="shared" ref="X779:X816" si="2">IF(AND(C779="Efficiency",B779=80,NOT(N779="Common Space")),E779,"")</f>
        <v/>
      </c>
      <c r="Y779" s="2494" t="str">
        <f t="shared" ref="Y779:Y816" si="3">IF(AND(C779=1,B779=80,NOT(N779="Common Space")),E779,"")</f>
        <v/>
      </c>
      <c r="Z779" s="2494" t="str">
        <f t="shared" ref="Z779:Z816" si="4">IF(AND(C779=2,B779=80,NOT(N779="Common Space")),E779,"")</f>
        <v/>
      </c>
      <c r="AA779" s="2494" t="str">
        <f t="shared" ref="AA779:AA816" si="5">IF(AND(C779=3,B779=80,NOT(N779="Common Space")),E779,"")</f>
        <v/>
      </c>
      <c r="AB779" s="2494" t="str">
        <f t="shared" ref="AB779:AB816" si="6">IF(AND(C779=4,B779=80,NOT(N779="Common Space")),E779,"")</f>
        <v/>
      </c>
      <c r="AC779" s="2494" t="str">
        <f t="shared" ref="AC779:AC816" si="7">IF(AND(C779="Efficiency",B779=70,NOT(N779="Common Space")),E779,"")</f>
        <v/>
      </c>
      <c r="AD779" s="2494" t="str">
        <f t="shared" ref="AD779:AD816" si="8">IF(AND(C779=1,B779=70,NOT(N779="Common Space")),E779,"")</f>
        <v/>
      </c>
      <c r="AE779" s="2494" t="str">
        <f t="shared" ref="AE779:AE816" si="9">IF(AND(C779=2,B779=70,NOT(N779="Common Space")),E779,"")</f>
        <v/>
      </c>
      <c r="AF779" s="2494" t="str">
        <f t="shared" ref="AF779:AF816" si="10">IF(AND(C779=3,B779=70,NOT(N779="Common Space")),E779,"")</f>
        <v/>
      </c>
      <c r="AG779" s="2494" t="str">
        <f t="shared" ref="AG779:AG816" si="11">IF(AND(C779=4,B779=70,NOT(N779="Common Space")),E779,"")</f>
        <v/>
      </c>
      <c r="AH779" s="2494" t="str">
        <f t="shared" ref="AH779:AH816" si="12">IF(AND(C779="Efficiency",B779=60,NOT(N779="Common Space")),E779,"")</f>
        <v/>
      </c>
      <c r="AI779" s="2494" t="str">
        <f t="shared" ref="AI779:AI816" si="13">IF(AND(C779=1,B779=60,NOT(N779="Common Space")),E779,"")</f>
        <v/>
      </c>
      <c r="AJ779" s="2494" t="str">
        <f t="shared" ref="AJ779:AJ816" si="14">IF(AND(C779=2,B779=60,NOT(N779="Common Space")),E779,"")</f>
        <v/>
      </c>
      <c r="AK779" s="2494" t="str">
        <f t="shared" ref="AK779:AK816" si="15">IF(AND(C779=3,B779=60,NOT(N779="Common Space")),E779,"")</f>
        <v/>
      </c>
      <c r="AL779" s="2494" t="str">
        <f t="shared" ref="AL779:AL816" si="16">IF(AND(C779=4,B779=60,NOT(N779="Common Space")),E779,"")</f>
        <v/>
      </c>
      <c r="AM779" s="2494" t="str">
        <f t="shared" ref="AM779:AM816" si="17">IF(AND(C779="Efficiency",B779=50,NOT(N779="Common Space")),E779,"")</f>
        <v/>
      </c>
      <c r="AN779" s="2494" t="str">
        <f t="shared" ref="AN779:AN816" si="18">IF(AND(C779=1,B779=50,NOT(N779="Common Space")),E779,"")</f>
        <v/>
      </c>
      <c r="AO779" s="2494" t="str">
        <f t="shared" ref="AO779:AO816" si="19">IF(AND(C779=2,B779=50,NOT(N779="Common Space")),E779,"")</f>
        <v/>
      </c>
      <c r="AP779" s="2494" t="str">
        <f t="shared" ref="AP779:AP816" si="20">IF(AND(C779=3,B779=50,NOT(N779="Common Space")),E779,"")</f>
        <v/>
      </c>
      <c r="AQ779" s="2494" t="str">
        <f t="shared" ref="AQ779:AQ816" si="21">IF(AND(C779=4,B779=50,NOT(N779="Common Space")),E779,"")</f>
        <v/>
      </c>
      <c r="AR779" s="2494" t="str">
        <f t="shared" ref="AR779:AR816" si="22">IF(AND(C779="Efficiency",B779=40,NOT(N779="Common Space")),E779,"")</f>
        <v/>
      </c>
      <c r="AS779" s="2494" t="str">
        <f t="shared" ref="AS779:AS816" si="23">IF(AND(C779=1,B779=40,NOT(N779="Common Space")),E779,"")</f>
        <v/>
      </c>
      <c r="AT779" s="2494" t="str">
        <f t="shared" ref="AT779:AT816" si="24">IF(AND(C779=2,B779=40,NOT(N779="Common Space")),E779,"")</f>
        <v/>
      </c>
      <c r="AU779" s="2494" t="str">
        <f t="shared" ref="AU779:AU816" si="25">IF(AND(C779=3,B779=40,NOT(N779="Common Space")),E779,"")</f>
        <v/>
      </c>
      <c r="AV779" s="2494" t="str">
        <f t="shared" ref="AV779:AV816" si="26">IF(AND(C779=4,B779=40,NOT(N779="Common Space")),E779,"")</f>
        <v/>
      </c>
      <c r="AW779" s="2494" t="str">
        <f t="shared" ref="AW779:AW816" si="27">IF(AND(C779="Efficiency",B779=30,NOT(N779="Common Space")),E779,"")</f>
        <v/>
      </c>
      <c r="AX779" s="2494" t="str">
        <f t="shared" ref="AX779:AX816" si="28">IF(AND(C779=1,B779=30,NOT(N779="Common Space")),E779,"")</f>
        <v/>
      </c>
      <c r="AY779" s="2494" t="str">
        <f t="shared" ref="AY779:AY816" si="29">IF(AND(C779=2,B779=30,NOT(N779="Common Space")),E779,"")</f>
        <v/>
      </c>
      <c r="AZ779" s="2494" t="str">
        <f t="shared" ref="AZ779:AZ816" si="30">IF(AND(C779=3,B779=30,NOT(N779="Common Space")),E779,"")</f>
        <v/>
      </c>
      <c r="BA779" s="2494" t="str">
        <f t="shared" ref="BA779:BA816" si="31">IF(AND(C779=4,B779=30,NOT(N779="Common Space")),E779,"")</f>
        <v/>
      </c>
      <c r="BB779" s="2494" t="str">
        <f t="shared" ref="BB779:BB816" si="32">IF(AND(C779="Efficiency",B779=20,NOT(N779="Common Space")),E779,"")</f>
        <v/>
      </c>
      <c r="BC779" s="2494" t="str">
        <f t="shared" ref="BC779:BC816" si="33">IF(AND(C779=1,B779=20,NOT(N779="Common Space")),E779,"")</f>
        <v/>
      </c>
      <c r="BD779" s="2494" t="str">
        <f t="shared" ref="BD779:BD816" si="34">IF(AND(C779=2,B779=20,NOT(N779="Common Space")),E779,"")</f>
        <v/>
      </c>
      <c r="BE779" s="2494" t="str">
        <f t="shared" ref="BE779:BE816" si="35">IF(AND(C779=3,B779=20,NOT(N779="Common Space")),E779,"")</f>
        <v/>
      </c>
      <c r="BF779" s="2494" t="str">
        <f t="shared" ref="BF779:BF816" si="36">IF(AND(C779=4,B779=20,NOT(N779="Common Space")),E779,"")</f>
        <v/>
      </c>
      <c r="BG779" s="2494" t="str">
        <f t="shared" ref="BG779:BG816" si="37">IF(AND(C779="Efficiency",B779="Unrestricted",NOT(N779="Common Space")),E779,"")</f>
        <v/>
      </c>
      <c r="BH779" s="2494" t="str">
        <f t="shared" ref="BH779:BH816" si="38">IF(AND(C779=1,B779="Unrestricted",NOT(N779="Common Space")),E779,"")</f>
        <v/>
      </c>
      <c r="BI779" s="2494" t="str">
        <f t="shared" ref="BI779:BI816" si="39">IF(AND(C779=2,B779="Unrestricted",NOT(N779="Common Space")),E779,"")</f>
        <v/>
      </c>
      <c r="BJ779" s="2494" t="str">
        <f t="shared" ref="BJ779:BJ816" si="40">IF(AND(C779=3,B779="Unrestricted",NOT(N779="Common Space")),E779,"")</f>
        <v/>
      </c>
      <c r="BK779" s="2494" t="str">
        <f t="shared" ref="BK779:BK816" si="41">IF(AND(C779=4,B779="Unrestricted",NOT(N779="Common Space")),E779,"")</f>
        <v/>
      </c>
      <c r="BL779" s="2494" t="str">
        <f t="shared" ref="BL779:BL816" si="42">IF(OR(AND($C779="Efficiency",NOT($K779=""),NOT($K779="PHA Oper Sub"),$B779=20,NOT($N779="Common Space")),AND($C779="Efficiency",NOT($K779=""),NOT($K779="PHA Oper Sub"),$B779="HOME 20",NOT($N779="Common Space"))),$E779,"")</f>
        <v/>
      </c>
      <c r="BM779" s="2494" t="str">
        <f t="shared" ref="BM779:BM816" si="43">IF(OR(AND($C779=1,NOT($K779=""),NOT($K779="PHA Oper Sub"),$B779=20,NOT($N779="Common Space")),AND($C779=1,NOT($K779=""),NOT($K779="PHA Oper Sub"),$B779="HOME 20",NOT($N779="Common Space"))),$E779,"")</f>
        <v/>
      </c>
      <c r="BN779" s="2494" t="str">
        <f t="shared" ref="BN779:BN816" si="44">IF(OR(AND($C779=2,NOT($K779=""),NOT($K779="PHA Oper Sub"),$B779=20,NOT($N779="Common Space")),AND($C779=2,NOT($K779=""),NOT($K779="PHA Oper Sub"),$B779="HOME 20",NOT($N779="Common Space"))),$E779,"")</f>
        <v/>
      </c>
      <c r="BO779" s="2494" t="str">
        <f t="shared" ref="BO779:BO816" si="45">IF(OR(AND($C779=3,NOT($K779=""),NOT($K779="PHA Oper Sub"),$B779=20,NOT($N779="Common Space")),AND($C779=3,NOT($K779=""),NOT($K779="PHA Oper Sub"),$B779="HOME 20",NOT($N779="Common Space"))),$E779,"")</f>
        <v/>
      </c>
      <c r="BP779" s="2494" t="str">
        <f t="shared" ref="BP779:BP816" si="46">IF(OR(AND($C779=4,NOT($K779=""),NOT($K779="PHA Oper Sub"),$B779=20,NOT($N779="Common Space")),AND($C779=4,NOT($K779=""),NOT($K779="PHA Oper Sub"),$B779="HOME 20",NOT($N779="Common Space"))),$E779,"")</f>
        <v/>
      </c>
      <c r="BQ779" s="2494" t="str">
        <f t="shared" ref="BQ779:BQ816" si="47">IF(OR(AND($C779="Efficiency",NOT($K779=""),NOT($K779="PHA Oper Sub"),$B779=30,NOT($N779="Common Space")),AND($C779="Efficiency",NOT($K779=""),NOT($K779="PHA Oper Sub"),$B779="HOME 30",NOT($N779="Common Space"))),$E779,"")</f>
        <v/>
      </c>
      <c r="BR779" s="2494" t="str">
        <f t="shared" ref="BR779:BR816" si="48">IF(OR(AND($C779=1,NOT($K779=""),NOT($K779="PHA Oper Sub"),$B779=30,NOT($N779="Common Space")),AND($C779=1,NOT($K779=""),NOT($K779="PHA Oper Sub"),$B779="HOME 30",NOT($N779="Common Space"))),$E779,"")</f>
        <v/>
      </c>
      <c r="BS779" s="2494" t="str">
        <f t="shared" ref="BS779:BS816" si="49">IF(OR(AND($C779=2,NOT($K779=""),NOT($K779="PHA Oper Sub"),$B779=30,NOT($N779="Common Space")),AND($C779=2,NOT($K779=""),NOT($K779="PHA Oper Sub"),$B779="HOME 30",NOT($N779="Common Space"))),$E779,"")</f>
        <v/>
      </c>
      <c r="BT779" s="2494" t="str">
        <f t="shared" ref="BT779:BT816" si="50">IF(OR(AND($C779=3,NOT($K779=""),NOT($K779="PHA Oper Sub"),$B779=30,NOT($N779="Common Space")),AND($C779=3,NOT($K779=""),NOT($K779="PHA Oper Sub"),$B779="HOME 30",NOT($N779="Common Space"))),$E779,"")</f>
        <v/>
      </c>
      <c r="BU779" s="2494" t="str">
        <f t="shared" ref="BU779:BU816" si="51">IF(OR(AND($C779=4,NOT($K779=""),NOT($K779="PHA Oper Sub"),$B779=30,NOT($N779="Common Space")),AND($C779=4,NOT($K779=""),NOT($K779="PHA Oper Sub"),$B779="HOME 30",NOT($N779="Common Space"))),$E779,"")</f>
        <v/>
      </c>
      <c r="BV779" s="2494" t="str">
        <f t="shared" ref="BV779:BV816" si="52">IF(OR(AND($C779="Efficiency",NOT($K779=""),NOT($K779="PHA Oper Sub"),$B779=40,NOT($N779="Common Space")),AND($C779="Efficiency",NOT($K779=""),NOT($K779="PHA Oper Sub"),$B779="HOME 40",NOT($N779="Common Space"))),$E779,"")</f>
        <v/>
      </c>
      <c r="BW779" s="2494" t="str">
        <f t="shared" ref="BW779:BW816" si="53">IF(OR(AND($C779=1,NOT($K779=""),NOT($K779="PHA Oper Sub"),$B779=40,NOT($N779="Common Space")),AND($C779=1,NOT($K779=""),NOT($K779="PHA Oper Sub"),$B779="HOME 40",NOT($N779="Common Space"))),$E779,"")</f>
        <v/>
      </c>
      <c r="BX779" s="2494" t="str">
        <f t="shared" ref="BX779:BX816" si="54">IF(OR(AND($C779=2,NOT($K779=""),NOT($K779="PHA Oper Sub"),$B779=40,NOT($N779="Common Space")),AND($C779=2,NOT($K779=""),NOT($K779="PHA Oper Sub"),$B779="HOME 40",NOT($N779="Common Space"))),$E779,"")</f>
        <v/>
      </c>
      <c r="BY779" s="2494" t="str">
        <f t="shared" ref="BY779:BY816" si="55">IF(OR(AND($C779=3,NOT($K779=""),NOT($K779="PHA Oper Sub"),$B779=40,NOT($N779="Common Space")),AND($C779=3,NOT($K779=""),NOT($K779="PHA Oper Sub"),$B779="HOME 40",NOT($N779="Common Space"))),$E779,"")</f>
        <v/>
      </c>
      <c r="BZ779" s="2494" t="str">
        <f t="shared" ref="BZ779:BZ816" si="56">IF(OR(AND($C779=4,NOT($K779=""),NOT($K779="PHA Oper Sub"),$B779=40,NOT($N779="Common Space")),AND($C779=4,NOT($K779=""),NOT($K779="PHA Oper Sub"),$B779="HOME 40",NOT($N779="Common Space"))),$E779,"")</f>
        <v/>
      </c>
      <c r="CA779" s="2494" t="str">
        <f t="shared" ref="CA779:CA816" si="57">IF(OR(AND($C779="Efficiency",NOT($K779=""),NOT($K779="PHA Oper Sub"),NOT($K779=0),$B779=50,NOT($N779="Common Space")),AND($C779="Efficiency",NOT($K779=""),NOT($K779=0),NOT($K779="PHA Oper Sub"),$B779="HOME 50",NOT($N779="Common Space"))),$E779,"")</f>
        <v/>
      </c>
      <c r="CB779" s="2494" t="str">
        <f t="shared" ref="CB779:CB816" si="58">IF(OR(AND($C779=1,NOT($K779=""),NOT($K779=0),NOT($K779="PHA Oper Sub"),$B779=50,NOT($N779="Common Space")),AND($C779=1,NOT($K779=""),NOT($K779=0),NOT($K779="PHA Oper Sub"),$B779="HOME 50",NOT($N779="Common Space"))),$E779,"")</f>
        <v/>
      </c>
      <c r="CC779" s="2494" t="str">
        <f t="shared" ref="CC779:CC816" si="59">IF(OR(AND($C779=2,NOT($K779=""),NOT($K779=0),NOT($K779="PHA Oper Sub"),$B779=50,NOT($N779="Common Space")),AND($C779=2,NOT($K779=""),NOT($K779=0),NOT($K779="PHA Oper Sub"),$B779="HOME 50",NOT($N779="Common Space"))),$E779,"")</f>
        <v/>
      </c>
      <c r="CD779" s="2494" t="str">
        <f t="shared" ref="CD779:CD816" si="60">IF(OR(AND($C779=3,NOT($K779=""),NOT($K779=0),NOT($K779="PHA Oper Sub"),$B779=50,NOT($N779="Common Space")),AND($C779=3,NOT($K779=""),NOT($K779=0),NOT($K779="PHA Oper Sub"),$B779="HOME 50",NOT($N779="Common Space"))),$E779,"")</f>
        <v/>
      </c>
      <c r="CE779" s="2494" t="str">
        <f t="shared" ref="CE779:CE816" si="61">IF(OR(AND($C779=4,NOT($K779=""),NOT($K779=0),NOT($K779="PHA Oper Sub"),$B779=50,NOT($N779="Common Space")),AND($C779=4,NOT($K779=""),NOT($K779=0),NOT($K779="PHA Oper Sub"),$B779="HOME 50",NOT($N779="Common Space"))),$E779,"")</f>
        <v/>
      </c>
      <c r="CF779" s="2494" t="str">
        <f t="shared" ref="CF779:CF816" si="62">IF(OR(AND($C779="Efficiency",NOT($K779=""),NOT($K779=0),NOT($K779="PHA Oper Sub"),$B779=60,NOT($N779="Common Space")),AND($C779="Efficiency",NOT($K779=""),NOT($K779=0),NOT($K779="PHA Oper Sub"),$B779="HOME 60",NOT($N779="Common Space"))),$E779,"")</f>
        <v/>
      </c>
      <c r="CG779" s="2494" t="str">
        <f t="shared" ref="CG779:CG816" si="63">IF(OR(AND($C779=1,NOT($K779=""),NOT($K779=0),NOT($K779="PHA Oper Sub"),$B779=60,NOT($N779="Common Space")),AND($C779=1,NOT($K779=""),NOT($K779=0),NOT($K779="PHA Oper Sub"),$B779="HOME 60",NOT($N779="Common Space"))),$E779,"")</f>
        <v/>
      </c>
      <c r="CH779" s="2494" t="str">
        <f t="shared" ref="CH779:CH816" si="64">IF(OR(AND($C779=2,NOT($K779=""),NOT($K779=0),NOT($K779="PHA Oper Sub"),$B779=60,NOT($N779="Common Space")),AND($C779=2,NOT($K779=""),NOT($K779=0),NOT($K779="PHA Oper Sub"),$B779="HOME 60",NOT($N779="Common Space"))),$E779,"")</f>
        <v/>
      </c>
      <c r="CI779" s="2494" t="str">
        <f t="shared" ref="CI779:CI816" si="65">IF(OR(AND($C779=3,NOT($K779=""),NOT($K779=0),NOT($K779="PHA Oper Sub"),$B779=60,NOT($N779="Common Space")),AND($C779=3,NOT($K779=""),NOT($K779=0),NOT($K779="PHA Oper Sub"),$B779="HOME 60",NOT($N779="Common Space"))),$E779,"")</f>
        <v/>
      </c>
      <c r="CJ779" s="2494" t="str">
        <f t="shared" ref="CJ779:CJ816" si="66">IF(OR(AND($C779=4,NOT($K779=""),NOT($K779=0),NOT($K779="PHA Oper Sub"),$B779=60,NOT($N779="Common Space")),AND($C779=4,NOT($K779=""),NOT($K779=0),NOT($K779="PHA Oper Sub"),$B779="HOME 60",NOT($N779="Common Space"))),$E779,"")</f>
        <v/>
      </c>
      <c r="CK779" s="2494" t="str">
        <f t="shared" ref="CK779:CK816" si="67">IF(OR(AND($C779="Efficiency",NOT($K779=""),NOT($K779="PHA Oper Sub"),$B779=70,NOT($N779="Common Space")),AND($C779="Efficiency",NOT($K779=""),NOT($K779="PHA Oper Sub"),$B779="HOME 70",NOT($N779="Common Space"))),$E779,"")</f>
        <v/>
      </c>
      <c r="CL779" s="2494" t="str">
        <f t="shared" ref="CL779:CL816" si="68">IF(OR(AND($C779=1,NOT($K779=""),NOT($K779="PHA Oper Sub"),$B779=70,NOT($N779="Common Space")),AND($C779=1,NOT($K779=""),NOT($K779="PHA Oper Sub"),$B779="HOME 70",NOT($N779="Common Space"))),$E779,"")</f>
        <v/>
      </c>
      <c r="CM779" s="2494" t="str">
        <f t="shared" ref="CM779:CM816" si="69">IF(OR(AND($C779=2,NOT($K779=""),NOT($K779="PHA Oper Sub"),$B779=70,NOT($N779="Common Space")),AND($C779=2,NOT($K779=""),NOT($K779="PHA Oper Sub"),$B779="HOME 70",NOT($N779="Common Space"))),$E779,"")</f>
        <v/>
      </c>
      <c r="CN779" s="2494" t="str">
        <f t="shared" ref="CN779:CN816" si="70">IF(OR(AND($C779=3,NOT($K779=""),NOT($K779="PHA Oper Sub"),$B779=70,NOT($N779="Common Space")),AND($C779=3,NOT($K779=""),NOT($K779="PHA Oper Sub"),$B779="HOME 70",NOT($N779="Common Space"))),$E779,"")</f>
        <v/>
      </c>
      <c r="CO779" s="2494" t="str">
        <f t="shared" ref="CO779:CO816" si="71">IF(OR(AND($C779=4,NOT($K779=""),NOT($K779="PHA Oper Sub"),$B779=70,NOT($N779="Common Space")),AND($C779=4,NOT($K779=""),NOT($K779="PHA Oper Sub"),$B779="HOME 70",NOT($N779="Common Space"))),$E779,"")</f>
        <v/>
      </c>
      <c r="CP779" s="2494" t="str">
        <f t="shared" ref="CP779:CP816" si="72">IF(OR(AND($C779="Efficiency",NOT($K779=""),NOT($K779="PHA Oper Sub"),$B779=80,NOT($N779="Common Space")),AND($C779="Efficiency",NOT($K779=""),NOT($K779="PHA Oper Sub"),$B779="HOME 80",NOT($N779="Common Space"))),$E779,"")</f>
        <v/>
      </c>
      <c r="CQ779" s="2494" t="str">
        <f t="shared" ref="CQ779:CQ816" si="73">IF(OR(AND($C779=1,NOT($K779=""),NOT($K779="PHA Oper Sub"),$B779=80,NOT($N779="Common Space")),AND($C779=1,NOT($K779=""),NOT($K779="PHA Oper Sub"),$B779="HOME 80",NOT($N779="Common Space"))),$E779,"")</f>
        <v/>
      </c>
      <c r="CR779" s="2494" t="str">
        <f t="shared" ref="CR779:CR816" si="74">IF(OR(AND($C779=2,NOT($K779=""),NOT($K779="PHA Oper Sub"),$B779=80,NOT($N779="Common Space")),AND($C779=2,NOT($K779=""),NOT($K779="PHA Oper Sub"),$B779="HOME 80",NOT($N779="Common Space"))),$E779,"")</f>
        <v/>
      </c>
      <c r="CS779" s="2494" t="str">
        <f t="shared" ref="CS779:CS816" si="75">IF(OR(AND($C779=3,NOT($K779=""),NOT($K779="PHA Oper Sub"),$B779=80,NOT($N779="Common Space")),AND($C779=3,NOT($K779=""),NOT($K779="PHA Oper Sub"),$B779="HOME 80",NOT($N779="Common Space"))),$E779,"")</f>
        <v/>
      </c>
      <c r="CT779" s="2494" t="str">
        <f t="shared" ref="CT779:CT816" si="76">IF(OR(AND($C779=4,NOT($K779=""),NOT($K779="PHA Oper Sub"),$B779=80,NOT($N779="Common Space")),AND($C779=4,NOT($K779=""),NOT($K779="PHA Oper Sub"),$B779="HOME 80",NOT($N779="Common Space"))),$E779,"")</f>
        <v/>
      </c>
      <c r="CU779" s="2494" t="str">
        <f t="shared" ref="CU779:CU816" si="77">IF(OR(AND($C779="Efficiency",$K779="PHA Oper Sub",$B779=20,NOT($N779="Common Space")),AND($C779="Efficiency",$K779="PHA Oper Sub",$B779="HOME 20",NOT($N779="Common Space"))),$E779,"")</f>
        <v/>
      </c>
      <c r="CV779" s="2494" t="str">
        <f t="shared" ref="CV779:CV816" si="78">IF(OR(AND($C779=1,$K779="PHA Oper Sub",$B779=20,NOT($N779="Common Space")),AND($C779=1,$K779="PHA Oper Sub",$B779="HOME 20",NOT($N779="Common Space"))),$E779,"")</f>
        <v/>
      </c>
      <c r="CW779" s="2494" t="str">
        <f t="shared" ref="CW779:CW816" si="79">IF(OR(AND($C779=2,$K779="PHA Oper Sub",$B779=20,NOT($N779="Common Space")),AND($C779=2,$K779="PHA Oper Sub",$B779="HOME 20",NOT($N779="Common Space"))),$E779,"")</f>
        <v/>
      </c>
      <c r="CX779" s="2494" t="str">
        <f t="shared" ref="CX779:CX816" si="80">IF(OR(AND($C779=3,$K779="PHA Oper Sub",$B779=20,NOT($N779="Common Space")),AND($C779=3,$K779="PHA Oper Sub",$B779="HOME 20",NOT($N779="Common Space"))),$E779,"")</f>
        <v/>
      </c>
      <c r="CY779" s="2494" t="str">
        <f t="shared" ref="CY779:CY816" si="81">IF(OR(AND($C779=4,$K779="PHA Oper Sub",$B779=20,NOT($N779="Common Space")),AND($C779=4,$K779="PHA Oper Sub",$B779="HOME 20",NOT($N779="Common Space"))),$E779,"")</f>
        <v/>
      </c>
      <c r="CZ779" s="2494" t="str">
        <f t="shared" ref="CZ779:CZ816" si="82">IF(OR(AND($C779="Efficiency",$K779="PHA Oper Sub",$B779=30,NOT($N779="Common Space")),AND($C779="Efficiency",$K779="PHA Oper Sub",$B779="HOME 30",NOT($N779="Common Space"))),$E779,"")</f>
        <v/>
      </c>
      <c r="DA779" s="2494" t="str">
        <f t="shared" ref="DA779:DA816" si="83">IF(OR(AND($C779=1,$K779="PHA Oper Sub",$B779=30,NOT($N779="Common Space")),AND($C779=1,$K779="PHA Oper Sub",$B779="HOME 30",NOT($N779="Common Space"))),$E779,"")</f>
        <v/>
      </c>
      <c r="DB779" s="2494" t="str">
        <f t="shared" ref="DB779:DB816" si="84">IF(OR(AND($C779=2,$K779="PHA Oper Sub",$B779=30,NOT($N779="Common Space")),AND($C779=2,$K779="PHA Oper Sub",$B779="HOME 30",NOT($N779="Common Space"))),$E779,"")</f>
        <v/>
      </c>
      <c r="DC779" s="2494" t="str">
        <f t="shared" ref="DC779:DC816" si="85">IF(OR(AND($C779=3,$K779="PHA Oper Sub",$B779=30,NOT($N779="Common Space")),AND($C779=3,$K779="PHA Oper Sub",$B779="HOME 30",NOT($N779="Common Space"))),$E779,"")</f>
        <v/>
      </c>
      <c r="DD779" s="2494" t="str">
        <f t="shared" ref="DD779:DD816" si="86">IF(OR(AND($C779=4,$K779="PHA Oper Sub",$B779=30,NOT($N779="Common Space")),AND($C779=4,$K779="PHA Oper Sub",$B779="HOME 30",NOT($N779="Common Space"))),$E779,"")</f>
        <v/>
      </c>
      <c r="DE779" s="2494" t="str">
        <f t="shared" ref="DE779:DE816" si="87">IF(OR(AND($C779="Efficiency",$K779="PHA Oper Sub",$B779=40,NOT($N779="Common Space")),AND($C779="Efficiency",$K779="PHA Oper Sub",$B779="HOME 40",NOT($N779="Common Space"))),$E779,"")</f>
        <v/>
      </c>
      <c r="DF779" s="2494" t="str">
        <f t="shared" ref="DF779:DF816" si="88">IF(OR(AND($C779=1,$K779="PHA Oper Sub",$B779=40,NOT($N779="Common Space")),AND($C779=1,$K779="PHA Oper Sub",$B779="HOME 40",NOT($N779="Common Space"))),$E779,"")</f>
        <v/>
      </c>
      <c r="DG779" s="2494" t="str">
        <f t="shared" ref="DG779:DG816" si="89">IF(OR(AND($C779=2,$K779="PHA Oper Sub",$B779=40,NOT($N779="Common Space")),AND($C779=2,$K779="PHA Oper Sub",$B779="HOME 40",NOT($N779="Common Space"))),$E779,"")</f>
        <v/>
      </c>
      <c r="DH779" s="2494" t="str">
        <f t="shared" ref="DH779:DH816" si="90">IF(OR(AND($C779=3,$K779="PHA Oper Sub",$B779=40,NOT($N779="Common Space")),AND($C779=3,$K779="PHA Oper Sub",$B779="HOME 40",NOT($N779="Common Space"))),$E779,"")</f>
        <v/>
      </c>
      <c r="DI779" s="2494" t="str">
        <f t="shared" ref="DI779:DI816" si="91">IF(OR(AND($C779=4,$K779="PHA Oper Sub",$B779=40,NOT($N779="Common Space")),AND($C779=4,$K779="PHA Oper Sub",$B779="HOME 40",NOT($N779="Common Space"))),$E779,"")</f>
        <v/>
      </c>
      <c r="DJ779" s="2494" t="str">
        <f t="shared" ref="DJ779:DJ816" si="92">IF(OR(AND($C779="Efficiency",$K779="PHA Oper Sub",$B779=50,NOT($N779="Common Space")),AND($C779="Efficiency",$K779="PHA Oper Sub",$B779="HOME 50",NOT($N779="Common Space"))),$E779,"")</f>
        <v/>
      </c>
      <c r="DK779" s="2494" t="str">
        <f t="shared" ref="DK779:DK816" si="93">IF(OR(AND($C779=1,$K779="PHA Oper Sub",$B779=50,NOT($N779="Common Space")),AND($C779=1,$K779="PHA Oper Sub",$B779="HOME 50",NOT($N779="Common Space"))),$E779,"")</f>
        <v/>
      </c>
      <c r="DL779" s="2494" t="str">
        <f t="shared" ref="DL779:DL816" si="94">IF(OR(AND($C779=2,$K779="PHA Oper Sub",$B779=50,NOT($N779="Common Space")),AND($C779=2,$K779="PHA Oper Sub",$B779="HOME 50",NOT($N779="Common Space"))),$E779,"")</f>
        <v/>
      </c>
      <c r="DM779" s="2494" t="str">
        <f t="shared" ref="DM779:DM816" si="95">IF(OR(AND($C779=3,$K779="PHA Oper Sub",$B779=50,NOT($N779="Common Space")),AND($C779=3,$K779="PHA Oper Sub",$B779="HOME 50",NOT($N779="Common Space"))),$E779,"")</f>
        <v/>
      </c>
      <c r="DN779" s="2494" t="str">
        <f t="shared" ref="DN779:DN816" si="96">IF(OR(AND($C779=4,$K779="PHA Oper Sub",$B779=50,NOT($N779="Common Space")),AND($C779=4,$K779="PHA Oper Sub",$B779="HOME 50",NOT($N779="Common Space"))),$E779,"")</f>
        <v/>
      </c>
      <c r="DO779" s="2494" t="str">
        <f t="shared" ref="DO779:DO816" si="97">IF(OR(AND($C779="Efficiency",$K779="PHA Oper Sub",$B779=60,NOT($N779="Common Space")),AND($C779="Efficiency",$K779="PHA Oper Sub",$B779="HOME 60",NOT($N779="Common Space"))),$E779,"")</f>
        <v/>
      </c>
      <c r="DP779" s="2494" t="str">
        <f t="shared" ref="DP779:DP816" si="98">IF(OR(AND($C779=1,$K779="PHA Oper Sub",$B779=60,NOT($N779="Common Space")),AND($C779=1,$K779="PHA Oper Sub",$B779="HOME 60",NOT($N779="Common Space"))),$E779,"")</f>
        <v/>
      </c>
      <c r="DQ779" s="2494" t="str">
        <f t="shared" ref="DQ779:DQ816" si="99">IF(OR(AND($C779=2,$K779="PHA Oper Sub",$B779=60,NOT($N779="Common Space")),AND($C779=2,$K779="PHA Oper Sub",$B779="HOME 60",NOT($N779="Common Space"))),$E779,"")</f>
        <v/>
      </c>
      <c r="DR779" s="2494" t="str">
        <f t="shared" ref="DR779:DR816" si="100">IF(OR(AND($C779=3,$K779="PHA Oper Sub",$B779=60,NOT($N779="Common Space")),AND($C779=3,$K779="PHA Oper Sub",$B779="HOME 60",NOT($N779="Common Space"))),$E779,"")</f>
        <v/>
      </c>
      <c r="DS779" s="2494" t="str">
        <f t="shared" ref="DS779:DS816" si="101">IF(OR(AND($C779=4,$K779="PHA Oper Sub",$B779=60,NOT($N779="Common Space")),AND($C779=4,$K779="PHA Oper Sub",$B779="HOME 60",NOT($N779="Common Space"))),$E779,"")</f>
        <v/>
      </c>
      <c r="DT779" s="2494" t="str">
        <f t="shared" ref="DT779:DT816" si="102">IF(OR(AND($C779="Efficiency",$K779="PHA Oper Sub",$B779=70,NOT($N779="Common Space")),AND($C779="Efficiency",$K779="PHA Oper Sub",$B779="HOME 70",NOT($N779="Common Space"))),$E779,"")</f>
        <v/>
      </c>
      <c r="DU779" s="2494" t="str">
        <f t="shared" ref="DU779:DU816" si="103">IF(OR(AND($C779=1,$K779="PHA Oper Sub",$B779=70,NOT($N779="Common Space")),AND($C779=1,$K779="PHA Oper Sub",$B779="HOME 70",NOT($N779="Common Space"))),$E779,"")</f>
        <v/>
      </c>
      <c r="DV779" s="2494" t="str">
        <f t="shared" ref="DV779:DV816" si="104">IF(OR(AND($C779=2,$K779="PHA Oper Sub",$B779=70,NOT($N779="Common Space")),AND($C779=2,$K779="PHA Oper Sub",$B779="HOME 70",NOT($N779="Common Space"))),$E779,"")</f>
        <v/>
      </c>
      <c r="DW779" s="2494" t="str">
        <f t="shared" ref="DW779:DW816" si="105">IF(OR(AND($C779=3,$K779="PHA Oper Sub",$B779=70,NOT($N779="Common Space")),AND($C779=3,$K779="PHA Oper Sub",$B779="HOME 70",NOT($N779="Common Space"))),$E779,"")</f>
        <v/>
      </c>
      <c r="DX779" s="2494" t="str">
        <f t="shared" ref="DX779:DX816" si="106">IF(OR(AND($C779=4,$K779="PHA Oper Sub",$B779=70,NOT($N779="Common Space")),AND($C779=4,$K779="PHA Oper Sub",$B779="HOME 70",NOT($N779="Common Space"))),$E779,"")</f>
        <v/>
      </c>
      <c r="DY779" s="2494" t="str">
        <f t="shared" ref="DY779:DY816" si="107">IF(OR(AND($C779="Efficiency",$K779="PHA Oper Sub",$B779=80,NOT($N779="Common Space")),AND($C779="Efficiency",$K779="PHA Oper Sub",$B779="HOME 80",NOT($N779="Common Space"))),$E779,"")</f>
        <v/>
      </c>
      <c r="DZ779" s="2494" t="str">
        <f t="shared" ref="DZ779:DZ816" si="108">IF(OR(AND($C779=1,$K779="PHA Oper Sub",$B779=80,NOT($N779="Common Space")),AND($C779=1,$K779="PHA Oper Sub",$B779="HOME 80",NOT($N779="Common Space"))),$E779,"")</f>
        <v/>
      </c>
      <c r="EA779" s="2494" t="str">
        <f t="shared" ref="EA779:EA816" si="109">IF(OR(AND($C779=2,$K779="PHA Oper Sub",$B779=80,NOT($N779="Common Space")),AND($C779=2,$K779="PHA Oper Sub",$B779="HOME 80",NOT($N779="Common Space"))),$E779,"")</f>
        <v/>
      </c>
      <c r="EB779" s="2494" t="str">
        <f t="shared" ref="EB779:EB816" si="110">IF(OR(AND($C779=3,$K779="PHA Oper Sub",$B779=80,NOT($N779="Common Space")),AND($C779=3,$K779="PHA Oper Sub",$B779="HOME 80",NOT($N779="Common Space"))),$E779,"")</f>
        <v/>
      </c>
      <c r="EC779" s="2494" t="str">
        <f t="shared" ref="EC779:EC816" si="111">IF(OR(AND($C779=4,$K779="PHA Oper Sub",$B779=80,NOT($N779="Common Space")),AND($C779=4,$K779="PHA Oper Sub",$B779="HOME 80",NOT($N779="Common Space"))),$E779,"")</f>
        <v/>
      </c>
      <c r="ED779" s="2494" t="str">
        <f t="shared" ref="ED779:ED816" si="112">IF(AND(C779="Efficiency",N779="Common Space"),E779,"")</f>
        <v/>
      </c>
      <c r="EE779" s="2494" t="str">
        <f t="shared" ref="EE779:EE816" si="113">IF(AND(C779=1,N779="Common Space"),E779,"")</f>
        <v/>
      </c>
      <c r="EF779" s="2494" t="str">
        <f t="shared" ref="EF779:EF816" si="114">IF(AND(C779=2,N779="Common Space"),E779,"")</f>
        <v/>
      </c>
      <c r="EG779" s="2494" t="str">
        <f t="shared" ref="EG779:EG816" si="115">IF(AND(C779=3,N779="Common Space"),E779,"")</f>
        <v/>
      </c>
      <c r="EH779" s="2494" t="str">
        <f t="shared" ref="EH779:EH816" si="116">IF(AND(C779=4,N779="Common Space"),E779,"")</f>
        <v/>
      </c>
      <c r="EI779" s="2494" t="str">
        <f t="shared" ref="EI779:EI816" si="117">IF(OR(AND($C779="Efficiency",$B779=80,NOT($N779="Common Space")),AND($C779="Efficiency",$B779="HOME 80",NOT($N779="Common Space"))),$E779*$F779,"")</f>
        <v/>
      </c>
      <c r="EJ779" s="2494" t="str">
        <f t="shared" ref="EJ779:EJ816" si="118">IF(OR(AND($C779=1,$B779=80,NOT($N779="Common Space")),AND($C779=1,$B779="HOME 80",NOT($N779="Common Space"))),$E779*$F779,"")</f>
        <v/>
      </c>
      <c r="EK779" s="2494" t="str">
        <f t="shared" ref="EK779:EK816" si="119">IF(OR(AND($C779=2,$B779=80,NOT($N779="Common Space")),AND($C779=2,$B779="HOME 80",NOT($N779="Common Space"))),$E779*$F779,"")</f>
        <v/>
      </c>
      <c r="EL779" s="2494" t="str">
        <f t="shared" ref="EL779:EL816" si="120">IF(OR(AND($C779=3,$B779=80,NOT($N779="Common Space")),AND($C779=3,$B779="HOME 80",NOT($N779="Common Space"))),$E779*$F779,"")</f>
        <v/>
      </c>
      <c r="EM779" s="2494" t="str">
        <f t="shared" ref="EM779:EM816" si="121">IF(OR(AND($C779=4,$B779=80,NOT($N779="Common Space")),AND($C779=4,$B779="HOME 80",NOT($N779="Common Space"))),$E779*$F779,"")</f>
        <v/>
      </c>
      <c r="EN779" s="2494" t="str">
        <f t="shared" ref="EN779:EN816" si="122">IF(OR(AND($C779="Efficiency",$B779=70,NOT($N779="Common Space")),AND($C779="Efficiency",$B779="HOME 70",NOT($N779="Common Space"))),$E779*$F779,"")</f>
        <v/>
      </c>
      <c r="EO779" s="2494" t="str">
        <f t="shared" ref="EO779:EO816" si="123">IF(OR(AND($C779=1,$B779=70,NOT($N779="Common Space")),AND($C779=1,$B779="HOME 70",NOT($N779="Common Space"))),$E779*$F779,"")</f>
        <v/>
      </c>
      <c r="EP779" s="2494" t="str">
        <f t="shared" ref="EP779:EP816" si="124">IF(OR(AND($C779=2,$B779=70,NOT($N779="Common Space")),AND($C779=2,$B779="HOME 70",NOT($N779="Common Space"))),$E779*$F779,"")</f>
        <v/>
      </c>
      <c r="EQ779" s="2494" t="str">
        <f t="shared" ref="EQ779:EQ816" si="125">IF(OR(AND($C779=3,$B779=70,NOT($N779="Common Space")),AND($C779=3,$B779="HOME 70",NOT($N779="Common Space"))),$E779*$F779,"")</f>
        <v/>
      </c>
      <c r="ER779" s="2494" t="str">
        <f t="shared" ref="ER779:ER816" si="126">IF(OR(AND($C779=4,$B779=70,NOT($N779="Common Space")),AND($C779=4,$B779="HOME 70",NOT($N779="Common Space"))),$E779*$F779,"")</f>
        <v/>
      </c>
      <c r="ES779" s="2494" t="str">
        <f t="shared" ref="ES779:ES816" si="127">IF(OR(AND($C779="Efficiency",$B779=60,NOT($N779="Common Space")),AND($C779="Efficiency",$B779="HOME 60",NOT($N779="Common Space"))),$E779*$F779,"")</f>
        <v/>
      </c>
      <c r="ET779" s="2494" t="str">
        <f t="shared" ref="ET779:ET816" si="128">IF(OR(AND($C779=1,$B779=60,NOT($N779="Common Space")),AND($C779=1,$B779="HOME 60",NOT($N779="Common Space"))),$E779*$F779,"")</f>
        <v/>
      </c>
      <c r="EU779" s="2494" t="str">
        <f t="shared" ref="EU779:EU816" si="129">IF(OR(AND($C779=2,$B779=60,NOT($N779="Common Space")),AND($C779=2,$B779="HOME 60",NOT($N779="Common Space"))),$E779*$F779,"")</f>
        <v/>
      </c>
      <c r="EV779" s="2494" t="str">
        <f t="shared" ref="EV779:EV816" si="130">IF(OR(AND($C779=3,$B779=60,NOT($N779="Common Space")),AND($C779=3,$B779="HOME 60",NOT($N779="Common Space"))),$E779*$F779,"")</f>
        <v/>
      </c>
      <c r="EW779" s="2494" t="str">
        <f t="shared" ref="EW779:EW816" si="131">IF(OR(AND($C779=4,$B779=60,NOT($N779="Common Space")),AND($C779=4,$B779="HOME 60",NOT($N779="Common Space"))),$E779*$F779,"")</f>
        <v/>
      </c>
      <c r="EX779" s="2494" t="str">
        <f t="shared" ref="EX779:EX816" si="132">IF(OR(AND($C779="Efficiency",$B779=50,NOT($N779="Common Space")),AND($C779="Efficiency",$B779="HOME 50",NOT($N779="Common Space"))),$E779*$F779,"")</f>
        <v/>
      </c>
      <c r="EY779" s="2494" t="str">
        <f t="shared" ref="EY779:EY816" si="133">IF(OR(AND($C779=1,$B779=50,NOT($N779="Common Space")),AND($C779=1,$B779="HOME 50",NOT($N779="Common Space"))),$E779*$F779,"")</f>
        <v/>
      </c>
      <c r="EZ779" s="2494" t="str">
        <f t="shared" ref="EZ779:EZ816" si="134">IF(OR(AND($C779=2,$B779=50,NOT($N779="Common Space")),AND($C779=2,$B779="HOME 50",NOT($N779="Common Space"))),$E779*$F779,"")</f>
        <v/>
      </c>
      <c r="FA779" s="2494" t="str">
        <f t="shared" ref="FA779:FA816" si="135">IF(OR(AND($C779=3,$B779=50,NOT($N779="Common Space")),AND($C779=3,$B779="HOME 50",NOT($N779="Common Space"))),$E779*$F779,"")</f>
        <v/>
      </c>
      <c r="FB779" s="2494" t="str">
        <f t="shared" ref="FB779:FB816" si="136">IF(OR(AND($C779=4,$B779=50,NOT($N779="Common Space")),AND($C779=4,$B779="HOME 50",NOT($N779="Common Space"))),$E779*$F779,"")</f>
        <v/>
      </c>
      <c r="FC779" s="2494" t="str">
        <f t="shared" ref="FC779:FC816" si="137">IF(OR(AND($C779="Efficiency",$B779=40,NOT($N779="Common Space")),AND($C779="Efficiency",$B779="HOME 40",NOT($N779="Common Space"))),$E779*$F779,"")</f>
        <v/>
      </c>
      <c r="FD779" s="2494" t="str">
        <f t="shared" ref="FD779:FD816" si="138">IF(OR(AND($C779=1,$B779=40,NOT($N779="Common Space")),AND($C779=1,$B779="HOME 40",NOT($N779="Common Space"))),$E779*$F779,"")</f>
        <v/>
      </c>
      <c r="FE779" s="2494" t="str">
        <f t="shared" ref="FE779:FE816" si="139">IF(OR(AND($C779=2,$B779=40,NOT($N779="Common Space")),AND($C779=2,$B779="HOME 40",NOT($N779="Common Space"))),$E779*$F779,"")</f>
        <v/>
      </c>
      <c r="FF779" s="2494" t="str">
        <f t="shared" ref="FF779:FF816" si="140">IF(OR(AND($C779=3,$B779=40,NOT($N779="Common Space")),AND($C779=3,$B779="HOME 40",NOT($N779="Common Space"))),$E779*$F779,"")</f>
        <v/>
      </c>
      <c r="FG779" s="2494" t="str">
        <f t="shared" ref="FG779:FG816" si="141">IF(OR(AND($C779=4,$B779=40,NOT($N779="Common Space")),AND($C779=4,$B779="HOME 40",NOT($N779="Common Space"))),$E779*$F779,"")</f>
        <v/>
      </c>
      <c r="FH779" s="2494" t="str">
        <f t="shared" ref="FH779:FH816" si="142">IF(OR(AND($C779="Efficiency",$B779=30,NOT($N779="Common Space")),AND($C779="Efficiency",$B779="HOME 30",NOT($N779="Common Space"))),$E779*$F779,"")</f>
        <v/>
      </c>
      <c r="FI779" s="2494" t="str">
        <f t="shared" ref="FI779:FI816" si="143">IF(OR(AND($C779=1,$B779=30,NOT($N779="Common Space")),AND($C779=1,$B779="HOME 30",NOT($N779="Common Space"))),$E779*$F779,"")</f>
        <v/>
      </c>
      <c r="FJ779" s="2494" t="str">
        <f t="shared" ref="FJ779:FJ816" si="144">IF(OR(AND($C779=2,$B779=30,NOT($N779="Common Space")),AND($C779=2,$B779="HOME 30",NOT($N779="Common Space"))),$E779*$F779,"")</f>
        <v/>
      </c>
      <c r="FK779" s="2494" t="str">
        <f t="shared" ref="FK779:FK816" si="145">IF(OR(AND($C779=3,$B779=30,NOT($N779="Common Space")),AND($C779=3,$B779="HOME 30",NOT($N779="Common Space"))),$E779*$F779,"")</f>
        <v/>
      </c>
      <c r="FL779" s="2494" t="str">
        <f t="shared" ref="FL779:FL816" si="146">IF(OR(AND($C779=4,$B779=30,NOT($N779="Common Space")),AND($C779=4,$B779="HOME 30",NOT($N779="Common Space"))),$E779*$F779,"")</f>
        <v/>
      </c>
      <c r="FM779" s="2494" t="str">
        <f t="shared" ref="FM779:FM816" si="147">IF(OR(AND($C779="Efficiency",$B779=20,NOT($N779="Common Space")),AND($C779="Efficiency",$B779="HOME 20",NOT($N779="Common Space"))),$E779*$F779,"")</f>
        <v/>
      </c>
      <c r="FN779" s="2494" t="str">
        <f t="shared" ref="FN779:FN816" si="148">IF(OR(AND($C779=1,$B779=20,NOT($N779="Common Space")),AND($C779=1,$B779="HOME 20",NOT($N779="Common Space"))),$E779*$F779,"")</f>
        <v/>
      </c>
      <c r="FO779" s="2494" t="str">
        <f t="shared" ref="FO779:FO816" si="149">IF(OR(AND($C779=2,$B779=20,NOT($N779="Common Space")),AND($C779=2,$B779="HOME 20",NOT($N779="Common Space"))),$E779*$F779,"")</f>
        <v/>
      </c>
      <c r="FP779" s="2494" t="str">
        <f t="shared" ref="FP779:FP816" si="150">IF(OR(AND($C779=3,$B779=20,NOT($N779="Common Space")),AND($C779=3,$B779="HOME 20",NOT($N779="Common Space"))),$E779*$F779,"")</f>
        <v/>
      </c>
      <c r="FQ779" s="2494" t="str">
        <f t="shared" ref="FQ779:FQ816" si="151">IF(OR(AND($C779=4,$B779=20,NOT($N779="Common Space")),AND($C779=4,$B779="HOME 20",NOT($N779="Common Space"))),$E779*$F779,"")</f>
        <v/>
      </c>
      <c r="FR779" s="2494" t="str">
        <f t="shared" ref="FR779:FR816" si="152">IF(AND(C779="Efficiency",B779="Unrestricted",NOT(N779="Common Space")),E779*F779,"")</f>
        <v/>
      </c>
      <c r="FS779" s="2494" t="str">
        <f t="shared" ref="FS779:FS816" si="153">IF(AND(C779=1,B779="Unrestricted",NOT(N779="Common Space")),E779*F779,"")</f>
        <v/>
      </c>
      <c r="FT779" s="2494" t="str">
        <f t="shared" ref="FT779:FT816" si="154">IF(AND(C779=2,B779="Unrestricted",NOT(N779="Common Space")),E779*F779,"")</f>
        <v/>
      </c>
      <c r="FU779" s="2494" t="str">
        <f t="shared" ref="FU779:FU816" si="155">IF(AND(C779=3,B779="Unrestricted",NOT(N779="Common Space")),E779*F779,"")</f>
        <v/>
      </c>
      <c r="FV779" s="2494" t="str">
        <f t="shared" ref="FV779:FV816" si="156">IF(AND(C779=4,B779="Unrestricted",NOT(N779="Common Space")),E779*F779,"")</f>
        <v/>
      </c>
      <c r="FW779" s="2494" t="str">
        <f t="shared" ref="FW779:FW816" si="157">IF(AND(C779="Efficiency",NOT(K779=""),NOT($K779=0),NOT(N779="Common Space")),E779*F779,"")</f>
        <v/>
      </c>
      <c r="FX779" s="2494" t="str">
        <f t="shared" ref="FX779:FX816" si="158">IF(AND(C779=1,NOT(K779=""),NOT($K779=0),NOT(N779="Common Space")),E779*F779,"")</f>
        <v/>
      </c>
      <c r="FY779" s="2494" t="str">
        <f t="shared" ref="FY779:FY816" si="159">IF(AND(C779=2,NOT(K779=""),NOT($K779=0),NOT(N779="Common Space")),E779*F779,"")</f>
        <v/>
      </c>
      <c r="FZ779" s="2494" t="str">
        <f t="shared" ref="FZ779:FZ816" si="160">IF(AND(C779=3,NOT(K779=""),NOT($K779=0),NOT(N779="Common Space")),E779*F779,"")</f>
        <v/>
      </c>
      <c r="GA779" s="2494" t="str">
        <f t="shared" ref="GA779:GA816" si="161">IF(AND(C779=4,NOT(K779=""),NOT($K779=0),NOT(N779="Common Space")),E779*F779,"")</f>
        <v/>
      </c>
      <c r="GB779" s="2494" t="str">
        <f t="shared" ref="GB779:GB816" si="162">IF(AND(C779="Efficiency",N779="Common Space"),E779*F779,"")</f>
        <v/>
      </c>
      <c r="GC779" s="2494" t="str">
        <f t="shared" ref="GC779:GC816" si="163">IF(AND(C779=1,N779="Common Space"),E779*F779,"")</f>
        <v/>
      </c>
      <c r="GD779" s="2494" t="str">
        <f t="shared" ref="GD779:GD816" si="164">IF(AND(C779=2,N779="Common Space"),E779*F779,"")</f>
        <v/>
      </c>
      <c r="GE779" s="2494" t="str">
        <f t="shared" ref="GE779:GE816" si="165">IF(AND(C779=3,N779="Common Space"),E779*F779,"")</f>
        <v/>
      </c>
      <c r="GF779" s="2494" t="str">
        <f t="shared" ref="GF779:GF816" si="166">IF(AND(C779=4,N779="Common Space"),E779*F779,"")</f>
        <v/>
      </c>
      <c r="GG779" s="2494" t="str">
        <f t="shared" ref="GG779:GG816" si="167">IF(AND($C779="Efficiency", $P779="New Construction",NOT($B779="Unrestricted"),NOT($B779="NSP 120"),NOT($B779="N/A-CS"),NOT($N779="Common Space")),$E779,"")</f>
        <v/>
      </c>
      <c r="GH779" s="2494" t="str">
        <f t="shared" ref="GH779:GH816" si="168">IF(AND($C779=1, $P779="New Construction",NOT($B779="Unrestricted"),NOT($B779="NSP 120"),NOT($B779="N/A-CS"),NOT($N779="Common Space")),$E779,"")</f>
        <v/>
      </c>
      <c r="GI779" s="2494" t="str">
        <f t="shared" ref="GI779:GI816" si="169">IF(AND($C779=2, $P779="New Construction",NOT($B779="Unrestricted"),NOT($B779="NSP 120"),NOT($B779="N/A-CS"),NOT($N779="Common Space")),$E779,"")</f>
        <v/>
      </c>
      <c r="GJ779" s="2494" t="str">
        <f t="shared" ref="GJ779:GJ816" si="170">IF(AND($C779=3, $P779="New Construction",NOT($B779="Unrestricted"),NOT($B779="NSP 120"),NOT($B779="N/A-CS"),NOT($N779="Common Space")),$E779,"")</f>
        <v/>
      </c>
      <c r="GK779" s="2494" t="str">
        <f t="shared" ref="GK779:GK816" si="171">IF(AND($C779=4, $P779="New Construction",NOT($B779="Unrestricted"),NOT($B779="NSP 120"),NOT($B779="N/A-CS"),NOT($N779="Common Space")),$E779,"")</f>
        <v/>
      </c>
      <c r="GL779" s="2494" t="str">
        <f t="shared" ref="GL779:GL816" si="172">IF(AND($C779="Efficiency", $P779="New Construction",$B779="Unrestricted",NOT($B779="N/A-CS"),NOT($N779="Common Space")),$E779,"")</f>
        <v/>
      </c>
      <c r="GM779" s="2494" t="str">
        <f t="shared" ref="GM779:GM816" si="173">IF(AND($C779=1, $P779="New Construction",$B779="Unrestricted",NOT($B779="N/A-CS"),NOT($N779="Common Space")),$E779,"")</f>
        <v/>
      </c>
      <c r="GN779" s="2494" t="str">
        <f t="shared" ref="GN779:GN816" si="174">IF(AND($C779=2, $P779="New Construction",$B779="Unrestricted",NOT($B779="N/A-CS"),NOT($N779="Common Space")),$E779,"")</f>
        <v/>
      </c>
      <c r="GO779" s="2494" t="str">
        <f t="shared" ref="GO779:GO816" si="175">IF(AND($C779=3, $P779="New Construction",$B779="Unrestricted",NOT($B779="N/A-CS"),NOT($N779="Common Space")),$E779,"")</f>
        <v/>
      </c>
      <c r="GP779" s="2494" t="str">
        <f t="shared" ref="GP779:GP816" si="176">IF(AND($C779=4, $P779="New Construction",$B779="Unrestricted",NOT($B779="N/A-CS"),NOT($N779="Common Space")),$E779,"")</f>
        <v/>
      </c>
      <c r="GQ779" s="2494" t="str">
        <f t="shared" ref="GQ779:GQ816" si="177">IF(AND($C779="Efficiency", $P779="New Construction",$B779="N/A-CS",$N779="Common Space"),$E779,"")</f>
        <v/>
      </c>
      <c r="GR779" s="2494" t="str">
        <f t="shared" ref="GR779:GR816" si="178">IF(AND($C779=1, $P779="New Construction",$B779="N/A-CS",$N779="Common Space"),$E779,"")</f>
        <v/>
      </c>
      <c r="GS779" s="2494" t="str">
        <f t="shared" ref="GS779:GS816" si="179">IF(AND($C779=2, $P779="New Construction",$B779="N/A-CS",$N779="Common Space"),$E779,"")</f>
        <v/>
      </c>
      <c r="GT779" s="2494" t="str">
        <f t="shared" ref="GT779:GT816" si="180">IF(AND($C779=3, $P779="New Construction",$B779="N/A-CS",$N779="Common Space"),$E779,"")</f>
        <v/>
      </c>
      <c r="GU779" s="2494" t="str">
        <f t="shared" ref="GU779:GU816" si="181">IF(AND($C779=4, $P779="New Construction",$B779="N/A-CS",$N779="Common Space"),$E779,"")</f>
        <v/>
      </c>
      <c r="GV779" s="2494" t="str">
        <f t="shared" ref="GV779:GV816" si="182">IF(AND($C779="Efficiency", $P779="Acquisition/Rehab",NOT($B779="Unrestricted"),NOT($B779="NSP 120"),NOT($B779="N/A-CS"),NOT($N779="Common Space")),$E779,"")</f>
        <v/>
      </c>
      <c r="GW779" s="2494" t="str">
        <f t="shared" ref="GW779:GW816" si="183">IF(AND($C779=1, $P779="Acquisition/Rehab",NOT($B779="Unrestricted"),NOT($B779="NSP 120"),NOT($B779="N/A-CS"),NOT($N779="Common Space")),$E779,"")</f>
        <v/>
      </c>
      <c r="GX779" s="2494" t="str">
        <f t="shared" ref="GX779:GX816" si="184">IF(AND($C779=2, $P779="Acquisition/Rehab",NOT($B779="Unrestricted"),NOT($B779="NSP 120"),NOT($B779="N/A-CS"),NOT($N779="Common Space")),$E779,"")</f>
        <v/>
      </c>
      <c r="GY779" s="2494" t="str">
        <f t="shared" ref="GY779:GY816" si="185">IF(AND($C779=3, $P779="Acquisition/Rehab",NOT($B779="Unrestricted"),NOT($B779="NSP 120"),NOT($B779="N/A-CS"),NOT($N779="Common Space")),$E779,"")</f>
        <v/>
      </c>
      <c r="GZ779" s="2494" t="str">
        <f t="shared" ref="GZ779:GZ816" si="186">IF(AND($C779=4, $P779="Acquisition/Rehab",NOT($B779="Unrestricted"),NOT($B779="NSP 120"),NOT($B779="N/A-CS"),NOT($N779="Common Space")),$E779,"")</f>
        <v/>
      </c>
      <c r="HA779" s="2494" t="str">
        <f t="shared" ref="HA779:HA816" si="187">IF(AND($C779="Efficiency", $P779="Acquisition/Rehab",$B779="Unrestricted",NOT($B779="N/A-CS"),NOT($N779="Common Space")),$E779,"")</f>
        <v/>
      </c>
      <c r="HB779" s="2494" t="str">
        <f t="shared" ref="HB779:HB816" si="188">IF(AND($C779=1, $P779="Acquisition/Rehab",$B779="Unrestricted",NOT($B779="N/A-CS"),NOT($N779="Common Space")),$E779,"")</f>
        <v/>
      </c>
      <c r="HC779" s="2494" t="str">
        <f t="shared" ref="HC779:HC816" si="189">IF(AND($C779=2, $P779="Acquisition/Rehab",$B779="Unrestricted",NOT($B779="N/A-CS"),NOT($N779="Common Space")),$E779,"")</f>
        <v/>
      </c>
      <c r="HD779" s="2494" t="str">
        <f t="shared" ref="HD779:HD816" si="190">IF(AND($C779=3, $P779="Acquisition/Rehab",$B779="Unrestricted",NOT($B779="N/A-CS"),NOT($N779="Common Space")),$E779,"")</f>
        <v/>
      </c>
      <c r="HE779" s="2494" t="str">
        <f t="shared" ref="HE779:HE816" si="191">IF(AND($C779=4, $P779="Acquisition/Rehab",$B779="Unrestricted",NOT($B779="N/A-CS"),NOT($N779="Common Space")),$E779,"")</f>
        <v/>
      </c>
      <c r="HF779" s="2494" t="str">
        <f t="shared" ref="HF779:HF816" si="192">IF(AND($C779="Efficiency", $P779="Acquisition/Rehab",$B779="N/A-CS",$N779="Common Space"),$E779,"")</f>
        <v/>
      </c>
      <c r="HG779" s="2494" t="str">
        <f t="shared" ref="HG779:HG816" si="193">IF(AND($C779=1, $P779="Acquisition/Rehab",$B779="N/A-CS",$N779="Common Space"),$E779,"")</f>
        <v/>
      </c>
      <c r="HH779" s="2494" t="str">
        <f t="shared" ref="HH779:HH816" si="194">IF(AND($C779=2, $P779="Acquisition/Rehab",$B779="N/A-CS",$N779="Common Space"),$E779,"")</f>
        <v/>
      </c>
      <c r="HI779" s="2494" t="str">
        <f t="shared" ref="HI779:HI816" si="195">IF(AND($C779=3, $P779="Acquisition/Rehab",$B779="N/A-CS",$N779="Common Space"),$E779,"")</f>
        <v/>
      </c>
      <c r="HJ779" s="2494" t="str">
        <f t="shared" ref="HJ779:HJ816" si="196">IF(AND($C779=4, $P779="Acquisition/Rehab",$B779="N/A-CS",$N779="Common Space"),$E779,"")</f>
        <v/>
      </c>
      <c r="HK779" s="2494" t="str">
        <f t="shared" ref="HK779:HK816" si="197">IF(AND($C779="Efficiency", $P779="Rehabilitation",NOT($B779="Unrestricted"),NOT($B779="NSP 120"),NOT($B779="N/A-CS"),NOT($N779="Common Space")),$E779,"")</f>
        <v/>
      </c>
      <c r="HL779" s="2494" t="str">
        <f t="shared" ref="HL779:HL816" si="198">IF(AND($C779=1, $P779="Rehabilitation",NOT($B779="Unrestricted"),NOT($B779="NSP 120"),NOT($B779="N/A-CS"),NOT($N779="Common Space")),$E779,"")</f>
        <v/>
      </c>
      <c r="HM779" s="2494" t="str">
        <f t="shared" ref="HM779:HM816" si="199">IF(AND($C779=2, $P779="Rehabilitation",NOT($B779="Unrestricted"),NOT($B779="NSP 120"),NOT($B779="N/A-CS"),NOT($N779="Common Space")),$E779,"")</f>
        <v/>
      </c>
      <c r="HN779" s="2494" t="str">
        <f t="shared" ref="HN779:HN816" si="200">IF(AND($C779=3, $P779="Rehabilitation",NOT($B779="Unrestricted"),NOT($B779="NSP 120"),NOT($B779="N/A-CS"),NOT($N779="Common Space")),$E779,"")</f>
        <v/>
      </c>
      <c r="HO779" s="2494" t="str">
        <f t="shared" ref="HO779:HO816" si="201">IF(AND($C779=4, $P779="Rehabilitation",NOT($B779="Unrestricted"),NOT($B779="NSP 120"),NOT($B779="N/A-CS"),NOT($N779="Common Space")),$E779,"")</f>
        <v/>
      </c>
      <c r="HP779" s="2494" t="str">
        <f t="shared" ref="HP779:HP816" si="202">IF(AND($C779="Efficiency", $P779="Rehabilitation",$B779="Unrestricted",NOT($B779="N/A-CS"),NOT($N779="Common Space")),$E779,"")</f>
        <v/>
      </c>
      <c r="HQ779" s="2494" t="str">
        <f t="shared" ref="HQ779:HQ816" si="203">IF(AND($C779=1, $P779="Rehabilitation",$B779="Unrestricted",NOT($B779="N/A-CS"),NOT($N779="Common Space")),$E779,"")</f>
        <v/>
      </c>
      <c r="HR779" s="2494" t="str">
        <f t="shared" ref="HR779:HR816" si="204">IF(AND($C779=2, $P779="Rehabilitation",$B779="Unrestricted",NOT($B779="N/A-CS"),NOT($N779="Common Space")),$E779,"")</f>
        <v/>
      </c>
      <c r="HS779" s="2494" t="str">
        <f t="shared" ref="HS779:HS816" si="205">IF(AND($C779=3, $P779="Rehabilitation",$B779="Unrestricted",NOT($B779="N/A-CS"),NOT($N779="Common Space")),$E779,"")</f>
        <v/>
      </c>
      <c r="HT779" s="2494" t="str">
        <f t="shared" ref="HT779:HT816" si="206">IF(AND($C779=4, $P779="Rehabilitation",$B779="Unrestricted",NOT($B779="N/A-CS"),NOT($N779="Common Space")),$E779,"")</f>
        <v/>
      </c>
      <c r="HU779" s="2494" t="str">
        <f t="shared" ref="HU779:HU816" si="207">IF(AND($C779="Efficiency", $P779="Rehabilitation",$B779="N/A-CS",$N779="Common Space"),$E779,"")</f>
        <v/>
      </c>
      <c r="HV779" s="2494" t="str">
        <f t="shared" ref="HV779:HV816" si="208">IF(AND($C779=1, $P779="Rehabilitation",$B779="N/A-CS",$N779="Common Space"),$E779,"")</f>
        <v/>
      </c>
      <c r="HW779" s="2494" t="str">
        <f t="shared" ref="HW779:HW816" si="209">IF(AND($C779=2, $P779="Rehabilitation",$B779="N/A-CS",$N779="Common Space"),$E779,"")</f>
        <v/>
      </c>
      <c r="HX779" s="2494" t="str">
        <f t="shared" ref="HX779:HX816" si="210">IF(AND($C779=3, $P779="Rehabilitation",$B779="N/A-CS",$N779="Common Space"),$E779,"")</f>
        <v/>
      </c>
      <c r="HY779" s="2494" t="str">
        <f t="shared" ref="HY779:HY816" si="211">IF(AND($C779=4, $P779="Rehabilitation",$B779="N/A-CS",$N779="Common Space"),$E779,"")</f>
        <v/>
      </c>
      <c r="HZ779" s="2672" t="str">
        <f t="shared" ref="HZ779:HZ816" si="212">IF(AND($C779="Efficiency", NOT(OR($O779="SF Detached",$O779="Mfd Home",$O779="Duplex",$O779="Townhome"))),$E779,"")</f>
        <v/>
      </c>
      <c r="IA779" s="2672" t="str">
        <f t="shared" ref="IA779:IA816" si="213">IF(AND($C779=1, NOT(OR($O779="SF Detached",$O779="Mfd Home",$O779="Duplex",$O779="Townhome"))),$E779,"")</f>
        <v/>
      </c>
      <c r="IB779" s="2672" t="str">
        <f t="shared" ref="IB779:IB816" si="214">IF(AND($C779=2, NOT(OR($O779="SF Detached",$O779="Mfd Home",$O779="Duplex",$O779="Townhome"))),$E779,"")</f>
        <v/>
      </c>
      <c r="IC779" s="2672" t="str">
        <f t="shared" ref="IC779:IC816" si="215">IF(AND($C779=3, NOT(OR($O779="SF Detached",$O779="Mfd Home",$O779="Duplex",$O779="Townhome"))),$E779,"")</f>
        <v/>
      </c>
      <c r="ID779" s="2672" t="str">
        <f t="shared" ref="ID779:ID816" si="216">IF(AND($C779=4, NOT(OR($O779="SF Detached",$O779="Mfd Home",$O779="Duplex",$O779="Townhome"))),$E779,"")</f>
        <v/>
      </c>
      <c r="IE779" s="2672" t="str">
        <f t="shared" ref="IE779:IE816" si="217">IF(AND($C779="Efficiency", $O779="SF Detached",NOT($Q779="Yes")),$E779,"")</f>
        <v/>
      </c>
      <c r="IF779" s="2672" t="str">
        <f t="shared" ref="IF779:IF816" si="218">IF(AND($C779=1, $O779="SF Detached",NOT($Q779="Yes")),$E779,"")</f>
        <v/>
      </c>
      <c r="IG779" s="2672" t="str">
        <f t="shared" ref="IG779:IG816" si="219">IF(AND($C779=2, $O779="SF Detached",NOT($Q779="Yes")),$E779,"")</f>
        <v/>
      </c>
      <c r="IH779" s="2672" t="str">
        <f t="shared" ref="IH779:IH816" si="220">IF(AND($C779=3, $O779="SF Detached",NOT($Q779="Yes")),$E779,"")</f>
        <v/>
      </c>
      <c r="II779" s="2672" t="str">
        <f t="shared" ref="II779:II816" si="221">IF(AND($C779=4, $O779="SF Detached",NOT($Q779="Yes")),$E779,"")</f>
        <v/>
      </c>
      <c r="IJ779" s="2672" t="str">
        <f t="shared" ref="IJ779:IJ816" si="222">IF(AND($C779="Efficiency", $O779="SF Detached",$Q779="Yes"),$E779,"")</f>
        <v/>
      </c>
      <c r="IK779" s="2672" t="str">
        <f t="shared" ref="IK779:IK816" si="223">IF(AND($C779=1, $O779="SF Detached",$Q779="Yes"),$E779,"")</f>
        <v/>
      </c>
      <c r="IL779" s="2672" t="str">
        <f t="shared" ref="IL779:IL816" si="224">IF(AND($C779=2, $O779="SF Detached",$Q779="Yes"),$E779,"")</f>
        <v/>
      </c>
      <c r="IM779" s="2672" t="str">
        <f t="shared" ref="IM779:IM816" si="225">IF(AND($C779=3, $O779="SF Detached",$Q779="Yes"),$E779,"")</f>
        <v/>
      </c>
      <c r="IN779" s="2672" t="str">
        <f t="shared" ref="IN779:IN816" si="226">IF(AND($C779=4, $O779="SF Detached",$Q779="Yes"),$E779,"")</f>
        <v/>
      </c>
      <c r="IO779" s="2672" t="str">
        <f t="shared" ref="IO779:IO816" si="227">IF(AND($C779="Efficiency", $O779="Mfd Home",NOT($Q779="Yes")),$E779,"")</f>
        <v/>
      </c>
      <c r="IP779" s="2672" t="str">
        <f t="shared" ref="IP779:IP816" si="228">IF(AND($C779=1, $O779="Mfd Home",NOT($Q779="Yes")),$E779,"")</f>
        <v/>
      </c>
      <c r="IQ779" s="2672" t="str">
        <f t="shared" ref="IQ779:IQ816" si="229">IF(AND($C779=2, $O779="Mfd Home",NOT($Q779="Yes")),$E779,"")</f>
        <v/>
      </c>
      <c r="IR779" s="2672" t="str">
        <f t="shared" ref="IR779:IR816" si="230">IF(AND($C779=3, $O779="Mfd Home",NOT($Q779="Yes")),$E779,"")</f>
        <v/>
      </c>
      <c r="IS779" s="2672" t="str">
        <f t="shared" ref="IS779:IS816" si="231">IF(AND($C779=4, $O779="Mfd Home",NOT($Q779="Yes")),$E779,"")</f>
        <v/>
      </c>
      <c r="IT779" s="2672" t="str">
        <f t="shared" ref="IT779:IT816" si="232">IF(AND($C779="Efficiency", $O779="Mfd Home",$Q779="Yes"),$E779,"")</f>
        <v/>
      </c>
      <c r="IU779" s="2672" t="str">
        <f t="shared" ref="IU779:IU816" si="233">IF(AND($C779=1, $O779="Mfd Home",$Q779="Yes"),$E779,"")</f>
        <v/>
      </c>
      <c r="IV779" s="2672" t="str">
        <f t="shared" ref="IV779:IV816" si="234">IF(AND($C779=2, $O779="Mfd Home",$Q779="Yes"),$E779,"")</f>
        <v/>
      </c>
      <c r="IW779" s="2672" t="str">
        <f t="shared" ref="IW779:IW816" si="235">IF(AND($C779=3, $O779="Mfd Home",$Q779="Yes"),$E779,"")</f>
        <v/>
      </c>
      <c r="IX779" s="2672" t="str">
        <f t="shared" ref="IX779:IX816" si="236">IF(AND($C779=4, $O779="Mfd Home",$Q779="Yes"),$E779,"")</f>
        <v/>
      </c>
      <c r="IY779" s="2672" t="str">
        <f t="shared" ref="IY779:IY816" si="237">IF(AND($C779="Efficiency", $O779="Duplex",NOT($Q779="Yes")),$E779,"")</f>
        <v/>
      </c>
      <c r="IZ779" s="2672" t="str">
        <f t="shared" ref="IZ779:IZ816" si="238">IF(AND($C779=1, $O779="Duplex",NOT($Q779="Yes")),$E779,"")</f>
        <v/>
      </c>
      <c r="JA779" s="2672" t="str">
        <f t="shared" ref="JA779:JA816" si="239">IF(AND($C779=2, $O779="Duplex",NOT($Q779="Yes")),$E779,"")</f>
        <v/>
      </c>
      <c r="JB779" s="2672" t="str">
        <f t="shared" ref="JB779:JB816" si="240">IF(AND($C779=3, $O779="Duplex",NOT($Q779="Yes")),$E779,"")</f>
        <v/>
      </c>
      <c r="JC779" s="2672" t="str">
        <f t="shared" ref="JC779:JC816" si="241">IF(AND($C779=4, $O779="Duplex",NOT($Q779="Yes")),$E779,"")</f>
        <v/>
      </c>
      <c r="JD779" s="2672" t="str">
        <f t="shared" ref="JD779:JD816" si="242">IF(AND($C779="Efficiency", $O779="Duplex",$Q779="Yes"),$E779,"")</f>
        <v/>
      </c>
      <c r="JE779" s="2672" t="str">
        <f t="shared" ref="JE779:JE816" si="243">IF(AND($C779=1, $O779="Duplex",$Q779="Yes"),$E779,"")</f>
        <v/>
      </c>
      <c r="JF779" s="2672" t="str">
        <f t="shared" ref="JF779:JF816" si="244">IF(AND($C779=2, $O779="Duplex",$Q779="Yes"),$E779,"")</f>
        <v/>
      </c>
      <c r="JG779" s="2672" t="str">
        <f t="shared" ref="JG779:JG816" si="245">IF(AND($C779=3, $O779="Duplex",$Q779="Yes"),$E779,"")</f>
        <v/>
      </c>
      <c r="JH779" s="2672" t="str">
        <f t="shared" ref="JH779:JH816" si="246">IF(AND($C779=4, $O779="Duplex",$Q779="Yes"),$E779,"")</f>
        <v/>
      </c>
      <c r="JI779" s="2672" t="str">
        <f t="shared" ref="JI779:JI816" si="247">IF(AND($C779="Efficiency", $O779="Townhome",NOT($Q779="Yes")),$E779,"")</f>
        <v/>
      </c>
      <c r="JJ779" s="2672" t="str">
        <f t="shared" ref="JJ779:JJ816" si="248">IF(AND($C779=1, $O779="Townhome",NOT($Q779="Yes")),$E779,"")</f>
        <v/>
      </c>
      <c r="JK779" s="2672" t="str">
        <f t="shared" ref="JK779:JK816" si="249">IF(AND($C779=2, $O779="Townhome",NOT($Q779="Yes")),$E779,"")</f>
        <v/>
      </c>
      <c r="JL779" s="2672" t="str">
        <f t="shared" ref="JL779:JL816" si="250">IF(AND($C779=3, $O779="Townhome",NOT($Q779="Yes")),$E779,"")</f>
        <v/>
      </c>
      <c r="JM779" s="2672" t="str">
        <f t="shared" ref="JM779:JM816" si="251">IF(AND($C779=4, $O779="Townhome",NOT($Q779="Yes")),$E779,"")</f>
        <v/>
      </c>
      <c r="JN779" s="2672" t="str">
        <f t="shared" ref="JN779:JN816" si="252">IF(AND($C779="Efficiency", $O779="Townhome",$Q779="Yes"),$E779,"")</f>
        <v/>
      </c>
      <c r="JO779" s="2672" t="str">
        <f t="shared" ref="JO779:JO816" si="253">IF(AND($C779=1, $O779="Townhome",$Q779="Yes"),$E779,"")</f>
        <v/>
      </c>
      <c r="JP779" s="2672" t="str">
        <f t="shared" ref="JP779:JP816" si="254">IF(AND($C779=2, $O779="Townhome",$Q779="Yes"),$E779,"")</f>
        <v/>
      </c>
      <c r="JQ779" s="2672" t="str">
        <f t="shared" ref="JQ779:JQ816" si="255">IF(AND($C779=3, $O779="Townhome",$Q779="Yes"),$E779,"")</f>
        <v/>
      </c>
      <c r="JR779" s="2672" t="str">
        <f t="shared" ref="JR779:JR816" si="256">IF(AND($C779=4, $O779="Townhome",$Q779="Yes"),$E779,"")</f>
        <v/>
      </c>
      <c r="JS779" s="2672" t="str">
        <f t="shared" ref="JS779:JS816" si="257">IF(AND($C779="Efficiency", $O779="1-Story",NOT($Q779="Yes")),$E779,"")</f>
        <v/>
      </c>
      <c r="JT779" s="2672" t="str">
        <f t="shared" ref="JT779:JT816" si="258">IF(AND($C779=1, $O779="1-Story",NOT($Q779="Yes")),$E779,"")</f>
        <v/>
      </c>
      <c r="JU779" s="2672" t="str">
        <f t="shared" ref="JU779:JU816" si="259">IF(AND($C779=2, $O779="1-Story",NOT($Q779="Yes")),$E779,"")</f>
        <v/>
      </c>
      <c r="JV779" s="2672" t="str">
        <f t="shared" ref="JV779:JV816" si="260">IF(AND($C779=3, $O779="1-Story",NOT($Q779="Yes")),$E779,"")</f>
        <v/>
      </c>
      <c r="JW779" s="2672" t="str">
        <f t="shared" ref="JW779:JW816" si="261">IF(AND($C779=4, $O779="1-Story",NOT($Q779="Yes")),$E779,"")</f>
        <v/>
      </c>
      <c r="JX779" s="2672" t="str">
        <f t="shared" ref="JX779:JX816" si="262">IF(AND($C779="Efficiency", $O779="1-Story",$Q779="Yes"),$E779,"")</f>
        <v/>
      </c>
      <c r="JY779" s="2672" t="str">
        <f t="shared" ref="JY779:JY816" si="263">IF(AND($C779=1, $O779="1-Story",$Q779="Yes"),$E779,"")</f>
        <v/>
      </c>
      <c r="JZ779" s="2672" t="str">
        <f t="shared" ref="JZ779:JZ816" si="264">IF(AND($C779=2, $O779="1-Story",$Q779="Yes"),$E779,"")</f>
        <v/>
      </c>
      <c r="KA779" s="2672" t="str">
        <f t="shared" ref="KA779:KA816" si="265">IF(AND($C779=3, $O779="1-Story",$Q779="Yes"),$E779,"")</f>
        <v/>
      </c>
      <c r="KB779" s="2672" t="str">
        <f t="shared" ref="KB779:KB816" si="266">IF(AND($C779=4, $O779="1-Story",$Q779="Yes"),$E779,"")</f>
        <v/>
      </c>
      <c r="KC779" s="2672" t="str">
        <f t="shared" ref="KC779:KC816" si="267">IF(AND($C779="Efficiency", $O779="2-Story",NOT($Q779="Yes")),$E779,"")</f>
        <v/>
      </c>
      <c r="KD779" s="2672" t="str">
        <f t="shared" ref="KD779:KD816" si="268">IF(AND($C779=1, $O779="2-Story",NOT($Q779="Yes")),$E779,"")</f>
        <v/>
      </c>
      <c r="KE779" s="2672" t="str">
        <f t="shared" ref="KE779:KE816" si="269">IF(AND($C779=2, $O779="2-Story",NOT($Q779="Yes")),$E779,"")</f>
        <v/>
      </c>
      <c r="KF779" s="2672" t="str">
        <f t="shared" ref="KF779:KF816" si="270">IF(AND($C779=3, $O779="2-Story",NOT($Q779="Yes")),$E779,"")</f>
        <v/>
      </c>
      <c r="KG779" s="2672" t="str">
        <f t="shared" ref="KG779:KG816" si="271">IF(AND($C779=4, $O779="2-Story",NOT($Q779="Yes")),$E779,"")</f>
        <v/>
      </c>
      <c r="KH779" s="2672" t="str">
        <f t="shared" ref="KH779:KH816" si="272">IF(AND($C779="Efficiency", $O779="2-Story",$Q779="Yes"),$E779,"")</f>
        <v/>
      </c>
      <c r="KI779" s="2672" t="str">
        <f t="shared" ref="KI779:KI816" si="273">IF(AND($C779=1, $O779="2-Story",$Q779="Yes"),$E779,"")</f>
        <v/>
      </c>
      <c r="KJ779" s="2672" t="str">
        <f t="shared" ref="KJ779:KJ816" si="274">IF(AND($C779=2, $O779="2-Story",$Q779="Yes"),$E779,"")</f>
        <v/>
      </c>
      <c r="KK779" s="2672" t="str">
        <f t="shared" ref="KK779:KK816" si="275">IF(AND($C779=3, $O779="2-Story",$Q779="Yes"),$E779,"")</f>
        <v/>
      </c>
      <c r="KL779" s="2672" t="str">
        <f t="shared" ref="KL779:KL816" si="276">IF(AND($C779=4, $O779="2-Story",$Q779="Yes"),$E779,"")</f>
        <v/>
      </c>
      <c r="KM779" s="2672" t="str">
        <f t="shared" ref="KM779:KM816" si="277">IF(AND($C779="Efficiency", $O779="2-Story Walkup",NOT($Q779="Yes")),$E779,"")</f>
        <v/>
      </c>
      <c r="KN779" s="2672" t="str">
        <f t="shared" ref="KN779:KN816" si="278">IF(AND($C779=1, $O779="2-Story Walkup",NOT($Q779="Yes")),$E779,"")</f>
        <v/>
      </c>
      <c r="KO779" s="2672" t="str">
        <f t="shared" ref="KO779:KO816" si="279">IF(AND($C779=2, $O779="2-Story Walkup",NOT($Q779="Yes")),$E779,"")</f>
        <v/>
      </c>
      <c r="KP779" s="2672" t="str">
        <f t="shared" ref="KP779:KP816" si="280">IF(AND($C779=3, $O779="2-Story Walkup",NOT($Q779="Yes")),$E779,"")</f>
        <v/>
      </c>
      <c r="KQ779" s="2672" t="str">
        <f t="shared" ref="KQ779:KQ816" si="281">IF(AND($C779=4, $O779="2-Story Walkup",NOT($Q779="Yes")),$E779,"")</f>
        <v/>
      </c>
      <c r="KR779" s="2672" t="str">
        <f t="shared" ref="KR779:KR816" si="282">IF(AND($C779="Efficiency", $O779="2-Story Walkup",$Q779="Yes"),$E779,"")</f>
        <v/>
      </c>
      <c r="KS779" s="2672" t="str">
        <f t="shared" ref="KS779:KS816" si="283">IF(AND($C779=1, $O779="2-Story Walkup",$Q779="Yes"),$E779,"")</f>
        <v/>
      </c>
      <c r="KT779" s="2672" t="str">
        <f t="shared" ref="KT779:KT816" si="284">IF(AND($C779=2, $O779="2-Story Walkup",$Q779="Yes"),$E779,"")</f>
        <v/>
      </c>
      <c r="KU779" s="2672" t="str">
        <f t="shared" ref="KU779:KU816" si="285">IF(AND($C779=3, $O779="2-Story Walkup",$Q779="Yes"),$E779,"")</f>
        <v/>
      </c>
      <c r="KV779" s="2672" t="str">
        <f t="shared" ref="KV779:KV816" si="286">IF(AND($C779=4, $O779="2-Story Walkup",$Q779="Yes"),$E779,"")</f>
        <v/>
      </c>
      <c r="KW779" s="2672" t="str">
        <f t="shared" ref="KW779:KW816" si="287">IF(AND($C779="Efficiency", $O779="3+ Story",NOT($Q779="Yes")),$E779,"")</f>
        <v/>
      </c>
      <c r="KX779" s="2672" t="str">
        <f t="shared" ref="KX779:KX816" si="288">IF(AND($C779=1, $O779="3+ Story",NOT($Q779="Yes")),$E779,"")</f>
        <v/>
      </c>
      <c r="KY779" s="2672" t="str">
        <f t="shared" ref="KY779:KY816" si="289">IF(AND($C779=2, $O779="3+ Story",NOT($Q779="Yes")),$E779,"")</f>
        <v/>
      </c>
      <c r="KZ779" s="2672" t="str">
        <f t="shared" ref="KZ779:KZ816" si="290">IF(AND($C779=3, $O779="3+ Story",NOT($Q779="Yes")),$E779,"")</f>
        <v/>
      </c>
      <c r="LA779" s="2672" t="str">
        <f t="shared" ref="LA779:LA816" si="291">IF(AND($C779=4, $O779="3+ Story",NOT($Q779="Yes")),$E779,"")</f>
        <v/>
      </c>
      <c r="LB779" s="2672" t="str">
        <f t="shared" ref="LB779:LB816" si="292">IF(AND($C779="Efficiency", $O779="3+ Story",$Q779="Yes"),$E779,"")</f>
        <v/>
      </c>
      <c r="LC779" s="2672" t="str">
        <f t="shared" ref="LC779:LC816" si="293">IF(AND($C779=1, $O779="3+ Story",$Q779="Yes"),$E779,"")</f>
        <v/>
      </c>
      <c r="LD779" s="2672" t="str">
        <f t="shared" ref="LD779:LD816" si="294">IF(AND($C779=2, $O779="3+ Story",$Q779="Yes"),$E779,"")</f>
        <v/>
      </c>
      <c r="LE779" s="2672" t="str">
        <f t="shared" ref="LE779:LE816" si="295">IF(AND($C779=3, $O779="3+ Story",$Q779="Yes"),$E779,"")</f>
        <v/>
      </c>
      <c r="LF779" s="2672" t="str">
        <f t="shared" ref="LF779:LF816" si="296">IF(AND($C779=4, $O779="3+ Story",$Q779="Yes"),$E779,"")</f>
        <v/>
      </c>
      <c r="LG779" s="2672" t="str">
        <f t="shared" ref="LG779:LG816" si="297">IF(AND($C779="Efficiency", $O779="3+ Story Elevator",NOT($Q779="Yes")),$E779,"")</f>
        <v/>
      </c>
      <c r="LH779" s="2672" t="str">
        <f t="shared" ref="LH779:LH816" si="298">IF(AND($C779=1, $O779="3+ Story Elevator",NOT($Q779="Yes")),$E779,"")</f>
        <v/>
      </c>
      <c r="LI779" s="2672" t="str">
        <f t="shared" ref="LI779:LI816" si="299">IF(AND($C779=2, $O779="3+ Story Elevator",NOT($Q779="Yes")),$E779,"")</f>
        <v/>
      </c>
      <c r="LJ779" s="2672" t="str">
        <f t="shared" ref="LJ779:LJ816" si="300">IF(AND($C779=3, $O779="3+ Story Elevator",NOT($Q779="Yes")),$E779,"")</f>
        <v/>
      </c>
      <c r="LK779" s="2672" t="str">
        <f t="shared" ref="LK779:LK816" si="301">IF(AND($C779=4, $O779="3+ Story Elevator",NOT($Q779="Yes")),$E779,"")</f>
        <v/>
      </c>
      <c r="LL779" s="2672" t="str">
        <f t="shared" ref="LL779:LL816" si="302">IF(AND($C779="Efficiency", $O779="3+ Story Elevator",$Q779="Yes"),$E779,"")</f>
        <v/>
      </c>
      <c r="LM779" s="2672" t="str">
        <f t="shared" ref="LM779:LM816" si="303">IF(AND($C779=1, $O779="3+ Story Elevator",$Q779="Yes"),$E779,"")</f>
        <v/>
      </c>
      <c r="LN779" s="2672" t="str">
        <f t="shared" ref="LN779:LN816" si="304">IF(AND($C779=2, $O779="3+ Story Elevator",$Q779="Yes"),$E779,"")</f>
        <v/>
      </c>
      <c r="LO779" s="2672" t="str">
        <f t="shared" ref="LO779:LO816" si="305">IF(AND($C779=3, $O779="3+ Story Elevator",$Q779="Yes"),$E779,"")</f>
        <v/>
      </c>
      <c r="LP779" s="2672" t="str">
        <f t="shared" ref="LP779:LP816" si="306">IF(AND($C779=4, $O779="3+ Story Elevator",$Q779="Yes"),$E779,"")</f>
        <v/>
      </c>
      <c r="LQ779" s="2613" t="str">
        <f t="shared" ref="LQ779:LQ816" si="307">IF(AND($B779="NSP 120% AMI",$C779="Efficiency", NOT($N779="Common Space")),$E779,"")</f>
        <v/>
      </c>
      <c r="LR779" s="2613" t="str">
        <f t="shared" ref="LR779:LR816" si="308">IF(AND($B779="NSP 120% AMI",$C779=1,NOT($N779="Common Space")),$E779,"")</f>
        <v/>
      </c>
      <c r="LS779" s="2613" t="str">
        <f t="shared" ref="LS779:LS816" si="309">IF(AND($B779="NSP 120% AMI",$C779=2,NOT($N779="Common Space")),$E779,"")</f>
        <v/>
      </c>
      <c r="LT779" s="2613" t="str">
        <f t="shared" ref="LT779:LT816" si="310">IF(AND($B779="NSP 120% AMI",$C779=3,NOT($N779="Common Space")),$E779,"")</f>
        <v/>
      </c>
      <c r="LU779" s="2613" t="str">
        <f t="shared" ref="LU779:LU816" si="311">IF(AND($B779="NSP 120% AMI",$C779=4,NOT($N779="Common Space")),$E779,"")</f>
        <v/>
      </c>
      <c r="LV779" s="2494" t="str">
        <f t="shared" ref="LV779:LV816" si="312">IF(AND(C779="Efficiency",B779="NSP 120% AMI",NOT(N779="Common Space")),E779*F779,"")</f>
        <v/>
      </c>
      <c r="LW779" s="2494" t="str">
        <f t="shared" ref="LW779:LW816" si="313">IF(AND(C779=1,B779="NSP 120% AMI",NOT(N779="Common Space")),E779*F779,"")</f>
        <v/>
      </c>
      <c r="LX779" s="2494" t="str">
        <f t="shared" ref="LX779:LX816" si="314">IF(AND(C779=2,B779="NSP 120% AMI",NOT(N779="Common Space")),E779*F779,"")</f>
        <v/>
      </c>
      <c r="LY779" s="2494" t="str">
        <f t="shared" ref="LY779:LY816" si="315">IF(AND(C779=3,B779="NSP 120% AMI",NOT(N779="Common Space")),E779*F779,"")</f>
        <v/>
      </c>
      <c r="LZ779" s="2494" t="str">
        <f t="shared" ref="LZ779:LZ816" si="316">IF(AND(C779=4,B779="NSP 120% AMI",NOT(N779="Common Space")),E779*F779,"")</f>
        <v/>
      </c>
      <c r="MA779" s="2494" t="str">
        <f t="shared" ref="MA779:MA816" si="317">IF(AND($C779="Efficiency", $P779="New Construction",$B779="NSP 120% AMI",NOT($N779="Common Space")),$E779,"")</f>
        <v/>
      </c>
      <c r="MB779" s="2494" t="str">
        <f t="shared" ref="MB779:MB816" si="318">IF(AND($C779=1, $P779="New Construction",$B779="NSP 120% AMI",NOT($N779="Common Space")),$E779,"")</f>
        <v/>
      </c>
      <c r="MC779" s="2494" t="str">
        <f t="shared" ref="MC779:MC816" si="319">IF(AND($C779=2, $P779="New Construction",$B779="NSP 120% AMI",NOT($N779="Common Space")),$E779,"")</f>
        <v/>
      </c>
      <c r="MD779" s="2494" t="str">
        <f t="shared" ref="MD779:MD816" si="320">IF(AND($C779=3, $P779="New Construction",$B779="NSP 120% AMI",NOT($N779="Common Space")),$E779,"")</f>
        <v/>
      </c>
      <c r="ME779" s="2494" t="str">
        <f t="shared" ref="ME779:ME816" si="321">IF(AND($C779=4, $P779="New Construction",$B779="NSP 120% AMI",NOT($N779="Common Space")),$E779,"")</f>
        <v/>
      </c>
      <c r="MF779" s="2494" t="str">
        <f t="shared" ref="MF779:MF816" si="322">IF(AND($C779="Efficiency", $P779="Acquisition/Rehab",$B779="NSP 120% AMI",NOT($N779="Common Space")),$E779,"")</f>
        <v/>
      </c>
      <c r="MG779" s="2494" t="str">
        <f t="shared" ref="MG779:MG816" si="323">IF(AND($C779=1, $P779="Acquisition/Rehab",$B779="NSP 120% AMI",NOT($N779="Common Space")),$E779,"")</f>
        <v/>
      </c>
      <c r="MH779" s="2494" t="str">
        <f t="shared" ref="MH779:MH816" si="324">IF(AND($C779=2, $P779="Acquisition/Rehab",$B779="NSP 120% AMI",NOT($N779="Common Space")),$E779,"")</f>
        <v/>
      </c>
      <c r="MI779" s="2494" t="str">
        <f t="shared" ref="MI779:MI816" si="325">IF(AND($C779=3, $P779="Acquisition/Rehab",$B779="NSP 120% AMI",NOT($N779="Common Space")),$E779,"")</f>
        <v/>
      </c>
      <c r="MJ779" s="2494" t="str">
        <f t="shared" ref="MJ779:MJ816" si="326">IF(AND($C779=4, $P779="Acquisition/Rehab",$B779="NSP 120% AMI",NOT($N779="Common Space")),$E779,"")</f>
        <v/>
      </c>
      <c r="MK779" s="2494" t="str">
        <f t="shared" ref="MK779:MK816" si="327">IF(AND($C779="Efficiency", $P779="Rehabilitation",$B779="NSP 120% AMI",NOT($N779="Common Space")),$E779,"")</f>
        <v/>
      </c>
      <c r="ML779" s="2494" t="str">
        <f t="shared" ref="ML779:ML816" si="328">IF(AND($C779=1, $P779="Rehabilitation",$B779="NSP 120% AMI",NOT($N779="Common Space")),$E779,"")</f>
        <v/>
      </c>
      <c r="MM779" s="2494" t="str">
        <f t="shared" ref="MM779:MM816" si="329">IF(AND($C779=2, $P779="Rehabilitation",$B779="NSP 120% AMI",NOT($N779="Common Space")),$E779,"")</f>
        <v/>
      </c>
      <c r="MN779" s="2494" t="str">
        <f t="shared" ref="MN779:MN816" si="330">IF(AND($C779=3, $P779="Rehabilitation",$B779="NSP 120% AMI",NOT($N779="Common Space")),$E779,"")</f>
        <v/>
      </c>
      <c r="MO779" s="2494" t="str">
        <f t="shared" ref="MO779:MO816" si="331">IF(AND($C779=4, $P779="Rehabilitation",$B779="NSP 120% AMI",NOT($N779="Common Space")),$E779,"")</f>
        <v/>
      </c>
      <c r="MP779" s="2613">
        <f>IF(AND($C779="Efficiency",$E779&gt;0,OR($O779="1-Story",$O779="2-Story",$O779="3+ Story",$O779="3+ Story Elevator",$O779="2-Story Walkup",$O779="Townhome"),OR($P779="Acquisition/Rehab",$P779="Rehabilitation"),NOT($Q779="Yes")),$E779,0)</f>
        <v>0</v>
      </c>
      <c r="MQ779" s="2613">
        <f>IF(AND($C779=1,$E779&gt;0,OR($O779="1-Story",$O779="2-Story",$O779="3+ Story",$O779="3+ Story Elevator",$O779="2-Story Walkup",$O779="Townhome"),OR($P779="Acquisition/Rehab",$P779="Rehabilitation"),NOT($Q779="Yes")),$E779,0)</f>
        <v>0</v>
      </c>
      <c r="MR779" s="2613">
        <f>IF(AND($C779=2,$E779&gt;0,OR($O779="1-Story",$O779="2-Story",$O779="3+ Story",$O779="3+ Story Elevator",$O779="2-Story Walkup",$O779="Townhome"),OR($P779="Acquisition/Rehab",$P779="Rehabilitation"),NOT($Q779="Yes")),$E779,0)</f>
        <v>0</v>
      </c>
      <c r="MS779" s="2613">
        <f>IF(AND($C779=3,$E779&gt;0,OR($O779="1-Story",$O779="2-Story",$O779="3+ Story",$O779="3+ Story Elevator",$O779="2-Story Walkup",$O779="Townhome"),OR($P779="Acquisition/Rehab",$P779="Rehabilitation"),NOT($Q779="Yes")),$E779,0)</f>
        <v>0</v>
      </c>
      <c r="MT779" s="2613">
        <f>IF(AND($C779=4,$E779&gt;0,OR($O779="1-Story",$O779="2-Story",$O779="3+ Story",$O779="3+ Story Elevator",$O779="2-Story Walkup",$O779="Townhome"),OR($P779="Acquisition/Rehab",$P779="Rehabilitation"),NOT($Q779="Yes")),$E779,0)</f>
        <v>0</v>
      </c>
      <c r="MU779" s="2613">
        <f>IF(AND($C779="Efficiency",$E779&gt;0,OR($O779="1-Story",$O779="2-Story",$O779="3+ Story",$O779="3+ Story Elevator",$O779="2-Story Walkup",$O779="Townhome"),$P779="New Construction"),$E779,0)</f>
        <v>0</v>
      </c>
      <c r="MV779" s="2613">
        <f>IF(AND($C779=1,$E779&gt;0,OR($O779="1-Story",$O779="2-Story",$O779="3+ Story",$O779="3+ Story Elevator",$O779="2-Story Walkup",$O779="Townhome"),$P779="New Construction"),$E779,0)</f>
        <v>0</v>
      </c>
      <c r="MW779" s="2613">
        <f>IF(AND($C779=2,$E779&gt;0,OR($O779="1-Story",$O779="2-Story",$O779="3+ Story",$O779="3+ Story Elevator",$O779="2-Story Walkup",$O779="Townhome"),$P779="New Construction"),$E779,0)</f>
        <v>0</v>
      </c>
      <c r="MX779" s="2613">
        <f>IF(AND($C779=3,$E779&gt;0,OR($O779="1-Story",$O779="2-Story",$O779="3+ Story",$O779="3+ Story Elevator",$O779="2-Story Walkup",$O779="Townhome"),$P779="New Construction"),$E779,0)</f>
        <v>0</v>
      </c>
      <c r="MY779" s="2613">
        <f>IF(AND($C779=4,$E779&gt;0,OR($O779="1-Story",$O779="2-Story",$O779="3+ Story",$O779="3+ Story Elevator",$O779="2-Story Walkup",$O779="Townhome"),$P779="New Construction"),$E779,0)</f>
        <v>0</v>
      </c>
      <c r="MZ779" s="2613">
        <f t="shared" ref="MZ779:MZ816" si="332">IF(AND($C779="Efficiency",$E779&gt;0,OR($O779="SF Detached",$O779="Duplex",$O779="Mfd Home"),NOT($Q779="Yes")),$E779,0)</f>
        <v>0</v>
      </c>
      <c r="NA779" s="2613">
        <f t="shared" ref="NA779:NA816" si="333">IF(AND($C779=1,$E779&gt;0,OR($O779="SF Detached",$O779="Duplex",$O779="Mfd Home"),NOT($Q779="Yes")),$E779,0)</f>
        <v>0</v>
      </c>
      <c r="NB779" s="2613">
        <f t="shared" ref="NB779:NB816" si="334">IF(AND($C779=2,$E779&gt;0,OR($O779="SF Detached",$O779="Duplex",$O779="Mfd Home"),NOT($Q779="Yes")),$E779,0)</f>
        <v>0</v>
      </c>
      <c r="NC779" s="2613">
        <f t="shared" ref="NC779:NC816" si="335">IF(AND($C779=3,$E779&gt;0,OR($O779="SF Detached",$O779="Duplex",$O779="Mfd Home"),NOT($Q779="Yes")),$E779,0)</f>
        <v>0</v>
      </c>
      <c r="ND779" s="2613">
        <f t="shared" ref="ND779:ND816" si="336">IF(AND($C779=4,$E779&gt;0,OR($O779="SF Detached",$O779="Duplex",$O779="Mfd Home"),NOT($Q779="Yes")),$E779,0)</f>
        <v>0</v>
      </c>
    </row>
    <row r="780" spans="1:368" ht="13.8" customHeight="1">
      <c r="A780" s="2652" t="str">
        <f t="shared" ref="A780:A816" si="337">IF(AND(E780&gt;0,OR(B780="",C780="",D780="",F780="",G780="", H780="",I780="",N780="",O780="",P780="",Q780="")),1,"")</f>
        <v/>
      </c>
      <c r="B780" s="2664" t="str">
        <f>'Part VI-Revenues &amp; Expenses'!B11</f>
        <v>N/A-CS</v>
      </c>
      <c r="C780" s="2665">
        <f>'Part VI-Revenues &amp; Expenses'!C11</f>
        <v>0</v>
      </c>
      <c r="D780" s="2666">
        <f>'Part VI-Revenues &amp; Expenses'!D11</f>
        <v>0</v>
      </c>
      <c r="E780" s="2667">
        <f>'Part VI-Revenues &amp; Expenses'!E11</f>
        <v>0</v>
      </c>
      <c r="F780" s="2667">
        <f>'Part VI-Revenues &amp; Expenses'!F11</f>
        <v>0</v>
      </c>
      <c r="G780" s="2667">
        <f>'Part VI-Revenues &amp; Expenses'!G11</f>
        <v>0</v>
      </c>
      <c r="H780" s="2667">
        <f>'Part VI-Revenues &amp; Expenses'!H11</f>
        <v>0</v>
      </c>
      <c r="I780" s="2667">
        <f>'Part VI-Revenues &amp; Expenses'!I11</f>
        <v>0</v>
      </c>
      <c r="J780" s="2667">
        <f>'Part VI-Revenues &amp; Expenses'!J11</f>
        <v>0</v>
      </c>
      <c r="K780" s="2668">
        <f>'Part VI-Revenues &amp; Expenses'!K11</f>
        <v>0</v>
      </c>
      <c r="L780" s="2669">
        <f t="shared" si="0"/>
        <v>0</v>
      </c>
      <c r="M780" s="2669">
        <f t="shared" si="1"/>
        <v>0</v>
      </c>
      <c r="N780" s="2545">
        <f>'Part VI-Revenues &amp; Expenses'!N11</f>
        <v>0</v>
      </c>
      <c r="O780" s="2545">
        <f>'Part VI-Revenues &amp; Expenses'!O11</f>
        <v>0</v>
      </c>
      <c r="P780" s="2545">
        <f>'Part VI-Revenues &amp; Expenses'!P11</f>
        <v>0</v>
      </c>
      <c r="Q780" s="2251">
        <f>'Part VI-Revenues &amp; Expenses'!Q11</f>
        <v>0</v>
      </c>
      <c r="R780" s="2670"/>
      <c r="S780" s="2671"/>
      <c r="T780" s="2607"/>
      <c r="U780" s="2607"/>
      <c r="V780" s="2607"/>
      <c r="W780" s="2607"/>
      <c r="X780" s="2494" t="str">
        <f t="shared" si="2"/>
        <v/>
      </c>
      <c r="Y780" s="2494" t="str">
        <f t="shared" si="3"/>
        <v/>
      </c>
      <c r="Z780" s="2494" t="str">
        <f t="shared" si="4"/>
        <v/>
      </c>
      <c r="AA780" s="2494" t="str">
        <f t="shared" si="5"/>
        <v/>
      </c>
      <c r="AB780" s="2494" t="str">
        <f t="shared" si="6"/>
        <v/>
      </c>
      <c r="AC780" s="2494" t="str">
        <f t="shared" si="7"/>
        <v/>
      </c>
      <c r="AD780" s="2494" t="str">
        <f t="shared" si="8"/>
        <v/>
      </c>
      <c r="AE780" s="2494" t="str">
        <f t="shared" si="9"/>
        <v/>
      </c>
      <c r="AF780" s="2494" t="str">
        <f t="shared" si="10"/>
        <v/>
      </c>
      <c r="AG780" s="2494" t="str">
        <f t="shared" si="11"/>
        <v/>
      </c>
      <c r="AH780" s="2494" t="str">
        <f t="shared" si="12"/>
        <v/>
      </c>
      <c r="AI780" s="2494" t="str">
        <f t="shared" si="13"/>
        <v/>
      </c>
      <c r="AJ780" s="2494" t="str">
        <f t="shared" si="14"/>
        <v/>
      </c>
      <c r="AK780" s="2494" t="str">
        <f t="shared" si="15"/>
        <v/>
      </c>
      <c r="AL780" s="2494" t="str">
        <f t="shared" si="16"/>
        <v/>
      </c>
      <c r="AM780" s="2494" t="str">
        <f t="shared" si="17"/>
        <v/>
      </c>
      <c r="AN780" s="2494" t="str">
        <f t="shared" si="18"/>
        <v/>
      </c>
      <c r="AO780" s="2494" t="str">
        <f t="shared" si="19"/>
        <v/>
      </c>
      <c r="AP780" s="2494" t="str">
        <f t="shared" si="20"/>
        <v/>
      </c>
      <c r="AQ780" s="2494" t="str">
        <f t="shared" si="21"/>
        <v/>
      </c>
      <c r="AR780" s="2494" t="str">
        <f t="shared" si="22"/>
        <v/>
      </c>
      <c r="AS780" s="2494" t="str">
        <f t="shared" si="23"/>
        <v/>
      </c>
      <c r="AT780" s="2494" t="str">
        <f t="shared" si="24"/>
        <v/>
      </c>
      <c r="AU780" s="2494" t="str">
        <f t="shared" si="25"/>
        <v/>
      </c>
      <c r="AV780" s="2494" t="str">
        <f t="shared" si="26"/>
        <v/>
      </c>
      <c r="AW780" s="2494" t="str">
        <f t="shared" si="27"/>
        <v/>
      </c>
      <c r="AX780" s="2494" t="str">
        <f t="shared" si="28"/>
        <v/>
      </c>
      <c r="AY780" s="2494" t="str">
        <f t="shared" si="29"/>
        <v/>
      </c>
      <c r="AZ780" s="2494" t="str">
        <f t="shared" si="30"/>
        <v/>
      </c>
      <c r="BA780" s="2494" t="str">
        <f t="shared" si="31"/>
        <v/>
      </c>
      <c r="BB780" s="2494" t="str">
        <f t="shared" si="32"/>
        <v/>
      </c>
      <c r="BC780" s="2494" t="str">
        <f t="shared" si="33"/>
        <v/>
      </c>
      <c r="BD780" s="2494" t="str">
        <f t="shared" si="34"/>
        <v/>
      </c>
      <c r="BE780" s="2494" t="str">
        <f t="shared" si="35"/>
        <v/>
      </c>
      <c r="BF780" s="2494" t="str">
        <f t="shared" si="36"/>
        <v/>
      </c>
      <c r="BG780" s="2494" t="str">
        <f t="shared" si="37"/>
        <v/>
      </c>
      <c r="BH780" s="2494" t="str">
        <f t="shared" si="38"/>
        <v/>
      </c>
      <c r="BI780" s="2494" t="str">
        <f t="shared" si="39"/>
        <v/>
      </c>
      <c r="BJ780" s="2494" t="str">
        <f t="shared" si="40"/>
        <v/>
      </c>
      <c r="BK780" s="2494" t="str">
        <f t="shared" si="41"/>
        <v/>
      </c>
      <c r="BL780" s="2494" t="str">
        <f t="shared" si="42"/>
        <v/>
      </c>
      <c r="BM780" s="2494" t="str">
        <f t="shared" si="43"/>
        <v/>
      </c>
      <c r="BN780" s="2494" t="str">
        <f t="shared" si="44"/>
        <v/>
      </c>
      <c r="BO780" s="2494" t="str">
        <f t="shared" si="45"/>
        <v/>
      </c>
      <c r="BP780" s="2494" t="str">
        <f t="shared" si="46"/>
        <v/>
      </c>
      <c r="BQ780" s="2494" t="str">
        <f t="shared" si="47"/>
        <v/>
      </c>
      <c r="BR780" s="2494" t="str">
        <f t="shared" si="48"/>
        <v/>
      </c>
      <c r="BS780" s="2494" t="str">
        <f t="shared" si="49"/>
        <v/>
      </c>
      <c r="BT780" s="2494" t="str">
        <f t="shared" si="50"/>
        <v/>
      </c>
      <c r="BU780" s="2494" t="str">
        <f t="shared" si="51"/>
        <v/>
      </c>
      <c r="BV780" s="2494" t="str">
        <f t="shared" si="52"/>
        <v/>
      </c>
      <c r="BW780" s="2494" t="str">
        <f t="shared" si="53"/>
        <v/>
      </c>
      <c r="BX780" s="2494" t="str">
        <f t="shared" si="54"/>
        <v/>
      </c>
      <c r="BY780" s="2494" t="str">
        <f t="shared" si="55"/>
        <v/>
      </c>
      <c r="BZ780" s="2494" t="str">
        <f t="shared" si="56"/>
        <v/>
      </c>
      <c r="CA780" s="2494" t="str">
        <f t="shared" si="57"/>
        <v/>
      </c>
      <c r="CB780" s="2494" t="str">
        <f t="shared" si="58"/>
        <v/>
      </c>
      <c r="CC780" s="2494" t="str">
        <f t="shared" si="59"/>
        <v/>
      </c>
      <c r="CD780" s="2494" t="str">
        <f t="shared" si="60"/>
        <v/>
      </c>
      <c r="CE780" s="2494" t="str">
        <f t="shared" si="61"/>
        <v/>
      </c>
      <c r="CF780" s="2494" t="str">
        <f t="shared" si="62"/>
        <v/>
      </c>
      <c r="CG780" s="2494" t="str">
        <f t="shared" si="63"/>
        <v/>
      </c>
      <c r="CH780" s="2494" t="str">
        <f t="shared" si="64"/>
        <v/>
      </c>
      <c r="CI780" s="2494" t="str">
        <f t="shared" si="65"/>
        <v/>
      </c>
      <c r="CJ780" s="2494" t="str">
        <f t="shared" si="66"/>
        <v/>
      </c>
      <c r="CK780" s="2494" t="str">
        <f t="shared" si="67"/>
        <v/>
      </c>
      <c r="CL780" s="2494" t="str">
        <f t="shared" si="68"/>
        <v/>
      </c>
      <c r="CM780" s="2494" t="str">
        <f t="shared" si="69"/>
        <v/>
      </c>
      <c r="CN780" s="2494" t="str">
        <f t="shared" si="70"/>
        <v/>
      </c>
      <c r="CO780" s="2494" t="str">
        <f t="shared" si="71"/>
        <v/>
      </c>
      <c r="CP780" s="2494" t="str">
        <f t="shared" si="72"/>
        <v/>
      </c>
      <c r="CQ780" s="2494" t="str">
        <f t="shared" si="73"/>
        <v/>
      </c>
      <c r="CR780" s="2494" t="str">
        <f t="shared" si="74"/>
        <v/>
      </c>
      <c r="CS780" s="2494" t="str">
        <f t="shared" si="75"/>
        <v/>
      </c>
      <c r="CT780" s="2494" t="str">
        <f t="shared" si="76"/>
        <v/>
      </c>
      <c r="CU780" s="2494" t="str">
        <f t="shared" si="77"/>
        <v/>
      </c>
      <c r="CV780" s="2494" t="str">
        <f t="shared" si="78"/>
        <v/>
      </c>
      <c r="CW780" s="2494" t="str">
        <f t="shared" si="79"/>
        <v/>
      </c>
      <c r="CX780" s="2494" t="str">
        <f t="shared" si="80"/>
        <v/>
      </c>
      <c r="CY780" s="2494" t="str">
        <f t="shared" si="81"/>
        <v/>
      </c>
      <c r="CZ780" s="2494" t="str">
        <f t="shared" si="82"/>
        <v/>
      </c>
      <c r="DA780" s="2494" t="str">
        <f t="shared" si="83"/>
        <v/>
      </c>
      <c r="DB780" s="2494" t="str">
        <f t="shared" si="84"/>
        <v/>
      </c>
      <c r="DC780" s="2494" t="str">
        <f t="shared" si="85"/>
        <v/>
      </c>
      <c r="DD780" s="2494" t="str">
        <f t="shared" si="86"/>
        <v/>
      </c>
      <c r="DE780" s="2494" t="str">
        <f t="shared" si="87"/>
        <v/>
      </c>
      <c r="DF780" s="2494" t="str">
        <f t="shared" si="88"/>
        <v/>
      </c>
      <c r="DG780" s="2494" t="str">
        <f t="shared" si="89"/>
        <v/>
      </c>
      <c r="DH780" s="2494" t="str">
        <f t="shared" si="90"/>
        <v/>
      </c>
      <c r="DI780" s="2494" t="str">
        <f t="shared" si="91"/>
        <v/>
      </c>
      <c r="DJ780" s="2494" t="str">
        <f t="shared" si="92"/>
        <v/>
      </c>
      <c r="DK780" s="2494" t="str">
        <f t="shared" si="93"/>
        <v/>
      </c>
      <c r="DL780" s="2494" t="str">
        <f t="shared" si="94"/>
        <v/>
      </c>
      <c r="DM780" s="2494" t="str">
        <f t="shared" si="95"/>
        <v/>
      </c>
      <c r="DN780" s="2494" t="str">
        <f t="shared" si="96"/>
        <v/>
      </c>
      <c r="DO780" s="2494" t="str">
        <f t="shared" si="97"/>
        <v/>
      </c>
      <c r="DP780" s="2494" t="str">
        <f t="shared" si="98"/>
        <v/>
      </c>
      <c r="DQ780" s="2494" t="str">
        <f t="shared" si="99"/>
        <v/>
      </c>
      <c r="DR780" s="2494" t="str">
        <f t="shared" si="100"/>
        <v/>
      </c>
      <c r="DS780" s="2494" t="str">
        <f t="shared" si="101"/>
        <v/>
      </c>
      <c r="DT780" s="2494" t="str">
        <f t="shared" si="102"/>
        <v/>
      </c>
      <c r="DU780" s="2494" t="str">
        <f t="shared" si="103"/>
        <v/>
      </c>
      <c r="DV780" s="2494" t="str">
        <f t="shared" si="104"/>
        <v/>
      </c>
      <c r="DW780" s="2494" t="str">
        <f t="shared" si="105"/>
        <v/>
      </c>
      <c r="DX780" s="2494" t="str">
        <f t="shared" si="106"/>
        <v/>
      </c>
      <c r="DY780" s="2494" t="str">
        <f t="shared" si="107"/>
        <v/>
      </c>
      <c r="DZ780" s="2494" t="str">
        <f t="shared" si="108"/>
        <v/>
      </c>
      <c r="EA780" s="2494" t="str">
        <f t="shared" si="109"/>
        <v/>
      </c>
      <c r="EB780" s="2494" t="str">
        <f t="shared" si="110"/>
        <v/>
      </c>
      <c r="EC780" s="2494" t="str">
        <f t="shared" si="111"/>
        <v/>
      </c>
      <c r="ED780" s="2494" t="str">
        <f t="shared" si="112"/>
        <v/>
      </c>
      <c r="EE780" s="2494" t="str">
        <f t="shared" si="113"/>
        <v/>
      </c>
      <c r="EF780" s="2494" t="str">
        <f t="shared" si="114"/>
        <v/>
      </c>
      <c r="EG780" s="2494" t="str">
        <f t="shared" si="115"/>
        <v/>
      </c>
      <c r="EH780" s="2494" t="str">
        <f t="shared" si="116"/>
        <v/>
      </c>
      <c r="EI780" s="2494" t="str">
        <f t="shared" si="117"/>
        <v/>
      </c>
      <c r="EJ780" s="2494" t="str">
        <f t="shared" si="118"/>
        <v/>
      </c>
      <c r="EK780" s="2494" t="str">
        <f t="shared" si="119"/>
        <v/>
      </c>
      <c r="EL780" s="2494" t="str">
        <f t="shared" si="120"/>
        <v/>
      </c>
      <c r="EM780" s="2494" t="str">
        <f t="shared" si="121"/>
        <v/>
      </c>
      <c r="EN780" s="2494" t="str">
        <f t="shared" si="122"/>
        <v/>
      </c>
      <c r="EO780" s="2494" t="str">
        <f t="shared" si="123"/>
        <v/>
      </c>
      <c r="EP780" s="2494" t="str">
        <f t="shared" si="124"/>
        <v/>
      </c>
      <c r="EQ780" s="2494" t="str">
        <f t="shared" si="125"/>
        <v/>
      </c>
      <c r="ER780" s="2494" t="str">
        <f t="shared" si="126"/>
        <v/>
      </c>
      <c r="ES780" s="2494" t="str">
        <f t="shared" si="127"/>
        <v/>
      </c>
      <c r="ET780" s="2494" t="str">
        <f t="shared" si="128"/>
        <v/>
      </c>
      <c r="EU780" s="2494" t="str">
        <f t="shared" si="129"/>
        <v/>
      </c>
      <c r="EV780" s="2494" t="str">
        <f t="shared" si="130"/>
        <v/>
      </c>
      <c r="EW780" s="2494" t="str">
        <f t="shared" si="131"/>
        <v/>
      </c>
      <c r="EX780" s="2494" t="str">
        <f t="shared" si="132"/>
        <v/>
      </c>
      <c r="EY780" s="2494" t="str">
        <f t="shared" si="133"/>
        <v/>
      </c>
      <c r="EZ780" s="2494" t="str">
        <f t="shared" si="134"/>
        <v/>
      </c>
      <c r="FA780" s="2494" t="str">
        <f t="shared" si="135"/>
        <v/>
      </c>
      <c r="FB780" s="2494" t="str">
        <f t="shared" si="136"/>
        <v/>
      </c>
      <c r="FC780" s="2494" t="str">
        <f t="shared" si="137"/>
        <v/>
      </c>
      <c r="FD780" s="2494" t="str">
        <f t="shared" si="138"/>
        <v/>
      </c>
      <c r="FE780" s="2494" t="str">
        <f t="shared" si="139"/>
        <v/>
      </c>
      <c r="FF780" s="2494" t="str">
        <f t="shared" si="140"/>
        <v/>
      </c>
      <c r="FG780" s="2494" t="str">
        <f t="shared" si="141"/>
        <v/>
      </c>
      <c r="FH780" s="2494" t="str">
        <f t="shared" si="142"/>
        <v/>
      </c>
      <c r="FI780" s="2494" t="str">
        <f t="shared" si="143"/>
        <v/>
      </c>
      <c r="FJ780" s="2494" t="str">
        <f t="shared" si="144"/>
        <v/>
      </c>
      <c r="FK780" s="2494" t="str">
        <f t="shared" si="145"/>
        <v/>
      </c>
      <c r="FL780" s="2494" t="str">
        <f t="shared" si="146"/>
        <v/>
      </c>
      <c r="FM780" s="2494" t="str">
        <f t="shared" si="147"/>
        <v/>
      </c>
      <c r="FN780" s="2494" t="str">
        <f t="shared" si="148"/>
        <v/>
      </c>
      <c r="FO780" s="2494" t="str">
        <f t="shared" si="149"/>
        <v/>
      </c>
      <c r="FP780" s="2494" t="str">
        <f t="shared" si="150"/>
        <v/>
      </c>
      <c r="FQ780" s="2494" t="str">
        <f t="shared" si="151"/>
        <v/>
      </c>
      <c r="FR780" s="2494" t="str">
        <f t="shared" si="152"/>
        <v/>
      </c>
      <c r="FS780" s="2494" t="str">
        <f t="shared" si="153"/>
        <v/>
      </c>
      <c r="FT780" s="2494" t="str">
        <f t="shared" si="154"/>
        <v/>
      </c>
      <c r="FU780" s="2494" t="str">
        <f t="shared" si="155"/>
        <v/>
      </c>
      <c r="FV780" s="2494" t="str">
        <f t="shared" si="156"/>
        <v/>
      </c>
      <c r="FW780" s="2494" t="str">
        <f t="shared" si="157"/>
        <v/>
      </c>
      <c r="FX780" s="2494" t="str">
        <f t="shared" si="158"/>
        <v/>
      </c>
      <c r="FY780" s="2494" t="str">
        <f t="shared" si="159"/>
        <v/>
      </c>
      <c r="FZ780" s="2494" t="str">
        <f t="shared" si="160"/>
        <v/>
      </c>
      <c r="GA780" s="2494" t="str">
        <f t="shared" si="161"/>
        <v/>
      </c>
      <c r="GB780" s="2494" t="str">
        <f t="shared" si="162"/>
        <v/>
      </c>
      <c r="GC780" s="2494" t="str">
        <f t="shared" si="163"/>
        <v/>
      </c>
      <c r="GD780" s="2494" t="str">
        <f t="shared" si="164"/>
        <v/>
      </c>
      <c r="GE780" s="2494" t="str">
        <f t="shared" si="165"/>
        <v/>
      </c>
      <c r="GF780" s="2494" t="str">
        <f t="shared" si="166"/>
        <v/>
      </c>
      <c r="GG780" s="2494" t="str">
        <f t="shared" si="167"/>
        <v/>
      </c>
      <c r="GH780" s="2494" t="str">
        <f t="shared" si="168"/>
        <v/>
      </c>
      <c r="GI780" s="2494" t="str">
        <f t="shared" si="169"/>
        <v/>
      </c>
      <c r="GJ780" s="2494" t="str">
        <f t="shared" si="170"/>
        <v/>
      </c>
      <c r="GK780" s="2494" t="str">
        <f t="shared" si="171"/>
        <v/>
      </c>
      <c r="GL780" s="2494" t="str">
        <f t="shared" si="172"/>
        <v/>
      </c>
      <c r="GM780" s="2494" t="str">
        <f t="shared" si="173"/>
        <v/>
      </c>
      <c r="GN780" s="2494" t="str">
        <f t="shared" si="174"/>
        <v/>
      </c>
      <c r="GO780" s="2494" t="str">
        <f t="shared" si="175"/>
        <v/>
      </c>
      <c r="GP780" s="2494" t="str">
        <f t="shared" si="176"/>
        <v/>
      </c>
      <c r="GQ780" s="2494" t="str">
        <f t="shared" si="177"/>
        <v/>
      </c>
      <c r="GR780" s="2494" t="str">
        <f t="shared" si="178"/>
        <v/>
      </c>
      <c r="GS780" s="2494" t="str">
        <f t="shared" si="179"/>
        <v/>
      </c>
      <c r="GT780" s="2494" t="str">
        <f t="shared" si="180"/>
        <v/>
      </c>
      <c r="GU780" s="2494" t="str">
        <f t="shared" si="181"/>
        <v/>
      </c>
      <c r="GV780" s="2494" t="str">
        <f t="shared" si="182"/>
        <v/>
      </c>
      <c r="GW780" s="2494" t="str">
        <f t="shared" si="183"/>
        <v/>
      </c>
      <c r="GX780" s="2494" t="str">
        <f t="shared" si="184"/>
        <v/>
      </c>
      <c r="GY780" s="2494" t="str">
        <f t="shared" si="185"/>
        <v/>
      </c>
      <c r="GZ780" s="2494" t="str">
        <f t="shared" si="186"/>
        <v/>
      </c>
      <c r="HA780" s="2494" t="str">
        <f t="shared" si="187"/>
        <v/>
      </c>
      <c r="HB780" s="2494" t="str">
        <f t="shared" si="188"/>
        <v/>
      </c>
      <c r="HC780" s="2494" t="str">
        <f t="shared" si="189"/>
        <v/>
      </c>
      <c r="HD780" s="2494" t="str">
        <f t="shared" si="190"/>
        <v/>
      </c>
      <c r="HE780" s="2494" t="str">
        <f t="shared" si="191"/>
        <v/>
      </c>
      <c r="HF780" s="2494" t="str">
        <f t="shared" si="192"/>
        <v/>
      </c>
      <c r="HG780" s="2494" t="str">
        <f t="shared" si="193"/>
        <v/>
      </c>
      <c r="HH780" s="2494" t="str">
        <f t="shared" si="194"/>
        <v/>
      </c>
      <c r="HI780" s="2494" t="str">
        <f t="shared" si="195"/>
        <v/>
      </c>
      <c r="HJ780" s="2494" t="str">
        <f t="shared" si="196"/>
        <v/>
      </c>
      <c r="HK780" s="2494" t="str">
        <f t="shared" si="197"/>
        <v/>
      </c>
      <c r="HL780" s="2494" t="str">
        <f t="shared" si="198"/>
        <v/>
      </c>
      <c r="HM780" s="2494" t="str">
        <f t="shared" si="199"/>
        <v/>
      </c>
      <c r="HN780" s="2494" t="str">
        <f t="shared" si="200"/>
        <v/>
      </c>
      <c r="HO780" s="2494" t="str">
        <f t="shared" si="201"/>
        <v/>
      </c>
      <c r="HP780" s="2494" t="str">
        <f t="shared" si="202"/>
        <v/>
      </c>
      <c r="HQ780" s="2494" t="str">
        <f t="shared" si="203"/>
        <v/>
      </c>
      <c r="HR780" s="2494" t="str">
        <f t="shared" si="204"/>
        <v/>
      </c>
      <c r="HS780" s="2494" t="str">
        <f t="shared" si="205"/>
        <v/>
      </c>
      <c r="HT780" s="2494" t="str">
        <f t="shared" si="206"/>
        <v/>
      </c>
      <c r="HU780" s="2494" t="str">
        <f t="shared" si="207"/>
        <v/>
      </c>
      <c r="HV780" s="2494" t="str">
        <f t="shared" si="208"/>
        <v/>
      </c>
      <c r="HW780" s="2494" t="str">
        <f t="shared" si="209"/>
        <v/>
      </c>
      <c r="HX780" s="2494" t="str">
        <f t="shared" si="210"/>
        <v/>
      </c>
      <c r="HY780" s="2494" t="str">
        <f t="shared" si="211"/>
        <v/>
      </c>
      <c r="HZ780" s="2672" t="str">
        <f t="shared" si="212"/>
        <v/>
      </c>
      <c r="IA780" s="2672" t="str">
        <f t="shared" si="213"/>
        <v/>
      </c>
      <c r="IB780" s="2672" t="str">
        <f t="shared" si="214"/>
        <v/>
      </c>
      <c r="IC780" s="2672" t="str">
        <f t="shared" si="215"/>
        <v/>
      </c>
      <c r="ID780" s="2672" t="str">
        <f t="shared" si="216"/>
        <v/>
      </c>
      <c r="IE780" s="2672" t="str">
        <f t="shared" si="217"/>
        <v/>
      </c>
      <c r="IF780" s="2672" t="str">
        <f t="shared" si="218"/>
        <v/>
      </c>
      <c r="IG780" s="2672" t="str">
        <f t="shared" si="219"/>
        <v/>
      </c>
      <c r="IH780" s="2672" t="str">
        <f t="shared" si="220"/>
        <v/>
      </c>
      <c r="II780" s="2672" t="str">
        <f t="shared" si="221"/>
        <v/>
      </c>
      <c r="IJ780" s="2672" t="str">
        <f t="shared" si="222"/>
        <v/>
      </c>
      <c r="IK780" s="2672" t="str">
        <f t="shared" si="223"/>
        <v/>
      </c>
      <c r="IL780" s="2672" t="str">
        <f t="shared" si="224"/>
        <v/>
      </c>
      <c r="IM780" s="2672" t="str">
        <f t="shared" si="225"/>
        <v/>
      </c>
      <c r="IN780" s="2672" t="str">
        <f t="shared" si="226"/>
        <v/>
      </c>
      <c r="IO780" s="2672" t="str">
        <f t="shared" si="227"/>
        <v/>
      </c>
      <c r="IP780" s="2672" t="str">
        <f t="shared" si="228"/>
        <v/>
      </c>
      <c r="IQ780" s="2672" t="str">
        <f t="shared" si="229"/>
        <v/>
      </c>
      <c r="IR780" s="2672" t="str">
        <f t="shared" si="230"/>
        <v/>
      </c>
      <c r="IS780" s="2672" t="str">
        <f t="shared" si="231"/>
        <v/>
      </c>
      <c r="IT780" s="2672" t="str">
        <f t="shared" si="232"/>
        <v/>
      </c>
      <c r="IU780" s="2672" t="str">
        <f t="shared" si="233"/>
        <v/>
      </c>
      <c r="IV780" s="2672" t="str">
        <f t="shared" si="234"/>
        <v/>
      </c>
      <c r="IW780" s="2672" t="str">
        <f t="shared" si="235"/>
        <v/>
      </c>
      <c r="IX780" s="2672" t="str">
        <f t="shared" si="236"/>
        <v/>
      </c>
      <c r="IY780" s="2672" t="str">
        <f t="shared" si="237"/>
        <v/>
      </c>
      <c r="IZ780" s="2672" t="str">
        <f t="shared" si="238"/>
        <v/>
      </c>
      <c r="JA780" s="2672" t="str">
        <f t="shared" si="239"/>
        <v/>
      </c>
      <c r="JB780" s="2672" t="str">
        <f t="shared" si="240"/>
        <v/>
      </c>
      <c r="JC780" s="2672" t="str">
        <f t="shared" si="241"/>
        <v/>
      </c>
      <c r="JD780" s="2672" t="str">
        <f t="shared" si="242"/>
        <v/>
      </c>
      <c r="JE780" s="2672" t="str">
        <f t="shared" si="243"/>
        <v/>
      </c>
      <c r="JF780" s="2672" t="str">
        <f t="shared" si="244"/>
        <v/>
      </c>
      <c r="JG780" s="2672" t="str">
        <f t="shared" si="245"/>
        <v/>
      </c>
      <c r="JH780" s="2672" t="str">
        <f t="shared" si="246"/>
        <v/>
      </c>
      <c r="JI780" s="2672" t="str">
        <f t="shared" si="247"/>
        <v/>
      </c>
      <c r="JJ780" s="2672" t="str">
        <f t="shared" si="248"/>
        <v/>
      </c>
      <c r="JK780" s="2672" t="str">
        <f t="shared" si="249"/>
        <v/>
      </c>
      <c r="JL780" s="2672" t="str">
        <f t="shared" si="250"/>
        <v/>
      </c>
      <c r="JM780" s="2672" t="str">
        <f t="shared" si="251"/>
        <v/>
      </c>
      <c r="JN780" s="2672" t="str">
        <f t="shared" si="252"/>
        <v/>
      </c>
      <c r="JO780" s="2672" t="str">
        <f t="shared" si="253"/>
        <v/>
      </c>
      <c r="JP780" s="2672" t="str">
        <f t="shared" si="254"/>
        <v/>
      </c>
      <c r="JQ780" s="2672" t="str">
        <f t="shared" si="255"/>
        <v/>
      </c>
      <c r="JR780" s="2672" t="str">
        <f t="shared" si="256"/>
        <v/>
      </c>
      <c r="JS780" s="2672" t="str">
        <f t="shared" si="257"/>
        <v/>
      </c>
      <c r="JT780" s="2672" t="str">
        <f t="shared" si="258"/>
        <v/>
      </c>
      <c r="JU780" s="2672" t="str">
        <f t="shared" si="259"/>
        <v/>
      </c>
      <c r="JV780" s="2672" t="str">
        <f t="shared" si="260"/>
        <v/>
      </c>
      <c r="JW780" s="2672" t="str">
        <f t="shared" si="261"/>
        <v/>
      </c>
      <c r="JX780" s="2672" t="str">
        <f t="shared" si="262"/>
        <v/>
      </c>
      <c r="JY780" s="2672" t="str">
        <f t="shared" si="263"/>
        <v/>
      </c>
      <c r="JZ780" s="2672" t="str">
        <f t="shared" si="264"/>
        <v/>
      </c>
      <c r="KA780" s="2672" t="str">
        <f t="shared" si="265"/>
        <v/>
      </c>
      <c r="KB780" s="2672" t="str">
        <f t="shared" si="266"/>
        <v/>
      </c>
      <c r="KC780" s="2672" t="str">
        <f t="shared" si="267"/>
        <v/>
      </c>
      <c r="KD780" s="2672" t="str">
        <f t="shared" si="268"/>
        <v/>
      </c>
      <c r="KE780" s="2672" t="str">
        <f t="shared" si="269"/>
        <v/>
      </c>
      <c r="KF780" s="2672" t="str">
        <f t="shared" si="270"/>
        <v/>
      </c>
      <c r="KG780" s="2672" t="str">
        <f t="shared" si="271"/>
        <v/>
      </c>
      <c r="KH780" s="2672" t="str">
        <f t="shared" si="272"/>
        <v/>
      </c>
      <c r="KI780" s="2672" t="str">
        <f t="shared" si="273"/>
        <v/>
      </c>
      <c r="KJ780" s="2672" t="str">
        <f t="shared" si="274"/>
        <v/>
      </c>
      <c r="KK780" s="2672" t="str">
        <f t="shared" si="275"/>
        <v/>
      </c>
      <c r="KL780" s="2672" t="str">
        <f t="shared" si="276"/>
        <v/>
      </c>
      <c r="KM780" s="2672" t="str">
        <f t="shared" si="277"/>
        <v/>
      </c>
      <c r="KN780" s="2672" t="str">
        <f t="shared" si="278"/>
        <v/>
      </c>
      <c r="KO780" s="2672" t="str">
        <f t="shared" si="279"/>
        <v/>
      </c>
      <c r="KP780" s="2672" t="str">
        <f t="shared" si="280"/>
        <v/>
      </c>
      <c r="KQ780" s="2672" t="str">
        <f t="shared" si="281"/>
        <v/>
      </c>
      <c r="KR780" s="2672" t="str">
        <f t="shared" si="282"/>
        <v/>
      </c>
      <c r="KS780" s="2672" t="str">
        <f t="shared" si="283"/>
        <v/>
      </c>
      <c r="KT780" s="2672" t="str">
        <f t="shared" si="284"/>
        <v/>
      </c>
      <c r="KU780" s="2672" t="str">
        <f t="shared" si="285"/>
        <v/>
      </c>
      <c r="KV780" s="2672" t="str">
        <f t="shared" si="286"/>
        <v/>
      </c>
      <c r="KW780" s="2672" t="str">
        <f t="shared" si="287"/>
        <v/>
      </c>
      <c r="KX780" s="2672" t="str">
        <f t="shared" si="288"/>
        <v/>
      </c>
      <c r="KY780" s="2672" t="str">
        <f t="shared" si="289"/>
        <v/>
      </c>
      <c r="KZ780" s="2672" t="str">
        <f t="shared" si="290"/>
        <v/>
      </c>
      <c r="LA780" s="2672" t="str">
        <f t="shared" si="291"/>
        <v/>
      </c>
      <c r="LB780" s="2672" t="str">
        <f t="shared" si="292"/>
        <v/>
      </c>
      <c r="LC780" s="2672" t="str">
        <f t="shared" si="293"/>
        <v/>
      </c>
      <c r="LD780" s="2672" t="str">
        <f t="shared" si="294"/>
        <v/>
      </c>
      <c r="LE780" s="2672" t="str">
        <f t="shared" si="295"/>
        <v/>
      </c>
      <c r="LF780" s="2672" t="str">
        <f t="shared" si="296"/>
        <v/>
      </c>
      <c r="LG780" s="2672" t="str">
        <f t="shared" si="297"/>
        <v/>
      </c>
      <c r="LH780" s="2672" t="str">
        <f t="shared" si="298"/>
        <v/>
      </c>
      <c r="LI780" s="2672" t="str">
        <f t="shared" si="299"/>
        <v/>
      </c>
      <c r="LJ780" s="2672" t="str">
        <f t="shared" si="300"/>
        <v/>
      </c>
      <c r="LK780" s="2672" t="str">
        <f t="shared" si="301"/>
        <v/>
      </c>
      <c r="LL780" s="2672" t="str">
        <f t="shared" si="302"/>
        <v/>
      </c>
      <c r="LM780" s="2672" t="str">
        <f t="shared" si="303"/>
        <v/>
      </c>
      <c r="LN780" s="2672" t="str">
        <f t="shared" si="304"/>
        <v/>
      </c>
      <c r="LO780" s="2672" t="str">
        <f t="shared" si="305"/>
        <v/>
      </c>
      <c r="LP780" s="2672" t="str">
        <f t="shared" si="306"/>
        <v/>
      </c>
      <c r="LQ780" s="2613" t="str">
        <f t="shared" si="307"/>
        <v/>
      </c>
      <c r="LR780" s="2613" t="str">
        <f t="shared" si="308"/>
        <v/>
      </c>
      <c r="LS780" s="2613" t="str">
        <f t="shared" si="309"/>
        <v/>
      </c>
      <c r="LT780" s="2613" t="str">
        <f t="shared" si="310"/>
        <v/>
      </c>
      <c r="LU780" s="2613" t="str">
        <f t="shared" si="311"/>
        <v/>
      </c>
      <c r="LV780" s="2494" t="str">
        <f t="shared" si="312"/>
        <v/>
      </c>
      <c r="LW780" s="2494" t="str">
        <f t="shared" si="313"/>
        <v/>
      </c>
      <c r="LX780" s="2494" t="str">
        <f t="shared" si="314"/>
        <v/>
      </c>
      <c r="LY780" s="2494" t="str">
        <f t="shared" si="315"/>
        <v/>
      </c>
      <c r="LZ780" s="2494" t="str">
        <f t="shared" si="316"/>
        <v/>
      </c>
      <c r="MA780" s="2494" t="str">
        <f t="shared" si="317"/>
        <v/>
      </c>
      <c r="MB780" s="2494" t="str">
        <f t="shared" si="318"/>
        <v/>
      </c>
      <c r="MC780" s="2494" t="str">
        <f t="shared" si="319"/>
        <v/>
      </c>
      <c r="MD780" s="2494" t="str">
        <f t="shared" si="320"/>
        <v/>
      </c>
      <c r="ME780" s="2494" t="str">
        <f t="shared" si="321"/>
        <v/>
      </c>
      <c r="MF780" s="2494" t="str">
        <f t="shared" si="322"/>
        <v/>
      </c>
      <c r="MG780" s="2494" t="str">
        <f t="shared" si="323"/>
        <v/>
      </c>
      <c r="MH780" s="2494" t="str">
        <f t="shared" si="324"/>
        <v/>
      </c>
      <c r="MI780" s="2494" t="str">
        <f t="shared" si="325"/>
        <v/>
      </c>
      <c r="MJ780" s="2494" t="str">
        <f t="shared" si="326"/>
        <v/>
      </c>
      <c r="MK780" s="2494" t="str">
        <f t="shared" si="327"/>
        <v/>
      </c>
      <c r="ML780" s="2494" t="str">
        <f t="shared" si="328"/>
        <v/>
      </c>
      <c r="MM780" s="2494" t="str">
        <f t="shared" si="329"/>
        <v/>
      </c>
      <c r="MN780" s="2494" t="str">
        <f t="shared" si="330"/>
        <v/>
      </c>
      <c r="MO780" s="2494" t="str">
        <f t="shared" si="331"/>
        <v/>
      </c>
      <c r="MP780" s="2613">
        <f t="shared" ref="MP780:MP816" si="338">IF(AND($C780="Efficiency",$E780&gt;0,OR($O780="1-Story",$O780="2-Story",$O780="3+ Story",$O780="3+ Story Elevator",$O780="2-Story Walkup",$O780="Townhome"),OR($P780="Acquisition/Rehab",$P780="Rehabilitation"),NOT($Q780="Yes")),$E780,0)</f>
        <v>0</v>
      </c>
      <c r="MQ780" s="2613">
        <f t="shared" ref="MQ780:MQ816" si="339">IF(AND($C780=1,$E780&gt;0,OR($O780="1-Story",$O780="2-Story",$O780="3+ Story",$O780="3+ Story Elevator",$O780="2-Story Walkup",$O780="Townhome"),OR($P780="Acquisition/Rehab",$P780="Rehabilitation"),NOT($Q780="Yes")),$E780,0)</f>
        <v>0</v>
      </c>
      <c r="MR780" s="2613">
        <f t="shared" ref="MR780:MR816" si="340">IF(AND($C780=2,$E780&gt;0,OR($O780="1-Story",$O780="2-Story",$O780="3+ Story",$O780="3+ Story Elevator",$O780="2-Story Walkup",$O780="Townhome"),OR($P780="Acquisition/Rehab",$P780="Rehabilitation"),NOT($Q780="Yes")),$E780,0)</f>
        <v>0</v>
      </c>
      <c r="MS780" s="2613">
        <f t="shared" ref="MS780:MS816" si="341">IF(AND($C780=3,$E780&gt;0,OR($O780="1-Story",$O780="2-Story",$O780="3+ Story",$O780="3+ Story Elevator",$O780="2-Story Walkup",$O780="Townhome"),OR($P780="Acquisition/Rehab",$P780="Rehabilitation"),NOT($Q780="Yes")),$E780,0)</f>
        <v>0</v>
      </c>
      <c r="MT780" s="2613">
        <f t="shared" ref="MT780:MT816" si="342">IF(AND($C780=4,$E780&gt;0,OR($O780="1-Story",$O780="2-Story",$O780="3+ Story",$O780="3+ Story Elevator",$O780="2-Story Walkup",$O780="Townhome"),OR($P780="Acquisition/Rehab",$P780="Rehabilitation"),NOT($Q780="Yes")),$E780,0)</f>
        <v>0</v>
      </c>
      <c r="MU780" s="2613">
        <f t="shared" ref="MU780:MU816" si="343">IF(AND($C780="Efficiency",$E780&gt;0,OR($O780="1-Story",$O780="2-Story",$O780="3+ Story",$O780="3+ Story Elevator",$O780="2-Story Walkup",$O780="Townhome"),$P780="New Construction"),$E780,0)</f>
        <v>0</v>
      </c>
      <c r="MV780" s="2613">
        <f t="shared" ref="MV780:MV816" si="344">IF(AND($C780=1,$E780&gt;0,OR($O780="1-Story",$O780="2-Story",$O780="3+ Story",$O780="3+ Story Elevator",$O780="2-Story Walkup",$O780="Townhome"),$P780="New Construction"),$E780,0)</f>
        <v>0</v>
      </c>
      <c r="MW780" s="2613">
        <f t="shared" ref="MW780:MW816" si="345">IF(AND($C780=2,$E780&gt;0,OR($O780="1-Story",$O780="2-Story",$O780="3+ Story",$O780="3+ Story Elevator",$O780="2-Story Walkup",$O780="Townhome"),$P780="New Construction"),$E780,0)</f>
        <v>0</v>
      </c>
      <c r="MX780" s="2613">
        <f t="shared" ref="MX780:MX816" si="346">IF(AND($C780=3,$E780&gt;0,OR($O780="1-Story",$O780="2-Story",$O780="3+ Story",$O780="3+ Story Elevator",$O780="2-Story Walkup",$O780="Townhome"),$P780="New Construction"),$E780,0)</f>
        <v>0</v>
      </c>
      <c r="MY780" s="2613">
        <f t="shared" ref="MY780:MY816" si="347">IF(AND($C780=4,$E780&gt;0,OR($O780="1-Story",$O780="2-Story",$O780="3+ Story",$O780="3+ Story Elevator",$O780="2-Story Walkup",$O780="Townhome"),$P780="New Construction"),$E780,0)</f>
        <v>0</v>
      </c>
      <c r="MZ780" s="2613">
        <f t="shared" si="332"/>
        <v>0</v>
      </c>
      <c r="NA780" s="2613">
        <f t="shared" si="333"/>
        <v>0</v>
      </c>
      <c r="NB780" s="2613">
        <f t="shared" si="334"/>
        <v>0</v>
      </c>
      <c r="NC780" s="2613">
        <f t="shared" si="335"/>
        <v>0</v>
      </c>
      <c r="ND780" s="2613">
        <f t="shared" si="336"/>
        <v>0</v>
      </c>
    </row>
    <row r="781" spans="1:368" ht="13.8" customHeight="1">
      <c r="A781" s="2652" t="str">
        <f t="shared" si="337"/>
        <v/>
      </c>
      <c r="B781" s="2664" t="str">
        <f>'Part VI-Revenues &amp; Expenses'!B12</f>
        <v>Unrestricted</v>
      </c>
      <c r="C781" s="2665">
        <f>'Part VI-Revenues &amp; Expenses'!C12</f>
        <v>0</v>
      </c>
      <c r="D781" s="2666">
        <f>'Part VI-Revenues &amp; Expenses'!D12</f>
        <v>0</v>
      </c>
      <c r="E781" s="2667">
        <f>'Part VI-Revenues &amp; Expenses'!E12</f>
        <v>0</v>
      </c>
      <c r="F781" s="2667">
        <f>'Part VI-Revenues &amp; Expenses'!F12</f>
        <v>0</v>
      </c>
      <c r="G781" s="2667">
        <f>'Part VI-Revenues &amp; Expenses'!G12</f>
        <v>0</v>
      </c>
      <c r="H781" s="2667">
        <f>'Part VI-Revenues &amp; Expenses'!H12</f>
        <v>0</v>
      </c>
      <c r="I781" s="2667">
        <f>'Part VI-Revenues &amp; Expenses'!I12</f>
        <v>0</v>
      </c>
      <c r="J781" s="2667">
        <f>'Part VI-Revenues &amp; Expenses'!J12</f>
        <v>0</v>
      </c>
      <c r="K781" s="2668">
        <f>'Part VI-Revenues &amp; Expenses'!K12</f>
        <v>0</v>
      </c>
      <c r="L781" s="2669">
        <f t="shared" si="0"/>
        <v>0</v>
      </c>
      <c r="M781" s="2669">
        <f t="shared" si="1"/>
        <v>0</v>
      </c>
      <c r="N781" s="2545">
        <f>'Part VI-Revenues &amp; Expenses'!N12</f>
        <v>0</v>
      </c>
      <c r="O781" s="2545">
        <f>'Part VI-Revenues &amp; Expenses'!O12</f>
        <v>0</v>
      </c>
      <c r="P781" s="2545">
        <f>'Part VI-Revenues &amp; Expenses'!P12</f>
        <v>0</v>
      </c>
      <c r="Q781" s="2251">
        <f>'Part VI-Revenues &amp; Expenses'!Q12</f>
        <v>0</v>
      </c>
      <c r="R781" s="2670"/>
      <c r="S781" s="2671"/>
      <c r="T781" s="2607"/>
      <c r="U781" s="2607"/>
      <c r="V781" s="2607"/>
      <c r="W781" s="2607"/>
      <c r="X781" s="2494" t="str">
        <f t="shared" si="2"/>
        <v/>
      </c>
      <c r="Y781" s="2494" t="str">
        <f t="shared" si="3"/>
        <v/>
      </c>
      <c r="Z781" s="2494" t="str">
        <f t="shared" si="4"/>
        <v/>
      </c>
      <c r="AA781" s="2494" t="str">
        <f t="shared" si="5"/>
        <v/>
      </c>
      <c r="AB781" s="2494" t="str">
        <f t="shared" si="6"/>
        <v/>
      </c>
      <c r="AC781" s="2494" t="str">
        <f t="shared" si="7"/>
        <v/>
      </c>
      <c r="AD781" s="2494" t="str">
        <f t="shared" si="8"/>
        <v/>
      </c>
      <c r="AE781" s="2494" t="str">
        <f t="shared" si="9"/>
        <v/>
      </c>
      <c r="AF781" s="2494" t="str">
        <f t="shared" si="10"/>
        <v/>
      </c>
      <c r="AG781" s="2494" t="str">
        <f t="shared" si="11"/>
        <v/>
      </c>
      <c r="AH781" s="2494" t="str">
        <f t="shared" si="12"/>
        <v/>
      </c>
      <c r="AI781" s="2494" t="str">
        <f t="shared" si="13"/>
        <v/>
      </c>
      <c r="AJ781" s="2494" t="str">
        <f t="shared" si="14"/>
        <v/>
      </c>
      <c r="AK781" s="2494" t="str">
        <f t="shared" si="15"/>
        <v/>
      </c>
      <c r="AL781" s="2494" t="str">
        <f t="shared" si="16"/>
        <v/>
      </c>
      <c r="AM781" s="2494" t="str">
        <f t="shared" si="17"/>
        <v/>
      </c>
      <c r="AN781" s="2494" t="str">
        <f t="shared" si="18"/>
        <v/>
      </c>
      <c r="AO781" s="2494" t="str">
        <f t="shared" si="19"/>
        <v/>
      </c>
      <c r="AP781" s="2494" t="str">
        <f t="shared" si="20"/>
        <v/>
      </c>
      <c r="AQ781" s="2494" t="str">
        <f t="shared" si="21"/>
        <v/>
      </c>
      <c r="AR781" s="2494" t="str">
        <f t="shared" si="22"/>
        <v/>
      </c>
      <c r="AS781" s="2494" t="str">
        <f t="shared" si="23"/>
        <v/>
      </c>
      <c r="AT781" s="2494" t="str">
        <f t="shared" si="24"/>
        <v/>
      </c>
      <c r="AU781" s="2494" t="str">
        <f t="shared" si="25"/>
        <v/>
      </c>
      <c r="AV781" s="2494" t="str">
        <f t="shared" si="26"/>
        <v/>
      </c>
      <c r="AW781" s="2494" t="str">
        <f t="shared" si="27"/>
        <v/>
      </c>
      <c r="AX781" s="2494" t="str">
        <f t="shared" si="28"/>
        <v/>
      </c>
      <c r="AY781" s="2494" t="str">
        <f t="shared" si="29"/>
        <v/>
      </c>
      <c r="AZ781" s="2494" t="str">
        <f t="shared" si="30"/>
        <v/>
      </c>
      <c r="BA781" s="2494" t="str">
        <f t="shared" si="31"/>
        <v/>
      </c>
      <c r="BB781" s="2494" t="str">
        <f t="shared" si="32"/>
        <v/>
      </c>
      <c r="BC781" s="2494" t="str">
        <f t="shared" si="33"/>
        <v/>
      </c>
      <c r="BD781" s="2494" t="str">
        <f t="shared" si="34"/>
        <v/>
      </c>
      <c r="BE781" s="2494" t="str">
        <f t="shared" si="35"/>
        <v/>
      </c>
      <c r="BF781" s="2494" t="str">
        <f t="shared" si="36"/>
        <v/>
      </c>
      <c r="BG781" s="2494" t="str">
        <f t="shared" si="37"/>
        <v/>
      </c>
      <c r="BH781" s="2494" t="str">
        <f t="shared" si="38"/>
        <v/>
      </c>
      <c r="BI781" s="2494" t="str">
        <f t="shared" si="39"/>
        <v/>
      </c>
      <c r="BJ781" s="2494" t="str">
        <f t="shared" si="40"/>
        <v/>
      </c>
      <c r="BK781" s="2494" t="str">
        <f t="shared" si="41"/>
        <v/>
      </c>
      <c r="BL781" s="2494" t="str">
        <f t="shared" si="42"/>
        <v/>
      </c>
      <c r="BM781" s="2494" t="str">
        <f t="shared" si="43"/>
        <v/>
      </c>
      <c r="BN781" s="2494" t="str">
        <f t="shared" si="44"/>
        <v/>
      </c>
      <c r="BO781" s="2494" t="str">
        <f t="shared" si="45"/>
        <v/>
      </c>
      <c r="BP781" s="2494" t="str">
        <f t="shared" si="46"/>
        <v/>
      </c>
      <c r="BQ781" s="2494" t="str">
        <f t="shared" si="47"/>
        <v/>
      </c>
      <c r="BR781" s="2494" t="str">
        <f t="shared" si="48"/>
        <v/>
      </c>
      <c r="BS781" s="2494" t="str">
        <f t="shared" si="49"/>
        <v/>
      </c>
      <c r="BT781" s="2494" t="str">
        <f t="shared" si="50"/>
        <v/>
      </c>
      <c r="BU781" s="2494" t="str">
        <f t="shared" si="51"/>
        <v/>
      </c>
      <c r="BV781" s="2494" t="str">
        <f t="shared" si="52"/>
        <v/>
      </c>
      <c r="BW781" s="2494" t="str">
        <f t="shared" si="53"/>
        <v/>
      </c>
      <c r="BX781" s="2494" t="str">
        <f t="shared" si="54"/>
        <v/>
      </c>
      <c r="BY781" s="2494" t="str">
        <f t="shared" si="55"/>
        <v/>
      </c>
      <c r="BZ781" s="2494" t="str">
        <f t="shared" si="56"/>
        <v/>
      </c>
      <c r="CA781" s="2494" t="str">
        <f t="shared" si="57"/>
        <v/>
      </c>
      <c r="CB781" s="2494" t="str">
        <f t="shared" si="58"/>
        <v/>
      </c>
      <c r="CC781" s="2494" t="str">
        <f t="shared" si="59"/>
        <v/>
      </c>
      <c r="CD781" s="2494" t="str">
        <f t="shared" si="60"/>
        <v/>
      </c>
      <c r="CE781" s="2494" t="str">
        <f t="shared" si="61"/>
        <v/>
      </c>
      <c r="CF781" s="2494" t="str">
        <f t="shared" si="62"/>
        <v/>
      </c>
      <c r="CG781" s="2494" t="str">
        <f t="shared" si="63"/>
        <v/>
      </c>
      <c r="CH781" s="2494" t="str">
        <f t="shared" si="64"/>
        <v/>
      </c>
      <c r="CI781" s="2494" t="str">
        <f t="shared" si="65"/>
        <v/>
      </c>
      <c r="CJ781" s="2494" t="str">
        <f t="shared" si="66"/>
        <v/>
      </c>
      <c r="CK781" s="2494" t="str">
        <f t="shared" si="67"/>
        <v/>
      </c>
      <c r="CL781" s="2494" t="str">
        <f t="shared" si="68"/>
        <v/>
      </c>
      <c r="CM781" s="2494" t="str">
        <f t="shared" si="69"/>
        <v/>
      </c>
      <c r="CN781" s="2494" t="str">
        <f t="shared" si="70"/>
        <v/>
      </c>
      <c r="CO781" s="2494" t="str">
        <f t="shared" si="71"/>
        <v/>
      </c>
      <c r="CP781" s="2494" t="str">
        <f t="shared" si="72"/>
        <v/>
      </c>
      <c r="CQ781" s="2494" t="str">
        <f t="shared" si="73"/>
        <v/>
      </c>
      <c r="CR781" s="2494" t="str">
        <f t="shared" si="74"/>
        <v/>
      </c>
      <c r="CS781" s="2494" t="str">
        <f t="shared" si="75"/>
        <v/>
      </c>
      <c r="CT781" s="2494" t="str">
        <f t="shared" si="76"/>
        <v/>
      </c>
      <c r="CU781" s="2494" t="str">
        <f t="shared" si="77"/>
        <v/>
      </c>
      <c r="CV781" s="2494" t="str">
        <f t="shared" si="78"/>
        <v/>
      </c>
      <c r="CW781" s="2494" t="str">
        <f t="shared" si="79"/>
        <v/>
      </c>
      <c r="CX781" s="2494" t="str">
        <f t="shared" si="80"/>
        <v/>
      </c>
      <c r="CY781" s="2494" t="str">
        <f t="shared" si="81"/>
        <v/>
      </c>
      <c r="CZ781" s="2494" t="str">
        <f t="shared" si="82"/>
        <v/>
      </c>
      <c r="DA781" s="2494" t="str">
        <f t="shared" si="83"/>
        <v/>
      </c>
      <c r="DB781" s="2494" t="str">
        <f t="shared" si="84"/>
        <v/>
      </c>
      <c r="DC781" s="2494" t="str">
        <f t="shared" si="85"/>
        <v/>
      </c>
      <c r="DD781" s="2494" t="str">
        <f t="shared" si="86"/>
        <v/>
      </c>
      <c r="DE781" s="2494" t="str">
        <f t="shared" si="87"/>
        <v/>
      </c>
      <c r="DF781" s="2494" t="str">
        <f t="shared" si="88"/>
        <v/>
      </c>
      <c r="DG781" s="2494" t="str">
        <f t="shared" si="89"/>
        <v/>
      </c>
      <c r="DH781" s="2494" t="str">
        <f t="shared" si="90"/>
        <v/>
      </c>
      <c r="DI781" s="2494" t="str">
        <f t="shared" si="91"/>
        <v/>
      </c>
      <c r="DJ781" s="2494" t="str">
        <f t="shared" si="92"/>
        <v/>
      </c>
      <c r="DK781" s="2494" t="str">
        <f t="shared" si="93"/>
        <v/>
      </c>
      <c r="DL781" s="2494" t="str">
        <f t="shared" si="94"/>
        <v/>
      </c>
      <c r="DM781" s="2494" t="str">
        <f t="shared" si="95"/>
        <v/>
      </c>
      <c r="DN781" s="2494" t="str">
        <f t="shared" si="96"/>
        <v/>
      </c>
      <c r="DO781" s="2494" t="str">
        <f t="shared" si="97"/>
        <v/>
      </c>
      <c r="DP781" s="2494" t="str">
        <f t="shared" si="98"/>
        <v/>
      </c>
      <c r="DQ781" s="2494" t="str">
        <f t="shared" si="99"/>
        <v/>
      </c>
      <c r="DR781" s="2494" t="str">
        <f t="shared" si="100"/>
        <v/>
      </c>
      <c r="DS781" s="2494" t="str">
        <f t="shared" si="101"/>
        <v/>
      </c>
      <c r="DT781" s="2494" t="str">
        <f t="shared" si="102"/>
        <v/>
      </c>
      <c r="DU781" s="2494" t="str">
        <f t="shared" si="103"/>
        <v/>
      </c>
      <c r="DV781" s="2494" t="str">
        <f t="shared" si="104"/>
        <v/>
      </c>
      <c r="DW781" s="2494" t="str">
        <f t="shared" si="105"/>
        <v/>
      </c>
      <c r="DX781" s="2494" t="str">
        <f t="shared" si="106"/>
        <v/>
      </c>
      <c r="DY781" s="2494" t="str">
        <f t="shared" si="107"/>
        <v/>
      </c>
      <c r="DZ781" s="2494" t="str">
        <f t="shared" si="108"/>
        <v/>
      </c>
      <c r="EA781" s="2494" t="str">
        <f t="shared" si="109"/>
        <v/>
      </c>
      <c r="EB781" s="2494" t="str">
        <f t="shared" si="110"/>
        <v/>
      </c>
      <c r="EC781" s="2494" t="str">
        <f t="shared" si="111"/>
        <v/>
      </c>
      <c r="ED781" s="2494" t="str">
        <f t="shared" si="112"/>
        <v/>
      </c>
      <c r="EE781" s="2494" t="str">
        <f t="shared" si="113"/>
        <v/>
      </c>
      <c r="EF781" s="2494" t="str">
        <f t="shared" si="114"/>
        <v/>
      </c>
      <c r="EG781" s="2494" t="str">
        <f t="shared" si="115"/>
        <v/>
      </c>
      <c r="EH781" s="2494" t="str">
        <f t="shared" si="116"/>
        <v/>
      </c>
      <c r="EI781" s="2494" t="str">
        <f t="shared" si="117"/>
        <v/>
      </c>
      <c r="EJ781" s="2494" t="str">
        <f t="shared" si="118"/>
        <v/>
      </c>
      <c r="EK781" s="2494" t="str">
        <f t="shared" si="119"/>
        <v/>
      </c>
      <c r="EL781" s="2494" t="str">
        <f t="shared" si="120"/>
        <v/>
      </c>
      <c r="EM781" s="2494" t="str">
        <f t="shared" si="121"/>
        <v/>
      </c>
      <c r="EN781" s="2494" t="str">
        <f t="shared" si="122"/>
        <v/>
      </c>
      <c r="EO781" s="2494" t="str">
        <f t="shared" si="123"/>
        <v/>
      </c>
      <c r="EP781" s="2494" t="str">
        <f t="shared" si="124"/>
        <v/>
      </c>
      <c r="EQ781" s="2494" t="str">
        <f t="shared" si="125"/>
        <v/>
      </c>
      <c r="ER781" s="2494" t="str">
        <f t="shared" si="126"/>
        <v/>
      </c>
      <c r="ES781" s="2494" t="str">
        <f t="shared" si="127"/>
        <v/>
      </c>
      <c r="ET781" s="2494" t="str">
        <f t="shared" si="128"/>
        <v/>
      </c>
      <c r="EU781" s="2494" t="str">
        <f t="shared" si="129"/>
        <v/>
      </c>
      <c r="EV781" s="2494" t="str">
        <f t="shared" si="130"/>
        <v/>
      </c>
      <c r="EW781" s="2494" t="str">
        <f t="shared" si="131"/>
        <v/>
      </c>
      <c r="EX781" s="2494" t="str">
        <f t="shared" si="132"/>
        <v/>
      </c>
      <c r="EY781" s="2494" t="str">
        <f t="shared" si="133"/>
        <v/>
      </c>
      <c r="EZ781" s="2494" t="str">
        <f t="shared" si="134"/>
        <v/>
      </c>
      <c r="FA781" s="2494" t="str">
        <f t="shared" si="135"/>
        <v/>
      </c>
      <c r="FB781" s="2494" t="str">
        <f t="shared" si="136"/>
        <v/>
      </c>
      <c r="FC781" s="2494" t="str">
        <f t="shared" si="137"/>
        <v/>
      </c>
      <c r="FD781" s="2494" t="str">
        <f t="shared" si="138"/>
        <v/>
      </c>
      <c r="FE781" s="2494" t="str">
        <f t="shared" si="139"/>
        <v/>
      </c>
      <c r="FF781" s="2494" t="str">
        <f t="shared" si="140"/>
        <v/>
      </c>
      <c r="FG781" s="2494" t="str">
        <f t="shared" si="141"/>
        <v/>
      </c>
      <c r="FH781" s="2494" t="str">
        <f t="shared" si="142"/>
        <v/>
      </c>
      <c r="FI781" s="2494" t="str">
        <f t="shared" si="143"/>
        <v/>
      </c>
      <c r="FJ781" s="2494" t="str">
        <f t="shared" si="144"/>
        <v/>
      </c>
      <c r="FK781" s="2494" t="str">
        <f t="shared" si="145"/>
        <v/>
      </c>
      <c r="FL781" s="2494" t="str">
        <f t="shared" si="146"/>
        <v/>
      </c>
      <c r="FM781" s="2494" t="str">
        <f t="shared" si="147"/>
        <v/>
      </c>
      <c r="FN781" s="2494" t="str">
        <f t="shared" si="148"/>
        <v/>
      </c>
      <c r="FO781" s="2494" t="str">
        <f t="shared" si="149"/>
        <v/>
      </c>
      <c r="FP781" s="2494" t="str">
        <f t="shared" si="150"/>
        <v/>
      </c>
      <c r="FQ781" s="2494" t="str">
        <f t="shared" si="151"/>
        <v/>
      </c>
      <c r="FR781" s="2494" t="str">
        <f t="shared" si="152"/>
        <v/>
      </c>
      <c r="FS781" s="2494" t="str">
        <f t="shared" si="153"/>
        <v/>
      </c>
      <c r="FT781" s="2494" t="str">
        <f t="shared" si="154"/>
        <v/>
      </c>
      <c r="FU781" s="2494" t="str">
        <f t="shared" si="155"/>
        <v/>
      </c>
      <c r="FV781" s="2494" t="str">
        <f t="shared" si="156"/>
        <v/>
      </c>
      <c r="FW781" s="2494" t="str">
        <f t="shared" si="157"/>
        <v/>
      </c>
      <c r="FX781" s="2494" t="str">
        <f t="shared" si="158"/>
        <v/>
      </c>
      <c r="FY781" s="2494" t="str">
        <f t="shared" si="159"/>
        <v/>
      </c>
      <c r="FZ781" s="2494" t="str">
        <f t="shared" si="160"/>
        <v/>
      </c>
      <c r="GA781" s="2494" t="str">
        <f t="shared" si="161"/>
        <v/>
      </c>
      <c r="GB781" s="2494" t="str">
        <f t="shared" si="162"/>
        <v/>
      </c>
      <c r="GC781" s="2494" t="str">
        <f t="shared" si="163"/>
        <v/>
      </c>
      <c r="GD781" s="2494" t="str">
        <f t="shared" si="164"/>
        <v/>
      </c>
      <c r="GE781" s="2494" t="str">
        <f t="shared" si="165"/>
        <v/>
      </c>
      <c r="GF781" s="2494" t="str">
        <f t="shared" si="166"/>
        <v/>
      </c>
      <c r="GG781" s="2494" t="str">
        <f t="shared" si="167"/>
        <v/>
      </c>
      <c r="GH781" s="2494" t="str">
        <f t="shared" si="168"/>
        <v/>
      </c>
      <c r="GI781" s="2494" t="str">
        <f t="shared" si="169"/>
        <v/>
      </c>
      <c r="GJ781" s="2494" t="str">
        <f t="shared" si="170"/>
        <v/>
      </c>
      <c r="GK781" s="2494" t="str">
        <f t="shared" si="171"/>
        <v/>
      </c>
      <c r="GL781" s="2494" t="str">
        <f t="shared" si="172"/>
        <v/>
      </c>
      <c r="GM781" s="2494" t="str">
        <f t="shared" si="173"/>
        <v/>
      </c>
      <c r="GN781" s="2494" t="str">
        <f t="shared" si="174"/>
        <v/>
      </c>
      <c r="GO781" s="2494" t="str">
        <f t="shared" si="175"/>
        <v/>
      </c>
      <c r="GP781" s="2494" t="str">
        <f t="shared" si="176"/>
        <v/>
      </c>
      <c r="GQ781" s="2494" t="str">
        <f t="shared" si="177"/>
        <v/>
      </c>
      <c r="GR781" s="2494" t="str">
        <f t="shared" si="178"/>
        <v/>
      </c>
      <c r="GS781" s="2494" t="str">
        <f t="shared" si="179"/>
        <v/>
      </c>
      <c r="GT781" s="2494" t="str">
        <f t="shared" si="180"/>
        <v/>
      </c>
      <c r="GU781" s="2494" t="str">
        <f t="shared" si="181"/>
        <v/>
      </c>
      <c r="GV781" s="2494" t="str">
        <f t="shared" si="182"/>
        <v/>
      </c>
      <c r="GW781" s="2494" t="str">
        <f t="shared" si="183"/>
        <v/>
      </c>
      <c r="GX781" s="2494" t="str">
        <f t="shared" si="184"/>
        <v/>
      </c>
      <c r="GY781" s="2494" t="str">
        <f t="shared" si="185"/>
        <v/>
      </c>
      <c r="GZ781" s="2494" t="str">
        <f t="shared" si="186"/>
        <v/>
      </c>
      <c r="HA781" s="2494" t="str">
        <f t="shared" si="187"/>
        <v/>
      </c>
      <c r="HB781" s="2494" t="str">
        <f t="shared" si="188"/>
        <v/>
      </c>
      <c r="HC781" s="2494" t="str">
        <f t="shared" si="189"/>
        <v/>
      </c>
      <c r="HD781" s="2494" t="str">
        <f t="shared" si="190"/>
        <v/>
      </c>
      <c r="HE781" s="2494" t="str">
        <f t="shared" si="191"/>
        <v/>
      </c>
      <c r="HF781" s="2494" t="str">
        <f t="shared" si="192"/>
        <v/>
      </c>
      <c r="HG781" s="2494" t="str">
        <f t="shared" si="193"/>
        <v/>
      </c>
      <c r="HH781" s="2494" t="str">
        <f t="shared" si="194"/>
        <v/>
      </c>
      <c r="HI781" s="2494" t="str">
        <f t="shared" si="195"/>
        <v/>
      </c>
      <c r="HJ781" s="2494" t="str">
        <f t="shared" si="196"/>
        <v/>
      </c>
      <c r="HK781" s="2494" t="str">
        <f t="shared" si="197"/>
        <v/>
      </c>
      <c r="HL781" s="2494" t="str">
        <f t="shared" si="198"/>
        <v/>
      </c>
      <c r="HM781" s="2494" t="str">
        <f t="shared" si="199"/>
        <v/>
      </c>
      <c r="HN781" s="2494" t="str">
        <f t="shared" si="200"/>
        <v/>
      </c>
      <c r="HO781" s="2494" t="str">
        <f t="shared" si="201"/>
        <v/>
      </c>
      <c r="HP781" s="2494" t="str">
        <f t="shared" si="202"/>
        <v/>
      </c>
      <c r="HQ781" s="2494" t="str">
        <f t="shared" si="203"/>
        <v/>
      </c>
      <c r="HR781" s="2494" t="str">
        <f t="shared" si="204"/>
        <v/>
      </c>
      <c r="HS781" s="2494" t="str">
        <f t="shared" si="205"/>
        <v/>
      </c>
      <c r="HT781" s="2494" t="str">
        <f t="shared" si="206"/>
        <v/>
      </c>
      <c r="HU781" s="2494" t="str">
        <f t="shared" si="207"/>
        <v/>
      </c>
      <c r="HV781" s="2494" t="str">
        <f t="shared" si="208"/>
        <v/>
      </c>
      <c r="HW781" s="2494" t="str">
        <f t="shared" si="209"/>
        <v/>
      </c>
      <c r="HX781" s="2494" t="str">
        <f t="shared" si="210"/>
        <v/>
      </c>
      <c r="HY781" s="2494" t="str">
        <f t="shared" si="211"/>
        <v/>
      </c>
      <c r="HZ781" s="2672" t="str">
        <f t="shared" si="212"/>
        <v/>
      </c>
      <c r="IA781" s="2672" t="str">
        <f t="shared" si="213"/>
        <v/>
      </c>
      <c r="IB781" s="2672" t="str">
        <f t="shared" si="214"/>
        <v/>
      </c>
      <c r="IC781" s="2672" t="str">
        <f t="shared" si="215"/>
        <v/>
      </c>
      <c r="ID781" s="2672" t="str">
        <f t="shared" si="216"/>
        <v/>
      </c>
      <c r="IE781" s="2672" t="str">
        <f t="shared" si="217"/>
        <v/>
      </c>
      <c r="IF781" s="2672" t="str">
        <f t="shared" si="218"/>
        <v/>
      </c>
      <c r="IG781" s="2672" t="str">
        <f t="shared" si="219"/>
        <v/>
      </c>
      <c r="IH781" s="2672" t="str">
        <f t="shared" si="220"/>
        <v/>
      </c>
      <c r="II781" s="2672" t="str">
        <f t="shared" si="221"/>
        <v/>
      </c>
      <c r="IJ781" s="2672" t="str">
        <f t="shared" si="222"/>
        <v/>
      </c>
      <c r="IK781" s="2672" t="str">
        <f t="shared" si="223"/>
        <v/>
      </c>
      <c r="IL781" s="2672" t="str">
        <f t="shared" si="224"/>
        <v/>
      </c>
      <c r="IM781" s="2672" t="str">
        <f t="shared" si="225"/>
        <v/>
      </c>
      <c r="IN781" s="2672" t="str">
        <f t="shared" si="226"/>
        <v/>
      </c>
      <c r="IO781" s="2672" t="str">
        <f t="shared" si="227"/>
        <v/>
      </c>
      <c r="IP781" s="2672" t="str">
        <f t="shared" si="228"/>
        <v/>
      </c>
      <c r="IQ781" s="2672" t="str">
        <f t="shared" si="229"/>
        <v/>
      </c>
      <c r="IR781" s="2672" t="str">
        <f t="shared" si="230"/>
        <v/>
      </c>
      <c r="IS781" s="2672" t="str">
        <f t="shared" si="231"/>
        <v/>
      </c>
      <c r="IT781" s="2672" t="str">
        <f t="shared" si="232"/>
        <v/>
      </c>
      <c r="IU781" s="2672" t="str">
        <f t="shared" si="233"/>
        <v/>
      </c>
      <c r="IV781" s="2672" t="str">
        <f t="shared" si="234"/>
        <v/>
      </c>
      <c r="IW781" s="2672" t="str">
        <f t="shared" si="235"/>
        <v/>
      </c>
      <c r="IX781" s="2672" t="str">
        <f t="shared" si="236"/>
        <v/>
      </c>
      <c r="IY781" s="2672" t="str">
        <f t="shared" si="237"/>
        <v/>
      </c>
      <c r="IZ781" s="2672" t="str">
        <f t="shared" si="238"/>
        <v/>
      </c>
      <c r="JA781" s="2672" t="str">
        <f t="shared" si="239"/>
        <v/>
      </c>
      <c r="JB781" s="2672" t="str">
        <f t="shared" si="240"/>
        <v/>
      </c>
      <c r="JC781" s="2672" t="str">
        <f t="shared" si="241"/>
        <v/>
      </c>
      <c r="JD781" s="2672" t="str">
        <f t="shared" si="242"/>
        <v/>
      </c>
      <c r="JE781" s="2672" t="str">
        <f t="shared" si="243"/>
        <v/>
      </c>
      <c r="JF781" s="2672" t="str">
        <f t="shared" si="244"/>
        <v/>
      </c>
      <c r="JG781" s="2672" t="str">
        <f t="shared" si="245"/>
        <v/>
      </c>
      <c r="JH781" s="2672" t="str">
        <f t="shared" si="246"/>
        <v/>
      </c>
      <c r="JI781" s="2672" t="str">
        <f t="shared" si="247"/>
        <v/>
      </c>
      <c r="JJ781" s="2672" t="str">
        <f t="shared" si="248"/>
        <v/>
      </c>
      <c r="JK781" s="2672" t="str">
        <f t="shared" si="249"/>
        <v/>
      </c>
      <c r="JL781" s="2672" t="str">
        <f t="shared" si="250"/>
        <v/>
      </c>
      <c r="JM781" s="2672" t="str">
        <f t="shared" si="251"/>
        <v/>
      </c>
      <c r="JN781" s="2672" t="str">
        <f t="shared" si="252"/>
        <v/>
      </c>
      <c r="JO781" s="2672" t="str">
        <f t="shared" si="253"/>
        <v/>
      </c>
      <c r="JP781" s="2672" t="str">
        <f t="shared" si="254"/>
        <v/>
      </c>
      <c r="JQ781" s="2672" t="str">
        <f t="shared" si="255"/>
        <v/>
      </c>
      <c r="JR781" s="2672" t="str">
        <f t="shared" si="256"/>
        <v/>
      </c>
      <c r="JS781" s="2672" t="str">
        <f t="shared" si="257"/>
        <v/>
      </c>
      <c r="JT781" s="2672" t="str">
        <f t="shared" si="258"/>
        <v/>
      </c>
      <c r="JU781" s="2672" t="str">
        <f t="shared" si="259"/>
        <v/>
      </c>
      <c r="JV781" s="2672" t="str">
        <f t="shared" si="260"/>
        <v/>
      </c>
      <c r="JW781" s="2672" t="str">
        <f t="shared" si="261"/>
        <v/>
      </c>
      <c r="JX781" s="2672" t="str">
        <f t="shared" si="262"/>
        <v/>
      </c>
      <c r="JY781" s="2672" t="str">
        <f t="shared" si="263"/>
        <v/>
      </c>
      <c r="JZ781" s="2672" t="str">
        <f t="shared" si="264"/>
        <v/>
      </c>
      <c r="KA781" s="2672" t="str">
        <f t="shared" si="265"/>
        <v/>
      </c>
      <c r="KB781" s="2672" t="str">
        <f t="shared" si="266"/>
        <v/>
      </c>
      <c r="KC781" s="2672" t="str">
        <f t="shared" si="267"/>
        <v/>
      </c>
      <c r="KD781" s="2672" t="str">
        <f t="shared" si="268"/>
        <v/>
      </c>
      <c r="KE781" s="2672" t="str">
        <f t="shared" si="269"/>
        <v/>
      </c>
      <c r="KF781" s="2672" t="str">
        <f t="shared" si="270"/>
        <v/>
      </c>
      <c r="KG781" s="2672" t="str">
        <f t="shared" si="271"/>
        <v/>
      </c>
      <c r="KH781" s="2672" t="str">
        <f t="shared" si="272"/>
        <v/>
      </c>
      <c r="KI781" s="2672" t="str">
        <f t="shared" si="273"/>
        <v/>
      </c>
      <c r="KJ781" s="2672" t="str">
        <f t="shared" si="274"/>
        <v/>
      </c>
      <c r="KK781" s="2672" t="str">
        <f t="shared" si="275"/>
        <v/>
      </c>
      <c r="KL781" s="2672" t="str">
        <f t="shared" si="276"/>
        <v/>
      </c>
      <c r="KM781" s="2672" t="str">
        <f t="shared" si="277"/>
        <v/>
      </c>
      <c r="KN781" s="2672" t="str">
        <f t="shared" si="278"/>
        <v/>
      </c>
      <c r="KO781" s="2672" t="str">
        <f t="shared" si="279"/>
        <v/>
      </c>
      <c r="KP781" s="2672" t="str">
        <f t="shared" si="280"/>
        <v/>
      </c>
      <c r="KQ781" s="2672" t="str">
        <f t="shared" si="281"/>
        <v/>
      </c>
      <c r="KR781" s="2672" t="str">
        <f t="shared" si="282"/>
        <v/>
      </c>
      <c r="KS781" s="2672" t="str">
        <f t="shared" si="283"/>
        <v/>
      </c>
      <c r="KT781" s="2672" t="str">
        <f t="shared" si="284"/>
        <v/>
      </c>
      <c r="KU781" s="2672" t="str">
        <f t="shared" si="285"/>
        <v/>
      </c>
      <c r="KV781" s="2672" t="str">
        <f t="shared" si="286"/>
        <v/>
      </c>
      <c r="KW781" s="2672" t="str">
        <f t="shared" si="287"/>
        <v/>
      </c>
      <c r="KX781" s="2672" t="str">
        <f t="shared" si="288"/>
        <v/>
      </c>
      <c r="KY781" s="2672" t="str">
        <f t="shared" si="289"/>
        <v/>
      </c>
      <c r="KZ781" s="2672" t="str">
        <f t="shared" si="290"/>
        <v/>
      </c>
      <c r="LA781" s="2672" t="str">
        <f t="shared" si="291"/>
        <v/>
      </c>
      <c r="LB781" s="2672" t="str">
        <f t="shared" si="292"/>
        <v/>
      </c>
      <c r="LC781" s="2672" t="str">
        <f t="shared" si="293"/>
        <v/>
      </c>
      <c r="LD781" s="2672" t="str">
        <f t="shared" si="294"/>
        <v/>
      </c>
      <c r="LE781" s="2672" t="str">
        <f t="shared" si="295"/>
        <v/>
      </c>
      <c r="LF781" s="2672" t="str">
        <f t="shared" si="296"/>
        <v/>
      </c>
      <c r="LG781" s="2672" t="str">
        <f t="shared" si="297"/>
        <v/>
      </c>
      <c r="LH781" s="2672" t="str">
        <f t="shared" si="298"/>
        <v/>
      </c>
      <c r="LI781" s="2672" t="str">
        <f t="shared" si="299"/>
        <v/>
      </c>
      <c r="LJ781" s="2672" t="str">
        <f t="shared" si="300"/>
        <v/>
      </c>
      <c r="LK781" s="2672" t="str">
        <f t="shared" si="301"/>
        <v/>
      </c>
      <c r="LL781" s="2672" t="str">
        <f t="shared" si="302"/>
        <v/>
      </c>
      <c r="LM781" s="2672" t="str">
        <f t="shared" si="303"/>
        <v/>
      </c>
      <c r="LN781" s="2672" t="str">
        <f t="shared" si="304"/>
        <v/>
      </c>
      <c r="LO781" s="2672" t="str">
        <f t="shared" si="305"/>
        <v/>
      </c>
      <c r="LP781" s="2672" t="str">
        <f t="shared" si="306"/>
        <v/>
      </c>
      <c r="LQ781" s="2613" t="str">
        <f t="shared" si="307"/>
        <v/>
      </c>
      <c r="LR781" s="2613" t="str">
        <f t="shared" si="308"/>
        <v/>
      </c>
      <c r="LS781" s="2613" t="str">
        <f t="shared" si="309"/>
        <v/>
      </c>
      <c r="LT781" s="2613" t="str">
        <f t="shared" si="310"/>
        <v/>
      </c>
      <c r="LU781" s="2613" t="str">
        <f t="shared" si="311"/>
        <v/>
      </c>
      <c r="LV781" s="2494" t="str">
        <f t="shared" si="312"/>
        <v/>
      </c>
      <c r="LW781" s="2494" t="str">
        <f t="shared" si="313"/>
        <v/>
      </c>
      <c r="LX781" s="2494" t="str">
        <f t="shared" si="314"/>
        <v/>
      </c>
      <c r="LY781" s="2494" t="str">
        <f t="shared" si="315"/>
        <v/>
      </c>
      <c r="LZ781" s="2494" t="str">
        <f t="shared" si="316"/>
        <v/>
      </c>
      <c r="MA781" s="2494" t="str">
        <f t="shared" si="317"/>
        <v/>
      </c>
      <c r="MB781" s="2494" t="str">
        <f t="shared" si="318"/>
        <v/>
      </c>
      <c r="MC781" s="2494" t="str">
        <f t="shared" si="319"/>
        <v/>
      </c>
      <c r="MD781" s="2494" t="str">
        <f t="shared" si="320"/>
        <v/>
      </c>
      <c r="ME781" s="2494" t="str">
        <f t="shared" si="321"/>
        <v/>
      </c>
      <c r="MF781" s="2494" t="str">
        <f t="shared" si="322"/>
        <v/>
      </c>
      <c r="MG781" s="2494" t="str">
        <f t="shared" si="323"/>
        <v/>
      </c>
      <c r="MH781" s="2494" t="str">
        <f t="shared" si="324"/>
        <v/>
      </c>
      <c r="MI781" s="2494" t="str">
        <f t="shared" si="325"/>
        <v/>
      </c>
      <c r="MJ781" s="2494" t="str">
        <f t="shared" si="326"/>
        <v/>
      </c>
      <c r="MK781" s="2494" t="str">
        <f t="shared" si="327"/>
        <v/>
      </c>
      <c r="ML781" s="2494" t="str">
        <f t="shared" si="328"/>
        <v/>
      </c>
      <c r="MM781" s="2494" t="str">
        <f t="shared" si="329"/>
        <v/>
      </c>
      <c r="MN781" s="2494" t="str">
        <f t="shared" si="330"/>
        <v/>
      </c>
      <c r="MO781" s="2494" t="str">
        <f t="shared" si="331"/>
        <v/>
      </c>
      <c r="MP781" s="2613">
        <f t="shared" si="338"/>
        <v>0</v>
      </c>
      <c r="MQ781" s="2613">
        <f t="shared" si="339"/>
        <v>0</v>
      </c>
      <c r="MR781" s="2613">
        <f t="shared" si="340"/>
        <v>0</v>
      </c>
      <c r="MS781" s="2613">
        <f t="shared" si="341"/>
        <v>0</v>
      </c>
      <c r="MT781" s="2613">
        <f t="shared" si="342"/>
        <v>0</v>
      </c>
      <c r="MU781" s="2613">
        <f t="shared" si="343"/>
        <v>0</v>
      </c>
      <c r="MV781" s="2613">
        <f t="shared" si="344"/>
        <v>0</v>
      </c>
      <c r="MW781" s="2613">
        <f t="shared" si="345"/>
        <v>0</v>
      </c>
      <c r="MX781" s="2613">
        <f t="shared" si="346"/>
        <v>0</v>
      </c>
      <c r="MY781" s="2613">
        <f t="shared" si="347"/>
        <v>0</v>
      </c>
      <c r="MZ781" s="2613">
        <f t="shared" si="332"/>
        <v>0</v>
      </c>
      <c r="NA781" s="2613">
        <f t="shared" si="333"/>
        <v>0</v>
      </c>
      <c r="NB781" s="2613">
        <f t="shared" si="334"/>
        <v>0</v>
      </c>
      <c r="NC781" s="2613">
        <f t="shared" si="335"/>
        <v>0</v>
      </c>
      <c r="ND781" s="2613">
        <f t="shared" si="336"/>
        <v>0</v>
      </c>
    </row>
    <row r="782" spans="1:368" ht="13.8" customHeight="1">
      <c r="A782" s="2652" t="str">
        <f t="shared" si="337"/>
        <v/>
      </c>
      <c r="B782" s="2664" t="str">
        <f>'Part VI-Revenues &amp; Expenses'!B13</f>
        <v>Unrestricted</v>
      </c>
      <c r="C782" s="2665">
        <f>'Part VI-Revenues &amp; Expenses'!C13</f>
        <v>0</v>
      </c>
      <c r="D782" s="2666">
        <f>'Part VI-Revenues &amp; Expenses'!D13</f>
        <v>0</v>
      </c>
      <c r="E782" s="2667">
        <f>'Part VI-Revenues &amp; Expenses'!E13</f>
        <v>0</v>
      </c>
      <c r="F782" s="2667">
        <f>'Part VI-Revenues &amp; Expenses'!F13</f>
        <v>0</v>
      </c>
      <c r="G782" s="2667">
        <f>'Part VI-Revenues &amp; Expenses'!G13</f>
        <v>0</v>
      </c>
      <c r="H782" s="2667">
        <f>'Part VI-Revenues &amp; Expenses'!H13</f>
        <v>0</v>
      </c>
      <c r="I782" s="2667">
        <f>'Part VI-Revenues &amp; Expenses'!I13</f>
        <v>0</v>
      </c>
      <c r="J782" s="2667">
        <f>'Part VI-Revenues &amp; Expenses'!J13</f>
        <v>0</v>
      </c>
      <c r="K782" s="2668">
        <f>'Part VI-Revenues &amp; Expenses'!K13</f>
        <v>0</v>
      </c>
      <c r="L782" s="2669">
        <f t="shared" si="0"/>
        <v>0</v>
      </c>
      <c r="M782" s="2669">
        <f t="shared" si="1"/>
        <v>0</v>
      </c>
      <c r="N782" s="2545">
        <f>'Part VI-Revenues &amp; Expenses'!N13</f>
        <v>0</v>
      </c>
      <c r="O782" s="2545">
        <f>'Part VI-Revenues &amp; Expenses'!O13</f>
        <v>0</v>
      </c>
      <c r="P782" s="2545">
        <f>'Part VI-Revenues &amp; Expenses'!P13</f>
        <v>0</v>
      </c>
      <c r="Q782" s="2251">
        <f>'Part VI-Revenues &amp; Expenses'!Q13</f>
        <v>0</v>
      </c>
      <c r="R782" s="2670"/>
      <c r="S782" s="2671"/>
      <c r="T782" s="2607"/>
      <c r="U782" s="2607"/>
      <c r="V782" s="2607"/>
      <c r="W782" s="2607"/>
      <c r="X782" s="2494" t="str">
        <f t="shared" si="2"/>
        <v/>
      </c>
      <c r="Y782" s="2494" t="str">
        <f t="shared" si="3"/>
        <v/>
      </c>
      <c r="Z782" s="2494" t="str">
        <f t="shared" si="4"/>
        <v/>
      </c>
      <c r="AA782" s="2494" t="str">
        <f t="shared" si="5"/>
        <v/>
      </c>
      <c r="AB782" s="2494" t="str">
        <f t="shared" si="6"/>
        <v/>
      </c>
      <c r="AC782" s="2494" t="str">
        <f t="shared" si="7"/>
        <v/>
      </c>
      <c r="AD782" s="2494" t="str">
        <f t="shared" si="8"/>
        <v/>
      </c>
      <c r="AE782" s="2494" t="str">
        <f t="shared" si="9"/>
        <v/>
      </c>
      <c r="AF782" s="2494" t="str">
        <f t="shared" si="10"/>
        <v/>
      </c>
      <c r="AG782" s="2494" t="str">
        <f t="shared" si="11"/>
        <v/>
      </c>
      <c r="AH782" s="2494" t="str">
        <f t="shared" si="12"/>
        <v/>
      </c>
      <c r="AI782" s="2494" t="str">
        <f t="shared" si="13"/>
        <v/>
      </c>
      <c r="AJ782" s="2494" t="str">
        <f t="shared" si="14"/>
        <v/>
      </c>
      <c r="AK782" s="2494" t="str">
        <f t="shared" si="15"/>
        <v/>
      </c>
      <c r="AL782" s="2494" t="str">
        <f t="shared" si="16"/>
        <v/>
      </c>
      <c r="AM782" s="2494" t="str">
        <f t="shared" si="17"/>
        <v/>
      </c>
      <c r="AN782" s="2494" t="str">
        <f t="shared" si="18"/>
        <v/>
      </c>
      <c r="AO782" s="2494" t="str">
        <f t="shared" si="19"/>
        <v/>
      </c>
      <c r="AP782" s="2494" t="str">
        <f t="shared" si="20"/>
        <v/>
      </c>
      <c r="AQ782" s="2494" t="str">
        <f t="shared" si="21"/>
        <v/>
      </c>
      <c r="AR782" s="2494" t="str">
        <f t="shared" si="22"/>
        <v/>
      </c>
      <c r="AS782" s="2494" t="str">
        <f t="shared" si="23"/>
        <v/>
      </c>
      <c r="AT782" s="2494" t="str">
        <f t="shared" si="24"/>
        <v/>
      </c>
      <c r="AU782" s="2494" t="str">
        <f t="shared" si="25"/>
        <v/>
      </c>
      <c r="AV782" s="2494" t="str">
        <f t="shared" si="26"/>
        <v/>
      </c>
      <c r="AW782" s="2494" t="str">
        <f t="shared" si="27"/>
        <v/>
      </c>
      <c r="AX782" s="2494" t="str">
        <f t="shared" si="28"/>
        <v/>
      </c>
      <c r="AY782" s="2494" t="str">
        <f t="shared" si="29"/>
        <v/>
      </c>
      <c r="AZ782" s="2494" t="str">
        <f t="shared" si="30"/>
        <v/>
      </c>
      <c r="BA782" s="2494" t="str">
        <f t="shared" si="31"/>
        <v/>
      </c>
      <c r="BB782" s="2494" t="str">
        <f t="shared" si="32"/>
        <v/>
      </c>
      <c r="BC782" s="2494" t="str">
        <f t="shared" si="33"/>
        <v/>
      </c>
      <c r="BD782" s="2494" t="str">
        <f t="shared" si="34"/>
        <v/>
      </c>
      <c r="BE782" s="2494" t="str">
        <f t="shared" si="35"/>
        <v/>
      </c>
      <c r="BF782" s="2494" t="str">
        <f t="shared" si="36"/>
        <v/>
      </c>
      <c r="BG782" s="2494" t="str">
        <f t="shared" si="37"/>
        <v/>
      </c>
      <c r="BH782" s="2494" t="str">
        <f t="shared" si="38"/>
        <v/>
      </c>
      <c r="BI782" s="2494" t="str">
        <f t="shared" si="39"/>
        <v/>
      </c>
      <c r="BJ782" s="2494" t="str">
        <f t="shared" si="40"/>
        <v/>
      </c>
      <c r="BK782" s="2494" t="str">
        <f t="shared" si="41"/>
        <v/>
      </c>
      <c r="BL782" s="2494" t="str">
        <f t="shared" si="42"/>
        <v/>
      </c>
      <c r="BM782" s="2494" t="str">
        <f t="shared" si="43"/>
        <v/>
      </c>
      <c r="BN782" s="2494" t="str">
        <f t="shared" si="44"/>
        <v/>
      </c>
      <c r="BO782" s="2494" t="str">
        <f t="shared" si="45"/>
        <v/>
      </c>
      <c r="BP782" s="2494" t="str">
        <f t="shared" si="46"/>
        <v/>
      </c>
      <c r="BQ782" s="2494" t="str">
        <f t="shared" si="47"/>
        <v/>
      </c>
      <c r="BR782" s="2494" t="str">
        <f t="shared" si="48"/>
        <v/>
      </c>
      <c r="BS782" s="2494" t="str">
        <f t="shared" si="49"/>
        <v/>
      </c>
      <c r="BT782" s="2494" t="str">
        <f t="shared" si="50"/>
        <v/>
      </c>
      <c r="BU782" s="2494" t="str">
        <f t="shared" si="51"/>
        <v/>
      </c>
      <c r="BV782" s="2494" t="str">
        <f t="shared" si="52"/>
        <v/>
      </c>
      <c r="BW782" s="2494" t="str">
        <f t="shared" si="53"/>
        <v/>
      </c>
      <c r="BX782" s="2494" t="str">
        <f t="shared" si="54"/>
        <v/>
      </c>
      <c r="BY782" s="2494" t="str">
        <f t="shared" si="55"/>
        <v/>
      </c>
      <c r="BZ782" s="2494" t="str">
        <f t="shared" si="56"/>
        <v/>
      </c>
      <c r="CA782" s="2494" t="str">
        <f t="shared" si="57"/>
        <v/>
      </c>
      <c r="CB782" s="2494" t="str">
        <f t="shared" si="58"/>
        <v/>
      </c>
      <c r="CC782" s="2494" t="str">
        <f t="shared" si="59"/>
        <v/>
      </c>
      <c r="CD782" s="2494" t="str">
        <f t="shared" si="60"/>
        <v/>
      </c>
      <c r="CE782" s="2494" t="str">
        <f t="shared" si="61"/>
        <v/>
      </c>
      <c r="CF782" s="2494" t="str">
        <f t="shared" si="62"/>
        <v/>
      </c>
      <c r="CG782" s="2494" t="str">
        <f t="shared" si="63"/>
        <v/>
      </c>
      <c r="CH782" s="2494" t="str">
        <f t="shared" si="64"/>
        <v/>
      </c>
      <c r="CI782" s="2494" t="str">
        <f t="shared" si="65"/>
        <v/>
      </c>
      <c r="CJ782" s="2494" t="str">
        <f t="shared" si="66"/>
        <v/>
      </c>
      <c r="CK782" s="2494" t="str">
        <f t="shared" si="67"/>
        <v/>
      </c>
      <c r="CL782" s="2494" t="str">
        <f t="shared" si="68"/>
        <v/>
      </c>
      <c r="CM782" s="2494" t="str">
        <f t="shared" si="69"/>
        <v/>
      </c>
      <c r="CN782" s="2494" t="str">
        <f t="shared" si="70"/>
        <v/>
      </c>
      <c r="CO782" s="2494" t="str">
        <f t="shared" si="71"/>
        <v/>
      </c>
      <c r="CP782" s="2494" t="str">
        <f t="shared" si="72"/>
        <v/>
      </c>
      <c r="CQ782" s="2494" t="str">
        <f t="shared" si="73"/>
        <v/>
      </c>
      <c r="CR782" s="2494" t="str">
        <f t="shared" si="74"/>
        <v/>
      </c>
      <c r="CS782" s="2494" t="str">
        <f t="shared" si="75"/>
        <v/>
      </c>
      <c r="CT782" s="2494" t="str">
        <f t="shared" si="76"/>
        <v/>
      </c>
      <c r="CU782" s="2494" t="str">
        <f t="shared" si="77"/>
        <v/>
      </c>
      <c r="CV782" s="2494" t="str">
        <f t="shared" si="78"/>
        <v/>
      </c>
      <c r="CW782" s="2494" t="str">
        <f t="shared" si="79"/>
        <v/>
      </c>
      <c r="CX782" s="2494" t="str">
        <f t="shared" si="80"/>
        <v/>
      </c>
      <c r="CY782" s="2494" t="str">
        <f t="shared" si="81"/>
        <v/>
      </c>
      <c r="CZ782" s="2494" t="str">
        <f t="shared" si="82"/>
        <v/>
      </c>
      <c r="DA782" s="2494" t="str">
        <f t="shared" si="83"/>
        <v/>
      </c>
      <c r="DB782" s="2494" t="str">
        <f t="shared" si="84"/>
        <v/>
      </c>
      <c r="DC782" s="2494" t="str">
        <f t="shared" si="85"/>
        <v/>
      </c>
      <c r="DD782" s="2494" t="str">
        <f t="shared" si="86"/>
        <v/>
      </c>
      <c r="DE782" s="2494" t="str">
        <f t="shared" si="87"/>
        <v/>
      </c>
      <c r="DF782" s="2494" t="str">
        <f t="shared" si="88"/>
        <v/>
      </c>
      <c r="DG782" s="2494" t="str">
        <f t="shared" si="89"/>
        <v/>
      </c>
      <c r="DH782" s="2494" t="str">
        <f t="shared" si="90"/>
        <v/>
      </c>
      <c r="DI782" s="2494" t="str">
        <f t="shared" si="91"/>
        <v/>
      </c>
      <c r="DJ782" s="2494" t="str">
        <f t="shared" si="92"/>
        <v/>
      </c>
      <c r="DK782" s="2494" t="str">
        <f t="shared" si="93"/>
        <v/>
      </c>
      <c r="DL782" s="2494" t="str">
        <f t="shared" si="94"/>
        <v/>
      </c>
      <c r="DM782" s="2494" t="str">
        <f t="shared" si="95"/>
        <v/>
      </c>
      <c r="DN782" s="2494" t="str">
        <f t="shared" si="96"/>
        <v/>
      </c>
      <c r="DO782" s="2494" t="str">
        <f t="shared" si="97"/>
        <v/>
      </c>
      <c r="DP782" s="2494" t="str">
        <f t="shared" si="98"/>
        <v/>
      </c>
      <c r="DQ782" s="2494" t="str">
        <f t="shared" si="99"/>
        <v/>
      </c>
      <c r="DR782" s="2494" t="str">
        <f t="shared" si="100"/>
        <v/>
      </c>
      <c r="DS782" s="2494" t="str">
        <f t="shared" si="101"/>
        <v/>
      </c>
      <c r="DT782" s="2494" t="str">
        <f t="shared" si="102"/>
        <v/>
      </c>
      <c r="DU782" s="2494" t="str">
        <f t="shared" si="103"/>
        <v/>
      </c>
      <c r="DV782" s="2494" t="str">
        <f t="shared" si="104"/>
        <v/>
      </c>
      <c r="DW782" s="2494" t="str">
        <f t="shared" si="105"/>
        <v/>
      </c>
      <c r="DX782" s="2494" t="str">
        <f t="shared" si="106"/>
        <v/>
      </c>
      <c r="DY782" s="2494" t="str">
        <f t="shared" si="107"/>
        <v/>
      </c>
      <c r="DZ782" s="2494" t="str">
        <f t="shared" si="108"/>
        <v/>
      </c>
      <c r="EA782" s="2494" t="str">
        <f t="shared" si="109"/>
        <v/>
      </c>
      <c r="EB782" s="2494" t="str">
        <f t="shared" si="110"/>
        <v/>
      </c>
      <c r="EC782" s="2494" t="str">
        <f t="shared" si="111"/>
        <v/>
      </c>
      <c r="ED782" s="2494" t="str">
        <f t="shared" si="112"/>
        <v/>
      </c>
      <c r="EE782" s="2494" t="str">
        <f t="shared" si="113"/>
        <v/>
      </c>
      <c r="EF782" s="2494" t="str">
        <f t="shared" si="114"/>
        <v/>
      </c>
      <c r="EG782" s="2494" t="str">
        <f t="shared" si="115"/>
        <v/>
      </c>
      <c r="EH782" s="2494" t="str">
        <f t="shared" si="116"/>
        <v/>
      </c>
      <c r="EI782" s="2494" t="str">
        <f t="shared" si="117"/>
        <v/>
      </c>
      <c r="EJ782" s="2494" t="str">
        <f t="shared" si="118"/>
        <v/>
      </c>
      <c r="EK782" s="2494" t="str">
        <f t="shared" si="119"/>
        <v/>
      </c>
      <c r="EL782" s="2494" t="str">
        <f t="shared" si="120"/>
        <v/>
      </c>
      <c r="EM782" s="2494" t="str">
        <f t="shared" si="121"/>
        <v/>
      </c>
      <c r="EN782" s="2494" t="str">
        <f t="shared" si="122"/>
        <v/>
      </c>
      <c r="EO782" s="2494" t="str">
        <f t="shared" si="123"/>
        <v/>
      </c>
      <c r="EP782" s="2494" t="str">
        <f t="shared" si="124"/>
        <v/>
      </c>
      <c r="EQ782" s="2494" t="str">
        <f t="shared" si="125"/>
        <v/>
      </c>
      <c r="ER782" s="2494" t="str">
        <f t="shared" si="126"/>
        <v/>
      </c>
      <c r="ES782" s="2494" t="str">
        <f t="shared" si="127"/>
        <v/>
      </c>
      <c r="ET782" s="2494" t="str">
        <f t="shared" si="128"/>
        <v/>
      </c>
      <c r="EU782" s="2494" t="str">
        <f t="shared" si="129"/>
        <v/>
      </c>
      <c r="EV782" s="2494" t="str">
        <f t="shared" si="130"/>
        <v/>
      </c>
      <c r="EW782" s="2494" t="str">
        <f t="shared" si="131"/>
        <v/>
      </c>
      <c r="EX782" s="2494" t="str">
        <f t="shared" si="132"/>
        <v/>
      </c>
      <c r="EY782" s="2494" t="str">
        <f t="shared" si="133"/>
        <v/>
      </c>
      <c r="EZ782" s="2494" t="str">
        <f t="shared" si="134"/>
        <v/>
      </c>
      <c r="FA782" s="2494" t="str">
        <f t="shared" si="135"/>
        <v/>
      </c>
      <c r="FB782" s="2494" t="str">
        <f t="shared" si="136"/>
        <v/>
      </c>
      <c r="FC782" s="2494" t="str">
        <f t="shared" si="137"/>
        <v/>
      </c>
      <c r="FD782" s="2494" t="str">
        <f t="shared" si="138"/>
        <v/>
      </c>
      <c r="FE782" s="2494" t="str">
        <f t="shared" si="139"/>
        <v/>
      </c>
      <c r="FF782" s="2494" t="str">
        <f t="shared" si="140"/>
        <v/>
      </c>
      <c r="FG782" s="2494" t="str">
        <f t="shared" si="141"/>
        <v/>
      </c>
      <c r="FH782" s="2494" t="str">
        <f t="shared" si="142"/>
        <v/>
      </c>
      <c r="FI782" s="2494" t="str">
        <f t="shared" si="143"/>
        <v/>
      </c>
      <c r="FJ782" s="2494" t="str">
        <f t="shared" si="144"/>
        <v/>
      </c>
      <c r="FK782" s="2494" t="str">
        <f t="shared" si="145"/>
        <v/>
      </c>
      <c r="FL782" s="2494" t="str">
        <f t="shared" si="146"/>
        <v/>
      </c>
      <c r="FM782" s="2494" t="str">
        <f t="shared" si="147"/>
        <v/>
      </c>
      <c r="FN782" s="2494" t="str">
        <f t="shared" si="148"/>
        <v/>
      </c>
      <c r="FO782" s="2494" t="str">
        <f t="shared" si="149"/>
        <v/>
      </c>
      <c r="FP782" s="2494" t="str">
        <f t="shared" si="150"/>
        <v/>
      </c>
      <c r="FQ782" s="2494" t="str">
        <f t="shared" si="151"/>
        <v/>
      </c>
      <c r="FR782" s="2494" t="str">
        <f t="shared" si="152"/>
        <v/>
      </c>
      <c r="FS782" s="2494" t="str">
        <f t="shared" si="153"/>
        <v/>
      </c>
      <c r="FT782" s="2494" t="str">
        <f t="shared" si="154"/>
        <v/>
      </c>
      <c r="FU782" s="2494" t="str">
        <f t="shared" si="155"/>
        <v/>
      </c>
      <c r="FV782" s="2494" t="str">
        <f t="shared" si="156"/>
        <v/>
      </c>
      <c r="FW782" s="2494" t="str">
        <f t="shared" si="157"/>
        <v/>
      </c>
      <c r="FX782" s="2494" t="str">
        <f t="shared" si="158"/>
        <v/>
      </c>
      <c r="FY782" s="2494" t="str">
        <f t="shared" si="159"/>
        <v/>
      </c>
      <c r="FZ782" s="2494" t="str">
        <f t="shared" si="160"/>
        <v/>
      </c>
      <c r="GA782" s="2494" t="str">
        <f t="shared" si="161"/>
        <v/>
      </c>
      <c r="GB782" s="2494" t="str">
        <f t="shared" si="162"/>
        <v/>
      </c>
      <c r="GC782" s="2494" t="str">
        <f t="shared" si="163"/>
        <v/>
      </c>
      <c r="GD782" s="2494" t="str">
        <f t="shared" si="164"/>
        <v/>
      </c>
      <c r="GE782" s="2494" t="str">
        <f t="shared" si="165"/>
        <v/>
      </c>
      <c r="GF782" s="2494" t="str">
        <f t="shared" si="166"/>
        <v/>
      </c>
      <c r="GG782" s="2494" t="str">
        <f t="shared" si="167"/>
        <v/>
      </c>
      <c r="GH782" s="2494" t="str">
        <f t="shared" si="168"/>
        <v/>
      </c>
      <c r="GI782" s="2494" t="str">
        <f t="shared" si="169"/>
        <v/>
      </c>
      <c r="GJ782" s="2494" t="str">
        <f t="shared" si="170"/>
        <v/>
      </c>
      <c r="GK782" s="2494" t="str">
        <f t="shared" si="171"/>
        <v/>
      </c>
      <c r="GL782" s="2494" t="str">
        <f t="shared" si="172"/>
        <v/>
      </c>
      <c r="GM782" s="2494" t="str">
        <f t="shared" si="173"/>
        <v/>
      </c>
      <c r="GN782" s="2494" t="str">
        <f t="shared" si="174"/>
        <v/>
      </c>
      <c r="GO782" s="2494" t="str">
        <f t="shared" si="175"/>
        <v/>
      </c>
      <c r="GP782" s="2494" t="str">
        <f t="shared" si="176"/>
        <v/>
      </c>
      <c r="GQ782" s="2494" t="str">
        <f t="shared" si="177"/>
        <v/>
      </c>
      <c r="GR782" s="2494" t="str">
        <f t="shared" si="178"/>
        <v/>
      </c>
      <c r="GS782" s="2494" t="str">
        <f t="shared" si="179"/>
        <v/>
      </c>
      <c r="GT782" s="2494" t="str">
        <f t="shared" si="180"/>
        <v/>
      </c>
      <c r="GU782" s="2494" t="str">
        <f t="shared" si="181"/>
        <v/>
      </c>
      <c r="GV782" s="2494" t="str">
        <f t="shared" si="182"/>
        <v/>
      </c>
      <c r="GW782" s="2494" t="str">
        <f t="shared" si="183"/>
        <v/>
      </c>
      <c r="GX782" s="2494" t="str">
        <f t="shared" si="184"/>
        <v/>
      </c>
      <c r="GY782" s="2494" t="str">
        <f t="shared" si="185"/>
        <v/>
      </c>
      <c r="GZ782" s="2494" t="str">
        <f t="shared" si="186"/>
        <v/>
      </c>
      <c r="HA782" s="2494" t="str">
        <f t="shared" si="187"/>
        <v/>
      </c>
      <c r="HB782" s="2494" t="str">
        <f t="shared" si="188"/>
        <v/>
      </c>
      <c r="HC782" s="2494" t="str">
        <f t="shared" si="189"/>
        <v/>
      </c>
      <c r="HD782" s="2494" t="str">
        <f t="shared" si="190"/>
        <v/>
      </c>
      <c r="HE782" s="2494" t="str">
        <f t="shared" si="191"/>
        <v/>
      </c>
      <c r="HF782" s="2494" t="str">
        <f t="shared" si="192"/>
        <v/>
      </c>
      <c r="HG782" s="2494" t="str">
        <f t="shared" si="193"/>
        <v/>
      </c>
      <c r="HH782" s="2494" t="str">
        <f t="shared" si="194"/>
        <v/>
      </c>
      <c r="HI782" s="2494" t="str">
        <f t="shared" si="195"/>
        <v/>
      </c>
      <c r="HJ782" s="2494" t="str">
        <f t="shared" si="196"/>
        <v/>
      </c>
      <c r="HK782" s="2494" t="str">
        <f t="shared" si="197"/>
        <v/>
      </c>
      <c r="HL782" s="2494" t="str">
        <f t="shared" si="198"/>
        <v/>
      </c>
      <c r="HM782" s="2494" t="str">
        <f t="shared" si="199"/>
        <v/>
      </c>
      <c r="HN782" s="2494" t="str">
        <f t="shared" si="200"/>
        <v/>
      </c>
      <c r="HO782" s="2494" t="str">
        <f t="shared" si="201"/>
        <v/>
      </c>
      <c r="HP782" s="2494" t="str">
        <f t="shared" si="202"/>
        <v/>
      </c>
      <c r="HQ782" s="2494" t="str">
        <f t="shared" si="203"/>
        <v/>
      </c>
      <c r="HR782" s="2494" t="str">
        <f t="shared" si="204"/>
        <v/>
      </c>
      <c r="HS782" s="2494" t="str">
        <f t="shared" si="205"/>
        <v/>
      </c>
      <c r="HT782" s="2494" t="str">
        <f t="shared" si="206"/>
        <v/>
      </c>
      <c r="HU782" s="2494" t="str">
        <f t="shared" si="207"/>
        <v/>
      </c>
      <c r="HV782" s="2494" t="str">
        <f t="shared" si="208"/>
        <v/>
      </c>
      <c r="HW782" s="2494" t="str">
        <f t="shared" si="209"/>
        <v/>
      </c>
      <c r="HX782" s="2494" t="str">
        <f t="shared" si="210"/>
        <v/>
      </c>
      <c r="HY782" s="2494" t="str">
        <f t="shared" si="211"/>
        <v/>
      </c>
      <c r="HZ782" s="2672" t="str">
        <f t="shared" si="212"/>
        <v/>
      </c>
      <c r="IA782" s="2672" t="str">
        <f t="shared" si="213"/>
        <v/>
      </c>
      <c r="IB782" s="2672" t="str">
        <f t="shared" si="214"/>
        <v/>
      </c>
      <c r="IC782" s="2672" t="str">
        <f t="shared" si="215"/>
        <v/>
      </c>
      <c r="ID782" s="2672" t="str">
        <f t="shared" si="216"/>
        <v/>
      </c>
      <c r="IE782" s="2672" t="str">
        <f t="shared" si="217"/>
        <v/>
      </c>
      <c r="IF782" s="2672" t="str">
        <f t="shared" si="218"/>
        <v/>
      </c>
      <c r="IG782" s="2672" t="str">
        <f t="shared" si="219"/>
        <v/>
      </c>
      <c r="IH782" s="2672" t="str">
        <f t="shared" si="220"/>
        <v/>
      </c>
      <c r="II782" s="2672" t="str">
        <f t="shared" si="221"/>
        <v/>
      </c>
      <c r="IJ782" s="2672" t="str">
        <f t="shared" si="222"/>
        <v/>
      </c>
      <c r="IK782" s="2672" t="str">
        <f t="shared" si="223"/>
        <v/>
      </c>
      <c r="IL782" s="2672" t="str">
        <f t="shared" si="224"/>
        <v/>
      </c>
      <c r="IM782" s="2672" t="str">
        <f t="shared" si="225"/>
        <v/>
      </c>
      <c r="IN782" s="2672" t="str">
        <f t="shared" si="226"/>
        <v/>
      </c>
      <c r="IO782" s="2672" t="str">
        <f t="shared" si="227"/>
        <v/>
      </c>
      <c r="IP782" s="2672" t="str">
        <f t="shared" si="228"/>
        <v/>
      </c>
      <c r="IQ782" s="2672" t="str">
        <f t="shared" si="229"/>
        <v/>
      </c>
      <c r="IR782" s="2672" t="str">
        <f t="shared" si="230"/>
        <v/>
      </c>
      <c r="IS782" s="2672" t="str">
        <f t="shared" si="231"/>
        <v/>
      </c>
      <c r="IT782" s="2672" t="str">
        <f t="shared" si="232"/>
        <v/>
      </c>
      <c r="IU782" s="2672" t="str">
        <f t="shared" si="233"/>
        <v/>
      </c>
      <c r="IV782" s="2672" t="str">
        <f t="shared" si="234"/>
        <v/>
      </c>
      <c r="IW782" s="2672" t="str">
        <f t="shared" si="235"/>
        <v/>
      </c>
      <c r="IX782" s="2672" t="str">
        <f t="shared" si="236"/>
        <v/>
      </c>
      <c r="IY782" s="2672" t="str">
        <f t="shared" si="237"/>
        <v/>
      </c>
      <c r="IZ782" s="2672" t="str">
        <f t="shared" si="238"/>
        <v/>
      </c>
      <c r="JA782" s="2672" t="str">
        <f t="shared" si="239"/>
        <v/>
      </c>
      <c r="JB782" s="2672" t="str">
        <f t="shared" si="240"/>
        <v/>
      </c>
      <c r="JC782" s="2672" t="str">
        <f t="shared" si="241"/>
        <v/>
      </c>
      <c r="JD782" s="2672" t="str">
        <f t="shared" si="242"/>
        <v/>
      </c>
      <c r="JE782" s="2672" t="str">
        <f t="shared" si="243"/>
        <v/>
      </c>
      <c r="JF782" s="2672" t="str">
        <f t="shared" si="244"/>
        <v/>
      </c>
      <c r="JG782" s="2672" t="str">
        <f t="shared" si="245"/>
        <v/>
      </c>
      <c r="JH782" s="2672" t="str">
        <f t="shared" si="246"/>
        <v/>
      </c>
      <c r="JI782" s="2672" t="str">
        <f t="shared" si="247"/>
        <v/>
      </c>
      <c r="JJ782" s="2672" t="str">
        <f t="shared" si="248"/>
        <v/>
      </c>
      <c r="JK782" s="2672" t="str">
        <f t="shared" si="249"/>
        <v/>
      </c>
      <c r="JL782" s="2672" t="str">
        <f t="shared" si="250"/>
        <v/>
      </c>
      <c r="JM782" s="2672" t="str">
        <f t="shared" si="251"/>
        <v/>
      </c>
      <c r="JN782" s="2672" t="str">
        <f t="shared" si="252"/>
        <v/>
      </c>
      <c r="JO782" s="2672" t="str">
        <f t="shared" si="253"/>
        <v/>
      </c>
      <c r="JP782" s="2672" t="str">
        <f t="shared" si="254"/>
        <v/>
      </c>
      <c r="JQ782" s="2672" t="str">
        <f t="shared" si="255"/>
        <v/>
      </c>
      <c r="JR782" s="2672" t="str">
        <f t="shared" si="256"/>
        <v/>
      </c>
      <c r="JS782" s="2672" t="str">
        <f t="shared" si="257"/>
        <v/>
      </c>
      <c r="JT782" s="2672" t="str">
        <f t="shared" si="258"/>
        <v/>
      </c>
      <c r="JU782" s="2672" t="str">
        <f t="shared" si="259"/>
        <v/>
      </c>
      <c r="JV782" s="2672" t="str">
        <f t="shared" si="260"/>
        <v/>
      </c>
      <c r="JW782" s="2672" t="str">
        <f t="shared" si="261"/>
        <v/>
      </c>
      <c r="JX782" s="2672" t="str">
        <f t="shared" si="262"/>
        <v/>
      </c>
      <c r="JY782" s="2672" t="str">
        <f t="shared" si="263"/>
        <v/>
      </c>
      <c r="JZ782" s="2672" t="str">
        <f t="shared" si="264"/>
        <v/>
      </c>
      <c r="KA782" s="2672" t="str">
        <f t="shared" si="265"/>
        <v/>
      </c>
      <c r="KB782" s="2672" t="str">
        <f t="shared" si="266"/>
        <v/>
      </c>
      <c r="KC782" s="2672" t="str">
        <f t="shared" si="267"/>
        <v/>
      </c>
      <c r="KD782" s="2672" t="str">
        <f t="shared" si="268"/>
        <v/>
      </c>
      <c r="KE782" s="2672" t="str">
        <f t="shared" si="269"/>
        <v/>
      </c>
      <c r="KF782" s="2672" t="str">
        <f t="shared" si="270"/>
        <v/>
      </c>
      <c r="KG782" s="2672" t="str">
        <f t="shared" si="271"/>
        <v/>
      </c>
      <c r="KH782" s="2672" t="str">
        <f t="shared" si="272"/>
        <v/>
      </c>
      <c r="KI782" s="2672" t="str">
        <f t="shared" si="273"/>
        <v/>
      </c>
      <c r="KJ782" s="2672" t="str">
        <f t="shared" si="274"/>
        <v/>
      </c>
      <c r="KK782" s="2672" t="str">
        <f t="shared" si="275"/>
        <v/>
      </c>
      <c r="KL782" s="2672" t="str">
        <f t="shared" si="276"/>
        <v/>
      </c>
      <c r="KM782" s="2672" t="str">
        <f t="shared" si="277"/>
        <v/>
      </c>
      <c r="KN782" s="2672" t="str">
        <f t="shared" si="278"/>
        <v/>
      </c>
      <c r="KO782" s="2672" t="str">
        <f t="shared" si="279"/>
        <v/>
      </c>
      <c r="KP782" s="2672" t="str">
        <f t="shared" si="280"/>
        <v/>
      </c>
      <c r="KQ782" s="2672" t="str">
        <f t="shared" si="281"/>
        <v/>
      </c>
      <c r="KR782" s="2672" t="str">
        <f t="shared" si="282"/>
        <v/>
      </c>
      <c r="KS782" s="2672" t="str">
        <f t="shared" si="283"/>
        <v/>
      </c>
      <c r="KT782" s="2672" t="str">
        <f t="shared" si="284"/>
        <v/>
      </c>
      <c r="KU782" s="2672" t="str">
        <f t="shared" si="285"/>
        <v/>
      </c>
      <c r="KV782" s="2672" t="str">
        <f t="shared" si="286"/>
        <v/>
      </c>
      <c r="KW782" s="2672" t="str">
        <f t="shared" si="287"/>
        <v/>
      </c>
      <c r="KX782" s="2672" t="str">
        <f t="shared" si="288"/>
        <v/>
      </c>
      <c r="KY782" s="2672" t="str">
        <f t="shared" si="289"/>
        <v/>
      </c>
      <c r="KZ782" s="2672" t="str">
        <f t="shared" si="290"/>
        <v/>
      </c>
      <c r="LA782" s="2672" t="str">
        <f t="shared" si="291"/>
        <v/>
      </c>
      <c r="LB782" s="2672" t="str">
        <f t="shared" si="292"/>
        <v/>
      </c>
      <c r="LC782" s="2672" t="str">
        <f t="shared" si="293"/>
        <v/>
      </c>
      <c r="LD782" s="2672" t="str">
        <f t="shared" si="294"/>
        <v/>
      </c>
      <c r="LE782" s="2672" t="str">
        <f t="shared" si="295"/>
        <v/>
      </c>
      <c r="LF782" s="2672" t="str">
        <f t="shared" si="296"/>
        <v/>
      </c>
      <c r="LG782" s="2672" t="str">
        <f t="shared" si="297"/>
        <v/>
      </c>
      <c r="LH782" s="2672" t="str">
        <f t="shared" si="298"/>
        <v/>
      </c>
      <c r="LI782" s="2672" t="str">
        <f t="shared" si="299"/>
        <v/>
      </c>
      <c r="LJ782" s="2672" t="str">
        <f t="shared" si="300"/>
        <v/>
      </c>
      <c r="LK782" s="2672" t="str">
        <f t="shared" si="301"/>
        <v/>
      </c>
      <c r="LL782" s="2672" t="str">
        <f t="shared" si="302"/>
        <v/>
      </c>
      <c r="LM782" s="2672" t="str">
        <f t="shared" si="303"/>
        <v/>
      </c>
      <c r="LN782" s="2672" t="str">
        <f t="shared" si="304"/>
        <v/>
      </c>
      <c r="LO782" s="2672" t="str">
        <f t="shared" si="305"/>
        <v/>
      </c>
      <c r="LP782" s="2672" t="str">
        <f t="shared" si="306"/>
        <v/>
      </c>
      <c r="LQ782" s="2613" t="str">
        <f t="shared" si="307"/>
        <v/>
      </c>
      <c r="LR782" s="2613" t="str">
        <f t="shared" si="308"/>
        <v/>
      </c>
      <c r="LS782" s="2613" t="str">
        <f t="shared" si="309"/>
        <v/>
      </c>
      <c r="LT782" s="2613" t="str">
        <f t="shared" si="310"/>
        <v/>
      </c>
      <c r="LU782" s="2613" t="str">
        <f t="shared" si="311"/>
        <v/>
      </c>
      <c r="LV782" s="2494" t="str">
        <f t="shared" si="312"/>
        <v/>
      </c>
      <c r="LW782" s="2494" t="str">
        <f t="shared" si="313"/>
        <v/>
      </c>
      <c r="LX782" s="2494" t="str">
        <f t="shared" si="314"/>
        <v/>
      </c>
      <c r="LY782" s="2494" t="str">
        <f t="shared" si="315"/>
        <v/>
      </c>
      <c r="LZ782" s="2494" t="str">
        <f t="shared" si="316"/>
        <v/>
      </c>
      <c r="MA782" s="2494" t="str">
        <f t="shared" si="317"/>
        <v/>
      </c>
      <c r="MB782" s="2494" t="str">
        <f t="shared" si="318"/>
        <v/>
      </c>
      <c r="MC782" s="2494" t="str">
        <f t="shared" si="319"/>
        <v/>
      </c>
      <c r="MD782" s="2494" t="str">
        <f t="shared" si="320"/>
        <v/>
      </c>
      <c r="ME782" s="2494" t="str">
        <f t="shared" si="321"/>
        <v/>
      </c>
      <c r="MF782" s="2494" t="str">
        <f t="shared" si="322"/>
        <v/>
      </c>
      <c r="MG782" s="2494" t="str">
        <f t="shared" si="323"/>
        <v/>
      </c>
      <c r="MH782" s="2494" t="str">
        <f t="shared" si="324"/>
        <v/>
      </c>
      <c r="MI782" s="2494" t="str">
        <f t="shared" si="325"/>
        <v/>
      </c>
      <c r="MJ782" s="2494" t="str">
        <f t="shared" si="326"/>
        <v/>
      </c>
      <c r="MK782" s="2494" t="str">
        <f t="shared" si="327"/>
        <v/>
      </c>
      <c r="ML782" s="2494" t="str">
        <f t="shared" si="328"/>
        <v/>
      </c>
      <c r="MM782" s="2494" t="str">
        <f t="shared" si="329"/>
        <v/>
      </c>
      <c r="MN782" s="2494" t="str">
        <f t="shared" si="330"/>
        <v/>
      </c>
      <c r="MO782" s="2494" t="str">
        <f t="shared" si="331"/>
        <v/>
      </c>
      <c r="MP782" s="2613">
        <f t="shared" si="338"/>
        <v>0</v>
      </c>
      <c r="MQ782" s="2613">
        <f t="shared" si="339"/>
        <v>0</v>
      </c>
      <c r="MR782" s="2613">
        <f t="shared" si="340"/>
        <v>0</v>
      </c>
      <c r="MS782" s="2613">
        <f t="shared" si="341"/>
        <v>0</v>
      </c>
      <c r="MT782" s="2613">
        <f t="shared" si="342"/>
        <v>0</v>
      </c>
      <c r="MU782" s="2613">
        <f t="shared" si="343"/>
        <v>0</v>
      </c>
      <c r="MV782" s="2613">
        <f t="shared" si="344"/>
        <v>0</v>
      </c>
      <c r="MW782" s="2613">
        <f t="shared" si="345"/>
        <v>0</v>
      </c>
      <c r="MX782" s="2613">
        <f t="shared" si="346"/>
        <v>0</v>
      </c>
      <c r="MY782" s="2613">
        <f t="shared" si="347"/>
        <v>0</v>
      </c>
      <c r="MZ782" s="2613">
        <f t="shared" si="332"/>
        <v>0</v>
      </c>
      <c r="NA782" s="2613">
        <f t="shared" si="333"/>
        <v>0</v>
      </c>
      <c r="NB782" s="2613">
        <f t="shared" si="334"/>
        <v>0</v>
      </c>
      <c r="NC782" s="2613">
        <f t="shared" si="335"/>
        <v>0</v>
      </c>
      <c r="ND782" s="2613">
        <f t="shared" si="336"/>
        <v>0</v>
      </c>
    </row>
    <row r="783" spans="1:368" ht="13.8" customHeight="1">
      <c r="A783" s="2652" t="str">
        <f t="shared" si="337"/>
        <v/>
      </c>
      <c r="B783" s="2664" t="str">
        <f>'Part VI-Revenues &amp; Expenses'!B14</f>
        <v>Unrestricted</v>
      </c>
      <c r="C783" s="2665">
        <f>'Part VI-Revenues &amp; Expenses'!C14</f>
        <v>0</v>
      </c>
      <c r="D783" s="2666">
        <f>'Part VI-Revenues &amp; Expenses'!D14</f>
        <v>0</v>
      </c>
      <c r="E783" s="2667">
        <f>'Part VI-Revenues &amp; Expenses'!E14</f>
        <v>0</v>
      </c>
      <c r="F783" s="2667">
        <f>'Part VI-Revenues &amp; Expenses'!F14</f>
        <v>0</v>
      </c>
      <c r="G783" s="2667">
        <f>'Part VI-Revenues &amp; Expenses'!G14</f>
        <v>0</v>
      </c>
      <c r="H783" s="2667">
        <f>'Part VI-Revenues &amp; Expenses'!H14</f>
        <v>0</v>
      </c>
      <c r="I783" s="2667">
        <f>'Part VI-Revenues &amp; Expenses'!I14</f>
        <v>0</v>
      </c>
      <c r="J783" s="2667">
        <f>'Part VI-Revenues &amp; Expenses'!J14</f>
        <v>0</v>
      </c>
      <c r="K783" s="2668">
        <f>'Part VI-Revenues &amp; Expenses'!K14</f>
        <v>0</v>
      </c>
      <c r="L783" s="2669">
        <f t="shared" si="0"/>
        <v>0</v>
      </c>
      <c r="M783" s="2669">
        <f t="shared" si="1"/>
        <v>0</v>
      </c>
      <c r="N783" s="2545">
        <f>'Part VI-Revenues &amp; Expenses'!N14</f>
        <v>0</v>
      </c>
      <c r="O783" s="2545">
        <f>'Part VI-Revenues &amp; Expenses'!O14</f>
        <v>0</v>
      </c>
      <c r="P783" s="2545">
        <f>'Part VI-Revenues &amp; Expenses'!P14</f>
        <v>0</v>
      </c>
      <c r="Q783" s="2251">
        <f>'Part VI-Revenues &amp; Expenses'!Q14</f>
        <v>0</v>
      </c>
      <c r="R783" s="2670"/>
      <c r="S783" s="2671"/>
      <c r="T783" s="2607"/>
      <c r="U783" s="2607"/>
      <c r="V783" s="2607"/>
      <c r="W783" s="2607"/>
      <c r="X783" s="2494" t="str">
        <f t="shared" si="2"/>
        <v/>
      </c>
      <c r="Y783" s="2494" t="str">
        <f t="shared" si="3"/>
        <v/>
      </c>
      <c r="Z783" s="2494" t="str">
        <f t="shared" si="4"/>
        <v/>
      </c>
      <c r="AA783" s="2494" t="str">
        <f t="shared" si="5"/>
        <v/>
      </c>
      <c r="AB783" s="2494" t="str">
        <f t="shared" si="6"/>
        <v/>
      </c>
      <c r="AC783" s="2494" t="str">
        <f t="shared" si="7"/>
        <v/>
      </c>
      <c r="AD783" s="2494" t="str">
        <f t="shared" si="8"/>
        <v/>
      </c>
      <c r="AE783" s="2494" t="str">
        <f t="shared" si="9"/>
        <v/>
      </c>
      <c r="AF783" s="2494" t="str">
        <f t="shared" si="10"/>
        <v/>
      </c>
      <c r="AG783" s="2494" t="str">
        <f t="shared" si="11"/>
        <v/>
      </c>
      <c r="AH783" s="2494" t="str">
        <f t="shared" si="12"/>
        <v/>
      </c>
      <c r="AI783" s="2494" t="str">
        <f t="shared" si="13"/>
        <v/>
      </c>
      <c r="AJ783" s="2494" t="str">
        <f t="shared" si="14"/>
        <v/>
      </c>
      <c r="AK783" s="2494" t="str">
        <f t="shared" si="15"/>
        <v/>
      </c>
      <c r="AL783" s="2494" t="str">
        <f t="shared" si="16"/>
        <v/>
      </c>
      <c r="AM783" s="2494" t="str">
        <f t="shared" si="17"/>
        <v/>
      </c>
      <c r="AN783" s="2494" t="str">
        <f t="shared" si="18"/>
        <v/>
      </c>
      <c r="AO783" s="2494" t="str">
        <f t="shared" si="19"/>
        <v/>
      </c>
      <c r="AP783" s="2494" t="str">
        <f t="shared" si="20"/>
        <v/>
      </c>
      <c r="AQ783" s="2494" t="str">
        <f t="shared" si="21"/>
        <v/>
      </c>
      <c r="AR783" s="2494" t="str">
        <f t="shared" si="22"/>
        <v/>
      </c>
      <c r="AS783" s="2494" t="str">
        <f t="shared" si="23"/>
        <v/>
      </c>
      <c r="AT783" s="2494" t="str">
        <f t="shared" si="24"/>
        <v/>
      </c>
      <c r="AU783" s="2494" t="str">
        <f t="shared" si="25"/>
        <v/>
      </c>
      <c r="AV783" s="2494" t="str">
        <f t="shared" si="26"/>
        <v/>
      </c>
      <c r="AW783" s="2494" t="str">
        <f t="shared" si="27"/>
        <v/>
      </c>
      <c r="AX783" s="2494" t="str">
        <f t="shared" si="28"/>
        <v/>
      </c>
      <c r="AY783" s="2494" t="str">
        <f t="shared" si="29"/>
        <v/>
      </c>
      <c r="AZ783" s="2494" t="str">
        <f t="shared" si="30"/>
        <v/>
      </c>
      <c r="BA783" s="2494" t="str">
        <f t="shared" si="31"/>
        <v/>
      </c>
      <c r="BB783" s="2494" t="str">
        <f t="shared" si="32"/>
        <v/>
      </c>
      <c r="BC783" s="2494" t="str">
        <f t="shared" si="33"/>
        <v/>
      </c>
      <c r="BD783" s="2494" t="str">
        <f t="shared" si="34"/>
        <v/>
      </c>
      <c r="BE783" s="2494" t="str">
        <f t="shared" si="35"/>
        <v/>
      </c>
      <c r="BF783" s="2494" t="str">
        <f t="shared" si="36"/>
        <v/>
      </c>
      <c r="BG783" s="2494" t="str">
        <f t="shared" si="37"/>
        <v/>
      </c>
      <c r="BH783" s="2494" t="str">
        <f t="shared" si="38"/>
        <v/>
      </c>
      <c r="BI783" s="2494" t="str">
        <f t="shared" si="39"/>
        <v/>
      </c>
      <c r="BJ783" s="2494" t="str">
        <f t="shared" si="40"/>
        <v/>
      </c>
      <c r="BK783" s="2494" t="str">
        <f t="shared" si="41"/>
        <v/>
      </c>
      <c r="BL783" s="2494" t="str">
        <f t="shared" si="42"/>
        <v/>
      </c>
      <c r="BM783" s="2494" t="str">
        <f t="shared" si="43"/>
        <v/>
      </c>
      <c r="BN783" s="2494" t="str">
        <f t="shared" si="44"/>
        <v/>
      </c>
      <c r="BO783" s="2494" t="str">
        <f t="shared" si="45"/>
        <v/>
      </c>
      <c r="BP783" s="2494" t="str">
        <f t="shared" si="46"/>
        <v/>
      </c>
      <c r="BQ783" s="2494" t="str">
        <f t="shared" si="47"/>
        <v/>
      </c>
      <c r="BR783" s="2494" t="str">
        <f t="shared" si="48"/>
        <v/>
      </c>
      <c r="BS783" s="2494" t="str">
        <f t="shared" si="49"/>
        <v/>
      </c>
      <c r="BT783" s="2494" t="str">
        <f t="shared" si="50"/>
        <v/>
      </c>
      <c r="BU783" s="2494" t="str">
        <f t="shared" si="51"/>
        <v/>
      </c>
      <c r="BV783" s="2494" t="str">
        <f t="shared" si="52"/>
        <v/>
      </c>
      <c r="BW783" s="2494" t="str">
        <f t="shared" si="53"/>
        <v/>
      </c>
      <c r="BX783" s="2494" t="str">
        <f t="shared" si="54"/>
        <v/>
      </c>
      <c r="BY783" s="2494" t="str">
        <f t="shared" si="55"/>
        <v/>
      </c>
      <c r="BZ783" s="2494" t="str">
        <f t="shared" si="56"/>
        <v/>
      </c>
      <c r="CA783" s="2494" t="str">
        <f t="shared" si="57"/>
        <v/>
      </c>
      <c r="CB783" s="2494" t="str">
        <f t="shared" si="58"/>
        <v/>
      </c>
      <c r="CC783" s="2494" t="str">
        <f t="shared" si="59"/>
        <v/>
      </c>
      <c r="CD783" s="2494" t="str">
        <f t="shared" si="60"/>
        <v/>
      </c>
      <c r="CE783" s="2494" t="str">
        <f t="shared" si="61"/>
        <v/>
      </c>
      <c r="CF783" s="2494" t="str">
        <f t="shared" si="62"/>
        <v/>
      </c>
      <c r="CG783" s="2494" t="str">
        <f t="shared" si="63"/>
        <v/>
      </c>
      <c r="CH783" s="2494" t="str">
        <f t="shared" si="64"/>
        <v/>
      </c>
      <c r="CI783" s="2494" t="str">
        <f t="shared" si="65"/>
        <v/>
      </c>
      <c r="CJ783" s="2494" t="str">
        <f t="shared" si="66"/>
        <v/>
      </c>
      <c r="CK783" s="2494" t="str">
        <f t="shared" si="67"/>
        <v/>
      </c>
      <c r="CL783" s="2494" t="str">
        <f t="shared" si="68"/>
        <v/>
      </c>
      <c r="CM783" s="2494" t="str">
        <f t="shared" si="69"/>
        <v/>
      </c>
      <c r="CN783" s="2494" t="str">
        <f t="shared" si="70"/>
        <v/>
      </c>
      <c r="CO783" s="2494" t="str">
        <f t="shared" si="71"/>
        <v/>
      </c>
      <c r="CP783" s="2494" t="str">
        <f t="shared" si="72"/>
        <v/>
      </c>
      <c r="CQ783" s="2494" t="str">
        <f t="shared" si="73"/>
        <v/>
      </c>
      <c r="CR783" s="2494" t="str">
        <f t="shared" si="74"/>
        <v/>
      </c>
      <c r="CS783" s="2494" t="str">
        <f t="shared" si="75"/>
        <v/>
      </c>
      <c r="CT783" s="2494" t="str">
        <f t="shared" si="76"/>
        <v/>
      </c>
      <c r="CU783" s="2494" t="str">
        <f t="shared" si="77"/>
        <v/>
      </c>
      <c r="CV783" s="2494" t="str">
        <f t="shared" si="78"/>
        <v/>
      </c>
      <c r="CW783" s="2494" t="str">
        <f t="shared" si="79"/>
        <v/>
      </c>
      <c r="CX783" s="2494" t="str">
        <f t="shared" si="80"/>
        <v/>
      </c>
      <c r="CY783" s="2494" t="str">
        <f t="shared" si="81"/>
        <v/>
      </c>
      <c r="CZ783" s="2494" t="str">
        <f t="shared" si="82"/>
        <v/>
      </c>
      <c r="DA783" s="2494" t="str">
        <f t="shared" si="83"/>
        <v/>
      </c>
      <c r="DB783" s="2494" t="str">
        <f t="shared" si="84"/>
        <v/>
      </c>
      <c r="DC783" s="2494" t="str">
        <f t="shared" si="85"/>
        <v/>
      </c>
      <c r="DD783" s="2494" t="str">
        <f t="shared" si="86"/>
        <v/>
      </c>
      <c r="DE783" s="2494" t="str">
        <f t="shared" si="87"/>
        <v/>
      </c>
      <c r="DF783" s="2494" t="str">
        <f t="shared" si="88"/>
        <v/>
      </c>
      <c r="DG783" s="2494" t="str">
        <f t="shared" si="89"/>
        <v/>
      </c>
      <c r="DH783" s="2494" t="str">
        <f t="shared" si="90"/>
        <v/>
      </c>
      <c r="DI783" s="2494" t="str">
        <f t="shared" si="91"/>
        <v/>
      </c>
      <c r="DJ783" s="2494" t="str">
        <f t="shared" si="92"/>
        <v/>
      </c>
      <c r="DK783" s="2494" t="str">
        <f t="shared" si="93"/>
        <v/>
      </c>
      <c r="DL783" s="2494" t="str">
        <f t="shared" si="94"/>
        <v/>
      </c>
      <c r="DM783" s="2494" t="str">
        <f t="shared" si="95"/>
        <v/>
      </c>
      <c r="DN783" s="2494" t="str">
        <f t="shared" si="96"/>
        <v/>
      </c>
      <c r="DO783" s="2494" t="str">
        <f t="shared" si="97"/>
        <v/>
      </c>
      <c r="DP783" s="2494" t="str">
        <f t="shared" si="98"/>
        <v/>
      </c>
      <c r="DQ783" s="2494" t="str">
        <f t="shared" si="99"/>
        <v/>
      </c>
      <c r="DR783" s="2494" t="str">
        <f t="shared" si="100"/>
        <v/>
      </c>
      <c r="DS783" s="2494" t="str">
        <f t="shared" si="101"/>
        <v/>
      </c>
      <c r="DT783" s="2494" t="str">
        <f t="shared" si="102"/>
        <v/>
      </c>
      <c r="DU783" s="2494" t="str">
        <f t="shared" si="103"/>
        <v/>
      </c>
      <c r="DV783" s="2494" t="str">
        <f t="shared" si="104"/>
        <v/>
      </c>
      <c r="DW783" s="2494" t="str">
        <f t="shared" si="105"/>
        <v/>
      </c>
      <c r="DX783" s="2494" t="str">
        <f t="shared" si="106"/>
        <v/>
      </c>
      <c r="DY783" s="2494" t="str">
        <f t="shared" si="107"/>
        <v/>
      </c>
      <c r="DZ783" s="2494" t="str">
        <f t="shared" si="108"/>
        <v/>
      </c>
      <c r="EA783" s="2494" t="str">
        <f t="shared" si="109"/>
        <v/>
      </c>
      <c r="EB783" s="2494" t="str">
        <f t="shared" si="110"/>
        <v/>
      </c>
      <c r="EC783" s="2494" t="str">
        <f t="shared" si="111"/>
        <v/>
      </c>
      <c r="ED783" s="2494" t="str">
        <f t="shared" si="112"/>
        <v/>
      </c>
      <c r="EE783" s="2494" t="str">
        <f t="shared" si="113"/>
        <v/>
      </c>
      <c r="EF783" s="2494" t="str">
        <f t="shared" si="114"/>
        <v/>
      </c>
      <c r="EG783" s="2494" t="str">
        <f t="shared" si="115"/>
        <v/>
      </c>
      <c r="EH783" s="2494" t="str">
        <f t="shared" si="116"/>
        <v/>
      </c>
      <c r="EI783" s="2494" t="str">
        <f t="shared" si="117"/>
        <v/>
      </c>
      <c r="EJ783" s="2494" t="str">
        <f t="shared" si="118"/>
        <v/>
      </c>
      <c r="EK783" s="2494" t="str">
        <f t="shared" si="119"/>
        <v/>
      </c>
      <c r="EL783" s="2494" t="str">
        <f t="shared" si="120"/>
        <v/>
      </c>
      <c r="EM783" s="2494" t="str">
        <f t="shared" si="121"/>
        <v/>
      </c>
      <c r="EN783" s="2494" t="str">
        <f t="shared" si="122"/>
        <v/>
      </c>
      <c r="EO783" s="2494" t="str">
        <f t="shared" si="123"/>
        <v/>
      </c>
      <c r="EP783" s="2494" t="str">
        <f t="shared" si="124"/>
        <v/>
      </c>
      <c r="EQ783" s="2494" t="str">
        <f t="shared" si="125"/>
        <v/>
      </c>
      <c r="ER783" s="2494" t="str">
        <f t="shared" si="126"/>
        <v/>
      </c>
      <c r="ES783" s="2494" t="str">
        <f t="shared" si="127"/>
        <v/>
      </c>
      <c r="ET783" s="2494" t="str">
        <f t="shared" si="128"/>
        <v/>
      </c>
      <c r="EU783" s="2494" t="str">
        <f t="shared" si="129"/>
        <v/>
      </c>
      <c r="EV783" s="2494" t="str">
        <f t="shared" si="130"/>
        <v/>
      </c>
      <c r="EW783" s="2494" t="str">
        <f t="shared" si="131"/>
        <v/>
      </c>
      <c r="EX783" s="2494" t="str">
        <f t="shared" si="132"/>
        <v/>
      </c>
      <c r="EY783" s="2494" t="str">
        <f t="shared" si="133"/>
        <v/>
      </c>
      <c r="EZ783" s="2494" t="str">
        <f t="shared" si="134"/>
        <v/>
      </c>
      <c r="FA783" s="2494" t="str">
        <f t="shared" si="135"/>
        <v/>
      </c>
      <c r="FB783" s="2494" t="str">
        <f t="shared" si="136"/>
        <v/>
      </c>
      <c r="FC783" s="2494" t="str">
        <f t="shared" si="137"/>
        <v/>
      </c>
      <c r="FD783" s="2494" t="str">
        <f t="shared" si="138"/>
        <v/>
      </c>
      <c r="FE783" s="2494" t="str">
        <f t="shared" si="139"/>
        <v/>
      </c>
      <c r="FF783" s="2494" t="str">
        <f t="shared" si="140"/>
        <v/>
      </c>
      <c r="FG783" s="2494" t="str">
        <f t="shared" si="141"/>
        <v/>
      </c>
      <c r="FH783" s="2494" t="str">
        <f t="shared" si="142"/>
        <v/>
      </c>
      <c r="FI783" s="2494" t="str">
        <f t="shared" si="143"/>
        <v/>
      </c>
      <c r="FJ783" s="2494" t="str">
        <f t="shared" si="144"/>
        <v/>
      </c>
      <c r="FK783" s="2494" t="str">
        <f t="shared" si="145"/>
        <v/>
      </c>
      <c r="FL783" s="2494" t="str">
        <f t="shared" si="146"/>
        <v/>
      </c>
      <c r="FM783" s="2494" t="str">
        <f t="shared" si="147"/>
        <v/>
      </c>
      <c r="FN783" s="2494" t="str">
        <f t="shared" si="148"/>
        <v/>
      </c>
      <c r="FO783" s="2494" t="str">
        <f t="shared" si="149"/>
        <v/>
      </c>
      <c r="FP783" s="2494" t="str">
        <f t="shared" si="150"/>
        <v/>
      </c>
      <c r="FQ783" s="2494" t="str">
        <f t="shared" si="151"/>
        <v/>
      </c>
      <c r="FR783" s="2494" t="str">
        <f t="shared" si="152"/>
        <v/>
      </c>
      <c r="FS783" s="2494" t="str">
        <f t="shared" si="153"/>
        <v/>
      </c>
      <c r="FT783" s="2494" t="str">
        <f t="shared" si="154"/>
        <v/>
      </c>
      <c r="FU783" s="2494" t="str">
        <f t="shared" si="155"/>
        <v/>
      </c>
      <c r="FV783" s="2494" t="str">
        <f t="shared" si="156"/>
        <v/>
      </c>
      <c r="FW783" s="2494" t="str">
        <f t="shared" si="157"/>
        <v/>
      </c>
      <c r="FX783" s="2494" t="str">
        <f t="shared" si="158"/>
        <v/>
      </c>
      <c r="FY783" s="2494" t="str">
        <f t="shared" si="159"/>
        <v/>
      </c>
      <c r="FZ783" s="2494" t="str">
        <f t="shared" si="160"/>
        <v/>
      </c>
      <c r="GA783" s="2494" t="str">
        <f t="shared" si="161"/>
        <v/>
      </c>
      <c r="GB783" s="2494" t="str">
        <f t="shared" si="162"/>
        <v/>
      </c>
      <c r="GC783" s="2494" t="str">
        <f t="shared" si="163"/>
        <v/>
      </c>
      <c r="GD783" s="2494" t="str">
        <f t="shared" si="164"/>
        <v/>
      </c>
      <c r="GE783" s="2494" t="str">
        <f t="shared" si="165"/>
        <v/>
      </c>
      <c r="GF783" s="2494" t="str">
        <f t="shared" si="166"/>
        <v/>
      </c>
      <c r="GG783" s="2494" t="str">
        <f t="shared" si="167"/>
        <v/>
      </c>
      <c r="GH783" s="2494" t="str">
        <f t="shared" si="168"/>
        <v/>
      </c>
      <c r="GI783" s="2494" t="str">
        <f t="shared" si="169"/>
        <v/>
      </c>
      <c r="GJ783" s="2494" t="str">
        <f t="shared" si="170"/>
        <v/>
      </c>
      <c r="GK783" s="2494" t="str">
        <f t="shared" si="171"/>
        <v/>
      </c>
      <c r="GL783" s="2494" t="str">
        <f t="shared" si="172"/>
        <v/>
      </c>
      <c r="GM783" s="2494" t="str">
        <f t="shared" si="173"/>
        <v/>
      </c>
      <c r="GN783" s="2494" t="str">
        <f t="shared" si="174"/>
        <v/>
      </c>
      <c r="GO783" s="2494" t="str">
        <f t="shared" si="175"/>
        <v/>
      </c>
      <c r="GP783" s="2494" t="str">
        <f t="shared" si="176"/>
        <v/>
      </c>
      <c r="GQ783" s="2494" t="str">
        <f t="shared" si="177"/>
        <v/>
      </c>
      <c r="GR783" s="2494" t="str">
        <f t="shared" si="178"/>
        <v/>
      </c>
      <c r="GS783" s="2494" t="str">
        <f t="shared" si="179"/>
        <v/>
      </c>
      <c r="GT783" s="2494" t="str">
        <f t="shared" si="180"/>
        <v/>
      </c>
      <c r="GU783" s="2494" t="str">
        <f t="shared" si="181"/>
        <v/>
      </c>
      <c r="GV783" s="2494" t="str">
        <f t="shared" si="182"/>
        <v/>
      </c>
      <c r="GW783" s="2494" t="str">
        <f t="shared" si="183"/>
        <v/>
      </c>
      <c r="GX783" s="2494" t="str">
        <f t="shared" si="184"/>
        <v/>
      </c>
      <c r="GY783" s="2494" t="str">
        <f t="shared" si="185"/>
        <v/>
      </c>
      <c r="GZ783" s="2494" t="str">
        <f t="shared" si="186"/>
        <v/>
      </c>
      <c r="HA783" s="2494" t="str">
        <f t="shared" si="187"/>
        <v/>
      </c>
      <c r="HB783" s="2494" t="str">
        <f t="shared" si="188"/>
        <v/>
      </c>
      <c r="HC783" s="2494" t="str">
        <f t="shared" si="189"/>
        <v/>
      </c>
      <c r="HD783" s="2494" t="str">
        <f t="shared" si="190"/>
        <v/>
      </c>
      <c r="HE783" s="2494" t="str">
        <f t="shared" si="191"/>
        <v/>
      </c>
      <c r="HF783" s="2494" t="str">
        <f t="shared" si="192"/>
        <v/>
      </c>
      <c r="HG783" s="2494" t="str">
        <f t="shared" si="193"/>
        <v/>
      </c>
      <c r="HH783" s="2494" t="str">
        <f t="shared" si="194"/>
        <v/>
      </c>
      <c r="HI783" s="2494" t="str">
        <f t="shared" si="195"/>
        <v/>
      </c>
      <c r="HJ783" s="2494" t="str">
        <f t="shared" si="196"/>
        <v/>
      </c>
      <c r="HK783" s="2494" t="str">
        <f t="shared" si="197"/>
        <v/>
      </c>
      <c r="HL783" s="2494" t="str">
        <f t="shared" si="198"/>
        <v/>
      </c>
      <c r="HM783" s="2494" t="str">
        <f t="shared" si="199"/>
        <v/>
      </c>
      <c r="HN783" s="2494" t="str">
        <f t="shared" si="200"/>
        <v/>
      </c>
      <c r="HO783" s="2494" t="str">
        <f t="shared" si="201"/>
        <v/>
      </c>
      <c r="HP783" s="2494" t="str">
        <f t="shared" si="202"/>
        <v/>
      </c>
      <c r="HQ783" s="2494" t="str">
        <f t="shared" si="203"/>
        <v/>
      </c>
      <c r="HR783" s="2494" t="str">
        <f t="shared" si="204"/>
        <v/>
      </c>
      <c r="HS783" s="2494" t="str">
        <f t="shared" si="205"/>
        <v/>
      </c>
      <c r="HT783" s="2494" t="str">
        <f t="shared" si="206"/>
        <v/>
      </c>
      <c r="HU783" s="2494" t="str">
        <f t="shared" si="207"/>
        <v/>
      </c>
      <c r="HV783" s="2494" t="str">
        <f t="shared" si="208"/>
        <v/>
      </c>
      <c r="HW783" s="2494" t="str">
        <f t="shared" si="209"/>
        <v/>
      </c>
      <c r="HX783" s="2494" t="str">
        <f t="shared" si="210"/>
        <v/>
      </c>
      <c r="HY783" s="2494" t="str">
        <f t="shared" si="211"/>
        <v/>
      </c>
      <c r="HZ783" s="2672" t="str">
        <f t="shared" si="212"/>
        <v/>
      </c>
      <c r="IA783" s="2672" t="str">
        <f t="shared" si="213"/>
        <v/>
      </c>
      <c r="IB783" s="2672" t="str">
        <f t="shared" si="214"/>
        <v/>
      </c>
      <c r="IC783" s="2672" t="str">
        <f t="shared" si="215"/>
        <v/>
      </c>
      <c r="ID783" s="2672" t="str">
        <f t="shared" si="216"/>
        <v/>
      </c>
      <c r="IE783" s="2672" t="str">
        <f t="shared" si="217"/>
        <v/>
      </c>
      <c r="IF783" s="2672" t="str">
        <f t="shared" si="218"/>
        <v/>
      </c>
      <c r="IG783" s="2672" t="str">
        <f t="shared" si="219"/>
        <v/>
      </c>
      <c r="IH783" s="2672" t="str">
        <f t="shared" si="220"/>
        <v/>
      </c>
      <c r="II783" s="2672" t="str">
        <f t="shared" si="221"/>
        <v/>
      </c>
      <c r="IJ783" s="2672" t="str">
        <f t="shared" si="222"/>
        <v/>
      </c>
      <c r="IK783" s="2672" t="str">
        <f t="shared" si="223"/>
        <v/>
      </c>
      <c r="IL783" s="2672" t="str">
        <f t="shared" si="224"/>
        <v/>
      </c>
      <c r="IM783" s="2672" t="str">
        <f t="shared" si="225"/>
        <v/>
      </c>
      <c r="IN783" s="2672" t="str">
        <f t="shared" si="226"/>
        <v/>
      </c>
      <c r="IO783" s="2672" t="str">
        <f t="shared" si="227"/>
        <v/>
      </c>
      <c r="IP783" s="2672" t="str">
        <f t="shared" si="228"/>
        <v/>
      </c>
      <c r="IQ783" s="2672" t="str">
        <f t="shared" si="229"/>
        <v/>
      </c>
      <c r="IR783" s="2672" t="str">
        <f t="shared" si="230"/>
        <v/>
      </c>
      <c r="IS783" s="2672" t="str">
        <f t="shared" si="231"/>
        <v/>
      </c>
      <c r="IT783" s="2672" t="str">
        <f t="shared" si="232"/>
        <v/>
      </c>
      <c r="IU783" s="2672" t="str">
        <f t="shared" si="233"/>
        <v/>
      </c>
      <c r="IV783" s="2672" t="str">
        <f t="shared" si="234"/>
        <v/>
      </c>
      <c r="IW783" s="2672" t="str">
        <f t="shared" si="235"/>
        <v/>
      </c>
      <c r="IX783" s="2672" t="str">
        <f t="shared" si="236"/>
        <v/>
      </c>
      <c r="IY783" s="2672" t="str">
        <f t="shared" si="237"/>
        <v/>
      </c>
      <c r="IZ783" s="2672" t="str">
        <f t="shared" si="238"/>
        <v/>
      </c>
      <c r="JA783" s="2672" t="str">
        <f t="shared" si="239"/>
        <v/>
      </c>
      <c r="JB783" s="2672" t="str">
        <f t="shared" si="240"/>
        <v/>
      </c>
      <c r="JC783" s="2672" t="str">
        <f t="shared" si="241"/>
        <v/>
      </c>
      <c r="JD783" s="2672" t="str">
        <f t="shared" si="242"/>
        <v/>
      </c>
      <c r="JE783" s="2672" t="str">
        <f t="shared" si="243"/>
        <v/>
      </c>
      <c r="JF783" s="2672" t="str">
        <f t="shared" si="244"/>
        <v/>
      </c>
      <c r="JG783" s="2672" t="str">
        <f t="shared" si="245"/>
        <v/>
      </c>
      <c r="JH783" s="2672" t="str">
        <f t="shared" si="246"/>
        <v/>
      </c>
      <c r="JI783" s="2672" t="str">
        <f t="shared" si="247"/>
        <v/>
      </c>
      <c r="JJ783" s="2672" t="str">
        <f t="shared" si="248"/>
        <v/>
      </c>
      <c r="JK783" s="2672" t="str">
        <f t="shared" si="249"/>
        <v/>
      </c>
      <c r="JL783" s="2672" t="str">
        <f t="shared" si="250"/>
        <v/>
      </c>
      <c r="JM783" s="2672" t="str">
        <f t="shared" si="251"/>
        <v/>
      </c>
      <c r="JN783" s="2672" t="str">
        <f t="shared" si="252"/>
        <v/>
      </c>
      <c r="JO783" s="2672" t="str">
        <f t="shared" si="253"/>
        <v/>
      </c>
      <c r="JP783" s="2672" t="str">
        <f t="shared" si="254"/>
        <v/>
      </c>
      <c r="JQ783" s="2672" t="str">
        <f t="shared" si="255"/>
        <v/>
      </c>
      <c r="JR783" s="2672" t="str">
        <f t="shared" si="256"/>
        <v/>
      </c>
      <c r="JS783" s="2672" t="str">
        <f t="shared" si="257"/>
        <v/>
      </c>
      <c r="JT783" s="2672" t="str">
        <f t="shared" si="258"/>
        <v/>
      </c>
      <c r="JU783" s="2672" t="str">
        <f t="shared" si="259"/>
        <v/>
      </c>
      <c r="JV783" s="2672" t="str">
        <f t="shared" si="260"/>
        <v/>
      </c>
      <c r="JW783" s="2672" t="str">
        <f t="shared" si="261"/>
        <v/>
      </c>
      <c r="JX783" s="2672" t="str">
        <f t="shared" si="262"/>
        <v/>
      </c>
      <c r="JY783" s="2672" t="str">
        <f t="shared" si="263"/>
        <v/>
      </c>
      <c r="JZ783" s="2672" t="str">
        <f t="shared" si="264"/>
        <v/>
      </c>
      <c r="KA783" s="2672" t="str">
        <f t="shared" si="265"/>
        <v/>
      </c>
      <c r="KB783" s="2672" t="str">
        <f t="shared" si="266"/>
        <v/>
      </c>
      <c r="KC783" s="2672" t="str">
        <f t="shared" si="267"/>
        <v/>
      </c>
      <c r="KD783" s="2672" t="str">
        <f t="shared" si="268"/>
        <v/>
      </c>
      <c r="KE783" s="2672" t="str">
        <f t="shared" si="269"/>
        <v/>
      </c>
      <c r="KF783" s="2672" t="str">
        <f t="shared" si="270"/>
        <v/>
      </c>
      <c r="KG783" s="2672" t="str">
        <f t="shared" si="271"/>
        <v/>
      </c>
      <c r="KH783" s="2672" t="str">
        <f t="shared" si="272"/>
        <v/>
      </c>
      <c r="KI783" s="2672" t="str">
        <f t="shared" si="273"/>
        <v/>
      </c>
      <c r="KJ783" s="2672" t="str">
        <f t="shared" si="274"/>
        <v/>
      </c>
      <c r="KK783" s="2672" t="str">
        <f t="shared" si="275"/>
        <v/>
      </c>
      <c r="KL783" s="2672" t="str">
        <f t="shared" si="276"/>
        <v/>
      </c>
      <c r="KM783" s="2672" t="str">
        <f t="shared" si="277"/>
        <v/>
      </c>
      <c r="KN783" s="2672" t="str">
        <f t="shared" si="278"/>
        <v/>
      </c>
      <c r="KO783" s="2672" t="str">
        <f t="shared" si="279"/>
        <v/>
      </c>
      <c r="KP783" s="2672" t="str">
        <f t="shared" si="280"/>
        <v/>
      </c>
      <c r="KQ783" s="2672" t="str">
        <f t="shared" si="281"/>
        <v/>
      </c>
      <c r="KR783" s="2672" t="str">
        <f t="shared" si="282"/>
        <v/>
      </c>
      <c r="KS783" s="2672" t="str">
        <f t="shared" si="283"/>
        <v/>
      </c>
      <c r="KT783" s="2672" t="str">
        <f t="shared" si="284"/>
        <v/>
      </c>
      <c r="KU783" s="2672" t="str">
        <f t="shared" si="285"/>
        <v/>
      </c>
      <c r="KV783" s="2672" t="str">
        <f t="shared" si="286"/>
        <v/>
      </c>
      <c r="KW783" s="2672" t="str">
        <f t="shared" si="287"/>
        <v/>
      </c>
      <c r="KX783" s="2672" t="str">
        <f t="shared" si="288"/>
        <v/>
      </c>
      <c r="KY783" s="2672" t="str">
        <f t="shared" si="289"/>
        <v/>
      </c>
      <c r="KZ783" s="2672" t="str">
        <f t="shared" si="290"/>
        <v/>
      </c>
      <c r="LA783" s="2672" t="str">
        <f t="shared" si="291"/>
        <v/>
      </c>
      <c r="LB783" s="2672" t="str">
        <f t="shared" si="292"/>
        <v/>
      </c>
      <c r="LC783" s="2672" t="str">
        <f t="shared" si="293"/>
        <v/>
      </c>
      <c r="LD783" s="2672" t="str">
        <f t="shared" si="294"/>
        <v/>
      </c>
      <c r="LE783" s="2672" t="str">
        <f t="shared" si="295"/>
        <v/>
      </c>
      <c r="LF783" s="2672" t="str">
        <f t="shared" si="296"/>
        <v/>
      </c>
      <c r="LG783" s="2672" t="str">
        <f t="shared" si="297"/>
        <v/>
      </c>
      <c r="LH783" s="2672" t="str">
        <f t="shared" si="298"/>
        <v/>
      </c>
      <c r="LI783" s="2672" t="str">
        <f t="shared" si="299"/>
        <v/>
      </c>
      <c r="LJ783" s="2672" t="str">
        <f t="shared" si="300"/>
        <v/>
      </c>
      <c r="LK783" s="2672" t="str">
        <f t="shared" si="301"/>
        <v/>
      </c>
      <c r="LL783" s="2672" t="str">
        <f t="shared" si="302"/>
        <v/>
      </c>
      <c r="LM783" s="2672" t="str">
        <f t="shared" si="303"/>
        <v/>
      </c>
      <c r="LN783" s="2672" t="str">
        <f t="shared" si="304"/>
        <v/>
      </c>
      <c r="LO783" s="2672" t="str">
        <f t="shared" si="305"/>
        <v/>
      </c>
      <c r="LP783" s="2672" t="str">
        <f t="shared" si="306"/>
        <v/>
      </c>
      <c r="LQ783" s="2613" t="str">
        <f t="shared" si="307"/>
        <v/>
      </c>
      <c r="LR783" s="2613" t="str">
        <f t="shared" si="308"/>
        <v/>
      </c>
      <c r="LS783" s="2613" t="str">
        <f t="shared" si="309"/>
        <v/>
      </c>
      <c r="LT783" s="2613" t="str">
        <f t="shared" si="310"/>
        <v/>
      </c>
      <c r="LU783" s="2613" t="str">
        <f t="shared" si="311"/>
        <v/>
      </c>
      <c r="LV783" s="2494" t="str">
        <f t="shared" si="312"/>
        <v/>
      </c>
      <c r="LW783" s="2494" t="str">
        <f t="shared" si="313"/>
        <v/>
      </c>
      <c r="LX783" s="2494" t="str">
        <f t="shared" si="314"/>
        <v/>
      </c>
      <c r="LY783" s="2494" t="str">
        <f t="shared" si="315"/>
        <v/>
      </c>
      <c r="LZ783" s="2494" t="str">
        <f t="shared" si="316"/>
        <v/>
      </c>
      <c r="MA783" s="2494" t="str">
        <f t="shared" si="317"/>
        <v/>
      </c>
      <c r="MB783" s="2494" t="str">
        <f t="shared" si="318"/>
        <v/>
      </c>
      <c r="MC783" s="2494" t="str">
        <f t="shared" si="319"/>
        <v/>
      </c>
      <c r="MD783" s="2494" t="str">
        <f t="shared" si="320"/>
        <v/>
      </c>
      <c r="ME783" s="2494" t="str">
        <f t="shared" si="321"/>
        <v/>
      </c>
      <c r="MF783" s="2494" t="str">
        <f t="shared" si="322"/>
        <v/>
      </c>
      <c r="MG783" s="2494" t="str">
        <f t="shared" si="323"/>
        <v/>
      </c>
      <c r="MH783" s="2494" t="str">
        <f t="shared" si="324"/>
        <v/>
      </c>
      <c r="MI783" s="2494" t="str">
        <f t="shared" si="325"/>
        <v/>
      </c>
      <c r="MJ783" s="2494" t="str">
        <f t="shared" si="326"/>
        <v/>
      </c>
      <c r="MK783" s="2494" t="str">
        <f t="shared" si="327"/>
        <v/>
      </c>
      <c r="ML783" s="2494" t="str">
        <f t="shared" si="328"/>
        <v/>
      </c>
      <c r="MM783" s="2494" t="str">
        <f t="shared" si="329"/>
        <v/>
      </c>
      <c r="MN783" s="2494" t="str">
        <f t="shared" si="330"/>
        <v/>
      </c>
      <c r="MO783" s="2494" t="str">
        <f t="shared" si="331"/>
        <v/>
      </c>
      <c r="MP783" s="2613">
        <f t="shared" si="338"/>
        <v>0</v>
      </c>
      <c r="MQ783" s="2613">
        <f t="shared" si="339"/>
        <v>0</v>
      </c>
      <c r="MR783" s="2613">
        <f t="shared" si="340"/>
        <v>0</v>
      </c>
      <c r="MS783" s="2613">
        <f t="shared" si="341"/>
        <v>0</v>
      </c>
      <c r="MT783" s="2613">
        <f t="shared" si="342"/>
        <v>0</v>
      </c>
      <c r="MU783" s="2613">
        <f t="shared" si="343"/>
        <v>0</v>
      </c>
      <c r="MV783" s="2613">
        <f t="shared" si="344"/>
        <v>0</v>
      </c>
      <c r="MW783" s="2613">
        <f t="shared" si="345"/>
        <v>0</v>
      </c>
      <c r="MX783" s="2613">
        <f t="shared" si="346"/>
        <v>0</v>
      </c>
      <c r="MY783" s="2613">
        <f t="shared" si="347"/>
        <v>0</v>
      </c>
      <c r="MZ783" s="2613">
        <f t="shared" si="332"/>
        <v>0</v>
      </c>
      <c r="NA783" s="2613">
        <f t="shared" si="333"/>
        <v>0</v>
      </c>
      <c r="NB783" s="2613">
        <f t="shared" si="334"/>
        <v>0</v>
      </c>
      <c r="NC783" s="2613">
        <f t="shared" si="335"/>
        <v>0</v>
      </c>
      <c r="ND783" s="2613">
        <f t="shared" si="336"/>
        <v>0</v>
      </c>
    </row>
    <row r="784" spans="1:368" ht="13.8" customHeight="1">
      <c r="A784" s="2652" t="str">
        <f t="shared" si="337"/>
        <v/>
      </c>
      <c r="B784" s="2664" t="str">
        <f>'Part VI-Revenues &amp; Expenses'!B15</f>
        <v>Unrestricted</v>
      </c>
      <c r="C784" s="2665">
        <f>'Part VI-Revenues &amp; Expenses'!C15</f>
        <v>0</v>
      </c>
      <c r="D784" s="2666">
        <f>'Part VI-Revenues &amp; Expenses'!D15</f>
        <v>0</v>
      </c>
      <c r="E784" s="2667">
        <f>'Part VI-Revenues &amp; Expenses'!E15</f>
        <v>0</v>
      </c>
      <c r="F784" s="2667">
        <f>'Part VI-Revenues &amp; Expenses'!F15</f>
        <v>0</v>
      </c>
      <c r="G784" s="2667">
        <f>'Part VI-Revenues &amp; Expenses'!G15</f>
        <v>0</v>
      </c>
      <c r="H784" s="2667">
        <f>'Part VI-Revenues &amp; Expenses'!H15</f>
        <v>0</v>
      </c>
      <c r="I784" s="2667">
        <f>'Part VI-Revenues &amp; Expenses'!I15</f>
        <v>0</v>
      </c>
      <c r="J784" s="2667">
        <f>'Part VI-Revenues &amp; Expenses'!J15</f>
        <v>0</v>
      </c>
      <c r="K784" s="2668">
        <f>'Part VI-Revenues &amp; Expenses'!K15</f>
        <v>0</v>
      </c>
      <c r="L784" s="2669">
        <f t="shared" si="0"/>
        <v>0</v>
      </c>
      <c r="M784" s="2669">
        <f t="shared" si="1"/>
        <v>0</v>
      </c>
      <c r="N784" s="2545">
        <f>'Part VI-Revenues &amp; Expenses'!N15</f>
        <v>0</v>
      </c>
      <c r="O784" s="2545">
        <f>'Part VI-Revenues &amp; Expenses'!O15</f>
        <v>0</v>
      </c>
      <c r="P784" s="2545">
        <f>'Part VI-Revenues &amp; Expenses'!P15</f>
        <v>0</v>
      </c>
      <c r="Q784" s="2251">
        <f>'Part VI-Revenues &amp; Expenses'!Q15</f>
        <v>0</v>
      </c>
      <c r="R784" s="2670"/>
      <c r="S784" s="2671"/>
      <c r="T784" s="2607"/>
      <c r="U784" s="2607"/>
      <c r="V784" s="2607"/>
      <c r="W784" s="2607"/>
      <c r="X784" s="2494" t="str">
        <f t="shared" si="2"/>
        <v/>
      </c>
      <c r="Y784" s="2494" t="str">
        <f t="shared" si="3"/>
        <v/>
      </c>
      <c r="Z784" s="2494" t="str">
        <f t="shared" si="4"/>
        <v/>
      </c>
      <c r="AA784" s="2494" t="str">
        <f t="shared" si="5"/>
        <v/>
      </c>
      <c r="AB784" s="2494" t="str">
        <f t="shared" si="6"/>
        <v/>
      </c>
      <c r="AC784" s="2494" t="str">
        <f t="shared" si="7"/>
        <v/>
      </c>
      <c r="AD784" s="2494" t="str">
        <f t="shared" si="8"/>
        <v/>
      </c>
      <c r="AE784" s="2494" t="str">
        <f t="shared" si="9"/>
        <v/>
      </c>
      <c r="AF784" s="2494" t="str">
        <f t="shared" si="10"/>
        <v/>
      </c>
      <c r="AG784" s="2494" t="str">
        <f t="shared" si="11"/>
        <v/>
      </c>
      <c r="AH784" s="2494" t="str">
        <f t="shared" si="12"/>
        <v/>
      </c>
      <c r="AI784" s="2494" t="str">
        <f t="shared" si="13"/>
        <v/>
      </c>
      <c r="AJ784" s="2494" t="str">
        <f t="shared" si="14"/>
        <v/>
      </c>
      <c r="AK784" s="2494" t="str">
        <f t="shared" si="15"/>
        <v/>
      </c>
      <c r="AL784" s="2494" t="str">
        <f t="shared" si="16"/>
        <v/>
      </c>
      <c r="AM784" s="2494" t="str">
        <f t="shared" si="17"/>
        <v/>
      </c>
      <c r="AN784" s="2494" t="str">
        <f t="shared" si="18"/>
        <v/>
      </c>
      <c r="AO784" s="2494" t="str">
        <f t="shared" si="19"/>
        <v/>
      </c>
      <c r="AP784" s="2494" t="str">
        <f t="shared" si="20"/>
        <v/>
      </c>
      <c r="AQ784" s="2494" t="str">
        <f t="shared" si="21"/>
        <v/>
      </c>
      <c r="AR784" s="2494" t="str">
        <f t="shared" si="22"/>
        <v/>
      </c>
      <c r="AS784" s="2494" t="str">
        <f t="shared" si="23"/>
        <v/>
      </c>
      <c r="AT784" s="2494" t="str">
        <f t="shared" si="24"/>
        <v/>
      </c>
      <c r="AU784" s="2494" t="str">
        <f t="shared" si="25"/>
        <v/>
      </c>
      <c r="AV784" s="2494" t="str">
        <f t="shared" si="26"/>
        <v/>
      </c>
      <c r="AW784" s="2494" t="str">
        <f t="shared" si="27"/>
        <v/>
      </c>
      <c r="AX784" s="2494" t="str">
        <f t="shared" si="28"/>
        <v/>
      </c>
      <c r="AY784" s="2494" t="str">
        <f t="shared" si="29"/>
        <v/>
      </c>
      <c r="AZ784" s="2494" t="str">
        <f t="shared" si="30"/>
        <v/>
      </c>
      <c r="BA784" s="2494" t="str">
        <f t="shared" si="31"/>
        <v/>
      </c>
      <c r="BB784" s="2494" t="str">
        <f t="shared" si="32"/>
        <v/>
      </c>
      <c r="BC784" s="2494" t="str">
        <f t="shared" si="33"/>
        <v/>
      </c>
      <c r="BD784" s="2494" t="str">
        <f t="shared" si="34"/>
        <v/>
      </c>
      <c r="BE784" s="2494" t="str">
        <f t="shared" si="35"/>
        <v/>
      </c>
      <c r="BF784" s="2494" t="str">
        <f t="shared" si="36"/>
        <v/>
      </c>
      <c r="BG784" s="2494" t="str">
        <f t="shared" si="37"/>
        <v/>
      </c>
      <c r="BH784" s="2494" t="str">
        <f t="shared" si="38"/>
        <v/>
      </c>
      <c r="BI784" s="2494" t="str">
        <f t="shared" si="39"/>
        <v/>
      </c>
      <c r="BJ784" s="2494" t="str">
        <f t="shared" si="40"/>
        <v/>
      </c>
      <c r="BK784" s="2494" t="str">
        <f t="shared" si="41"/>
        <v/>
      </c>
      <c r="BL784" s="2494" t="str">
        <f t="shared" si="42"/>
        <v/>
      </c>
      <c r="BM784" s="2494" t="str">
        <f t="shared" si="43"/>
        <v/>
      </c>
      <c r="BN784" s="2494" t="str">
        <f t="shared" si="44"/>
        <v/>
      </c>
      <c r="BO784" s="2494" t="str">
        <f t="shared" si="45"/>
        <v/>
      </c>
      <c r="BP784" s="2494" t="str">
        <f t="shared" si="46"/>
        <v/>
      </c>
      <c r="BQ784" s="2494" t="str">
        <f t="shared" si="47"/>
        <v/>
      </c>
      <c r="BR784" s="2494" t="str">
        <f t="shared" si="48"/>
        <v/>
      </c>
      <c r="BS784" s="2494" t="str">
        <f t="shared" si="49"/>
        <v/>
      </c>
      <c r="BT784" s="2494" t="str">
        <f t="shared" si="50"/>
        <v/>
      </c>
      <c r="BU784" s="2494" t="str">
        <f t="shared" si="51"/>
        <v/>
      </c>
      <c r="BV784" s="2494" t="str">
        <f t="shared" si="52"/>
        <v/>
      </c>
      <c r="BW784" s="2494" t="str">
        <f t="shared" si="53"/>
        <v/>
      </c>
      <c r="BX784" s="2494" t="str">
        <f t="shared" si="54"/>
        <v/>
      </c>
      <c r="BY784" s="2494" t="str">
        <f t="shared" si="55"/>
        <v/>
      </c>
      <c r="BZ784" s="2494" t="str">
        <f t="shared" si="56"/>
        <v/>
      </c>
      <c r="CA784" s="2494" t="str">
        <f t="shared" si="57"/>
        <v/>
      </c>
      <c r="CB784" s="2494" t="str">
        <f t="shared" si="58"/>
        <v/>
      </c>
      <c r="CC784" s="2494" t="str">
        <f t="shared" si="59"/>
        <v/>
      </c>
      <c r="CD784" s="2494" t="str">
        <f t="shared" si="60"/>
        <v/>
      </c>
      <c r="CE784" s="2494" t="str">
        <f t="shared" si="61"/>
        <v/>
      </c>
      <c r="CF784" s="2494" t="str">
        <f t="shared" si="62"/>
        <v/>
      </c>
      <c r="CG784" s="2494" t="str">
        <f t="shared" si="63"/>
        <v/>
      </c>
      <c r="CH784" s="2494" t="str">
        <f t="shared" si="64"/>
        <v/>
      </c>
      <c r="CI784" s="2494" t="str">
        <f t="shared" si="65"/>
        <v/>
      </c>
      <c r="CJ784" s="2494" t="str">
        <f t="shared" si="66"/>
        <v/>
      </c>
      <c r="CK784" s="2494" t="str">
        <f t="shared" si="67"/>
        <v/>
      </c>
      <c r="CL784" s="2494" t="str">
        <f t="shared" si="68"/>
        <v/>
      </c>
      <c r="CM784" s="2494" t="str">
        <f t="shared" si="69"/>
        <v/>
      </c>
      <c r="CN784" s="2494" t="str">
        <f t="shared" si="70"/>
        <v/>
      </c>
      <c r="CO784" s="2494" t="str">
        <f t="shared" si="71"/>
        <v/>
      </c>
      <c r="CP784" s="2494" t="str">
        <f t="shared" si="72"/>
        <v/>
      </c>
      <c r="CQ784" s="2494" t="str">
        <f t="shared" si="73"/>
        <v/>
      </c>
      <c r="CR784" s="2494" t="str">
        <f t="shared" si="74"/>
        <v/>
      </c>
      <c r="CS784" s="2494" t="str">
        <f t="shared" si="75"/>
        <v/>
      </c>
      <c r="CT784" s="2494" t="str">
        <f t="shared" si="76"/>
        <v/>
      </c>
      <c r="CU784" s="2494" t="str">
        <f t="shared" si="77"/>
        <v/>
      </c>
      <c r="CV784" s="2494" t="str">
        <f t="shared" si="78"/>
        <v/>
      </c>
      <c r="CW784" s="2494" t="str">
        <f t="shared" si="79"/>
        <v/>
      </c>
      <c r="CX784" s="2494" t="str">
        <f t="shared" si="80"/>
        <v/>
      </c>
      <c r="CY784" s="2494" t="str">
        <f t="shared" si="81"/>
        <v/>
      </c>
      <c r="CZ784" s="2494" t="str">
        <f t="shared" si="82"/>
        <v/>
      </c>
      <c r="DA784" s="2494" t="str">
        <f t="shared" si="83"/>
        <v/>
      </c>
      <c r="DB784" s="2494" t="str">
        <f t="shared" si="84"/>
        <v/>
      </c>
      <c r="DC784" s="2494" t="str">
        <f t="shared" si="85"/>
        <v/>
      </c>
      <c r="DD784" s="2494" t="str">
        <f t="shared" si="86"/>
        <v/>
      </c>
      <c r="DE784" s="2494" t="str">
        <f t="shared" si="87"/>
        <v/>
      </c>
      <c r="DF784" s="2494" t="str">
        <f t="shared" si="88"/>
        <v/>
      </c>
      <c r="DG784" s="2494" t="str">
        <f t="shared" si="89"/>
        <v/>
      </c>
      <c r="DH784" s="2494" t="str">
        <f t="shared" si="90"/>
        <v/>
      </c>
      <c r="DI784" s="2494" t="str">
        <f t="shared" si="91"/>
        <v/>
      </c>
      <c r="DJ784" s="2494" t="str">
        <f t="shared" si="92"/>
        <v/>
      </c>
      <c r="DK784" s="2494" t="str">
        <f t="shared" si="93"/>
        <v/>
      </c>
      <c r="DL784" s="2494" t="str">
        <f t="shared" si="94"/>
        <v/>
      </c>
      <c r="DM784" s="2494" t="str">
        <f t="shared" si="95"/>
        <v/>
      </c>
      <c r="DN784" s="2494" t="str">
        <f t="shared" si="96"/>
        <v/>
      </c>
      <c r="DO784" s="2494" t="str">
        <f t="shared" si="97"/>
        <v/>
      </c>
      <c r="DP784" s="2494" t="str">
        <f t="shared" si="98"/>
        <v/>
      </c>
      <c r="DQ784" s="2494" t="str">
        <f t="shared" si="99"/>
        <v/>
      </c>
      <c r="DR784" s="2494" t="str">
        <f t="shared" si="100"/>
        <v/>
      </c>
      <c r="DS784" s="2494" t="str">
        <f t="shared" si="101"/>
        <v/>
      </c>
      <c r="DT784" s="2494" t="str">
        <f t="shared" si="102"/>
        <v/>
      </c>
      <c r="DU784" s="2494" t="str">
        <f t="shared" si="103"/>
        <v/>
      </c>
      <c r="DV784" s="2494" t="str">
        <f t="shared" si="104"/>
        <v/>
      </c>
      <c r="DW784" s="2494" t="str">
        <f t="shared" si="105"/>
        <v/>
      </c>
      <c r="DX784" s="2494" t="str">
        <f t="shared" si="106"/>
        <v/>
      </c>
      <c r="DY784" s="2494" t="str">
        <f t="shared" si="107"/>
        <v/>
      </c>
      <c r="DZ784" s="2494" t="str">
        <f t="shared" si="108"/>
        <v/>
      </c>
      <c r="EA784" s="2494" t="str">
        <f t="shared" si="109"/>
        <v/>
      </c>
      <c r="EB784" s="2494" t="str">
        <f t="shared" si="110"/>
        <v/>
      </c>
      <c r="EC784" s="2494" t="str">
        <f t="shared" si="111"/>
        <v/>
      </c>
      <c r="ED784" s="2494" t="str">
        <f t="shared" si="112"/>
        <v/>
      </c>
      <c r="EE784" s="2494" t="str">
        <f t="shared" si="113"/>
        <v/>
      </c>
      <c r="EF784" s="2494" t="str">
        <f t="shared" si="114"/>
        <v/>
      </c>
      <c r="EG784" s="2494" t="str">
        <f t="shared" si="115"/>
        <v/>
      </c>
      <c r="EH784" s="2494" t="str">
        <f t="shared" si="116"/>
        <v/>
      </c>
      <c r="EI784" s="2494" t="str">
        <f t="shared" si="117"/>
        <v/>
      </c>
      <c r="EJ784" s="2494" t="str">
        <f t="shared" si="118"/>
        <v/>
      </c>
      <c r="EK784" s="2494" t="str">
        <f t="shared" si="119"/>
        <v/>
      </c>
      <c r="EL784" s="2494" t="str">
        <f t="shared" si="120"/>
        <v/>
      </c>
      <c r="EM784" s="2494" t="str">
        <f t="shared" si="121"/>
        <v/>
      </c>
      <c r="EN784" s="2494" t="str">
        <f t="shared" si="122"/>
        <v/>
      </c>
      <c r="EO784" s="2494" t="str">
        <f t="shared" si="123"/>
        <v/>
      </c>
      <c r="EP784" s="2494" t="str">
        <f t="shared" si="124"/>
        <v/>
      </c>
      <c r="EQ784" s="2494" t="str">
        <f t="shared" si="125"/>
        <v/>
      </c>
      <c r="ER784" s="2494" t="str">
        <f t="shared" si="126"/>
        <v/>
      </c>
      <c r="ES784" s="2494" t="str">
        <f t="shared" si="127"/>
        <v/>
      </c>
      <c r="ET784" s="2494" t="str">
        <f t="shared" si="128"/>
        <v/>
      </c>
      <c r="EU784" s="2494" t="str">
        <f t="shared" si="129"/>
        <v/>
      </c>
      <c r="EV784" s="2494" t="str">
        <f t="shared" si="130"/>
        <v/>
      </c>
      <c r="EW784" s="2494" t="str">
        <f t="shared" si="131"/>
        <v/>
      </c>
      <c r="EX784" s="2494" t="str">
        <f t="shared" si="132"/>
        <v/>
      </c>
      <c r="EY784" s="2494" t="str">
        <f t="shared" si="133"/>
        <v/>
      </c>
      <c r="EZ784" s="2494" t="str">
        <f t="shared" si="134"/>
        <v/>
      </c>
      <c r="FA784" s="2494" t="str">
        <f t="shared" si="135"/>
        <v/>
      </c>
      <c r="FB784" s="2494" t="str">
        <f t="shared" si="136"/>
        <v/>
      </c>
      <c r="FC784" s="2494" t="str">
        <f t="shared" si="137"/>
        <v/>
      </c>
      <c r="FD784" s="2494" t="str">
        <f t="shared" si="138"/>
        <v/>
      </c>
      <c r="FE784" s="2494" t="str">
        <f t="shared" si="139"/>
        <v/>
      </c>
      <c r="FF784" s="2494" t="str">
        <f t="shared" si="140"/>
        <v/>
      </c>
      <c r="FG784" s="2494" t="str">
        <f t="shared" si="141"/>
        <v/>
      </c>
      <c r="FH784" s="2494" t="str">
        <f t="shared" si="142"/>
        <v/>
      </c>
      <c r="FI784" s="2494" t="str">
        <f t="shared" si="143"/>
        <v/>
      </c>
      <c r="FJ784" s="2494" t="str">
        <f t="shared" si="144"/>
        <v/>
      </c>
      <c r="FK784" s="2494" t="str">
        <f t="shared" si="145"/>
        <v/>
      </c>
      <c r="FL784" s="2494" t="str">
        <f t="shared" si="146"/>
        <v/>
      </c>
      <c r="FM784" s="2494" t="str">
        <f t="shared" si="147"/>
        <v/>
      </c>
      <c r="FN784" s="2494" t="str">
        <f t="shared" si="148"/>
        <v/>
      </c>
      <c r="FO784" s="2494" t="str">
        <f t="shared" si="149"/>
        <v/>
      </c>
      <c r="FP784" s="2494" t="str">
        <f t="shared" si="150"/>
        <v/>
      </c>
      <c r="FQ784" s="2494" t="str">
        <f t="shared" si="151"/>
        <v/>
      </c>
      <c r="FR784" s="2494" t="str">
        <f t="shared" si="152"/>
        <v/>
      </c>
      <c r="FS784" s="2494" t="str">
        <f t="shared" si="153"/>
        <v/>
      </c>
      <c r="FT784" s="2494" t="str">
        <f t="shared" si="154"/>
        <v/>
      </c>
      <c r="FU784" s="2494" t="str">
        <f t="shared" si="155"/>
        <v/>
      </c>
      <c r="FV784" s="2494" t="str">
        <f t="shared" si="156"/>
        <v/>
      </c>
      <c r="FW784" s="2494" t="str">
        <f t="shared" si="157"/>
        <v/>
      </c>
      <c r="FX784" s="2494" t="str">
        <f t="shared" si="158"/>
        <v/>
      </c>
      <c r="FY784" s="2494" t="str">
        <f t="shared" si="159"/>
        <v/>
      </c>
      <c r="FZ784" s="2494" t="str">
        <f t="shared" si="160"/>
        <v/>
      </c>
      <c r="GA784" s="2494" t="str">
        <f t="shared" si="161"/>
        <v/>
      </c>
      <c r="GB784" s="2494" t="str">
        <f t="shared" si="162"/>
        <v/>
      </c>
      <c r="GC784" s="2494" t="str">
        <f t="shared" si="163"/>
        <v/>
      </c>
      <c r="GD784" s="2494" t="str">
        <f t="shared" si="164"/>
        <v/>
      </c>
      <c r="GE784" s="2494" t="str">
        <f t="shared" si="165"/>
        <v/>
      </c>
      <c r="GF784" s="2494" t="str">
        <f t="shared" si="166"/>
        <v/>
      </c>
      <c r="GG784" s="2494" t="str">
        <f t="shared" si="167"/>
        <v/>
      </c>
      <c r="GH784" s="2494" t="str">
        <f t="shared" si="168"/>
        <v/>
      </c>
      <c r="GI784" s="2494" t="str">
        <f t="shared" si="169"/>
        <v/>
      </c>
      <c r="GJ784" s="2494" t="str">
        <f t="shared" si="170"/>
        <v/>
      </c>
      <c r="GK784" s="2494" t="str">
        <f t="shared" si="171"/>
        <v/>
      </c>
      <c r="GL784" s="2494" t="str">
        <f t="shared" si="172"/>
        <v/>
      </c>
      <c r="GM784" s="2494" t="str">
        <f t="shared" si="173"/>
        <v/>
      </c>
      <c r="GN784" s="2494" t="str">
        <f t="shared" si="174"/>
        <v/>
      </c>
      <c r="GO784" s="2494" t="str">
        <f t="shared" si="175"/>
        <v/>
      </c>
      <c r="GP784" s="2494" t="str">
        <f t="shared" si="176"/>
        <v/>
      </c>
      <c r="GQ784" s="2494" t="str">
        <f t="shared" si="177"/>
        <v/>
      </c>
      <c r="GR784" s="2494" t="str">
        <f t="shared" si="178"/>
        <v/>
      </c>
      <c r="GS784" s="2494" t="str">
        <f t="shared" si="179"/>
        <v/>
      </c>
      <c r="GT784" s="2494" t="str">
        <f t="shared" si="180"/>
        <v/>
      </c>
      <c r="GU784" s="2494" t="str">
        <f t="shared" si="181"/>
        <v/>
      </c>
      <c r="GV784" s="2494" t="str">
        <f t="shared" si="182"/>
        <v/>
      </c>
      <c r="GW784" s="2494" t="str">
        <f t="shared" si="183"/>
        <v/>
      </c>
      <c r="GX784" s="2494" t="str">
        <f t="shared" si="184"/>
        <v/>
      </c>
      <c r="GY784" s="2494" t="str">
        <f t="shared" si="185"/>
        <v/>
      </c>
      <c r="GZ784" s="2494" t="str">
        <f t="shared" si="186"/>
        <v/>
      </c>
      <c r="HA784" s="2494" t="str">
        <f t="shared" si="187"/>
        <v/>
      </c>
      <c r="HB784" s="2494" t="str">
        <f t="shared" si="188"/>
        <v/>
      </c>
      <c r="HC784" s="2494" t="str">
        <f t="shared" si="189"/>
        <v/>
      </c>
      <c r="HD784" s="2494" t="str">
        <f t="shared" si="190"/>
        <v/>
      </c>
      <c r="HE784" s="2494" t="str">
        <f t="shared" si="191"/>
        <v/>
      </c>
      <c r="HF784" s="2494" t="str">
        <f t="shared" si="192"/>
        <v/>
      </c>
      <c r="HG784" s="2494" t="str">
        <f t="shared" si="193"/>
        <v/>
      </c>
      <c r="HH784" s="2494" t="str">
        <f t="shared" si="194"/>
        <v/>
      </c>
      <c r="HI784" s="2494" t="str">
        <f t="shared" si="195"/>
        <v/>
      </c>
      <c r="HJ784" s="2494" t="str">
        <f t="shared" si="196"/>
        <v/>
      </c>
      <c r="HK784" s="2494" t="str">
        <f t="shared" si="197"/>
        <v/>
      </c>
      <c r="HL784" s="2494" t="str">
        <f t="shared" si="198"/>
        <v/>
      </c>
      <c r="HM784" s="2494" t="str">
        <f t="shared" si="199"/>
        <v/>
      </c>
      <c r="HN784" s="2494" t="str">
        <f t="shared" si="200"/>
        <v/>
      </c>
      <c r="HO784" s="2494" t="str">
        <f t="shared" si="201"/>
        <v/>
      </c>
      <c r="HP784" s="2494" t="str">
        <f t="shared" si="202"/>
        <v/>
      </c>
      <c r="HQ784" s="2494" t="str">
        <f t="shared" si="203"/>
        <v/>
      </c>
      <c r="HR784" s="2494" t="str">
        <f t="shared" si="204"/>
        <v/>
      </c>
      <c r="HS784" s="2494" t="str">
        <f t="shared" si="205"/>
        <v/>
      </c>
      <c r="HT784" s="2494" t="str">
        <f t="shared" si="206"/>
        <v/>
      </c>
      <c r="HU784" s="2494" t="str">
        <f t="shared" si="207"/>
        <v/>
      </c>
      <c r="HV784" s="2494" t="str">
        <f t="shared" si="208"/>
        <v/>
      </c>
      <c r="HW784" s="2494" t="str">
        <f t="shared" si="209"/>
        <v/>
      </c>
      <c r="HX784" s="2494" t="str">
        <f t="shared" si="210"/>
        <v/>
      </c>
      <c r="HY784" s="2494" t="str">
        <f t="shared" si="211"/>
        <v/>
      </c>
      <c r="HZ784" s="2672" t="str">
        <f t="shared" si="212"/>
        <v/>
      </c>
      <c r="IA784" s="2672" t="str">
        <f t="shared" si="213"/>
        <v/>
      </c>
      <c r="IB784" s="2672" t="str">
        <f t="shared" si="214"/>
        <v/>
      </c>
      <c r="IC784" s="2672" t="str">
        <f t="shared" si="215"/>
        <v/>
      </c>
      <c r="ID784" s="2672" t="str">
        <f t="shared" si="216"/>
        <v/>
      </c>
      <c r="IE784" s="2672" t="str">
        <f t="shared" si="217"/>
        <v/>
      </c>
      <c r="IF784" s="2672" t="str">
        <f t="shared" si="218"/>
        <v/>
      </c>
      <c r="IG784" s="2672" t="str">
        <f t="shared" si="219"/>
        <v/>
      </c>
      <c r="IH784" s="2672" t="str">
        <f t="shared" si="220"/>
        <v/>
      </c>
      <c r="II784" s="2672" t="str">
        <f t="shared" si="221"/>
        <v/>
      </c>
      <c r="IJ784" s="2672" t="str">
        <f t="shared" si="222"/>
        <v/>
      </c>
      <c r="IK784" s="2672" t="str">
        <f t="shared" si="223"/>
        <v/>
      </c>
      <c r="IL784" s="2672" t="str">
        <f t="shared" si="224"/>
        <v/>
      </c>
      <c r="IM784" s="2672" t="str">
        <f t="shared" si="225"/>
        <v/>
      </c>
      <c r="IN784" s="2672" t="str">
        <f t="shared" si="226"/>
        <v/>
      </c>
      <c r="IO784" s="2672" t="str">
        <f t="shared" si="227"/>
        <v/>
      </c>
      <c r="IP784" s="2672" t="str">
        <f t="shared" si="228"/>
        <v/>
      </c>
      <c r="IQ784" s="2672" t="str">
        <f t="shared" si="229"/>
        <v/>
      </c>
      <c r="IR784" s="2672" t="str">
        <f t="shared" si="230"/>
        <v/>
      </c>
      <c r="IS784" s="2672" t="str">
        <f t="shared" si="231"/>
        <v/>
      </c>
      <c r="IT784" s="2672" t="str">
        <f t="shared" si="232"/>
        <v/>
      </c>
      <c r="IU784" s="2672" t="str">
        <f t="shared" si="233"/>
        <v/>
      </c>
      <c r="IV784" s="2672" t="str">
        <f t="shared" si="234"/>
        <v/>
      </c>
      <c r="IW784" s="2672" t="str">
        <f t="shared" si="235"/>
        <v/>
      </c>
      <c r="IX784" s="2672" t="str">
        <f t="shared" si="236"/>
        <v/>
      </c>
      <c r="IY784" s="2672" t="str">
        <f t="shared" si="237"/>
        <v/>
      </c>
      <c r="IZ784" s="2672" t="str">
        <f t="shared" si="238"/>
        <v/>
      </c>
      <c r="JA784" s="2672" t="str">
        <f t="shared" si="239"/>
        <v/>
      </c>
      <c r="JB784" s="2672" t="str">
        <f t="shared" si="240"/>
        <v/>
      </c>
      <c r="JC784" s="2672" t="str">
        <f t="shared" si="241"/>
        <v/>
      </c>
      <c r="JD784" s="2672" t="str">
        <f t="shared" si="242"/>
        <v/>
      </c>
      <c r="JE784" s="2672" t="str">
        <f t="shared" si="243"/>
        <v/>
      </c>
      <c r="JF784" s="2672" t="str">
        <f t="shared" si="244"/>
        <v/>
      </c>
      <c r="JG784" s="2672" t="str">
        <f t="shared" si="245"/>
        <v/>
      </c>
      <c r="JH784" s="2672" t="str">
        <f t="shared" si="246"/>
        <v/>
      </c>
      <c r="JI784" s="2672" t="str">
        <f t="shared" si="247"/>
        <v/>
      </c>
      <c r="JJ784" s="2672" t="str">
        <f t="shared" si="248"/>
        <v/>
      </c>
      <c r="JK784" s="2672" t="str">
        <f t="shared" si="249"/>
        <v/>
      </c>
      <c r="JL784" s="2672" t="str">
        <f t="shared" si="250"/>
        <v/>
      </c>
      <c r="JM784" s="2672" t="str">
        <f t="shared" si="251"/>
        <v/>
      </c>
      <c r="JN784" s="2672" t="str">
        <f t="shared" si="252"/>
        <v/>
      </c>
      <c r="JO784" s="2672" t="str">
        <f t="shared" si="253"/>
        <v/>
      </c>
      <c r="JP784" s="2672" t="str">
        <f t="shared" si="254"/>
        <v/>
      </c>
      <c r="JQ784" s="2672" t="str">
        <f t="shared" si="255"/>
        <v/>
      </c>
      <c r="JR784" s="2672" t="str">
        <f t="shared" si="256"/>
        <v/>
      </c>
      <c r="JS784" s="2672" t="str">
        <f t="shared" si="257"/>
        <v/>
      </c>
      <c r="JT784" s="2672" t="str">
        <f t="shared" si="258"/>
        <v/>
      </c>
      <c r="JU784" s="2672" t="str">
        <f t="shared" si="259"/>
        <v/>
      </c>
      <c r="JV784" s="2672" t="str">
        <f t="shared" si="260"/>
        <v/>
      </c>
      <c r="JW784" s="2672" t="str">
        <f t="shared" si="261"/>
        <v/>
      </c>
      <c r="JX784" s="2672" t="str">
        <f t="shared" si="262"/>
        <v/>
      </c>
      <c r="JY784" s="2672" t="str">
        <f t="shared" si="263"/>
        <v/>
      </c>
      <c r="JZ784" s="2672" t="str">
        <f t="shared" si="264"/>
        <v/>
      </c>
      <c r="KA784" s="2672" t="str">
        <f t="shared" si="265"/>
        <v/>
      </c>
      <c r="KB784" s="2672" t="str">
        <f t="shared" si="266"/>
        <v/>
      </c>
      <c r="KC784" s="2672" t="str">
        <f t="shared" si="267"/>
        <v/>
      </c>
      <c r="KD784" s="2672" t="str">
        <f t="shared" si="268"/>
        <v/>
      </c>
      <c r="KE784" s="2672" t="str">
        <f t="shared" si="269"/>
        <v/>
      </c>
      <c r="KF784" s="2672" t="str">
        <f t="shared" si="270"/>
        <v/>
      </c>
      <c r="KG784" s="2672" t="str">
        <f t="shared" si="271"/>
        <v/>
      </c>
      <c r="KH784" s="2672" t="str">
        <f t="shared" si="272"/>
        <v/>
      </c>
      <c r="KI784" s="2672" t="str">
        <f t="shared" si="273"/>
        <v/>
      </c>
      <c r="KJ784" s="2672" t="str">
        <f t="shared" si="274"/>
        <v/>
      </c>
      <c r="KK784" s="2672" t="str">
        <f t="shared" si="275"/>
        <v/>
      </c>
      <c r="KL784" s="2672" t="str">
        <f t="shared" si="276"/>
        <v/>
      </c>
      <c r="KM784" s="2672" t="str">
        <f t="shared" si="277"/>
        <v/>
      </c>
      <c r="KN784" s="2672" t="str">
        <f t="shared" si="278"/>
        <v/>
      </c>
      <c r="KO784" s="2672" t="str">
        <f t="shared" si="279"/>
        <v/>
      </c>
      <c r="KP784" s="2672" t="str">
        <f t="shared" si="280"/>
        <v/>
      </c>
      <c r="KQ784" s="2672" t="str">
        <f t="shared" si="281"/>
        <v/>
      </c>
      <c r="KR784" s="2672" t="str">
        <f t="shared" si="282"/>
        <v/>
      </c>
      <c r="KS784" s="2672" t="str">
        <f t="shared" si="283"/>
        <v/>
      </c>
      <c r="KT784" s="2672" t="str">
        <f t="shared" si="284"/>
        <v/>
      </c>
      <c r="KU784" s="2672" t="str">
        <f t="shared" si="285"/>
        <v/>
      </c>
      <c r="KV784" s="2672" t="str">
        <f t="shared" si="286"/>
        <v/>
      </c>
      <c r="KW784" s="2672" t="str">
        <f t="shared" si="287"/>
        <v/>
      </c>
      <c r="KX784" s="2672" t="str">
        <f t="shared" si="288"/>
        <v/>
      </c>
      <c r="KY784" s="2672" t="str">
        <f t="shared" si="289"/>
        <v/>
      </c>
      <c r="KZ784" s="2672" t="str">
        <f t="shared" si="290"/>
        <v/>
      </c>
      <c r="LA784" s="2672" t="str">
        <f t="shared" si="291"/>
        <v/>
      </c>
      <c r="LB784" s="2672" t="str">
        <f t="shared" si="292"/>
        <v/>
      </c>
      <c r="LC784" s="2672" t="str">
        <f t="shared" si="293"/>
        <v/>
      </c>
      <c r="LD784" s="2672" t="str">
        <f t="shared" si="294"/>
        <v/>
      </c>
      <c r="LE784" s="2672" t="str">
        <f t="shared" si="295"/>
        <v/>
      </c>
      <c r="LF784" s="2672" t="str">
        <f t="shared" si="296"/>
        <v/>
      </c>
      <c r="LG784" s="2672" t="str">
        <f t="shared" si="297"/>
        <v/>
      </c>
      <c r="LH784" s="2672" t="str">
        <f t="shared" si="298"/>
        <v/>
      </c>
      <c r="LI784" s="2672" t="str">
        <f t="shared" si="299"/>
        <v/>
      </c>
      <c r="LJ784" s="2672" t="str">
        <f t="shared" si="300"/>
        <v/>
      </c>
      <c r="LK784" s="2672" t="str">
        <f t="shared" si="301"/>
        <v/>
      </c>
      <c r="LL784" s="2672" t="str">
        <f t="shared" si="302"/>
        <v/>
      </c>
      <c r="LM784" s="2672" t="str">
        <f t="shared" si="303"/>
        <v/>
      </c>
      <c r="LN784" s="2672" t="str">
        <f t="shared" si="304"/>
        <v/>
      </c>
      <c r="LO784" s="2672" t="str">
        <f t="shared" si="305"/>
        <v/>
      </c>
      <c r="LP784" s="2672" t="str">
        <f t="shared" si="306"/>
        <v/>
      </c>
      <c r="LQ784" s="2613" t="str">
        <f t="shared" si="307"/>
        <v/>
      </c>
      <c r="LR784" s="2613" t="str">
        <f t="shared" si="308"/>
        <v/>
      </c>
      <c r="LS784" s="2613" t="str">
        <f t="shared" si="309"/>
        <v/>
      </c>
      <c r="LT784" s="2613" t="str">
        <f t="shared" si="310"/>
        <v/>
      </c>
      <c r="LU784" s="2613" t="str">
        <f t="shared" si="311"/>
        <v/>
      </c>
      <c r="LV784" s="2494" t="str">
        <f t="shared" si="312"/>
        <v/>
      </c>
      <c r="LW784" s="2494" t="str">
        <f t="shared" si="313"/>
        <v/>
      </c>
      <c r="LX784" s="2494" t="str">
        <f t="shared" si="314"/>
        <v/>
      </c>
      <c r="LY784" s="2494" t="str">
        <f t="shared" si="315"/>
        <v/>
      </c>
      <c r="LZ784" s="2494" t="str">
        <f t="shared" si="316"/>
        <v/>
      </c>
      <c r="MA784" s="2494" t="str">
        <f t="shared" si="317"/>
        <v/>
      </c>
      <c r="MB784" s="2494" t="str">
        <f t="shared" si="318"/>
        <v/>
      </c>
      <c r="MC784" s="2494" t="str">
        <f t="shared" si="319"/>
        <v/>
      </c>
      <c r="MD784" s="2494" t="str">
        <f t="shared" si="320"/>
        <v/>
      </c>
      <c r="ME784" s="2494" t="str">
        <f t="shared" si="321"/>
        <v/>
      </c>
      <c r="MF784" s="2494" t="str">
        <f t="shared" si="322"/>
        <v/>
      </c>
      <c r="MG784" s="2494" t="str">
        <f t="shared" si="323"/>
        <v/>
      </c>
      <c r="MH784" s="2494" t="str">
        <f t="shared" si="324"/>
        <v/>
      </c>
      <c r="MI784" s="2494" t="str">
        <f t="shared" si="325"/>
        <v/>
      </c>
      <c r="MJ784" s="2494" t="str">
        <f t="shared" si="326"/>
        <v/>
      </c>
      <c r="MK784" s="2494" t="str">
        <f t="shared" si="327"/>
        <v/>
      </c>
      <c r="ML784" s="2494" t="str">
        <f t="shared" si="328"/>
        <v/>
      </c>
      <c r="MM784" s="2494" t="str">
        <f t="shared" si="329"/>
        <v/>
      </c>
      <c r="MN784" s="2494" t="str">
        <f t="shared" si="330"/>
        <v/>
      </c>
      <c r="MO784" s="2494" t="str">
        <f t="shared" si="331"/>
        <v/>
      </c>
      <c r="MP784" s="2613">
        <f t="shared" si="338"/>
        <v>0</v>
      </c>
      <c r="MQ784" s="2613">
        <f t="shared" si="339"/>
        <v>0</v>
      </c>
      <c r="MR784" s="2613">
        <f t="shared" si="340"/>
        <v>0</v>
      </c>
      <c r="MS784" s="2613">
        <f t="shared" si="341"/>
        <v>0</v>
      </c>
      <c r="MT784" s="2613">
        <f t="shared" si="342"/>
        <v>0</v>
      </c>
      <c r="MU784" s="2613">
        <f t="shared" si="343"/>
        <v>0</v>
      </c>
      <c r="MV784" s="2613">
        <f t="shared" si="344"/>
        <v>0</v>
      </c>
      <c r="MW784" s="2613">
        <f t="shared" si="345"/>
        <v>0</v>
      </c>
      <c r="MX784" s="2613">
        <f t="shared" si="346"/>
        <v>0</v>
      </c>
      <c r="MY784" s="2613">
        <f t="shared" si="347"/>
        <v>0</v>
      </c>
      <c r="MZ784" s="2613">
        <f t="shared" si="332"/>
        <v>0</v>
      </c>
      <c r="NA784" s="2613">
        <f t="shared" si="333"/>
        <v>0</v>
      </c>
      <c r="NB784" s="2613">
        <f t="shared" si="334"/>
        <v>0</v>
      </c>
      <c r="NC784" s="2613">
        <f t="shared" si="335"/>
        <v>0</v>
      </c>
      <c r="ND784" s="2613">
        <f t="shared" si="336"/>
        <v>0</v>
      </c>
    </row>
    <row r="785" spans="1:368" ht="13.8" customHeight="1">
      <c r="A785" s="2652" t="str">
        <f t="shared" si="337"/>
        <v/>
      </c>
      <c r="B785" s="2664" t="str">
        <f>'Part VI-Revenues &amp; Expenses'!B16</f>
        <v>Unrestricted</v>
      </c>
      <c r="C785" s="2665">
        <f>'Part VI-Revenues &amp; Expenses'!C16</f>
        <v>0</v>
      </c>
      <c r="D785" s="2666">
        <f>'Part VI-Revenues &amp; Expenses'!D16</f>
        <v>0</v>
      </c>
      <c r="E785" s="2667">
        <f>'Part VI-Revenues &amp; Expenses'!E16</f>
        <v>0</v>
      </c>
      <c r="F785" s="2667">
        <f>'Part VI-Revenues &amp; Expenses'!F16</f>
        <v>0</v>
      </c>
      <c r="G785" s="2667">
        <f>'Part VI-Revenues &amp; Expenses'!G16</f>
        <v>0</v>
      </c>
      <c r="H785" s="2667">
        <f>'Part VI-Revenues &amp; Expenses'!H16</f>
        <v>0</v>
      </c>
      <c r="I785" s="2667">
        <f>'Part VI-Revenues &amp; Expenses'!I16</f>
        <v>0</v>
      </c>
      <c r="J785" s="2667">
        <f>'Part VI-Revenues &amp; Expenses'!J16</f>
        <v>0</v>
      </c>
      <c r="K785" s="2668">
        <f>'Part VI-Revenues &amp; Expenses'!K16</f>
        <v>0</v>
      </c>
      <c r="L785" s="2669">
        <f t="shared" si="0"/>
        <v>0</v>
      </c>
      <c r="M785" s="2669">
        <f t="shared" si="1"/>
        <v>0</v>
      </c>
      <c r="N785" s="2545">
        <f>'Part VI-Revenues &amp; Expenses'!N16</f>
        <v>0</v>
      </c>
      <c r="O785" s="2545">
        <f>'Part VI-Revenues &amp; Expenses'!O16</f>
        <v>0</v>
      </c>
      <c r="P785" s="2545">
        <f>'Part VI-Revenues &amp; Expenses'!P16</f>
        <v>0</v>
      </c>
      <c r="Q785" s="2251">
        <f>'Part VI-Revenues &amp; Expenses'!Q16</f>
        <v>0</v>
      </c>
      <c r="R785" s="2670"/>
      <c r="S785" s="2671"/>
      <c r="T785" s="2607"/>
      <c r="U785" s="2607"/>
      <c r="V785" s="2607"/>
      <c r="W785" s="2607"/>
      <c r="X785" s="2494" t="str">
        <f t="shared" si="2"/>
        <v/>
      </c>
      <c r="Y785" s="2494" t="str">
        <f t="shared" si="3"/>
        <v/>
      </c>
      <c r="Z785" s="2494" t="str">
        <f t="shared" si="4"/>
        <v/>
      </c>
      <c r="AA785" s="2494" t="str">
        <f t="shared" si="5"/>
        <v/>
      </c>
      <c r="AB785" s="2494" t="str">
        <f t="shared" si="6"/>
        <v/>
      </c>
      <c r="AC785" s="2494" t="str">
        <f t="shared" si="7"/>
        <v/>
      </c>
      <c r="AD785" s="2494" t="str">
        <f t="shared" si="8"/>
        <v/>
      </c>
      <c r="AE785" s="2494" t="str">
        <f t="shared" si="9"/>
        <v/>
      </c>
      <c r="AF785" s="2494" t="str">
        <f t="shared" si="10"/>
        <v/>
      </c>
      <c r="AG785" s="2494" t="str">
        <f t="shared" si="11"/>
        <v/>
      </c>
      <c r="AH785" s="2494" t="str">
        <f t="shared" si="12"/>
        <v/>
      </c>
      <c r="AI785" s="2494" t="str">
        <f t="shared" si="13"/>
        <v/>
      </c>
      <c r="AJ785" s="2494" t="str">
        <f t="shared" si="14"/>
        <v/>
      </c>
      <c r="AK785" s="2494" t="str">
        <f t="shared" si="15"/>
        <v/>
      </c>
      <c r="AL785" s="2494" t="str">
        <f t="shared" si="16"/>
        <v/>
      </c>
      <c r="AM785" s="2494" t="str">
        <f t="shared" si="17"/>
        <v/>
      </c>
      <c r="AN785" s="2494" t="str">
        <f t="shared" si="18"/>
        <v/>
      </c>
      <c r="AO785" s="2494" t="str">
        <f t="shared" si="19"/>
        <v/>
      </c>
      <c r="AP785" s="2494" t="str">
        <f t="shared" si="20"/>
        <v/>
      </c>
      <c r="AQ785" s="2494" t="str">
        <f t="shared" si="21"/>
        <v/>
      </c>
      <c r="AR785" s="2494" t="str">
        <f t="shared" si="22"/>
        <v/>
      </c>
      <c r="AS785" s="2494" t="str">
        <f t="shared" si="23"/>
        <v/>
      </c>
      <c r="AT785" s="2494" t="str">
        <f t="shared" si="24"/>
        <v/>
      </c>
      <c r="AU785" s="2494" t="str">
        <f t="shared" si="25"/>
        <v/>
      </c>
      <c r="AV785" s="2494" t="str">
        <f t="shared" si="26"/>
        <v/>
      </c>
      <c r="AW785" s="2494" t="str">
        <f t="shared" si="27"/>
        <v/>
      </c>
      <c r="AX785" s="2494" t="str">
        <f t="shared" si="28"/>
        <v/>
      </c>
      <c r="AY785" s="2494" t="str">
        <f t="shared" si="29"/>
        <v/>
      </c>
      <c r="AZ785" s="2494" t="str">
        <f t="shared" si="30"/>
        <v/>
      </c>
      <c r="BA785" s="2494" t="str">
        <f t="shared" si="31"/>
        <v/>
      </c>
      <c r="BB785" s="2494" t="str">
        <f t="shared" si="32"/>
        <v/>
      </c>
      <c r="BC785" s="2494" t="str">
        <f t="shared" si="33"/>
        <v/>
      </c>
      <c r="BD785" s="2494" t="str">
        <f t="shared" si="34"/>
        <v/>
      </c>
      <c r="BE785" s="2494" t="str">
        <f t="shared" si="35"/>
        <v/>
      </c>
      <c r="BF785" s="2494" t="str">
        <f t="shared" si="36"/>
        <v/>
      </c>
      <c r="BG785" s="2494" t="str">
        <f t="shared" si="37"/>
        <v/>
      </c>
      <c r="BH785" s="2494" t="str">
        <f t="shared" si="38"/>
        <v/>
      </c>
      <c r="BI785" s="2494" t="str">
        <f t="shared" si="39"/>
        <v/>
      </c>
      <c r="BJ785" s="2494" t="str">
        <f t="shared" si="40"/>
        <v/>
      </c>
      <c r="BK785" s="2494" t="str">
        <f t="shared" si="41"/>
        <v/>
      </c>
      <c r="BL785" s="2494" t="str">
        <f t="shared" si="42"/>
        <v/>
      </c>
      <c r="BM785" s="2494" t="str">
        <f t="shared" si="43"/>
        <v/>
      </c>
      <c r="BN785" s="2494" t="str">
        <f t="shared" si="44"/>
        <v/>
      </c>
      <c r="BO785" s="2494" t="str">
        <f t="shared" si="45"/>
        <v/>
      </c>
      <c r="BP785" s="2494" t="str">
        <f t="shared" si="46"/>
        <v/>
      </c>
      <c r="BQ785" s="2494" t="str">
        <f t="shared" si="47"/>
        <v/>
      </c>
      <c r="BR785" s="2494" t="str">
        <f t="shared" si="48"/>
        <v/>
      </c>
      <c r="BS785" s="2494" t="str">
        <f t="shared" si="49"/>
        <v/>
      </c>
      <c r="BT785" s="2494" t="str">
        <f t="shared" si="50"/>
        <v/>
      </c>
      <c r="BU785" s="2494" t="str">
        <f t="shared" si="51"/>
        <v/>
      </c>
      <c r="BV785" s="2494" t="str">
        <f t="shared" si="52"/>
        <v/>
      </c>
      <c r="BW785" s="2494" t="str">
        <f t="shared" si="53"/>
        <v/>
      </c>
      <c r="BX785" s="2494" t="str">
        <f t="shared" si="54"/>
        <v/>
      </c>
      <c r="BY785" s="2494" t="str">
        <f t="shared" si="55"/>
        <v/>
      </c>
      <c r="BZ785" s="2494" t="str">
        <f t="shared" si="56"/>
        <v/>
      </c>
      <c r="CA785" s="2494" t="str">
        <f t="shared" si="57"/>
        <v/>
      </c>
      <c r="CB785" s="2494" t="str">
        <f t="shared" si="58"/>
        <v/>
      </c>
      <c r="CC785" s="2494" t="str">
        <f t="shared" si="59"/>
        <v/>
      </c>
      <c r="CD785" s="2494" t="str">
        <f t="shared" si="60"/>
        <v/>
      </c>
      <c r="CE785" s="2494" t="str">
        <f t="shared" si="61"/>
        <v/>
      </c>
      <c r="CF785" s="2494" t="str">
        <f t="shared" si="62"/>
        <v/>
      </c>
      <c r="CG785" s="2494" t="str">
        <f t="shared" si="63"/>
        <v/>
      </c>
      <c r="CH785" s="2494" t="str">
        <f t="shared" si="64"/>
        <v/>
      </c>
      <c r="CI785" s="2494" t="str">
        <f t="shared" si="65"/>
        <v/>
      </c>
      <c r="CJ785" s="2494" t="str">
        <f t="shared" si="66"/>
        <v/>
      </c>
      <c r="CK785" s="2494" t="str">
        <f t="shared" si="67"/>
        <v/>
      </c>
      <c r="CL785" s="2494" t="str">
        <f t="shared" si="68"/>
        <v/>
      </c>
      <c r="CM785" s="2494" t="str">
        <f t="shared" si="69"/>
        <v/>
      </c>
      <c r="CN785" s="2494" t="str">
        <f t="shared" si="70"/>
        <v/>
      </c>
      <c r="CO785" s="2494" t="str">
        <f t="shared" si="71"/>
        <v/>
      </c>
      <c r="CP785" s="2494" t="str">
        <f t="shared" si="72"/>
        <v/>
      </c>
      <c r="CQ785" s="2494" t="str">
        <f t="shared" si="73"/>
        <v/>
      </c>
      <c r="CR785" s="2494" t="str">
        <f t="shared" si="74"/>
        <v/>
      </c>
      <c r="CS785" s="2494" t="str">
        <f t="shared" si="75"/>
        <v/>
      </c>
      <c r="CT785" s="2494" t="str">
        <f t="shared" si="76"/>
        <v/>
      </c>
      <c r="CU785" s="2494" t="str">
        <f t="shared" si="77"/>
        <v/>
      </c>
      <c r="CV785" s="2494" t="str">
        <f t="shared" si="78"/>
        <v/>
      </c>
      <c r="CW785" s="2494" t="str">
        <f t="shared" si="79"/>
        <v/>
      </c>
      <c r="CX785" s="2494" t="str">
        <f t="shared" si="80"/>
        <v/>
      </c>
      <c r="CY785" s="2494" t="str">
        <f t="shared" si="81"/>
        <v/>
      </c>
      <c r="CZ785" s="2494" t="str">
        <f t="shared" si="82"/>
        <v/>
      </c>
      <c r="DA785" s="2494" t="str">
        <f t="shared" si="83"/>
        <v/>
      </c>
      <c r="DB785" s="2494" t="str">
        <f t="shared" si="84"/>
        <v/>
      </c>
      <c r="DC785" s="2494" t="str">
        <f t="shared" si="85"/>
        <v/>
      </c>
      <c r="DD785" s="2494" t="str">
        <f t="shared" si="86"/>
        <v/>
      </c>
      <c r="DE785" s="2494" t="str">
        <f t="shared" si="87"/>
        <v/>
      </c>
      <c r="DF785" s="2494" t="str">
        <f t="shared" si="88"/>
        <v/>
      </c>
      <c r="DG785" s="2494" t="str">
        <f t="shared" si="89"/>
        <v/>
      </c>
      <c r="DH785" s="2494" t="str">
        <f t="shared" si="90"/>
        <v/>
      </c>
      <c r="DI785" s="2494" t="str">
        <f t="shared" si="91"/>
        <v/>
      </c>
      <c r="DJ785" s="2494" t="str">
        <f t="shared" si="92"/>
        <v/>
      </c>
      <c r="DK785" s="2494" t="str">
        <f t="shared" si="93"/>
        <v/>
      </c>
      <c r="DL785" s="2494" t="str">
        <f t="shared" si="94"/>
        <v/>
      </c>
      <c r="DM785" s="2494" t="str">
        <f t="shared" si="95"/>
        <v/>
      </c>
      <c r="DN785" s="2494" t="str">
        <f t="shared" si="96"/>
        <v/>
      </c>
      <c r="DO785" s="2494" t="str">
        <f t="shared" si="97"/>
        <v/>
      </c>
      <c r="DP785" s="2494" t="str">
        <f t="shared" si="98"/>
        <v/>
      </c>
      <c r="DQ785" s="2494" t="str">
        <f t="shared" si="99"/>
        <v/>
      </c>
      <c r="DR785" s="2494" t="str">
        <f t="shared" si="100"/>
        <v/>
      </c>
      <c r="DS785" s="2494" t="str">
        <f t="shared" si="101"/>
        <v/>
      </c>
      <c r="DT785" s="2494" t="str">
        <f t="shared" si="102"/>
        <v/>
      </c>
      <c r="DU785" s="2494" t="str">
        <f t="shared" si="103"/>
        <v/>
      </c>
      <c r="DV785" s="2494" t="str">
        <f t="shared" si="104"/>
        <v/>
      </c>
      <c r="DW785" s="2494" t="str">
        <f t="shared" si="105"/>
        <v/>
      </c>
      <c r="DX785" s="2494" t="str">
        <f t="shared" si="106"/>
        <v/>
      </c>
      <c r="DY785" s="2494" t="str">
        <f t="shared" si="107"/>
        <v/>
      </c>
      <c r="DZ785" s="2494" t="str">
        <f t="shared" si="108"/>
        <v/>
      </c>
      <c r="EA785" s="2494" t="str">
        <f t="shared" si="109"/>
        <v/>
      </c>
      <c r="EB785" s="2494" t="str">
        <f t="shared" si="110"/>
        <v/>
      </c>
      <c r="EC785" s="2494" t="str">
        <f t="shared" si="111"/>
        <v/>
      </c>
      <c r="ED785" s="2494" t="str">
        <f t="shared" si="112"/>
        <v/>
      </c>
      <c r="EE785" s="2494" t="str">
        <f t="shared" si="113"/>
        <v/>
      </c>
      <c r="EF785" s="2494" t="str">
        <f t="shared" si="114"/>
        <v/>
      </c>
      <c r="EG785" s="2494" t="str">
        <f t="shared" si="115"/>
        <v/>
      </c>
      <c r="EH785" s="2494" t="str">
        <f t="shared" si="116"/>
        <v/>
      </c>
      <c r="EI785" s="2494" t="str">
        <f t="shared" si="117"/>
        <v/>
      </c>
      <c r="EJ785" s="2494" t="str">
        <f t="shared" si="118"/>
        <v/>
      </c>
      <c r="EK785" s="2494" t="str">
        <f t="shared" si="119"/>
        <v/>
      </c>
      <c r="EL785" s="2494" t="str">
        <f t="shared" si="120"/>
        <v/>
      </c>
      <c r="EM785" s="2494" t="str">
        <f t="shared" si="121"/>
        <v/>
      </c>
      <c r="EN785" s="2494" t="str">
        <f t="shared" si="122"/>
        <v/>
      </c>
      <c r="EO785" s="2494" t="str">
        <f t="shared" si="123"/>
        <v/>
      </c>
      <c r="EP785" s="2494" t="str">
        <f t="shared" si="124"/>
        <v/>
      </c>
      <c r="EQ785" s="2494" t="str">
        <f t="shared" si="125"/>
        <v/>
      </c>
      <c r="ER785" s="2494" t="str">
        <f t="shared" si="126"/>
        <v/>
      </c>
      <c r="ES785" s="2494" t="str">
        <f t="shared" si="127"/>
        <v/>
      </c>
      <c r="ET785" s="2494" t="str">
        <f t="shared" si="128"/>
        <v/>
      </c>
      <c r="EU785" s="2494" t="str">
        <f t="shared" si="129"/>
        <v/>
      </c>
      <c r="EV785" s="2494" t="str">
        <f t="shared" si="130"/>
        <v/>
      </c>
      <c r="EW785" s="2494" t="str">
        <f t="shared" si="131"/>
        <v/>
      </c>
      <c r="EX785" s="2494" t="str">
        <f t="shared" si="132"/>
        <v/>
      </c>
      <c r="EY785" s="2494" t="str">
        <f t="shared" si="133"/>
        <v/>
      </c>
      <c r="EZ785" s="2494" t="str">
        <f t="shared" si="134"/>
        <v/>
      </c>
      <c r="FA785" s="2494" t="str">
        <f t="shared" si="135"/>
        <v/>
      </c>
      <c r="FB785" s="2494" t="str">
        <f t="shared" si="136"/>
        <v/>
      </c>
      <c r="FC785" s="2494" t="str">
        <f t="shared" si="137"/>
        <v/>
      </c>
      <c r="FD785" s="2494" t="str">
        <f t="shared" si="138"/>
        <v/>
      </c>
      <c r="FE785" s="2494" t="str">
        <f t="shared" si="139"/>
        <v/>
      </c>
      <c r="FF785" s="2494" t="str">
        <f t="shared" si="140"/>
        <v/>
      </c>
      <c r="FG785" s="2494" t="str">
        <f t="shared" si="141"/>
        <v/>
      </c>
      <c r="FH785" s="2494" t="str">
        <f t="shared" si="142"/>
        <v/>
      </c>
      <c r="FI785" s="2494" t="str">
        <f t="shared" si="143"/>
        <v/>
      </c>
      <c r="FJ785" s="2494" t="str">
        <f t="shared" si="144"/>
        <v/>
      </c>
      <c r="FK785" s="2494" t="str">
        <f t="shared" si="145"/>
        <v/>
      </c>
      <c r="FL785" s="2494" t="str">
        <f t="shared" si="146"/>
        <v/>
      </c>
      <c r="FM785" s="2494" t="str">
        <f t="shared" si="147"/>
        <v/>
      </c>
      <c r="FN785" s="2494" t="str">
        <f t="shared" si="148"/>
        <v/>
      </c>
      <c r="FO785" s="2494" t="str">
        <f t="shared" si="149"/>
        <v/>
      </c>
      <c r="FP785" s="2494" t="str">
        <f t="shared" si="150"/>
        <v/>
      </c>
      <c r="FQ785" s="2494" t="str">
        <f t="shared" si="151"/>
        <v/>
      </c>
      <c r="FR785" s="2494" t="str">
        <f t="shared" si="152"/>
        <v/>
      </c>
      <c r="FS785" s="2494" t="str">
        <f t="shared" si="153"/>
        <v/>
      </c>
      <c r="FT785" s="2494" t="str">
        <f t="shared" si="154"/>
        <v/>
      </c>
      <c r="FU785" s="2494" t="str">
        <f t="shared" si="155"/>
        <v/>
      </c>
      <c r="FV785" s="2494" t="str">
        <f t="shared" si="156"/>
        <v/>
      </c>
      <c r="FW785" s="2494" t="str">
        <f t="shared" si="157"/>
        <v/>
      </c>
      <c r="FX785" s="2494" t="str">
        <f t="shared" si="158"/>
        <v/>
      </c>
      <c r="FY785" s="2494" t="str">
        <f t="shared" si="159"/>
        <v/>
      </c>
      <c r="FZ785" s="2494" t="str">
        <f t="shared" si="160"/>
        <v/>
      </c>
      <c r="GA785" s="2494" t="str">
        <f t="shared" si="161"/>
        <v/>
      </c>
      <c r="GB785" s="2494" t="str">
        <f t="shared" si="162"/>
        <v/>
      </c>
      <c r="GC785" s="2494" t="str">
        <f t="shared" si="163"/>
        <v/>
      </c>
      <c r="GD785" s="2494" t="str">
        <f t="shared" si="164"/>
        <v/>
      </c>
      <c r="GE785" s="2494" t="str">
        <f t="shared" si="165"/>
        <v/>
      </c>
      <c r="GF785" s="2494" t="str">
        <f t="shared" si="166"/>
        <v/>
      </c>
      <c r="GG785" s="2494" t="str">
        <f t="shared" si="167"/>
        <v/>
      </c>
      <c r="GH785" s="2494" t="str">
        <f t="shared" si="168"/>
        <v/>
      </c>
      <c r="GI785" s="2494" t="str">
        <f t="shared" si="169"/>
        <v/>
      </c>
      <c r="GJ785" s="2494" t="str">
        <f t="shared" si="170"/>
        <v/>
      </c>
      <c r="GK785" s="2494" t="str">
        <f t="shared" si="171"/>
        <v/>
      </c>
      <c r="GL785" s="2494" t="str">
        <f t="shared" si="172"/>
        <v/>
      </c>
      <c r="GM785" s="2494" t="str">
        <f t="shared" si="173"/>
        <v/>
      </c>
      <c r="GN785" s="2494" t="str">
        <f t="shared" si="174"/>
        <v/>
      </c>
      <c r="GO785" s="2494" t="str">
        <f t="shared" si="175"/>
        <v/>
      </c>
      <c r="GP785" s="2494" t="str">
        <f t="shared" si="176"/>
        <v/>
      </c>
      <c r="GQ785" s="2494" t="str">
        <f t="shared" si="177"/>
        <v/>
      </c>
      <c r="GR785" s="2494" t="str">
        <f t="shared" si="178"/>
        <v/>
      </c>
      <c r="GS785" s="2494" t="str">
        <f t="shared" si="179"/>
        <v/>
      </c>
      <c r="GT785" s="2494" t="str">
        <f t="shared" si="180"/>
        <v/>
      </c>
      <c r="GU785" s="2494" t="str">
        <f t="shared" si="181"/>
        <v/>
      </c>
      <c r="GV785" s="2494" t="str">
        <f t="shared" si="182"/>
        <v/>
      </c>
      <c r="GW785" s="2494" t="str">
        <f t="shared" si="183"/>
        <v/>
      </c>
      <c r="GX785" s="2494" t="str">
        <f t="shared" si="184"/>
        <v/>
      </c>
      <c r="GY785" s="2494" t="str">
        <f t="shared" si="185"/>
        <v/>
      </c>
      <c r="GZ785" s="2494" t="str">
        <f t="shared" si="186"/>
        <v/>
      </c>
      <c r="HA785" s="2494" t="str">
        <f t="shared" si="187"/>
        <v/>
      </c>
      <c r="HB785" s="2494" t="str">
        <f t="shared" si="188"/>
        <v/>
      </c>
      <c r="HC785" s="2494" t="str">
        <f t="shared" si="189"/>
        <v/>
      </c>
      <c r="HD785" s="2494" t="str">
        <f t="shared" si="190"/>
        <v/>
      </c>
      <c r="HE785" s="2494" t="str">
        <f t="shared" si="191"/>
        <v/>
      </c>
      <c r="HF785" s="2494" t="str">
        <f t="shared" si="192"/>
        <v/>
      </c>
      <c r="HG785" s="2494" t="str">
        <f t="shared" si="193"/>
        <v/>
      </c>
      <c r="HH785" s="2494" t="str">
        <f t="shared" si="194"/>
        <v/>
      </c>
      <c r="HI785" s="2494" t="str">
        <f t="shared" si="195"/>
        <v/>
      </c>
      <c r="HJ785" s="2494" t="str">
        <f t="shared" si="196"/>
        <v/>
      </c>
      <c r="HK785" s="2494" t="str">
        <f t="shared" si="197"/>
        <v/>
      </c>
      <c r="HL785" s="2494" t="str">
        <f t="shared" si="198"/>
        <v/>
      </c>
      <c r="HM785" s="2494" t="str">
        <f t="shared" si="199"/>
        <v/>
      </c>
      <c r="HN785" s="2494" t="str">
        <f t="shared" si="200"/>
        <v/>
      </c>
      <c r="HO785" s="2494" t="str">
        <f t="shared" si="201"/>
        <v/>
      </c>
      <c r="HP785" s="2494" t="str">
        <f t="shared" si="202"/>
        <v/>
      </c>
      <c r="HQ785" s="2494" t="str">
        <f t="shared" si="203"/>
        <v/>
      </c>
      <c r="HR785" s="2494" t="str">
        <f t="shared" si="204"/>
        <v/>
      </c>
      <c r="HS785" s="2494" t="str">
        <f t="shared" si="205"/>
        <v/>
      </c>
      <c r="HT785" s="2494" t="str">
        <f t="shared" si="206"/>
        <v/>
      </c>
      <c r="HU785" s="2494" t="str">
        <f t="shared" si="207"/>
        <v/>
      </c>
      <c r="HV785" s="2494" t="str">
        <f t="shared" si="208"/>
        <v/>
      </c>
      <c r="HW785" s="2494" t="str">
        <f t="shared" si="209"/>
        <v/>
      </c>
      <c r="HX785" s="2494" t="str">
        <f t="shared" si="210"/>
        <v/>
      </c>
      <c r="HY785" s="2494" t="str">
        <f t="shared" si="211"/>
        <v/>
      </c>
      <c r="HZ785" s="2672" t="str">
        <f t="shared" si="212"/>
        <v/>
      </c>
      <c r="IA785" s="2672" t="str">
        <f t="shared" si="213"/>
        <v/>
      </c>
      <c r="IB785" s="2672" t="str">
        <f t="shared" si="214"/>
        <v/>
      </c>
      <c r="IC785" s="2672" t="str">
        <f t="shared" si="215"/>
        <v/>
      </c>
      <c r="ID785" s="2672" t="str">
        <f t="shared" si="216"/>
        <v/>
      </c>
      <c r="IE785" s="2672" t="str">
        <f t="shared" si="217"/>
        <v/>
      </c>
      <c r="IF785" s="2672" t="str">
        <f t="shared" si="218"/>
        <v/>
      </c>
      <c r="IG785" s="2672" t="str">
        <f t="shared" si="219"/>
        <v/>
      </c>
      <c r="IH785" s="2672" t="str">
        <f t="shared" si="220"/>
        <v/>
      </c>
      <c r="II785" s="2672" t="str">
        <f t="shared" si="221"/>
        <v/>
      </c>
      <c r="IJ785" s="2672" t="str">
        <f t="shared" si="222"/>
        <v/>
      </c>
      <c r="IK785" s="2672" t="str">
        <f t="shared" si="223"/>
        <v/>
      </c>
      <c r="IL785" s="2672" t="str">
        <f t="shared" si="224"/>
        <v/>
      </c>
      <c r="IM785" s="2672" t="str">
        <f t="shared" si="225"/>
        <v/>
      </c>
      <c r="IN785" s="2672" t="str">
        <f t="shared" si="226"/>
        <v/>
      </c>
      <c r="IO785" s="2672" t="str">
        <f t="shared" si="227"/>
        <v/>
      </c>
      <c r="IP785" s="2672" t="str">
        <f t="shared" si="228"/>
        <v/>
      </c>
      <c r="IQ785" s="2672" t="str">
        <f t="shared" si="229"/>
        <v/>
      </c>
      <c r="IR785" s="2672" t="str">
        <f t="shared" si="230"/>
        <v/>
      </c>
      <c r="IS785" s="2672" t="str">
        <f t="shared" si="231"/>
        <v/>
      </c>
      <c r="IT785" s="2672" t="str">
        <f t="shared" si="232"/>
        <v/>
      </c>
      <c r="IU785" s="2672" t="str">
        <f t="shared" si="233"/>
        <v/>
      </c>
      <c r="IV785" s="2672" t="str">
        <f t="shared" si="234"/>
        <v/>
      </c>
      <c r="IW785" s="2672" t="str">
        <f t="shared" si="235"/>
        <v/>
      </c>
      <c r="IX785" s="2672" t="str">
        <f t="shared" si="236"/>
        <v/>
      </c>
      <c r="IY785" s="2672" t="str">
        <f t="shared" si="237"/>
        <v/>
      </c>
      <c r="IZ785" s="2672" t="str">
        <f t="shared" si="238"/>
        <v/>
      </c>
      <c r="JA785" s="2672" t="str">
        <f t="shared" si="239"/>
        <v/>
      </c>
      <c r="JB785" s="2672" t="str">
        <f t="shared" si="240"/>
        <v/>
      </c>
      <c r="JC785" s="2672" t="str">
        <f t="shared" si="241"/>
        <v/>
      </c>
      <c r="JD785" s="2672" t="str">
        <f t="shared" si="242"/>
        <v/>
      </c>
      <c r="JE785" s="2672" t="str">
        <f t="shared" si="243"/>
        <v/>
      </c>
      <c r="JF785" s="2672" t="str">
        <f t="shared" si="244"/>
        <v/>
      </c>
      <c r="JG785" s="2672" t="str">
        <f t="shared" si="245"/>
        <v/>
      </c>
      <c r="JH785" s="2672" t="str">
        <f t="shared" si="246"/>
        <v/>
      </c>
      <c r="JI785" s="2672" t="str">
        <f t="shared" si="247"/>
        <v/>
      </c>
      <c r="JJ785" s="2672" t="str">
        <f t="shared" si="248"/>
        <v/>
      </c>
      <c r="JK785" s="2672" t="str">
        <f t="shared" si="249"/>
        <v/>
      </c>
      <c r="JL785" s="2672" t="str">
        <f t="shared" si="250"/>
        <v/>
      </c>
      <c r="JM785" s="2672" t="str">
        <f t="shared" si="251"/>
        <v/>
      </c>
      <c r="JN785" s="2672" t="str">
        <f t="shared" si="252"/>
        <v/>
      </c>
      <c r="JO785" s="2672" t="str">
        <f t="shared" si="253"/>
        <v/>
      </c>
      <c r="JP785" s="2672" t="str">
        <f t="shared" si="254"/>
        <v/>
      </c>
      <c r="JQ785" s="2672" t="str">
        <f t="shared" si="255"/>
        <v/>
      </c>
      <c r="JR785" s="2672" t="str">
        <f t="shared" si="256"/>
        <v/>
      </c>
      <c r="JS785" s="2672" t="str">
        <f t="shared" si="257"/>
        <v/>
      </c>
      <c r="JT785" s="2672" t="str">
        <f t="shared" si="258"/>
        <v/>
      </c>
      <c r="JU785" s="2672" t="str">
        <f t="shared" si="259"/>
        <v/>
      </c>
      <c r="JV785" s="2672" t="str">
        <f t="shared" si="260"/>
        <v/>
      </c>
      <c r="JW785" s="2672" t="str">
        <f t="shared" si="261"/>
        <v/>
      </c>
      <c r="JX785" s="2672" t="str">
        <f t="shared" si="262"/>
        <v/>
      </c>
      <c r="JY785" s="2672" t="str">
        <f t="shared" si="263"/>
        <v/>
      </c>
      <c r="JZ785" s="2672" t="str">
        <f t="shared" si="264"/>
        <v/>
      </c>
      <c r="KA785" s="2672" t="str">
        <f t="shared" si="265"/>
        <v/>
      </c>
      <c r="KB785" s="2672" t="str">
        <f t="shared" si="266"/>
        <v/>
      </c>
      <c r="KC785" s="2672" t="str">
        <f t="shared" si="267"/>
        <v/>
      </c>
      <c r="KD785" s="2672" t="str">
        <f t="shared" si="268"/>
        <v/>
      </c>
      <c r="KE785" s="2672" t="str">
        <f t="shared" si="269"/>
        <v/>
      </c>
      <c r="KF785" s="2672" t="str">
        <f t="shared" si="270"/>
        <v/>
      </c>
      <c r="KG785" s="2672" t="str">
        <f t="shared" si="271"/>
        <v/>
      </c>
      <c r="KH785" s="2672" t="str">
        <f t="shared" si="272"/>
        <v/>
      </c>
      <c r="KI785" s="2672" t="str">
        <f t="shared" si="273"/>
        <v/>
      </c>
      <c r="KJ785" s="2672" t="str">
        <f t="shared" si="274"/>
        <v/>
      </c>
      <c r="KK785" s="2672" t="str">
        <f t="shared" si="275"/>
        <v/>
      </c>
      <c r="KL785" s="2672" t="str">
        <f t="shared" si="276"/>
        <v/>
      </c>
      <c r="KM785" s="2672" t="str">
        <f t="shared" si="277"/>
        <v/>
      </c>
      <c r="KN785" s="2672" t="str">
        <f t="shared" si="278"/>
        <v/>
      </c>
      <c r="KO785" s="2672" t="str">
        <f t="shared" si="279"/>
        <v/>
      </c>
      <c r="KP785" s="2672" t="str">
        <f t="shared" si="280"/>
        <v/>
      </c>
      <c r="KQ785" s="2672" t="str">
        <f t="shared" si="281"/>
        <v/>
      </c>
      <c r="KR785" s="2672" t="str">
        <f t="shared" si="282"/>
        <v/>
      </c>
      <c r="KS785" s="2672" t="str">
        <f t="shared" si="283"/>
        <v/>
      </c>
      <c r="KT785" s="2672" t="str">
        <f t="shared" si="284"/>
        <v/>
      </c>
      <c r="KU785" s="2672" t="str">
        <f t="shared" si="285"/>
        <v/>
      </c>
      <c r="KV785" s="2672" t="str">
        <f t="shared" si="286"/>
        <v/>
      </c>
      <c r="KW785" s="2672" t="str">
        <f t="shared" si="287"/>
        <v/>
      </c>
      <c r="KX785" s="2672" t="str">
        <f t="shared" si="288"/>
        <v/>
      </c>
      <c r="KY785" s="2672" t="str">
        <f t="shared" si="289"/>
        <v/>
      </c>
      <c r="KZ785" s="2672" t="str">
        <f t="shared" si="290"/>
        <v/>
      </c>
      <c r="LA785" s="2672" t="str">
        <f t="shared" si="291"/>
        <v/>
      </c>
      <c r="LB785" s="2672" t="str">
        <f t="shared" si="292"/>
        <v/>
      </c>
      <c r="LC785" s="2672" t="str">
        <f t="shared" si="293"/>
        <v/>
      </c>
      <c r="LD785" s="2672" t="str">
        <f t="shared" si="294"/>
        <v/>
      </c>
      <c r="LE785" s="2672" t="str">
        <f t="shared" si="295"/>
        <v/>
      </c>
      <c r="LF785" s="2672" t="str">
        <f t="shared" si="296"/>
        <v/>
      </c>
      <c r="LG785" s="2672" t="str">
        <f t="shared" si="297"/>
        <v/>
      </c>
      <c r="LH785" s="2672" t="str">
        <f t="shared" si="298"/>
        <v/>
      </c>
      <c r="LI785" s="2672" t="str">
        <f t="shared" si="299"/>
        <v/>
      </c>
      <c r="LJ785" s="2672" t="str">
        <f t="shared" si="300"/>
        <v/>
      </c>
      <c r="LK785" s="2672" t="str">
        <f t="shared" si="301"/>
        <v/>
      </c>
      <c r="LL785" s="2672" t="str">
        <f t="shared" si="302"/>
        <v/>
      </c>
      <c r="LM785" s="2672" t="str">
        <f t="shared" si="303"/>
        <v/>
      </c>
      <c r="LN785" s="2672" t="str">
        <f t="shared" si="304"/>
        <v/>
      </c>
      <c r="LO785" s="2672" t="str">
        <f t="shared" si="305"/>
        <v/>
      </c>
      <c r="LP785" s="2672" t="str">
        <f t="shared" si="306"/>
        <v/>
      </c>
      <c r="LQ785" s="2613" t="str">
        <f t="shared" si="307"/>
        <v/>
      </c>
      <c r="LR785" s="2613" t="str">
        <f t="shared" si="308"/>
        <v/>
      </c>
      <c r="LS785" s="2613" t="str">
        <f t="shared" si="309"/>
        <v/>
      </c>
      <c r="LT785" s="2613" t="str">
        <f t="shared" si="310"/>
        <v/>
      </c>
      <c r="LU785" s="2613" t="str">
        <f t="shared" si="311"/>
        <v/>
      </c>
      <c r="LV785" s="2494" t="str">
        <f t="shared" si="312"/>
        <v/>
      </c>
      <c r="LW785" s="2494" t="str">
        <f t="shared" si="313"/>
        <v/>
      </c>
      <c r="LX785" s="2494" t="str">
        <f t="shared" si="314"/>
        <v/>
      </c>
      <c r="LY785" s="2494" t="str">
        <f t="shared" si="315"/>
        <v/>
      </c>
      <c r="LZ785" s="2494" t="str">
        <f t="shared" si="316"/>
        <v/>
      </c>
      <c r="MA785" s="2494" t="str">
        <f t="shared" si="317"/>
        <v/>
      </c>
      <c r="MB785" s="2494" t="str">
        <f t="shared" si="318"/>
        <v/>
      </c>
      <c r="MC785" s="2494" t="str">
        <f t="shared" si="319"/>
        <v/>
      </c>
      <c r="MD785" s="2494" t="str">
        <f t="shared" si="320"/>
        <v/>
      </c>
      <c r="ME785" s="2494" t="str">
        <f t="shared" si="321"/>
        <v/>
      </c>
      <c r="MF785" s="2494" t="str">
        <f t="shared" si="322"/>
        <v/>
      </c>
      <c r="MG785" s="2494" t="str">
        <f t="shared" si="323"/>
        <v/>
      </c>
      <c r="MH785" s="2494" t="str">
        <f t="shared" si="324"/>
        <v/>
      </c>
      <c r="MI785" s="2494" t="str">
        <f t="shared" si="325"/>
        <v/>
      </c>
      <c r="MJ785" s="2494" t="str">
        <f t="shared" si="326"/>
        <v/>
      </c>
      <c r="MK785" s="2494" t="str">
        <f t="shared" si="327"/>
        <v/>
      </c>
      <c r="ML785" s="2494" t="str">
        <f t="shared" si="328"/>
        <v/>
      </c>
      <c r="MM785" s="2494" t="str">
        <f t="shared" si="329"/>
        <v/>
      </c>
      <c r="MN785" s="2494" t="str">
        <f t="shared" si="330"/>
        <v/>
      </c>
      <c r="MO785" s="2494" t="str">
        <f t="shared" si="331"/>
        <v/>
      </c>
      <c r="MP785" s="2613">
        <f t="shared" si="338"/>
        <v>0</v>
      </c>
      <c r="MQ785" s="2613">
        <f t="shared" si="339"/>
        <v>0</v>
      </c>
      <c r="MR785" s="2613">
        <f t="shared" si="340"/>
        <v>0</v>
      </c>
      <c r="MS785" s="2613">
        <f t="shared" si="341"/>
        <v>0</v>
      </c>
      <c r="MT785" s="2613">
        <f t="shared" si="342"/>
        <v>0</v>
      </c>
      <c r="MU785" s="2613">
        <f t="shared" si="343"/>
        <v>0</v>
      </c>
      <c r="MV785" s="2613">
        <f t="shared" si="344"/>
        <v>0</v>
      </c>
      <c r="MW785" s="2613">
        <f t="shared" si="345"/>
        <v>0</v>
      </c>
      <c r="MX785" s="2613">
        <f t="shared" si="346"/>
        <v>0</v>
      </c>
      <c r="MY785" s="2613">
        <f t="shared" si="347"/>
        <v>0</v>
      </c>
      <c r="MZ785" s="2613">
        <f t="shared" si="332"/>
        <v>0</v>
      </c>
      <c r="NA785" s="2613">
        <f t="shared" si="333"/>
        <v>0</v>
      </c>
      <c r="NB785" s="2613">
        <f t="shared" si="334"/>
        <v>0</v>
      </c>
      <c r="NC785" s="2613">
        <f t="shared" si="335"/>
        <v>0</v>
      </c>
      <c r="ND785" s="2613">
        <f t="shared" si="336"/>
        <v>0</v>
      </c>
    </row>
    <row r="786" spans="1:368" ht="13.8" customHeight="1">
      <c r="A786" s="2652" t="str">
        <f t="shared" si="337"/>
        <v/>
      </c>
      <c r="B786" s="2664">
        <f>'Part VI-Revenues &amp; Expenses'!B17</f>
        <v>60</v>
      </c>
      <c r="C786" s="2665">
        <f>'Part VI-Revenues &amp; Expenses'!C17</f>
        <v>1</v>
      </c>
      <c r="D786" s="2666">
        <f>'Part VI-Revenues &amp; Expenses'!D17</f>
        <v>1</v>
      </c>
      <c r="E786" s="2667">
        <f>'Part VI-Revenues &amp; Expenses'!E17</f>
        <v>18</v>
      </c>
      <c r="F786" s="2667">
        <f>'Part VI-Revenues &amp; Expenses'!F17</f>
        <v>780</v>
      </c>
      <c r="G786" s="2667">
        <f>'Part VI-Revenues &amp; Expenses'!G17</f>
        <v>777</v>
      </c>
      <c r="H786" s="2667">
        <f>'Part VI-Revenues &amp; Expenses'!H17</f>
        <v>777</v>
      </c>
      <c r="I786" s="2667">
        <f>'Part VI-Revenues &amp; Expenses'!I17</f>
        <v>0</v>
      </c>
      <c r="J786" s="2667">
        <f>'Part VI-Revenues &amp; Expenses'!J17</f>
        <v>113</v>
      </c>
      <c r="K786" s="2668">
        <f>'Part VI-Revenues &amp; Expenses'!K17</f>
        <v>0</v>
      </c>
      <c r="L786" s="2669">
        <f t="shared" si="0"/>
        <v>664</v>
      </c>
      <c r="M786" s="2669">
        <f t="shared" si="1"/>
        <v>11952</v>
      </c>
      <c r="N786" s="2545" t="str">
        <f>'Part VI-Revenues &amp; Expenses'!N17</f>
        <v>No</v>
      </c>
      <c r="O786" s="2545" t="str">
        <f>'Part VI-Revenues &amp; Expenses'!O17</f>
        <v>3+ Story</v>
      </c>
      <c r="P786" s="2545" t="str">
        <f>'Part VI-Revenues &amp; Expenses'!P17</f>
        <v>New Construction</v>
      </c>
      <c r="Q786" s="2251" t="str">
        <f>'Part VI-Revenues &amp; Expenses'!Q17</f>
        <v>No</v>
      </c>
      <c r="R786" s="2670"/>
      <c r="S786" s="2671"/>
      <c r="T786" s="2607"/>
      <c r="U786" s="2607"/>
      <c r="V786" s="2607"/>
      <c r="W786" s="2607"/>
      <c r="X786" s="2494" t="str">
        <f t="shared" si="2"/>
        <v/>
      </c>
      <c r="Y786" s="2494" t="str">
        <f t="shared" si="3"/>
        <v/>
      </c>
      <c r="Z786" s="2494" t="str">
        <f t="shared" si="4"/>
        <v/>
      </c>
      <c r="AA786" s="2494" t="str">
        <f t="shared" si="5"/>
        <v/>
      </c>
      <c r="AB786" s="2494" t="str">
        <f t="shared" si="6"/>
        <v/>
      </c>
      <c r="AC786" s="2494" t="str">
        <f t="shared" si="7"/>
        <v/>
      </c>
      <c r="AD786" s="2494" t="str">
        <f t="shared" si="8"/>
        <v/>
      </c>
      <c r="AE786" s="2494" t="str">
        <f t="shared" si="9"/>
        <v/>
      </c>
      <c r="AF786" s="2494" t="str">
        <f t="shared" si="10"/>
        <v/>
      </c>
      <c r="AG786" s="2494" t="str">
        <f t="shared" si="11"/>
        <v/>
      </c>
      <c r="AH786" s="2494" t="str">
        <f t="shared" si="12"/>
        <v/>
      </c>
      <c r="AI786" s="2494">
        <f t="shared" si="13"/>
        <v>18</v>
      </c>
      <c r="AJ786" s="2494" t="str">
        <f t="shared" si="14"/>
        <v/>
      </c>
      <c r="AK786" s="2494" t="str">
        <f t="shared" si="15"/>
        <v/>
      </c>
      <c r="AL786" s="2494" t="str">
        <f t="shared" si="16"/>
        <v/>
      </c>
      <c r="AM786" s="2494" t="str">
        <f t="shared" si="17"/>
        <v/>
      </c>
      <c r="AN786" s="2494" t="str">
        <f t="shared" si="18"/>
        <v/>
      </c>
      <c r="AO786" s="2494" t="str">
        <f t="shared" si="19"/>
        <v/>
      </c>
      <c r="AP786" s="2494" t="str">
        <f t="shared" si="20"/>
        <v/>
      </c>
      <c r="AQ786" s="2494" t="str">
        <f t="shared" si="21"/>
        <v/>
      </c>
      <c r="AR786" s="2494" t="str">
        <f t="shared" si="22"/>
        <v/>
      </c>
      <c r="AS786" s="2494" t="str">
        <f t="shared" si="23"/>
        <v/>
      </c>
      <c r="AT786" s="2494" t="str">
        <f t="shared" si="24"/>
        <v/>
      </c>
      <c r="AU786" s="2494" t="str">
        <f t="shared" si="25"/>
        <v/>
      </c>
      <c r="AV786" s="2494" t="str">
        <f t="shared" si="26"/>
        <v/>
      </c>
      <c r="AW786" s="2494" t="str">
        <f t="shared" si="27"/>
        <v/>
      </c>
      <c r="AX786" s="2494" t="str">
        <f t="shared" si="28"/>
        <v/>
      </c>
      <c r="AY786" s="2494" t="str">
        <f t="shared" si="29"/>
        <v/>
      </c>
      <c r="AZ786" s="2494" t="str">
        <f t="shared" si="30"/>
        <v/>
      </c>
      <c r="BA786" s="2494" t="str">
        <f t="shared" si="31"/>
        <v/>
      </c>
      <c r="BB786" s="2494" t="str">
        <f t="shared" si="32"/>
        <v/>
      </c>
      <c r="BC786" s="2494" t="str">
        <f t="shared" si="33"/>
        <v/>
      </c>
      <c r="BD786" s="2494" t="str">
        <f t="shared" si="34"/>
        <v/>
      </c>
      <c r="BE786" s="2494" t="str">
        <f t="shared" si="35"/>
        <v/>
      </c>
      <c r="BF786" s="2494" t="str">
        <f t="shared" si="36"/>
        <v/>
      </c>
      <c r="BG786" s="2494" t="str">
        <f t="shared" si="37"/>
        <v/>
      </c>
      <c r="BH786" s="2494" t="str">
        <f t="shared" si="38"/>
        <v/>
      </c>
      <c r="BI786" s="2494" t="str">
        <f t="shared" si="39"/>
        <v/>
      </c>
      <c r="BJ786" s="2494" t="str">
        <f t="shared" si="40"/>
        <v/>
      </c>
      <c r="BK786" s="2494" t="str">
        <f t="shared" si="41"/>
        <v/>
      </c>
      <c r="BL786" s="2494" t="str">
        <f t="shared" si="42"/>
        <v/>
      </c>
      <c r="BM786" s="2494" t="str">
        <f t="shared" si="43"/>
        <v/>
      </c>
      <c r="BN786" s="2494" t="str">
        <f t="shared" si="44"/>
        <v/>
      </c>
      <c r="BO786" s="2494" t="str">
        <f t="shared" si="45"/>
        <v/>
      </c>
      <c r="BP786" s="2494" t="str">
        <f t="shared" si="46"/>
        <v/>
      </c>
      <c r="BQ786" s="2494" t="str">
        <f t="shared" si="47"/>
        <v/>
      </c>
      <c r="BR786" s="2494" t="str">
        <f t="shared" si="48"/>
        <v/>
      </c>
      <c r="BS786" s="2494" t="str">
        <f t="shared" si="49"/>
        <v/>
      </c>
      <c r="BT786" s="2494" t="str">
        <f t="shared" si="50"/>
        <v/>
      </c>
      <c r="BU786" s="2494" t="str">
        <f t="shared" si="51"/>
        <v/>
      </c>
      <c r="BV786" s="2494" t="str">
        <f t="shared" si="52"/>
        <v/>
      </c>
      <c r="BW786" s="2494" t="str">
        <f t="shared" si="53"/>
        <v/>
      </c>
      <c r="BX786" s="2494" t="str">
        <f t="shared" si="54"/>
        <v/>
      </c>
      <c r="BY786" s="2494" t="str">
        <f t="shared" si="55"/>
        <v/>
      </c>
      <c r="BZ786" s="2494" t="str">
        <f t="shared" si="56"/>
        <v/>
      </c>
      <c r="CA786" s="2494" t="str">
        <f t="shared" si="57"/>
        <v/>
      </c>
      <c r="CB786" s="2494" t="str">
        <f t="shared" si="58"/>
        <v/>
      </c>
      <c r="CC786" s="2494" t="str">
        <f t="shared" si="59"/>
        <v/>
      </c>
      <c r="CD786" s="2494" t="str">
        <f t="shared" si="60"/>
        <v/>
      </c>
      <c r="CE786" s="2494" t="str">
        <f t="shared" si="61"/>
        <v/>
      </c>
      <c r="CF786" s="2494" t="str">
        <f t="shared" si="62"/>
        <v/>
      </c>
      <c r="CG786" s="2494" t="str">
        <f t="shared" si="63"/>
        <v/>
      </c>
      <c r="CH786" s="2494" t="str">
        <f t="shared" si="64"/>
        <v/>
      </c>
      <c r="CI786" s="2494" t="str">
        <f t="shared" si="65"/>
        <v/>
      </c>
      <c r="CJ786" s="2494" t="str">
        <f t="shared" si="66"/>
        <v/>
      </c>
      <c r="CK786" s="2494" t="str">
        <f t="shared" si="67"/>
        <v/>
      </c>
      <c r="CL786" s="2494" t="str">
        <f t="shared" si="68"/>
        <v/>
      </c>
      <c r="CM786" s="2494" t="str">
        <f t="shared" si="69"/>
        <v/>
      </c>
      <c r="CN786" s="2494" t="str">
        <f t="shared" si="70"/>
        <v/>
      </c>
      <c r="CO786" s="2494" t="str">
        <f t="shared" si="71"/>
        <v/>
      </c>
      <c r="CP786" s="2494" t="str">
        <f t="shared" si="72"/>
        <v/>
      </c>
      <c r="CQ786" s="2494" t="str">
        <f t="shared" si="73"/>
        <v/>
      </c>
      <c r="CR786" s="2494" t="str">
        <f t="shared" si="74"/>
        <v/>
      </c>
      <c r="CS786" s="2494" t="str">
        <f t="shared" si="75"/>
        <v/>
      </c>
      <c r="CT786" s="2494" t="str">
        <f t="shared" si="76"/>
        <v/>
      </c>
      <c r="CU786" s="2494" t="str">
        <f t="shared" si="77"/>
        <v/>
      </c>
      <c r="CV786" s="2494" t="str">
        <f t="shared" si="78"/>
        <v/>
      </c>
      <c r="CW786" s="2494" t="str">
        <f t="shared" si="79"/>
        <v/>
      </c>
      <c r="CX786" s="2494" t="str">
        <f t="shared" si="80"/>
        <v/>
      </c>
      <c r="CY786" s="2494" t="str">
        <f t="shared" si="81"/>
        <v/>
      </c>
      <c r="CZ786" s="2494" t="str">
        <f t="shared" si="82"/>
        <v/>
      </c>
      <c r="DA786" s="2494" t="str">
        <f t="shared" si="83"/>
        <v/>
      </c>
      <c r="DB786" s="2494" t="str">
        <f t="shared" si="84"/>
        <v/>
      </c>
      <c r="DC786" s="2494" t="str">
        <f t="shared" si="85"/>
        <v/>
      </c>
      <c r="DD786" s="2494" t="str">
        <f t="shared" si="86"/>
        <v/>
      </c>
      <c r="DE786" s="2494" t="str">
        <f t="shared" si="87"/>
        <v/>
      </c>
      <c r="DF786" s="2494" t="str">
        <f t="shared" si="88"/>
        <v/>
      </c>
      <c r="DG786" s="2494" t="str">
        <f t="shared" si="89"/>
        <v/>
      </c>
      <c r="DH786" s="2494" t="str">
        <f t="shared" si="90"/>
        <v/>
      </c>
      <c r="DI786" s="2494" t="str">
        <f t="shared" si="91"/>
        <v/>
      </c>
      <c r="DJ786" s="2494" t="str">
        <f t="shared" si="92"/>
        <v/>
      </c>
      <c r="DK786" s="2494" t="str">
        <f t="shared" si="93"/>
        <v/>
      </c>
      <c r="DL786" s="2494" t="str">
        <f t="shared" si="94"/>
        <v/>
      </c>
      <c r="DM786" s="2494" t="str">
        <f t="shared" si="95"/>
        <v/>
      </c>
      <c r="DN786" s="2494" t="str">
        <f t="shared" si="96"/>
        <v/>
      </c>
      <c r="DO786" s="2494" t="str">
        <f t="shared" si="97"/>
        <v/>
      </c>
      <c r="DP786" s="2494" t="str">
        <f t="shared" si="98"/>
        <v/>
      </c>
      <c r="DQ786" s="2494" t="str">
        <f t="shared" si="99"/>
        <v/>
      </c>
      <c r="DR786" s="2494" t="str">
        <f t="shared" si="100"/>
        <v/>
      </c>
      <c r="DS786" s="2494" t="str">
        <f t="shared" si="101"/>
        <v/>
      </c>
      <c r="DT786" s="2494" t="str">
        <f t="shared" si="102"/>
        <v/>
      </c>
      <c r="DU786" s="2494" t="str">
        <f t="shared" si="103"/>
        <v/>
      </c>
      <c r="DV786" s="2494" t="str">
        <f t="shared" si="104"/>
        <v/>
      </c>
      <c r="DW786" s="2494" t="str">
        <f t="shared" si="105"/>
        <v/>
      </c>
      <c r="DX786" s="2494" t="str">
        <f t="shared" si="106"/>
        <v/>
      </c>
      <c r="DY786" s="2494" t="str">
        <f t="shared" si="107"/>
        <v/>
      </c>
      <c r="DZ786" s="2494" t="str">
        <f t="shared" si="108"/>
        <v/>
      </c>
      <c r="EA786" s="2494" t="str">
        <f t="shared" si="109"/>
        <v/>
      </c>
      <c r="EB786" s="2494" t="str">
        <f t="shared" si="110"/>
        <v/>
      </c>
      <c r="EC786" s="2494" t="str">
        <f t="shared" si="111"/>
        <v/>
      </c>
      <c r="ED786" s="2494" t="str">
        <f t="shared" si="112"/>
        <v/>
      </c>
      <c r="EE786" s="2494" t="str">
        <f t="shared" si="113"/>
        <v/>
      </c>
      <c r="EF786" s="2494" t="str">
        <f t="shared" si="114"/>
        <v/>
      </c>
      <c r="EG786" s="2494" t="str">
        <f t="shared" si="115"/>
        <v/>
      </c>
      <c r="EH786" s="2494" t="str">
        <f t="shared" si="116"/>
        <v/>
      </c>
      <c r="EI786" s="2494" t="str">
        <f t="shared" si="117"/>
        <v/>
      </c>
      <c r="EJ786" s="2494" t="str">
        <f t="shared" si="118"/>
        <v/>
      </c>
      <c r="EK786" s="2494" t="str">
        <f t="shared" si="119"/>
        <v/>
      </c>
      <c r="EL786" s="2494" t="str">
        <f t="shared" si="120"/>
        <v/>
      </c>
      <c r="EM786" s="2494" t="str">
        <f t="shared" si="121"/>
        <v/>
      </c>
      <c r="EN786" s="2494" t="str">
        <f t="shared" si="122"/>
        <v/>
      </c>
      <c r="EO786" s="2494" t="str">
        <f t="shared" si="123"/>
        <v/>
      </c>
      <c r="EP786" s="2494" t="str">
        <f t="shared" si="124"/>
        <v/>
      </c>
      <c r="EQ786" s="2494" t="str">
        <f t="shared" si="125"/>
        <v/>
      </c>
      <c r="ER786" s="2494" t="str">
        <f t="shared" si="126"/>
        <v/>
      </c>
      <c r="ES786" s="2494" t="str">
        <f t="shared" si="127"/>
        <v/>
      </c>
      <c r="ET786" s="2494">
        <f t="shared" si="128"/>
        <v>14040</v>
      </c>
      <c r="EU786" s="2494" t="str">
        <f t="shared" si="129"/>
        <v/>
      </c>
      <c r="EV786" s="2494" t="str">
        <f t="shared" si="130"/>
        <v/>
      </c>
      <c r="EW786" s="2494" t="str">
        <f t="shared" si="131"/>
        <v/>
      </c>
      <c r="EX786" s="2494" t="str">
        <f t="shared" si="132"/>
        <v/>
      </c>
      <c r="EY786" s="2494" t="str">
        <f t="shared" si="133"/>
        <v/>
      </c>
      <c r="EZ786" s="2494" t="str">
        <f t="shared" si="134"/>
        <v/>
      </c>
      <c r="FA786" s="2494" t="str">
        <f t="shared" si="135"/>
        <v/>
      </c>
      <c r="FB786" s="2494" t="str">
        <f t="shared" si="136"/>
        <v/>
      </c>
      <c r="FC786" s="2494" t="str">
        <f t="shared" si="137"/>
        <v/>
      </c>
      <c r="FD786" s="2494" t="str">
        <f t="shared" si="138"/>
        <v/>
      </c>
      <c r="FE786" s="2494" t="str">
        <f t="shared" si="139"/>
        <v/>
      </c>
      <c r="FF786" s="2494" t="str">
        <f t="shared" si="140"/>
        <v/>
      </c>
      <c r="FG786" s="2494" t="str">
        <f t="shared" si="141"/>
        <v/>
      </c>
      <c r="FH786" s="2494" t="str">
        <f t="shared" si="142"/>
        <v/>
      </c>
      <c r="FI786" s="2494" t="str">
        <f t="shared" si="143"/>
        <v/>
      </c>
      <c r="FJ786" s="2494" t="str">
        <f t="shared" si="144"/>
        <v/>
      </c>
      <c r="FK786" s="2494" t="str">
        <f t="shared" si="145"/>
        <v/>
      </c>
      <c r="FL786" s="2494" t="str">
        <f t="shared" si="146"/>
        <v/>
      </c>
      <c r="FM786" s="2494" t="str">
        <f t="shared" si="147"/>
        <v/>
      </c>
      <c r="FN786" s="2494" t="str">
        <f t="shared" si="148"/>
        <v/>
      </c>
      <c r="FO786" s="2494" t="str">
        <f t="shared" si="149"/>
        <v/>
      </c>
      <c r="FP786" s="2494" t="str">
        <f t="shared" si="150"/>
        <v/>
      </c>
      <c r="FQ786" s="2494" t="str">
        <f t="shared" si="151"/>
        <v/>
      </c>
      <c r="FR786" s="2494" t="str">
        <f t="shared" si="152"/>
        <v/>
      </c>
      <c r="FS786" s="2494" t="str">
        <f t="shared" si="153"/>
        <v/>
      </c>
      <c r="FT786" s="2494" t="str">
        <f t="shared" si="154"/>
        <v/>
      </c>
      <c r="FU786" s="2494" t="str">
        <f t="shared" si="155"/>
        <v/>
      </c>
      <c r="FV786" s="2494" t="str">
        <f t="shared" si="156"/>
        <v/>
      </c>
      <c r="FW786" s="2494" t="str">
        <f t="shared" si="157"/>
        <v/>
      </c>
      <c r="FX786" s="2494" t="str">
        <f t="shared" si="158"/>
        <v/>
      </c>
      <c r="FY786" s="2494" t="str">
        <f t="shared" si="159"/>
        <v/>
      </c>
      <c r="FZ786" s="2494" t="str">
        <f t="shared" si="160"/>
        <v/>
      </c>
      <c r="GA786" s="2494" t="str">
        <f t="shared" si="161"/>
        <v/>
      </c>
      <c r="GB786" s="2494" t="str">
        <f t="shared" si="162"/>
        <v/>
      </c>
      <c r="GC786" s="2494" t="str">
        <f t="shared" si="163"/>
        <v/>
      </c>
      <c r="GD786" s="2494" t="str">
        <f t="shared" si="164"/>
        <v/>
      </c>
      <c r="GE786" s="2494" t="str">
        <f t="shared" si="165"/>
        <v/>
      </c>
      <c r="GF786" s="2494" t="str">
        <f t="shared" si="166"/>
        <v/>
      </c>
      <c r="GG786" s="2494" t="str">
        <f t="shared" si="167"/>
        <v/>
      </c>
      <c r="GH786" s="2494">
        <f t="shared" si="168"/>
        <v>18</v>
      </c>
      <c r="GI786" s="2494" t="str">
        <f t="shared" si="169"/>
        <v/>
      </c>
      <c r="GJ786" s="2494" t="str">
        <f t="shared" si="170"/>
        <v/>
      </c>
      <c r="GK786" s="2494" t="str">
        <f t="shared" si="171"/>
        <v/>
      </c>
      <c r="GL786" s="2494" t="str">
        <f t="shared" si="172"/>
        <v/>
      </c>
      <c r="GM786" s="2494" t="str">
        <f t="shared" si="173"/>
        <v/>
      </c>
      <c r="GN786" s="2494" t="str">
        <f t="shared" si="174"/>
        <v/>
      </c>
      <c r="GO786" s="2494" t="str">
        <f t="shared" si="175"/>
        <v/>
      </c>
      <c r="GP786" s="2494" t="str">
        <f t="shared" si="176"/>
        <v/>
      </c>
      <c r="GQ786" s="2494" t="str">
        <f t="shared" si="177"/>
        <v/>
      </c>
      <c r="GR786" s="2494" t="str">
        <f t="shared" si="178"/>
        <v/>
      </c>
      <c r="GS786" s="2494" t="str">
        <f t="shared" si="179"/>
        <v/>
      </c>
      <c r="GT786" s="2494" t="str">
        <f t="shared" si="180"/>
        <v/>
      </c>
      <c r="GU786" s="2494" t="str">
        <f t="shared" si="181"/>
        <v/>
      </c>
      <c r="GV786" s="2494" t="str">
        <f t="shared" si="182"/>
        <v/>
      </c>
      <c r="GW786" s="2494" t="str">
        <f t="shared" si="183"/>
        <v/>
      </c>
      <c r="GX786" s="2494" t="str">
        <f t="shared" si="184"/>
        <v/>
      </c>
      <c r="GY786" s="2494" t="str">
        <f t="shared" si="185"/>
        <v/>
      </c>
      <c r="GZ786" s="2494" t="str">
        <f t="shared" si="186"/>
        <v/>
      </c>
      <c r="HA786" s="2494" t="str">
        <f t="shared" si="187"/>
        <v/>
      </c>
      <c r="HB786" s="2494" t="str">
        <f t="shared" si="188"/>
        <v/>
      </c>
      <c r="HC786" s="2494" t="str">
        <f t="shared" si="189"/>
        <v/>
      </c>
      <c r="HD786" s="2494" t="str">
        <f t="shared" si="190"/>
        <v/>
      </c>
      <c r="HE786" s="2494" t="str">
        <f t="shared" si="191"/>
        <v/>
      </c>
      <c r="HF786" s="2494" t="str">
        <f t="shared" si="192"/>
        <v/>
      </c>
      <c r="HG786" s="2494" t="str">
        <f t="shared" si="193"/>
        <v/>
      </c>
      <c r="HH786" s="2494" t="str">
        <f t="shared" si="194"/>
        <v/>
      </c>
      <c r="HI786" s="2494" t="str">
        <f t="shared" si="195"/>
        <v/>
      </c>
      <c r="HJ786" s="2494" t="str">
        <f t="shared" si="196"/>
        <v/>
      </c>
      <c r="HK786" s="2494" t="str">
        <f t="shared" si="197"/>
        <v/>
      </c>
      <c r="HL786" s="2494" t="str">
        <f t="shared" si="198"/>
        <v/>
      </c>
      <c r="HM786" s="2494" t="str">
        <f t="shared" si="199"/>
        <v/>
      </c>
      <c r="HN786" s="2494" t="str">
        <f t="shared" si="200"/>
        <v/>
      </c>
      <c r="HO786" s="2494" t="str">
        <f t="shared" si="201"/>
        <v/>
      </c>
      <c r="HP786" s="2494" t="str">
        <f t="shared" si="202"/>
        <v/>
      </c>
      <c r="HQ786" s="2494" t="str">
        <f t="shared" si="203"/>
        <v/>
      </c>
      <c r="HR786" s="2494" t="str">
        <f t="shared" si="204"/>
        <v/>
      </c>
      <c r="HS786" s="2494" t="str">
        <f t="shared" si="205"/>
        <v/>
      </c>
      <c r="HT786" s="2494" t="str">
        <f t="shared" si="206"/>
        <v/>
      </c>
      <c r="HU786" s="2494" t="str">
        <f t="shared" si="207"/>
        <v/>
      </c>
      <c r="HV786" s="2494" t="str">
        <f t="shared" si="208"/>
        <v/>
      </c>
      <c r="HW786" s="2494" t="str">
        <f t="shared" si="209"/>
        <v/>
      </c>
      <c r="HX786" s="2494" t="str">
        <f t="shared" si="210"/>
        <v/>
      </c>
      <c r="HY786" s="2494" t="str">
        <f t="shared" si="211"/>
        <v/>
      </c>
      <c r="HZ786" s="2672" t="str">
        <f t="shared" si="212"/>
        <v/>
      </c>
      <c r="IA786" s="2672">
        <f t="shared" si="213"/>
        <v>18</v>
      </c>
      <c r="IB786" s="2672" t="str">
        <f t="shared" si="214"/>
        <v/>
      </c>
      <c r="IC786" s="2672" t="str">
        <f t="shared" si="215"/>
        <v/>
      </c>
      <c r="ID786" s="2672" t="str">
        <f t="shared" si="216"/>
        <v/>
      </c>
      <c r="IE786" s="2672" t="str">
        <f t="shared" si="217"/>
        <v/>
      </c>
      <c r="IF786" s="2672" t="str">
        <f t="shared" si="218"/>
        <v/>
      </c>
      <c r="IG786" s="2672" t="str">
        <f t="shared" si="219"/>
        <v/>
      </c>
      <c r="IH786" s="2672" t="str">
        <f t="shared" si="220"/>
        <v/>
      </c>
      <c r="II786" s="2672" t="str">
        <f t="shared" si="221"/>
        <v/>
      </c>
      <c r="IJ786" s="2672" t="str">
        <f t="shared" si="222"/>
        <v/>
      </c>
      <c r="IK786" s="2672" t="str">
        <f t="shared" si="223"/>
        <v/>
      </c>
      <c r="IL786" s="2672" t="str">
        <f t="shared" si="224"/>
        <v/>
      </c>
      <c r="IM786" s="2672" t="str">
        <f t="shared" si="225"/>
        <v/>
      </c>
      <c r="IN786" s="2672" t="str">
        <f t="shared" si="226"/>
        <v/>
      </c>
      <c r="IO786" s="2672" t="str">
        <f t="shared" si="227"/>
        <v/>
      </c>
      <c r="IP786" s="2672" t="str">
        <f t="shared" si="228"/>
        <v/>
      </c>
      <c r="IQ786" s="2672" t="str">
        <f t="shared" si="229"/>
        <v/>
      </c>
      <c r="IR786" s="2672" t="str">
        <f t="shared" si="230"/>
        <v/>
      </c>
      <c r="IS786" s="2672" t="str">
        <f t="shared" si="231"/>
        <v/>
      </c>
      <c r="IT786" s="2672" t="str">
        <f t="shared" si="232"/>
        <v/>
      </c>
      <c r="IU786" s="2672" t="str">
        <f t="shared" si="233"/>
        <v/>
      </c>
      <c r="IV786" s="2672" t="str">
        <f t="shared" si="234"/>
        <v/>
      </c>
      <c r="IW786" s="2672" t="str">
        <f t="shared" si="235"/>
        <v/>
      </c>
      <c r="IX786" s="2672" t="str">
        <f t="shared" si="236"/>
        <v/>
      </c>
      <c r="IY786" s="2672" t="str">
        <f t="shared" si="237"/>
        <v/>
      </c>
      <c r="IZ786" s="2672" t="str">
        <f t="shared" si="238"/>
        <v/>
      </c>
      <c r="JA786" s="2672" t="str">
        <f t="shared" si="239"/>
        <v/>
      </c>
      <c r="JB786" s="2672" t="str">
        <f t="shared" si="240"/>
        <v/>
      </c>
      <c r="JC786" s="2672" t="str">
        <f t="shared" si="241"/>
        <v/>
      </c>
      <c r="JD786" s="2672" t="str">
        <f t="shared" si="242"/>
        <v/>
      </c>
      <c r="JE786" s="2672" t="str">
        <f t="shared" si="243"/>
        <v/>
      </c>
      <c r="JF786" s="2672" t="str">
        <f t="shared" si="244"/>
        <v/>
      </c>
      <c r="JG786" s="2672" t="str">
        <f t="shared" si="245"/>
        <v/>
      </c>
      <c r="JH786" s="2672" t="str">
        <f t="shared" si="246"/>
        <v/>
      </c>
      <c r="JI786" s="2672" t="str">
        <f t="shared" si="247"/>
        <v/>
      </c>
      <c r="JJ786" s="2672" t="str">
        <f t="shared" si="248"/>
        <v/>
      </c>
      <c r="JK786" s="2672" t="str">
        <f t="shared" si="249"/>
        <v/>
      </c>
      <c r="JL786" s="2672" t="str">
        <f t="shared" si="250"/>
        <v/>
      </c>
      <c r="JM786" s="2672" t="str">
        <f t="shared" si="251"/>
        <v/>
      </c>
      <c r="JN786" s="2672" t="str">
        <f t="shared" si="252"/>
        <v/>
      </c>
      <c r="JO786" s="2672" t="str">
        <f t="shared" si="253"/>
        <v/>
      </c>
      <c r="JP786" s="2672" t="str">
        <f t="shared" si="254"/>
        <v/>
      </c>
      <c r="JQ786" s="2672" t="str">
        <f t="shared" si="255"/>
        <v/>
      </c>
      <c r="JR786" s="2672" t="str">
        <f t="shared" si="256"/>
        <v/>
      </c>
      <c r="JS786" s="2672" t="str">
        <f t="shared" si="257"/>
        <v/>
      </c>
      <c r="JT786" s="2672" t="str">
        <f t="shared" si="258"/>
        <v/>
      </c>
      <c r="JU786" s="2672" t="str">
        <f t="shared" si="259"/>
        <v/>
      </c>
      <c r="JV786" s="2672" t="str">
        <f t="shared" si="260"/>
        <v/>
      </c>
      <c r="JW786" s="2672" t="str">
        <f t="shared" si="261"/>
        <v/>
      </c>
      <c r="JX786" s="2672" t="str">
        <f t="shared" si="262"/>
        <v/>
      </c>
      <c r="JY786" s="2672" t="str">
        <f t="shared" si="263"/>
        <v/>
      </c>
      <c r="JZ786" s="2672" t="str">
        <f t="shared" si="264"/>
        <v/>
      </c>
      <c r="KA786" s="2672" t="str">
        <f t="shared" si="265"/>
        <v/>
      </c>
      <c r="KB786" s="2672" t="str">
        <f t="shared" si="266"/>
        <v/>
      </c>
      <c r="KC786" s="2672" t="str">
        <f t="shared" si="267"/>
        <v/>
      </c>
      <c r="KD786" s="2672" t="str">
        <f t="shared" si="268"/>
        <v/>
      </c>
      <c r="KE786" s="2672" t="str">
        <f t="shared" si="269"/>
        <v/>
      </c>
      <c r="KF786" s="2672" t="str">
        <f t="shared" si="270"/>
        <v/>
      </c>
      <c r="KG786" s="2672" t="str">
        <f t="shared" si="271"/>
        <v/>
      </c>
      <c r="KH786" s="2672" t="str">
        <f t="shared" si="272"/>
        <v/>
      </c>
      <c r="KI786" s="2672" t="str">
        <f t="shared" si="273"/>
        <v/>
      </c>
      <c r="KJ786" s="2672" t="str">
        <f t="shared" si="274"/>
        <v/>
      </c>
      <c r="KK786" s="2672" t="str">
        <f t="shared" si="275"/>
        <v/>
      </c>
      <c r="KL786" s="2672" t="str">
        <f t="shared" si="276"/>
        <v/>
      </c>
      <c r="KM786" s="2672" t="str">
        <f t="shared" si="277"/>
        <v/>
      </c>
      <c r="KN786" s="2672" t="str">
        <f t="shared" si="278"/>
        <v/>
      </c>
      <c r="KO786" s="2672" t="str">
        <f t="shared" si="279"/>
        <v/>
      </c>
      <c r="KP786" s="2672" t="str">
        <f t="shared" si="280"/>
        <v/>
      </c>
      <c r="KQ786" s="2672" t="str">
        <f t="shared" si="281"/>
        <v/>
      </c>
      <c r="KR786" s="2672" t="str">
        <f t="shared" si="282"/>
        <v/>
      </c>
      <c r="KS786" s="2672" t="str">
        <f t="shared" si="283"/>
        <v/>
      </c>
      <c r="KT786" s="2672" t="str">
        <f t="shared" si="284"/>
        <v/>
      </c>
      <c r="KU786" s="2672" t="str">
        <f t="shared" si="285"/>
        <v/>
      </c>
      <c r="KV786" s="2672" t="str">
        <f t="shared" si="286"/>
        <v/>
      </c>
      <c r="KW786" s="2672" t="str">
        <f t="shared" si="287"/>
        <v/>
      </c>
      <c r="KX786" s="2672">
        <f t="shared" si="288"/>
        <v>18</v>
      </c>
      <c r="KY786" s="2672" t="str">
        <f t="shared" si="289"/>
        <v/>
      </c>
      <c r="KZ786" s="2672" t="str">
        <f t="shared" si="290"/>
        <v/>
      </c>
      <c r="LA786" s="2672" t="str">
        <f t="shared" si="291"/>
        <v/>
      </c>
      <c r="LB786" s="2672" t="str">
        <f t="shared" si="292"/>
        <v/>
      </c>
      <c r="LC786" s="2672" t="str">
        <f t="shared" si="293"/>
        <v/>
      </c>
      <c r="LD786" s="2672" t="str">
        <f t="shared" si="294"/>
        <v/>
      </c>
      <c r="LE786" s="2672" t="str">
        <f t="shared" si="295"/>
        <v/>
      </c>
      <c r="LF786" s="2672" t="str">
        <f t="shared" si="296"/>
        <v/>
      </c>
      <c r="LG786" s="2672" t="str">
        <f t="shared" si="297"/>
        <v/>
      </c>
      <c r="LH786" s="2672" t="str">
        <f t="shared" si="298"/>
        <v/>
      </c>
      <c r="LI786" s="2672" t="str">
        <f t="shared" si="299"/>
        <v/>
      </c>
      <c r="LJ786" s="2672" t="str">
        <f t="shared" si="300"/>
        <v/>
      </c>
      <c r="LK786" s="2672" t="str">
        <f t="shared" si="301"/>
        <v/>
      </c>
      <c r="LL786" s="2672" t="str">
        <f t="shared" si="302"/>
        <v/>
      </c>
      <c r="LM786" s="2672" t="str">
        <f t="shared" si="303"/>
        <v/>
      </c>
      <c r="LN786" s="2672" t="str">
        <f t="shared" si="304"/>
        <v/>
      </c>
      <c r="LO786" s="2672" t="str">
        <f t="shared" si="305"/>
        <v/>
      </c>
      <c r="LP786" s="2672" t="str">
        <f t="shared" si="306"/>
        <v/>
      </c>
      <c r="LQ786" s="2613" t="str">
        <f t="shared" si="307"/>
        <v/>
      </c>
      <c r="LR786" s="2613" t="str">
        <f t="shared" si="308"/>
        <v/>
      </c>
      <c r="LS786" s="2613" t="str">
        <f t="shared" si="309"/>
        <v/>
      </c>
      <c r="LT786" s="2613" t="str">
        <f t="shared" si="310"/>
        <v/>
      </c>
      <c r="LU786" s="2613" t="str">
        <f t="shared" si="311"/>
        <v/>
      </c>
      <c r="LV786" s="2494" t="str">
        <f t="shared" si="312"/>
        <v/>
      </c>
      <c r="LW786" s="2494" t="str">
        <f t="shared" si="313"/>
        <v/>
      </c>
      <c r="LX786" s="2494" t="str">
        <f t="shared" si="314"/>
        <v/>
      </c>
      <c r="LY786" s="2494" t="str">
        <f t="shared" si="315"/>
        <v/>
      </c>
      <c r="LZ786" s="2494" t="str">
        <f t="shared" si="316"/>
        <v/>
      </c>
      <c r="MA786" s="2494" t="str">
        <f t="shared" si="317"/>
        <v/>
      </c>
      <c r="MB786" s="2494" t="str">
        <f t="shared" si="318"/>
        <v/>
      </c>
      <c r="MC786" s="2494" t="str">
        <f t="shared" si="319"/>
        <v/>
      </c>
      <c r="MD786" s="2494" t="str">
        <f t="shared" si="320"/>
        <v/>
      </c>
      <c r="ME786" s="2494" t="str">
        <f t="shared" si="321"/>
        <v/>
      </c>
      <c r="MF786" s="2494" t="str">
        <f t="shared" si="322"/>
        <v/>
      </c>
      <c r="MG786" s="2494" t="str">
        <f t="shared" si="323"/>
        <v/>
      </c>
      <c r="MH786" s="2494" t="str">
        <f t="shared" si="324"/>
        <v/>
      </c>
      <c r="MI786" s="2494" t="str">
        <f t="shared" si="325"/>
        <v/>
      </c>
      <c r="MJ786" s="2494" t="str">
        <f t="shared" si="326"/>
        <v/>
      </c>
      <c r="MK786" s="2494" t="str">
        <f t="shared" si="327"/>
        <v/>
      </c>
      <c r="ML786" s="2494" t="str">
        <f t="shared" si="328"/>
        <v/>
      </c>
      <c r="MM786" s="2494" t="str">
        <f t="shared" si="329"/>
        <v/>
      </c>
      <c r="MN786" s="2494" t="str">
        <f t="shared" si="330"/>
        <v/>
      </c>
      <c r="MO786" s="2494" t="str">
        <f t="shared" si="331"/>
        <v/>
      </c>
      <c r="MP786" s="2613">
        <f t="shared" si="338"/>
        <v>0</v>
      </c>
      <c r="MQ786" s="2613">
        <f t="shared" si="339"/>
        <v>0</v>
      </c>
      <c r="MR786" s="2613">
        <f t="shared" si="340"/>
        <v>0</v>
      </c>
      <c r="MS786" s="2613">
        <f t="shared" si="341"/>
        <v>0</v>
      </c>
      <c r="MT786" s="2613">
        <f t="shared" si="342"/>
        <v>0</v>
      </c>
      <c r="MU786" s="2613">
        <f t="shared" si="343"/>
        <v>0</v>
      </c>
      <c r="MV786" s="2613">
        <f t="shared" si="344"/>
        <v>18</v>
      </c>
      <c r="MW786" s="2613">
        <f t="shared" si="345"/>
        <v>0</v>
      </c>
      <c r="MX786" s="2613">
        <f t="shared" si="346"/>
        <v>0</v>
      </c>
      <c r="MY786" s="2613">
        <f t="shared" si="347"/>
        <v>0</v>
      </c>
      <c r="MZ786" s="2613">
        <f t="shared" si="332"/>
        <v>0</v>
      </c>
      <c r="NA786" s="2613">
        <f t="shared" si="333"/>
        <v>0</v>
      </c>
      <c r="NB786" s="2613">
        <f t="shared" si="334"/>
        <v>0</v>
      </c>
      <c r="NC786" s="2613">
        <f t="shared" si="335"/>
        <v>0</v>
      </c>
      <c r="ND786" s="2613">
        <f t="shared" si="336"/>
        <v>0</v>
      </c>
    </row>
    <row r="787" spans="1:368" ht="13.8" customHeight="1">
      <c r="A787" s="2652" t="str">
        <f t="shared" si="337"/>
        <v/>
      </c>
      <c r="B787" s="2664">
        <f>'Part VI-Revenues &amp; Expenses'!B18</f>
        <v>60</v>
      </c>
      <c r="C787" s="2665">
        <f>'Part VI-Revenues &amp; Expenses'!C18</f>
        <v>2</v>
      </c>
      <c r="D787" s="2666">
        <f>'Part VI-Revenues &amp; Expenses'!D18</f>
        <v>2</v>
      </c>
      <c r="E787" s="2667">
        <f>'Part VI-Revenues &amp; Expenses'!E18</f>
        <v>106</v>
      </c>
      <c r="F787" s="2667">
        <f>'Part VI-Revenues &amp; Expenses'!F18</f>
        <v>1075</v>
      </c>
      <c r="G787" s="2667">
        <f>'Part VI-Revenues &amp; Expenses'!G18</f>
        <v>933</v>
      </c>
      <c r="H787" s="2667">
        <f>'Part VI-Revenues &amp; Expenses'!H18</f>
        <v>933</v>
      </c>
      <c r="I787" s="2667">
        <f>'Part VI-Revenues &amp; Expenses'!I18</f>
        <v>0</v>
      </c>
      <c r="J787" s="2667">
        <f>'Part VI-Revenues &amp; Expenses'!J18</f>
        <v>141</v>
      </c>
      <c r="K787" s="2668">
        <f>'Part VI-Revenues &amp; Expenses'!K18</f>
        <v>0</v>
      </c>
      <c r="L787" s="2669">
        <f t="shared" si="0"/>
        <v>792</v>
      </c>
      <c r="M787" s="2669">
        <f t="shared" si="1"/>
        <v>83952</v>
      </c>
      <c r="N787" s="2545" t="str">
        <f>'Part VI-Revenues &amp; Expenses'!N18</f>
        <v>No</v>
      </c>
      <c r="O787" s="2545" t="str">
        <f>'Part VI-Revenues &amp; Expenses'!O18</f>
        <v>3+ Story</v>
      </c>
      <c r="P787" s="2545" t="str">
        <f>'Part VI-Revenues &amp; Expenses'!P18</f>
        <v>New Construction</v>
      </c>
      <c r="Q787" s="2251" t="str">
        <f>'Part VI-Revenues &amp; Expenses'!Q18</f>
        <v>No</v>
      </c>
      <c r="R787" s="2670"/>
      <c r="S787" s="2671"/>
      <c r="T787" s="2607"/>
      <c r="U787" s="2607"/>
      <c r="V787" s="2607"/>
      <c r="W787" s="2607"/>
      <c r="X787" s="2494" t="str">
        <f t="shared" si="2"/>
        <v/>
      </c>
      <c r="Y787" s="2494" t="str">
        <f t="shared" si="3"/>
        <v/>
      </c>
      <c r="Z787" s="2494" t="str">
        <f t="shared" si="4"/>
        <v/>
      </c>
      <c r="AA787" s="2494" t="str">
        <f t="shared" si="5"/>
        <v/>
      </c>
      <c r="AB787" s="2494" t="str">
        <f t="shared" si="6"/>
        <v/>
      </c>
      <c r="AC787" s="2494" t="str">
        <f t="shared" si="7"/>
        <v/>
      </c>
      <c r="AD787" s="2494" t="str">
        <f t="shared" si="8"/>
        <v/>
      </c>
      <c r="AE787" s="2494" t="str">
        <f t="shared" si="9"/>
        <v/>
      </c>
      <c r="AF787" s="2494" t="str">
        <f t="shared" si="10"/>
        <v/>
      </c>
      <c r="AG787" s="2494" t="str">
        <f t="shared" si="11"/>
        <v/>
      </c>
      <c r="AH787" s="2494" t="str">
        <f t="shared" si="12"/>
        <v/>
      </c>
      <c r="AI787" s="2494" t="str">
        <f t="shared" si="13"/>
        <v/>
      </c>
      <c r="AJ787" s="2494">
        <f t="shared" si="14"/>
        <v>106</v>
      </c>
      <c r="AK787" s="2494" t="str">
        <f t="shared" si="15"/>
        <v/>
      </c>
      <c r="AL787" s="2494" t="str">
        <f t="shared" si="16"/>
        <v/>
      </c>
      <c r="AM787" s="2494" t="str">
        <f t="shared" si="17"/>
        <v/>
      </c>
      <c r="AN787" s="2494" t="str">
        <f t="shared" si="18"/>
        <v/>
      </c>
      <c r="AO787" s="2494" t="str">
        <f t="shared" si="19"/>
        <v/>
      </c>
      <c r="AP787" s="2494" t="str">
        <f t="shared" si="20"/>
        <v/>
      </c>
      <c r="AQ787" s="2494" t="str">
        <f t="shared" si="21"/>
        <v/>
      </c>
      <c r="AR787" s="2494" t="str">
        <f t="shared" si="22"/>
        <v/>
      </c>
      <c r="AS787" s="2494" t="str">
        <f t="shared" si="23"/>
        <v/>
      </c>
      <c r="AT787" s="2494" t="str">
        <f t="shared" si="24"/>
        <v/>
      </c>
      <c r="AU787" s="2494" t="str">
        <f t="shared" si="25"/>
        <v/>
      </c>
      <c r="AV787" s="2494" t="str">
        <f t="shared" si="26"/>
        <v/>
      </c>
      <c r="AW787" s="2494" t="str">
        <f t="shared" si="27"/>
        <v/>
      </c>
      <c r="AX787" s="2494" t="str">
        <f t="shared" si="28"/>
        <v/>
      </c>
      <c r="AY787" s="2494" t="str">
        <f t="shared" si="29"/>
        <v/>
      </c>
      <c r="AZ787" s="2494" t="str">
        <f t="shared" si="30"/>
        <v/>
      </c>
      <c r="BA787" s="2494" t="str">
        <f t="shared" si="31"/>
        <v/>
      </c>
      <c r="BB787" s="2494" t="str">
        <f t="shared" si="32"/>
        <v/>
      </c>
      <c r="BC787" s="2494" t="str">
        <f t="shared" si="33"/>
        <v/>
      </c>
      <c r="BD787" s="2494" t="str">
        <f t="shared" si="34"/>
        <v/>
      </c>
      <c r="BE787" s="2494" t="str">
        <f t="shared" si="35"/>
        <v/>
      </c>
      <c r="BF787" s="2494" t="str">
        <f t="shared" si="36"/>
        <v/>
      </c>
      <c r="BG787" s="2494" t="str">
        <f t="shared" si="37"/>
        <v/>
      </c>
      <c r="BH787" s="2494" t="str">
        <f t="shared" si="38"/>
        <v/>
      </c>
      <c r="BI787" s="2494" t="str">
        <f t="shared" si="39"/>
        <v/>
      </c>
      <c r="BJ787" s="2494" t="str">
        <f t="shared" si="40"/>
        <v/>
      </c>
      <c r="BK787" s="2494" t="str">
        <f t="shared" si="41"/>
        <v/>
      </c>
      <c r="BL787" s="2494" t="str">
        <f t="shared" si="42"/>
        <v/>
      </c>
      <c r="BM787" s="2494" t="str">
        <f t="shared" si="43"/>
        <v/>
      </c>
      <c r="BN787" s="2494" t="str">
        <f t="shared" si="44"/>
        <v/>
      </c>
      <c r="BO787" s="2494" t="str">
        <f t="shared" si="45"/>
        <v/>
      </c>
      <c r="BP787" s="2494" t="str">
        <f t="shared" si="46"/>
        <v/>
      </c>
      <c r="BQ787" s="2494" t="str">
        <f t="shared" si="47"/>
        <v/>
      </c>
      <c r="BR787" s="2494" t="str">
        <f t="shared" si="48"/>
        <v/>
      </c>
      <c r="BS787" s="2494" t="str">
        <f t="shared" si="49"/>
        <v/>
      </c>
      <c r="BT787" s="2494" t="str">
        <f t="shared" si="50"/>
        <v/>
      </c>
      <c r="BU787" s="2494" t="str">
        <f t="shared" si="51"/>
        <v/>
      </c>
      <c r="BV787" s="2494" t="str">
        <f t="shared" si="52"/>
        <v/>
      </c>
      <c r="BW787" s="2494" t="str">
        <f t="shared" si="53"/>
        <v/>
      </c>
      <c r="BX787" s="2494" t="str">
        <f t="shared" si="54"/>
        <v/>
      </c>
      <c r="BY787" s="2494" t="str">
        <f t="shared" si="55"/>
        <v/>
      </c>
      <c r="BZ787" s="2494" t="str">
        <f t="shared" si="56"/>
        <v/>
      </c>
      <c r="CA787" s="2494" t="str">
        <f t="shared" si="57"/>
        <v/>
      </c>
      <c r="CB787" s="2494" t="str">
        <f t="shared" si="58"/>
        <v/>
      </c>
      <c r="CC787" s="2494" t="str">
        <f t="shared" si="59"/>
        <v/>
      </c>
      <c r="CD787" s="2494" t="str">
        <f t="shared" si="60"/>
        <v/>
      </c>
      <c r="CE787" s="2494" t="str">
        <f t="shared" si="61"/>
        <v/>
      </c>
      <c r="CF787" s="2494" t="str">
        <f t="shared" si="62"/>
        <v/>
      </c>
      <c r="CG787" s="2494" t="str">
        <f t="shared" si="63"/>
        <v/>
      </c>
      <c r="CH787" s="2494" t="str">
        <f t="shared" si="64"/>
        <v/>
      </c>
      <c r="CI787" s="2494" t="str">
        <f t="shared" si="65"/>
        <v/>
      </c>
      <c r="CJ787" s="2494" t="str">
        <f t="shared" si="66"/>
        <v/>
      </c>
      <c r="CK787" s="2494" t="str">
        <f t="shared" si="67"/>
        <v/>
      </c>
      <c r="CL787" s="2494" t="str">
        <f t="shared" si="68"/>
        <v/>
      </c>
      <c r="CM787" s="2494" t="str">
        <f t="shared" si="69"/>
        <v/>
      </c>
      <c r="CN787" s="2494" t="str">
        <f t="shared" si="70"/>
        <v/>
      </c>
      <c r="CO787" s="2494" t="str">
        <f t="shared" si="71"/>
        <v/>
      </c>
      <c r="CP787" s="2494" t="str">
        <f t="shared" si="72"/>
        <v/>
      </c>
      <c r="CQ787" s="2494" t="str">
        <f t="shared" si="73"/>
        <v/>
      </c>
      <c r="CR787" s="2494" t="str">
        <f t="shared" si="74"/>
        <v/>
      </c>
      <c r="CS787" s="2494" t="str">
        <f t="shared" si="75"/>
        <v/>
      </c>
      <c r="CT787" s="2494" t="str">
        <f t="shared" si="76"/>
        <v/>
      </c>
      <c r="CU787" s="2494" t="str">
        <f t="shared" si="77"/>
        <v/>
      </c>
      <c r="CV787" s="2494" t="str">
        <f t="shared" si="78"/>
        <v/>
      </c>
      <c r="CW787" s="2494" t="str">
        <f t="shared" si="79"/>
        <v/>
      </c>
      <c r="CX787" s="2494" t="str">
        <f t="shared" si="80"/>
        <v/>
      </c>
      <c r="CY787" s="2494" t="str">
        <f t="shared" si="81"/>
        <v/>
      </c>
      <c r="CZ787" s="2494" t="str">
        <f t="shared" si="82"/>
        <v/>
      </c>
      <c r="DA787" s="2494" t="str">
        <f t="shared" si="83"/>
        <v/>
      </c>
      <c r="DB787" s="2494" t="str">
        <f t="shared" si="84"/>
        <v/>
      </c>
      <c r="DC787" s="2494" t="str">
        <f t="shared" si="85"/>
        <v/>
      </c>
      <c r="DD787" s="2494" t="str">
        <f t="shared" si="86"/>
        <v/>
      </c>
      <c r="DE787" s="2494" t="str">
        <f t="shared" si="87"/>
        <v/>
      </c>
      <c r="DF787" s="2494" t="str">
        <f t="shared" si="88"/>
        <v/>
      </c>
      <c r="DG787" s="2494" t="str">
        <f t="shared" si="89"/>
        <v/>
      </c>
      <c r="DH787" s="2494" t="str">
        <f t="shared" si="90"/>
        <v/>
      </c>
      <c r="DI787" s="2494" t="str">
        <f t="shared" si="91"/>
        <v/>
      </c>
      <c r="DJ787" s="2494" t="str">
        <f t="shared" si="92"/>
        <v/>
      </c>
      <c r="DK787" s="2494" t="str">
        <f t="shared" si="93"/>
        <v/>
      </c>
      <c r="DL787" s="2494" t="str">
        <f t="shared" si="94"/>
        <v/>
      </c>
      <c r="DM787" s="2494" t="str">
        <f t="shared" si="95"/>
        <v/>
      </c>
      <c r="DN787" s="2494" t="str">
        <f t="shared" si="96"/>
        <v/>
      </c>
      <c r="DO787" s="2494" t="str">
        <f t="shared" si="97"/>
        <v/>
      </c>
      <c r="DP787" s="2494" t="str">
        <f t="shared" si="98"/>
        <v/>
      </c>
      <c r="DQ787" s="2494" t="str">
        <f t="shared" si="99"/>
        <v/>
      </c>
      <c r="DR787" s="2494" t="str">
        <f t="shared" si="100"/>
        <v/>
      </c>
      <c r="DS787" s="2494" t="str">
        <f t="shared" si="101"/>
        <v/>
      </c>
      <c r="DT787" s="2494" t="str">
        <f t="shared" si="102"/>
        <v/>
      </c>
      <c r="DU787" s="2494" t="str">
        <f t="shared" si="103"/>
        <v/>
      </c>
      <c r="DV787" s="2494" t="str">
        <f t="shared" si="104"/>
        <v/>
      </c>
      <c r="DW787" s="2494" t="str">
        <f t="shared" si="105"/>
        <v/>
      </c>
      <c r="DX787" s="2494" t="str">
        <f t="shared" si="106"/>
        <v/>
      </c>
      <c r="DY787" s="2494" t="str">
        <f t="shared" si="107"/>
        <v/>
      </c>
      <c r="DZ787" s="2494" t="str">
        <f t="shared" si="108"/>
        <v/>
      </c>
      <c r="EA787" s="2494" t="str">
        <f t="shared" si="109"/>
        <v/>
      </c>
      <c r="EB787" s="2494" t="str">
        <f t="shared" si="110"/>
        <v/>
      </c>
      <c r="EC787" s="2494" t="str">
        <f t="shared" si="111"/>
        <v/>
      </c>
      <c r="ED787" s="2494" t="str">
        <f t="shared" si="112"/>
        <v/>
      </c>
      <c r="EE787" s="2494" t="str">
        <f t="shared" si="113"/>
        <v/>
      </c>
      <c r="EF787" s="2494" t="str">
        <f t="shared" si="114"/>
        <v/>
      </c>
      <c r="EG787" s="2494" t="str">
        <f t="shared" si="115"/>
        <v/>
      </c>
      <c r="EH787" s="2494" t="str">
        <f t="shared" si="116"/>
        <v/>
      </c>
      <c r="EI787" s="2494" t="str">
        <f t="shared" si="117"/>
        <v/>
      </c>
      <c r="EJ787" s="2494" t="str">
        <f t="shared" si="118"/>
        <v/>
      </c>
      <c r="EK787" s="2494" t="str">
        <f t="shared" si="119"/>
        <v/>
      </c>
      <c r="EL787" s="2494" t="str">
        <f t="shared" si="120"/>
        <v/>
      </c>
      <c r="EM787" s="2494" t="str">
        <f t="shared" si="121"/>
        <v/>
      </c>
      <c r="EN787" s="2494" t="str">
        <f t="shared" si="122"/>
        <v/>
      </c>
      <c r="EO787" s="2494" t="str">
        <f t="shared" si="123"/>
        <v/>
      </c>
      <c r="EP787" s="2494" t="str">
        <f t="shared" si="124"/>
        <v/>
      </c>
      <c r="EQ787" s="2494" t="str">
        <f t="shared" si="125"/>
        <v/>
      </c>
      <c r="ER787" s="2494" t="str">
        <f t="shared" si="126"/>
        <v/>
      </c>
      <c r="ES787" s="2494" t="str">
        <f t="shared" si="127"/>
        <v/>
      </c>
      <c r="ET787" s="2494" t="str">
        <f t="shared" si="128"/>
        <v/>
      </c>
      <c r="EU787" s="2494">
        <f t="shared" si="129"/>
        <v>113950</v>
      </c>
      <c r="EV787" s="2494" t="str">
        <f t="shared" si="130"/>
        <v/>
      </c>
      <c r="EW787" s="2494" t="str">
        <f t="shared" si="131"/>
        <v/>
      </c>
      <c r="EX787" s="2494" t="str">
        <f t="shared" si="132"/>
        <v/>
      </c>
      <c r="EY787" s="2494" t="str">
        <f t="shared" si="133"/>
        <v/>
      </c>
      <c r="EZ787" s="2494" t="str">
        <f t="shared" si="134"/>
        <v/>
      </c>
      <c r="FA787" s="2494" t="str">
        <f t="shared" si="135"/>
        <v/>
      </c>
      <c r="FB787" s="2494" t="str">
        <f t="shared" si="136"/>
        <v/>
      </c>
      <c r="FC787" s="2494" t="str">
        <f t="shared" si="137"/>
        <v/>
      </c>
      <c r="FD787" s="2494" t="str">
        <f t="shared" si="138"/>
        <v/>
      </c>
      <c r="FE787" s="2494" t="str">
        <f t="shared" si="139"/>
        <v/>
      </c>
      <c r="FF787" s="2494" t="str">
        <f t="shared" si="140"/>
        <v/>
      </c>
      <c r="FG787" s="2494" t="str">
        <f t="shared" si="141"/>
        <v/>
      </c>
      <c r="FH787" s="2494" t="str">
        <f t="shared" si="142"/>
        <v/>
      </c>
      <c r="FI787" s="2494" t="str">
        <f t="shared" si="143"/>
        <v/>
      </c>
      <c r="FJ787" s="2494" t="str">
        <f t="shared" si="144"/>
        <v/>
      </c>
      <c r="FK787" s="2494" t="str">
        <f t="shared" si="145"/>
        <v/>
      </c>
      <c r="FL787" s="2494" t="str">
        <f t="shared" si="146"/>
        <v/>
      </c>
      <c r="FM787" s="2494" t="str">
        <f t="shared" si="147"/>
        <v/>
      </c>
      <c r="FN787" s="2494" t="str">
        <f t="shared" si="148"/>
        <v/>
      </c>
      <c r="FO787" s="2494" t="str">
        <f t="shared" si="149"/>
        <v/>
      </c>
      <c r="FP787" s="2494" t="str">
        <f t="shared" si="150"/>
        <v/>
      </c>
      <c r="FQ787" s="2494" t="str">
        <f t="shared" si="151"/>
        <v/>
      </c>
      <c r="FR787" s="2494" t="str">
        <f t="shared" si="152"/>
        <v/>
      </c>
      <c r="FS787" s="2494" t="str">
        <f t="shared" si="153"/>
        <v/>
      </c>
      <c r="FT787" s="2494" t="str">
        <f t="shared" si="154"/>
        <v/>
      </c>
      <c r="FU787" s="2494" t="str">
        <f t="shared" si="155"/>
        <v/>
      </c>
      <c r="FV787" s="2494" t="str">
        <f t="shared" si="156"/>
        <v/>
      </c>
      <c r="FW787" s="2494" t="str">
        <f t="shared" si="157"/>
        <v/>
      </c>
      <c r="FX787" s="2494" t="str">
        <f t="shared" si="158"/>
        <v/>
      </c>
      <c r="FY787" s="2494" t="str">
        <f t="shared" si="159"/>
        <v/>
      </c>
      <c r="FZ787" s="2494" t="str">
        <f t="shared" si="160"/>
        <v/>
      </c>
      <c r="GA787" s="2494" t="str">
        <f t="shared" si="161"/>
        <v/>
      </c>
      <c r="GB787" s="2494" t="str">
        <f t="shared" si="162"/>
        <v/>
      </c>
      <c r="GC787" s="2494" t="str">
        <f t="shared" si="163"/>
        <v/>
      </c>
      <c r="GD787" s="2494" t="str">
        <f t="shared" si="164"/>
        <v/>
      </c>
      <c r="GE787" s="2494" t="str">
        <f t="shared" si="165"/>
        <v/>
      </c>
      <c r="GF787" s="2494" t="str">
        <f t="shared" si="166"/>
        <v/>
      </c>
      <c r="GG787" s="2494" t="str">
        <f t="shared" si="167"/>
        <v/>
      </c>
      <c r="GH787" s="2494" t="str">
        <f t="shared" si="168"/>
        <v/>
      </c>
      <c r="GI787" s="2494">
        <f t="shared" si="169"/>
        <v>106</v>
      </c>
      <c r="GJ787" s="2494" t="str">
        <f t="shared" si="170"/>
        <v/>
      </c>
      <c r="GK787" s="2494" t="str">
        <f t="shared" si="171"/>
        <v/>
      </c>
      <c r="GL787" s="2494" t="str">
        <f t="shared" si="172"/>
        <v/>
      </c>
      <c r="GM787" s="2494" t="str">
        <f t="shared" si="173"/>
        <v/>
      </c>
      <c r="GN787" s="2494" t="str">
        <f t="shared" si="174"/>
        <v/>
      </c>
      <c r="GO787" s="2494" t="str">
        <f t="shared" si="175"/>
        <v/>
      </c>
      <c r="GP787" s="2494" t="str">
        <f t="shared" si="176"/>
        <v/>
      </c>
      <c r="GQ787" s="2494" t="str">
        <f t="shared" si="177"/>
        <v/>
      </c>
      <c r="GR787" s="2494" t="str">
        <f t="shared" si="178"/>
        <v/>
      </c>
      <c r="GS787" s="2494" t="str">
        <f t="shared" si="179"/>
        <v/>
      </c>
      <c r="GT787" s="2494" t="str">
        <f t="shared" si="180"/>
        <v/>
      </c>
      <c r="GU787" s="2494" t="str">
        <f t="shared" si="181"/>
        <v/>
      </c>
      <c r="GV787" s="2494" t="str">
        <f t="shared" si="182"/>
        <v/>
      </c>
      <c r="GW787" s="2494" t="str">
        <f t="shared" si="183"/>
        <v/>
      </c>
      <c r="GX787" s="2494" t="str">
        <f t="shared" si="184"/>
        <v/>
      </c>
      <c r="GY787" s="2494" t="str">
        <f t="shared" si="185"/>
        <v/>
      </c>
      <c r="GZ787" s="2494" t="str">
        <f t="shared" si="186"/>
        <v/>
      </c>
      <c r="HA787" s="2494" t="str">
        <f t="shared" si="187"/>
        <v/>
      </c>
      <c r="HB787" s="2494" t="str">
        <f t="shared" si="188"/>
        <v/>
      </c>
      <c r="HC787" s="2494" t="str">
        <f t="shared" si="189"/>
        <v/>
      </c>
      <c r="HD787" s="2494" t="str">
        <f t="shared" si="190"/>
        <v/>
      </c>
      <c r="HE787" s="2494" t="str">
        <f t="shared" si="191"/>
        <v/>
      </c>
      <c r="HF787" s="2494" t="str">
        <f t="shared" si="192"/>
        <v/>
      </c>
      <c r="HG787" s="2494" t="str">
        <f t="shared" si="193"/>
        <v/>
      </c>
      <c r="HH787" s="2494" t="str">
        <f t="shared" si="194"/>
        <v/>
      </c>
      <c r="HI787" s="2494" t="str">
        <f t="shared" si="195"/>
        <v/>
      </c>
      <c r="HJ787" s="2494" t="str">
        <f t="shared" si="196"/>
        <v/>
      </c>
      <c r="HK787" s="2494" t="str">
        <f t="shared" si="197"/>
        <v/>
      </c>
      <c r="HL787" s="2494" t="str">
        <f t="shared" si="198"/>
        <v/>
      </c>
      <c r="HM787" s="2494" t="str">
        <f t="shared" si="199"/>
        <v/>
      </c>
      <c r="HN787" s="2494" t="str">
        <f t="shared" si="200"/>
        <v/>
      </c>
      <c r="HO787" s="2494" t="str">
        <f t="shared" si="201"/>
        <v/>
      </c>
      <c r="HP787" s="2494" t="str">
        <f t="shared" si="202"/>
        <v/>
      </c>
      <c r="HQ787" s="2494" t="str">
        <f t="shared" si="203"/>
        <v/>
      </c>
      <c r="HR787" s="2494" t="str">
        <f t="shared" si="204"/>
        <v/>
      </c>
      <c r="HS787" s="2494" t="str">
        <f t="shared" si="205"/>
        <v/>
      </c>
      <c r="HT787" s="2494" t="str">
        <f t="shared" si="206"/>
        <v/>
      </c>
      <c r="HU787" s="2494" t="str">
        <f t="shared" si="207"/>
        <v/>
      </c>
      <c r="HV787" s="2494" t="str">
        <f t="shared" si="208"/>
        <v/>
      </c>
      <c r="HW787" s="2494" t="str">
        <f t="shared" si="209"/>
        <v/>
      </c>
      <c r="HX787" s="2494" t="str">
        <f t="shared" si="210"/>
        <v/>
      </c>
      <c r="HY787" s="2494" t="str">
        <f t="shared" si="211"/>
        <v/>
      </c>
      <c r="HZ787" s="2672" t="str">
        <f t="shared" si="212"/>
        <v/>
      </c>
      <c r="IA787" s="2672" t="str">
        <f t="shared" si="213"/>
        <v/>
      </c>
      <c r="IB787" s="2672">
        <f t="shared" si="214"/>
        <v>106</v>
      </c>
      <c r="IC787" s="2672" t="str">
        <f t="shared" si="215"/>
        <v/>
      </c>
      <c r="ID787" s="2672" t="str">
        <f t="shared" si="216"/>
        <v/>
      </c>
      <c r="IE787" s="2672" t="str">
        <f t="shared" si="217"/>
        <v/>
      </c>
      <c r="IF787" s="2672" t="str">
        <f t="shared" si="218"/>
        <v/>
      </c>
      <c r="IG787" s="2672" t="str">
        <f t="shared" si="219"/>
        <v/>
      </c>
      <c r="IH787" s="2672" t="str">
        <f t="shared" si="220"/>
        <v/>
      </c>
      <c r="II787" s="2672" t="str">
        <f t="shared" si="221"/>
        <v/>
      </c>
      <c r="IJ787" s="2672" t="str">
        <f t="shared" si="222"/>
        <v/>
      </c>
      <c r="IK787" s="2672" t="str">
        <f t="shared" si="223"/>
        <v/>
      </c>
      <c r="IL787" s="2672" t="str">
        <f t="shared" si="224"/>
        <v/>
      </c>
      <c r="IM787" s="2672" t="str">
        <f t="shared" si="225"/>
        <v/>
      </c>
      <c r="IN787" s="2672" t="str">
        <f t="shared" si="226"/>
        <v/>
      </c>
      <c r="IO787" s="2672" t="str">
        <f t="shared" si="227"/>
        <v/>
      </c>
      <c r="IP787" s="2672" t="str">
        <f t="shared" si="228"/>
        <v/>
      </c>
      <c r="IQ787" s="2672" t="str">
        <f t="shared" si="229"/>
        <v/>
      </c>
      <c r="IR787" s="2672" t="str">
        <f t="shared" si="230"/>
        <v/>
      </c>
      <c r="IS787" s="2672" t="str">
        <f t="shared" si="231"/>
        <v/>
      </c>
      <c r="IT787" s="2672" t="str">
        <f t="shared" si="232"/>
        <v/>
      </c>
      <c r="IU787" s="2672" t="str">
        <f t="shared" si="233"/>
        <v/>
      </c>
      <c r="IV787" s="2672" t="str">
        <f t="shared" si="234"/>
        <v/>
      </c>
      <c r="IW787" s="2672" t="str">
        <f t="shared" si="235"/>
        <v/>
      </c>
      <c r="IX787" s="2672" t="str">
        <f t="shared" si="236"/>
        <v/>
      </c>
      <c r="IY787" s="2672" t="str">
        <f t="shared" si="237"/>
        <v/>
      </c>
      <c r="IZ787" s="2672" t="str">
        <f t="shared" si="238"/>
        <v/>
      </c>
      <c r="JA787" s="2672" t="str">
        <f t="shared" si="239"/>
        <v/>
      </c>
      <c r="JB787" s="2672" t="str">
        <f t="shared" si="240"/>
        <v/>
      </c>
      <c r="JC787" s="2672" t="str">
        <f t="shared" si="241"/>
        <v/>
      </c>
      <c r="JD787" s="2672" t="str">
        <f t="shared" si="242"/>
        <v/>
      </c>
      <c r="JE787" s="2672" t="str">
        <f t="shared" si="243"/>
        <v/>
      </c>
      <c r="JF787" s="2672" t="str">
        <f t="shared" si="244"/>
        <v/>
      </c>
      <c r="JG787" s="2672" t="str">
        <f t="shared" si="245"/>
        <v/>
      </c>
      <c r="JH787" s="2672" t="str">
        <f t="shared" si="246"/>
        <v/>
      </c>
      <c r="JI787" s="2672" t="str">
        <f t="shared" si="247"/>
        <v/>
      </c>
      <c r="JJ787" s="2672" t="str">
        <f t="shared" si="248"/>
        <v/>
      </c>
      <c r="JK787" s="2672" t="str">
        <f t="shared" si="249"/>
        <v/>
      </c>
      <c r="JL787" s="2672" t="str">
        <f t="shared" si="250"/>
        <v/>
      </c>
      <c r="JM787" s="2672" t="str">
        <f t="shared" si="251"/>
        <v/>
      </c>
      <c r="JN787" s="2672" t="str">
        <f t="shared" si="252"/>
        <v/>
      </c>
      <c r="JO787" s="2672" t="str">
        <f t="shared" si="253"/>
        <v/>
      </c>
      <c r="JP787" s="2672" t="str">
        <f t="shared" si="254"/>
        <v/>
      </c>
      <c r="JQ787" s="2672" t="str">
        <f t="shared" si="255"/>
        <v/>
      </c>
      <c r="JR787" s="2672" t="str">
        <f t="shared" si="256"/>
        <v/>
      </c>
      <c r="JS787" s="2672" t="str">
        <f t="shared" si="257"/>
        <v/>
      </c>
      <c r="JT787" s="2672" t="str">
        <f t="shared" si="258"/>
        <v/>
      </c>
      <c r="JU787" s="2672" t="str">
        <f t="shared" si="259"/>
        <v/>
      </c>
      <c r="JV787" s="2672" t="str">
        <f t="shared" si="260"/>
        <v/>
      </c>
      <c r="JW787" s="2672" t="str">
        <f t="shared" si="261"/>
        <v/>
      </c>
      <c r="JX787" s="2672" t="str">
        <f t="shared" si="262"/>
        <v/>
      </c>
      <c r="JY787" s="2672" t="str">
        <f t="shared" si="263"/>
        <v/>
      </c>
      <c r="JZ787" s="2672" t="str">
        <f t="shared" si="264"/>
        <v/>
      </c>
      <c r="KA787" s="2672" t="str">
        <f t="shared" si="265"/>
        <v/>
      </c>
      <c r="KB787" s="2672" t="str">
        <f t="shared" si="266"/>
        <v/>
      </c>
      <c r="KC787" s="2672" t="str">
        <f t="shared" si="267"/>
        <v/>
      </c>
      <c r="KD787" s="2672" t="str">
        <f t="shared" si="268"/>
        <v/>
      </c>
      <c r="KE787" s="2672" t="str">
        <f t="shared" si="269"/>
        <v/>
      </c>
      <c r="KF787" s="2672" t="str">
        <f t="shared" si="270"/>
        <v/>
      </c>
      <c r="KG787" s="2672" t="str">
        <f t="shared" si="271"/>
        <v/>
      </c>
      <c r="KH787" s="2672" t="str">
        <f t="shared" si="272"/>
        <v/>
      </c>
      <c r="KI787" s="2672" t="str">
        <f t="shared" si="273"/>
        <v/>
      </c>
      <c r="KJ787" s="2672" t="str">
        <f t="shared" si="274"/>
        <v/>
      </c>
      <c r="KK787" s="2672" t="str">
        <f t="shared" si="275"/>
        <v/>
      </c>
      <c r="KL787" s="2672" t="str">
        <f t="shared" si="276"/>
        <v/>
      </c>
      <c r="KM787" s="2672" t="str">
        <f t="shared" si="277"/>
        <v/>
      </c>
      <c r="KN787" s="2672" t="str">
        <f t="shared" si="278"/>
        <v/>
      </c>
      <c r="KO787" s="2672" t="str">
        <f t="shared" si="279"/>
        <v/>
      </c>
      <c r="KP787" s="2672" t="str">
        <f t="shared" si="280"/>
        <v/>
      </c>
      <c r="KQ787" s="2672" t="str">
        <f t="shared" si="281"/>
        <v/>
      </c>
      <c r="KR787" s="2672" t="str">
        <f t="shared" si="282"/>
        <v/>
      </c>
      <c r="KS787" s="2672" t="str">
        <f t="shared" si="283"/>
        <v/>
      </c>
      <c r="KT787" s="2672" t="str">
        <f t="shared" si="284"/>
        <v/>
      </c>
      <c r="KU787" s="2672" t="str">
        <f t="shared" si="285"/>
        <v/>
      </c>
      <c r="KV787" s="2672" t="str">
        <f t="shared" si="286"/>
        <v/>
      </c>
      <c r="KW787" s="2672" t="str">
        <f t="shared" si="287"/>
        <v/>
      </c>
      <c r="KX787" s="2672" t="str">
        <f t="shared" si="288"/>
        <v/>
      </c>
      <c r="KY787" s="2672">
        <f t="shared" si="289"/>
        <v>106</v>
      </c>
      <c r="KZ787" s="2672" t="str">
        <f t="shared" si="290"/>
        <v/>
      </c>
      <c r="LA787" s="2672" t="str">
        <f t="shared" si="291"/>
        <v/>
      </c>
      <c r="LB787" s="2672" t="str">
        <f t="shared" si="292"/>
        <v/>
      </c>
      <c r="LC787" s="2672" t="str">
        <f t="shared" si="293"/>
        <v/>
      </c>
      <c r="LD787" s="2672" t="str">
        <f t="shared" si="294"/>
        <v/>
      </c>
      <c r="LE787" s="2672" t="str">
        <f t="shared" si="295"/>
        <v/>
      </c>
      <c r="LF787" s="2672" t="str">
        <f t="shared" si="296"/>
        <v/>
      </c>
      <c r="LG787" s="2672" t="str">
        <f t="shared" si="297"/>
        <v/>
      </c>
      <c r="LH787" s="2672" t="str">
        <f t="shared" si="298"/>
        <v/>
      </c>
      <c r="LI787" s="2672" t="str">
        <f t="shared" si="299"/>
        <v/>
      </c>
      <c r="LJ787" s="2672" t="str">
        <f t="shared" si="300"/>
        <v/>
      </c>
      <c r="LK787" s="2672" t="str">
        <f t="shared" si="301"/>
        <v/>
      </c>
      <c r="LL787" s="2672" t="str">
        <f t="shared" si="302"/>
        <v/>
      </c>
      <c r="LM787" s="2672" t="str">
        <f t="shared" si="303"/>
        <v/>
      </c>
      <c r="LN787" s="2672" t="str">
        <f t="shared" si="304"/>
        <v/>
      </c>
      <c r="LO787" s="2672" t="str">
        <f t="shared" si="305"/>
        <v/>
      </c>
      <c r="LP787" s="2672" t="str">
        <f t="shared" si="306"/>
        <v/>
      </c>
      <c r="LQ787" s="2613" t="str">
        <f t="shared" si="307"/>
        <v/>
      </c>
      <c r="LR787" s="2613" t="str">
        <f t="shared" si="308"/>
        <v/>
      </c>
      <c r="LS787" s="2613" t="str">
        <f t="shared" si="309"/>
        <v/>
      </c>
      <c r="LT787" s="2613" t="str">
        <f t="shared" si="310"/>
        <v/>
      </c>
      <c r="LU787" s="2613" t="str">
        <f t="shared" si="311"/>
        <v/>
      </c>
      <c r="LV787" s="2494" t="str">
        <f t="shared" si="312"/>
        <v/>
      </c>
      <c r="LW787" s="2494" t="str">
        <f t="shared" si="313"/>
        <v/>
      </c>
      <c r="LX787" s="2494" t="str">
        <f t="shared" si="314"/>
        <v/>
      </c>
      <c r="LY787" s="2494" t="str">
        <f t="shared" si="315"/>
        <v/>
      </c>
      <c r="LZ787" s="2494" t="str">
        <f t="shared" si="316"/>
        <v/>
      </c>
      <c r="MA787" s="2494" t="str">
        <f t="shared" si="317"/>
        <v/>
      </c>
      <c r="MB787" s="2494" t="str">
        <f t="shared" si="318"/>
        <v/>
      </c>
      <c r="MC787" s="2494" t="str">
        <f t="shared" si="319"/>
        <v/>
      </c>
      <c r="MD787" s="2494" t="str">
        <f t="shared" si="320"/>
        <v/>
      </c>
      <c r="ME787" s="2494" t="str">
        <f t="shared" si="321"/>
        <v/>
      </c>
      <c r="MF787" s="2494" t="str">
        <f t="shared" si="322"/>
        <v/>
      </c>
      <c r="MG787" s="2494" t="str">
        <f t="shared" si="323"/>
        <v/>
      </c>
      <c r="MH787" s="2494" t="str">
        <f t="shared" si="324"/>
        <v/>
      </c>
      <c r="MI787" s="2494" t="str">
        <f t="shared" si="325"/>
        <v/>
      </c>
      <c r="MJ787" s="2494" t="str">
        <f t="shared" si="326"/>
        <v/>
      </c>
      <c r="MK787" s="2494" t="str">
        <f t="shared" si="327"/>
        <v/>
      </c>
      <c r="ML787" s="2494" t="str">
        <f t="shared" si="328"/>
        <v/>
      </c>
      <c r="MM787" s="2494" t="str">
        <f t="shared" si="329"/>
        <v/>
      </c>
      <c r="MN787" s="2494" t="str">
        <f t="shared" si="330"/>
        <v/>
      </c>
      <c r="MO787" s="2494" t="str">
        <f t="shared" si="331"/>
        <v/>
      </c>
      <c r="MP787" s="2613">
        <f t="shared" si="338"/>
        <v>0</v>
      </c>
      <c r="MQ787" s="2613">
        <f t="shared" si="339"/>
        <v>0</v>
      </c>
      <c r="MR787" s="2613">
        <f t="shared" si="340"/>
        <v>0</v>
      </c>
      <c r="MS787" s="2613">
        <f t="shared" si="341"/>
        <v>0</v>
      </c>
      <c r="MT787" s="2613">
        <f t="shared" si="342"/>
        <v>0</v>
      </c>
      <c r="MU787" s="2613">
        <f t="shared" si="343"/>
        <v>0</v>
      </c>
      <c r="MV787" s="2613">
        <f t="shared" si="344"/>
        <v>0</v>
      </c>
      <c r="MW787" s="2613">
        <f t="shared" si="345"/>
        <v>106</v>
      </c>
      <c r="MX787" s="2613">
        <f t="shared" si="346"/>
        <v>0</v>
      </c>
      <c r="MY787" s="2613">
        <f t="shared" si="347"/>
        <v>0</v>
      </c>
      <c r="MZ787" s="2613">
        <f t="shared" si="332"/>
        <v>0</v>
      </c>
      <c r="NA787" s="2613">
        <f t="shared" si="333"/>
        <v>0</v>
      </c>
      <c r="NB787" s="2613">
        <f t="shared" si="334"/>
        <v>0</v>
      </c>
      <c r="NC787" s="2613">
        <f t="shared" si="335"/>
        <v>0</v>
      </c>
      <c r="ND787" s="2613">
        <f t="shared" si="336"/>
        <v>0</v>
      </c>
    </row>
    <row r="788" spans="1:368" ht="13.8" customHeight="1">
      <c r="A788" s="2652" t="str">
        <f t="shared" si="337"/>
        <v/>
      </c>
      <c r="B788" s="2664">
        <f>'Part VI-Revenues &amp; Expenses'!B19</f>
        <v>60</v>
      </c>
      <c r="C788" s="2665">
        <f>'Part VI-Revenues &amp; Expenses'!C19</f>
        <v>3</v>
      </c>
      <c r="D788" s="2666">
        <f>'Part VI-Revenues &amp; Expenses'!D19</f>
        <v>2</v>
      </c>
      <c r="E788" s="2667">
        <f>'Part VI-Revenues &amp; Expenses'!E19</f>
        <v>76</v>
      </c>
      <c r="F788" s="2667">
        <f>'Part VI-Revenues &amp; Expenses'!F19</f>
        <v>1240</v>
      </c>
      <c r="G788" s="2667">
        <f>'Part VI-Revenues &amp; Expenses'!G19</f>
        <v>1078</v>
      </c>
      <c r="H788" s="2667">
        <f>'Part VI-Revenues &amp; Expenses'!H19</f>
        <v>1078</v>
      </c>
      <c r="I788" s="2667">
        <f>'Part VI-Revenues &amp; Expenses'!I19</f>
        <v>0</v>
      </c>
      <c r="J788" s="2667">
        <f>'Part VI-Revenues &amp; Expenses'!J19</f>
        <v>182</v>
      </c>
      <c r="K788" s="2668">
        <f>'Part VI-Revenues &amp; Expenses'!K19</f>
        <v>0</v>
      </c>
      <c r="L788" s="2669">
        <f t="shared" si="0"/>
        <v>896</v>
      </c>
      <c r="M788" s="2669">
        <f t="shared" si="1"/>
        <v>68096</v>
      </c>
      <c r="N788" s="2545" t="str">
        <f>'Part VI-Revenues &amp; Expenses'!N19</f>
        <v>No</v>
      </c>
      <c r="O788" s="2545" t="str">
        <f>'Part VI-Revenues &amp; Expenses'!O19</f>
        <v>3+ Story</v>
      </c>
      <c r="P788" s="2545" t="str">
        <f>'Part VI-Revenues &amp; Expenses'!P19</f>
        <v>New Construction</v>
      </c>
      <c r="Q788" s="2251" t="str">
        <f>'Part VI-Revenues &amp; Expenses'!Q19</f>
        <v>No</v>
      </c>
      <c r="R788" s="2670"/>
      <c r="S788" s="2671"/>
      <c r="T788" s="2607"/>
      <c r="U788" s="2607"/>
      <c r="V788" s="2607"/>
      <c r="W788" s="2607"/>
      <c r="X788" s="2494" t="str">
        <f t="shared" si="2"/>
        <v/>
      </c>
      <c r="Y788" s="2494" t="str">
        <f t="shared" si="3"/>
        <v/>
      </c>
      <c r="Z788" s="2494" t="str">
        <f t="shared" si="4"/>
        <v/>
      </c>
      <c r="AA788" s="2494" t="str">
        <f t="shared" si="5"/>
        <v/>
      </c>
      <c r="AB788" s="2494" t="str">
        <f t="shared" si="6"/>
        <v/>
      </c>
      <c r="AC788" s="2494" t="str">
        <f t="shared" si="7"/>
        <v/>
      </c>
      <c r="AD788" s="2494" t="str">
        <f t="shared" si="8"/>
        <v/>
      </c>
      <c r="AE788" s="2494" t="str">
        <f t="shared" si="9"/>
        <v/>
      </c>
      <c r="AF788" s="2494" t="str">
        <f t="shared" si="10"/>
        <v/>
      </c>
      <c r="AG788" s="2494" t="str">
        <f t="shared" si="11"/>
        <v/>
      </c>
      <c r="AH788" s="2494" t="str">
        <f t="shared" si="12"/>
        <v/>
      </c>
      <c r="AI788" s="2494" t="str">
        <f t="shared" si="13"/>
        <v/>
      </c>
      <c r="AJ788" s="2494" t="str">
        <f t="shared" si="14"/>
        <v/>
      </c>
      <c r="AK788" s="2494">
        <f t="shared" si="15"/>
        <v>76</v>
      </c>
      <c r="AL788" s="2494" t="str">
        <f t="shared" si="16"/>
        <v/>
      </c>
      <c r="AM788" s="2494" t="str">
        <f t="shared" si="17"/>
        <v/>
      </c>
      <c r="AN788" s="2494" t="str">
        <f t="shared" si="18"/>
        <v/>
      </c>
      <c r="AO788" s="2494" t="str">
        <f t="shared" si="19"/>
        <v/>
      </c>
      <c r="AP788" s="2494" t="str">
        <f t="shared" si="20"/>
        <v/>
      </c>
      <c r="AQ788" s="2494" t="str">
        <f t="shared" si="21"/>
        <v/>
      </c>
      <c r="AR788" s="2494" t="str">
        <f t="shared" si="22"/>
        <v/>
      </c>
      <c r="AS788" s="2494" t="str">
        <f t="shared" si="23"/>
        <v/>
      </c>
      <c r="AT788" s="2494" t="str">
        <f t="shared" si="24"/>
        <v/>
      </c>
      <c r="AU788" s="2494" t="str">
        <f t="shared" si="25"/>
        <v/>
      </c>
      <c r="AV788" s="2494" t="str">
        <f t="shared" si="26"/>
        <v/>
      </c>
      <c r="AW788" s="2494" t="str">
        <f t="shared" si="27"/>
        <v/>
      </c>
      <c r="AX788" s="2494" t="str">
        <f t="shared" si="28"/>
        <v/>
      </c>
      <c r="AY788" s="2494" t="str">
        <f t="shared" si="29"/>
        <v/>
      </c>
      <c r="AZ788" s="2494" t="str">
        <f t="shared" si="30"/>
        <v/>
      </c>
      <c r="BA788" s="2494" t="str">
        <f t="shared" si="31"/>
        <v/>
      </c>
      <c r="BB788" s="2494" t="str">
        <f t="shared" si="32"/>
        <v/>
      </c>
      <c r="BC788" s="2494" t="str">
        <f t="shared" si="33"/>
        <v/>
      </c>
      <c r="BD788" s="2494" t="str">
        <f t="shared" si="34"/>
        <v/>
      </c>
      <c r="BE788" s="2494" t="str">
        <f t="shared" si="35"/>
        <v/>
      </c>
      <c r="BF788" s="2494" t="str">
        <f t="shared" si="36"/>
        <v/>
      </c>
      <c r="BG788" s="2494" t="str">
        <f t="shared" si="37"/>
        <v/>
      </c>
      <c r="BH788" s="2494" t="str">
        <f t="shared" si="38"/>
        <v/>
      </c>
      <c r="BI788" s="2494" t="str">
        <f t="shared" si="39"/>
        <v/>
      </c>
      <c r="BJ788" s="2494" t="str">
        <f t="shared" si="40"/>
        <v/>
      </c>
      <c r="BK788" s="2494" t="str">
        <f t="shared" si="41"/>
        <v/>
      </c>
      <c r="BL788" s="2494" t="str">
        <f t="shared" si="42"/>
        <v/>
      </c>
      <c r="BM788" s="2494" t="str">
        <f t="shared" si="43"/>
        <v/>
      </c>
      <c r="BN788" s="2494" t="str">
        <f t="shared" si="44"/>
        <v/>
      </c>
      <c r="BO788" s="2494" t="str">
        <f t="shared" si="45"/>
        <v/>
      </c>
      <c r="BP788" s="2494" t="str">
        <f t="shared" si="46"/>
        <v/>
      </c>
      <c r="BQ788" s="2494" t="str">
        <f t="shared" si="47"/>
        <v/>
      </c>
      <c r="BR788" s="2494" t="str">
        <f t="shared" si="48"/>
        <v/>
      </c>
      <c r="BS788" s="2494" t="str">
        <f t="shared" si="49"/>
        <v/>
      </c>
      <c r="BT788" s="2494" t="str">
        <f t="shared" si="50"/>
        <v/>
      </c>
      <c r="BU788" s="2494" t="str">
        <f t="shared" si="51"/>
        <v/>
      </c>
      <c r="BV788" s="2494" t="str">
        <f t="shared" si="52"/>
        <v/>
      </c>
      <c r="BW788" s="2494" t="str">
        <f t="shared" si="53"/>
        <v/>
      </c>
      <c r="BX788" s="2494" t="str">
        <f t="shared" si="54"/>
        <v/>
      </c>
      <c r="BY788" s="2494" t="str">
        <f t="shared" si="55"/>
        <v/>
      </c>
      <c r="BZ788" s="2494" t="str">
        <f t="shared" si="56"/>
        <v/>
      </c>
      <c r="CA788" s="2494" t="str">
        <f t="shared" si="57"/>
        <v/>
      </c>
      <c r="CB788" s="2494" t="str">
        <f t="shared" si="58"/>
        <v/>
      </c>
      <c r="CC788" s="2494" t="str">
        <f t="shared" si="59"/>
        <v/>
      </c>
      <c r="CD788" s="2494" t="str">
        <f t="shared" si="60"/>
        <v/>
      </c>
      <c r="CE788" s="2494" t="str">
        <f t="shared" si="61"/>
        <v/>
      </c>
      <c r="CF788" s="2494" t="str">
        <f t="shared" si="62"/>
        <v/>
      </c>
      <c r="CG788" s="2494" t="str">
        <f t="shared" si="63"/>
        <v/>
      </c>
      <c r="CH788" s="2494" t="str">
        <f t="shared" si="64"/>
        <v/>
      </c>
      <c r="CI788" s="2494" t="str">
        <f t="shared" si="65"/>
        <v/>
      </c>
      <c r="CJ788" s="2494" t="str">
        <f t="shared" si="66"/>
        <v/>
      </c>
      <c r="CK788" s="2494" t="str">
        <f t="shared" si="67"/>
        <v/>
      </c>
      <c r="CL788" s="2494" t="str">
        <f t="shared" si="68"/>
        <v/>
      </c>
      <c r="CM788" s="2494" t="str">
        <f t="shared" si="69"/>
        <v/>
      </c>
      <c r="CN788" s="2494" t="str">
        <f t="shared" si="70"/>
        <v/>
      </c>
      <c r="CO788" s="2494" t="str">
        <f t="shared" si="71"/>
        <v/>
      </c>
      <c r="CP788" s="2494" t="str">
        <f t="shared" si="72"/>
        <v/>
      </c>
      <c r="CQ788" s="2494" t="str">
        <f t="shared" si="73"/>
        <v/>
      </c>
      <c r="CR788" s="2494" t="str">
        <f t="shared" si="74"/>
        <v/>
      </c>
      <c r="CS788" s="2494" t="str">
        <f t="shared" si="75"/>
        <v/>
      </c>
      <c r="CT788" s="2494" t="str">
        <f t="shared" si="76"/>
        <v/>
      </c>
      <c r="CU788" s="2494" t="str">
        <f t="shared" si="77"/>
        <v/>
      </c>
      <c r="CV788" s="2494" t="str">
        <f t="shared" si="78"/>
        <v/>
      </c>
      <c r="CW788" s="2494" t="str">
        <f t="shared" si="79"/>
        <v/>
      </c>
      <c r="CX788" s="2494" t="str">
        <f t="shared" si="80"/>
        <v/>
      </c>
      <c r="CY788" s="2494" t="str">
        <f t="shared" si="81"/>
        <v/>
      </c>
      <c r="CZ788" s="2494" t="str">
        <f t="shared" si="82"/>
        <v/>
      </c>
      <c r="DA788" s="2494" t="str">
        <f t="shared" si="83"/>
        <v/>
      </c>
      <c r="DB788" s="2494" t="str">
        <f t="shared" si="84"/>
        <v/>
      </c>
      <c r="DC788" s="2494" t="str">
        <f t="shared" si="85"/>
        <v/>
      </c>
      <c r="DD788" s="2494" t="str">
        <f t="shared" si="86"/>
        <v/>
      </c>
      <c r="DE788" s="2494" t="str">
        <f t="shared" si="87"/>
        <v/>
      </c>
      <c r="DF788" s="2494" t="str">
        <f t="shared" si="88"/>
        <v/>
      </c>
      <c r="DG788" s="2494" t="str">
        <f t="shared" si="89"/>
        <v/>
      </c>
      <c r="DH788" s="2494" t="str">
        <f t="shared" si="90"/>
        <v/>
      </c>
      <c r="DI788" s="2494" t="str">
        <f t="shared" si="91"/>
        <v/>
      </c>
      <c r="DJ788" s="2494" t="str">
        <f t="shared" si="92"/>
        <v/>
      </c>
      <c r="DK788" s="2494" t="str">
        <f t="shared" si="93"/>
        <v/>
      </c>
      <c r="DL788" s="2494" t="str">
        <f t="shared" si="94"/>
        <v/>
      </c>
      <c r="DM788" s="2494" t="str">
        <f t="shared" si="95"/>
        <v/>
      </c>
      <c r="DN788" s="2494" t="str">
        <f t="shared" si="96"/>
        <v/>
      </c>
      <c r="DO788" s="2494" t="str">
        <f t="shared" si="97"/>
        <v/>
      </c>
      <c r="DP788" s="2494" t="str">
        <f t="shared" si="98"/>
        <v/>
      </c>
      <c r="DQ788" s="2494" t="str">
        <f t="shared" si="99"/>
        <v/>
      </c>
      <c r="DR788" s="2494" t="str">
        <f t="shared" si="100"/>
        <v/>
      </c>
      <c r="DS788" s="2494" t="str">
        <f t="shared" si="101"/>
        <v/>
      </c>
      <c r="DT788" s="2494" t="str">
        <f t="shared" si="102"/>
        <v/>
      </c>
      <c r="DU788" s="2494" t="str">
        <f t="shared" si="103"/>
        <v/>
      </c>
      <c r="DV788" s="2494" t="str">
        <f t="shared" si="104"/>
        <v/>
      </c>
      <c r="DW788" s="2494" t="str">
        <f t="shared" si="105"/>
        <v/>
      </c>
      <c r="DX788" s="2494" t="str">
        <f t="shared" si="106"/>
        <v/>
      </c>
      <c r="DY788" s="2494" t="str">
        <f t="shared" si="107"/>
        <v/>
      </c>
      <c r="DZ788" s="2494" t="str">
        <f t="shared" si="108"/>
        <v/>
      </c>
      <c r="EA788" s="2494" t="str">
        <f t="shared" si="109"/>
        <v/>
      </c>
      <c r="EB788" s="2494" t="str">
        <f t="shared" si="110"/>
        <v/>
      </c>
      <c r="EC788" s="2494" t="str">
        <f t="shared" si="111"/>
        <v/>
      </c>
      <c r="ED788" s="2494" t="str">
        <f t="shared" si="112"/>
        <v/>
      </c>
      <c r="EE788" s="2494" t="str">
        <f t="shared" si="113"/>
        <v/>
      </c>
      <c r="EF788" s="2494" t="str">
        <f t="shared" si="114"/>
        <v/>
      </c>
      <c r="EG788" s="2494" t="str">
        <f t="shared" si="115"/>
        <v/>
      </c>
      <c r="EH788" s="2494" t="str">
        <f t="shared" si="116"/>
        <v/>
      </c>
      <c r="EI788" s="2494" t="str">
        <f t="shared" si="117"/>
        <v/>
      </c>
      <c r="EJ788" s="2494" t="str">
        <f t="shared" si="118"/>
        <v/>
      </c>
      <c r="EK788" s="2494" t="str">
        <f t="shared" si="119"/>
        <v/>
      </c>
      <c r="EL788" s="2494" t="str">
        <f t="shared" si="120"/>
        <v/>
      </c>
      <c r="EM788" s="2494" t="str">
        <f t="shared" si="121"/>
        <v/>
      </c>
      <c r="EN788" s="2494" t="str">
        <f t="shared" si="122"/>
        <v/>
      </c>
      <c r="EO788" s="2494" t="str">
        <f t="shared" si="123"/>
        <v/>
      </c>
      <c r="EP788" s="2494" t="str">
        <f t="shared" si="124"/>
        <v/>
      </c>
      <c r="EQ788" s="2494" t="str">
        <f t="shared" si="125"/>
        <v/>
      </c>
      <c r="ER788" s="2494" t="str">
        <f t="shared" si="126"/>
        <v/>
      </c>
      <c r="ES788" s="2494" t="str">
        <f t="shared" si="127"/>
        <v/>
      </c>
      <c r="ET788" s="2494" t="str">
        <f t="shared" si="128"/>
        <v/>
      </c>
      <c r="EU788" s="2494" t="str">
        <f t="shared" si="129"/>
        <v/>
      </c>
      <c r="EV788" s="2494">
        <f t="shared" si="130"/>
        <v>94240</v>
      </c>
      <c r="EW788" s="2494" t="str">
        <f t="shared" si="131"/>
        <v/>
      </c>
      <c r="EX788" s="2494" t="str">
        <f t="shared" si="132"/>
        <v/>
      </c>
      <c r="EY788" s="2494" t="str">
        <f t="shared" si="133"/>
        <v/>
      </c>
      <c r="EZ788" s="2494" t="str">
        <f t="shared" si="134"/>
        <v/>
      </c>
      <c r="FA788" s="2494" t="str">
        <f t="shared" si="135"/>
        <v/>
      </c>
      <c r="FB788" s="2494" t="str">
        <f t="shared" si="136"/>
        <v/>
      </c>
      <c r="FC788" s="2494" t="str">
        <f t="shared" si="137"/>
        <v/>
      </c>
      <c r="FD788" s="2494" t="str">
        <f t="shared" si="138"/>
        <v/>
      </c>
      <c r="FE788" s="2494" t="str">
        <f t="shared" si="139"/>
        <v/>
      </c>
      <c r="FF788" s="2494" t="str">
        <f t="shared" si="140"/>
        <v/>
      </c>
      <c r="FG788" s="2494" t="str">
        <f t="shared" si="141"/>
        <v/>
      </c>
      <c r="FH788" s="2494" t="str">
        <f t="shared" si="142"/>
        <v/>
      </c>
      <c r="FI788" s="2494" t="str">
        <f t="shared" si="143"/>
        <v/>
      </c>
      <c r="FJ788" s="2494" t="str">
        <f t="shared" si="144"/>
        <v/>
      </c>
      <c r="FK788" s="2494" t="str">
        <f t="shared" si="145"/>
        <v/>
      </c>
      <c r="FL788" s="2494" t="str">
        <f t="shared" si="146"/>
        <v/>
      </c>
      <c r="FM788" s="2494" t="str">
        <f t="shared" si="147"/>
        <v/>
      </c>
      <c r="FN788" s="2494" t="str">
        <f t="shared" si="148"/>
        <v/>
      </c>
      <c r="FO788" s="2494" t="str">
        <f t="shared" si="149"/>
        <v/>
      </c>
      <c r="FP788" s="2494" t="str">
        <f t="shared" si="150"/>
        <v/>
      </c>
      <c r="FQ788" s="2494" t="str">
        <f t="shared" si="151"/>
        <v/>
      </c>
      <c r="FR788" s="2494" t="str">
        <f t="shared" si="152"/>
        <v/>
      </c>
      <c r="FS788" s="2494" t="str">
        <f t="shared" si="153"/>
        <v/>
      </c>
      <c r="FT788" s="2494" t="str">
        <f t="shared" si="154"/>
        <v/>
      </c>
      <c r="FU788" s="2494" t="str">
        <f t="shared" si="155"/>
        <v/>
      </c>
      <c r="FV788" s="2494" t="str">
        <f t="shared" si="156"/>
        <v/>
      </c>
      <c r="FW788" s="2494" t="str">
        <f t="shared" si="157"/>
        <v/>
      </c>
      <c r="FX788" s="2494" t="str">
        <f t="shared" si="158"/>
        <v/>
      </c>
      <c r="FY788" s="2494" t="str">
        <f t="shared" si="159"/>
        <v/>
      </c>
      <c r="FZ788" s="2494" t="str">
        <f t="shared" si="160"/>
        <v/>
      </c>
      <c r="GA788" s="2494" t="str">
        <f t="shared" si="161"/>
        <v/>
      </c>
      <c r="GB788" s="2494" t="str">
        <f t="shared" si="162"/>
        <v/>
      </c>
      <c r="GC788" s="2494" t="str">
        <f t="shared" si="163"/>
        <v/>
      </c>
      <c r="GD788" s="2494" t="str">
        <f t="shared" si="164"/>
        <v/>
      </c>
      <c r="GE788" s="2494" t="str">
        <f t="shared" si="165"/>
        <v/>
      </c>
      <c r="GF788" s="2494" t="str">
        <f t="shared" si="166"/>
        <v/>
      </c>
      <c r="GG788" s="2494" t="str">
        <f t="shared" si="167"/>
        <v/>
      </c>
      <c r="GH788" s="2494" t="str">
        <f t="shared" si="168"/>
        <v/>
      </c>
      <c r="GI788" s="2494" t="str">
        <f t="shared" si="169"/>
        <v/>
      </c>
      <c r="GJ788" s="2494">
        <f t="shared" si="170"/>
        <v>76</v>
      </c>
      <c r="GK788" s="2494" t="str">
        <f t="shared" si="171"/>
        <v/>
      </c>
      <c r="GL788" s="2494" t="str">
        <f t="shared" si="172"/>
        <v/>
      </c>
      <c r="GM788" s="2494" t="str">
        <f t="shared" si="173"/>
        <v/>
      </c>
      <c r="GN788" s="2494" t="str">
        <f t="shared" si="174"/>
        <v/>
      </c>
      <c r="GO788" s="2494" t="str">
        <f t="shared" si="175"/>
        <v/>
      </c>
      <c r="GP788" s="2494" t="str">
        <f t="shared" si="176"/>
        <v/>
      </c>
      <c r="GQ788" s="2494" t="str">
        <f t="shared" si="177"/>
        <v/>
      </c>
      <c r="GR788" s="2494" t="str">
        <f t="shared" si="178"/>
        <v/>
      </c>
      <c r="GS788" s="2494" t="str">
        <f t="shared" si="179"/>
        <v/>
      </c>
      <c r="GT788" s="2494" t="str">
        <f t="shared" si="180"/>
        <v/>
      </c>
      <c r="GU788" s="2494" t="str">
        <f t="shared" si="181"/>
        <v/>
      </c>
      <c r="GV788" s="2494" t="str">
        <f t="shared" si="182"/>
        <v/>
      </c>
      <c r="GW788" s="2494" t="str">
        <f t="shared" si="183"/>
        <v/>
      </c>
      <c r="GX788" s="2494" t="str">
        <f t="shared" si="184"/>
        <v/>
      </c>
      <c r="GY788" s="2494" t="str">
        <f t="shared" si="185"/>
        <v/>
      </c>
      <c r="GZ788" s="2494" t="str">
        <f t="shared" si="186"/>
        <v/>
      </c>
      <c r="HA788" s="2494" t="str">
        <f t="shared" si="187"/>
        <v/>
      </c>
      <c r="HB788" s="2494" t="str">
        <f t="shared" si="188"/>
        <v/>
      </c>
      <c r="HC788" s="2494" t="str">
        <f t="shared" si="189"/>
        <v/>
      </c>
      <c r="HD788" s="2494" t="str">
        <f t="shared" si="190"/>
        <v/>
      </c>
      <c r="HE788" s="2494" t="str">
        <f t="shared" si="191"/>
        <v/>
      </c>
      <c r="HF788" s="2494" t="str">
        <f t="shared" si="192"/>
        <v/>
      </c>
      <c r="HG788" s="2494" t="str">
        <f t="shared" si="193"/>
        <v/>
      </c>
      <c r="HH788" s="2494" t="str">
        <f t="shared" si="194"/>
        <v/>
      </c>
      <c r="HI788" s="2494" t="str">
        <f t="shared" si="195"/>
        <v/>
      </c>
      <c r="HJ788" s="2494" t="str">
        <f t="shared" si="196"/>
        <v/>
      </c>
      <c r="HK788" s="2494" t="str">
        <f t="shared" si="197"/>
        <v/>
      </c>
      <c r="HL788" s="2494" t="str">
        <f t="shared" si="198"/>
        <v/>
      </c>
      <c r="HM788" s="2494" t="str">
        <f t="shared" si="199"/>
        <v/>
      </c>
      <c r="HN788" s="2494" t="str">
        <f t="shared" si="200"/>
        <v/>
      </c>
      <c r="HO788" s="2494" t="str">
        <f t="shared" si="201"/>
        <v/>
      </c>
      <c r="HP788" s="2494" t="str">
        <f t="shared" si="202"/>
        <v/>
      </c>
      <c r="HQ788" s="2494" t="str">
        <f t="shared" si="203"/>
        <v/>
      </c>
      <c r="HR788" s="2494" t="str">
        <f t="shared" si="204"/>
        <v/>
      </c>
      <c r="HS788" s="2494" t="str">
        <f t="shared" si="205"/>
        <v/>
      </c>
      <c r="HT788" s="2494" t="str">
        <f t="shared" si="206"/>
        <v/>
      </c>
      <c r="HU788" s="2494" t="str">
        <f t="shared" si="207"/>
        <v/>
      </c>
      <c r="HV788" s="2494" t="str">
        <f t="shared" si="208"/>
        <v/>
      </c>
      <c r="HW788" s="2494" t="str">
        <f t="shared" si="209"/>
        <v/>
      </c>
      <c r="HX788" s="2494" t="str">
        <f t="shared" si="210"/>
        <v/>
      </c>
      <c r="HY788" s="2494" t="str">
        <f t="shared" si="211"/>
        <v/>
      </c>
      <c r="HZ788" s="2672" t="str">
        <f t="shared" si="212"/>
        <v/>
      </c>
      <c r="IA788" s="2672" t="str">
        <f t="shared" si="213"/>
        <v/>
      </c>
      <c r="IB788" s="2672" t="str">
        <f t="shared" si="214"/>
        <v/>
      </c>
      <c r="IC788" s="2672">
        <f t="shared" si="215"/>
        <v>76</v>
      </c>
      <c r="ID788" s="2672" t="str">
        <f t="shared" si="216"/>
        <v/>
      </c>
      <c r="IE788" s="2672" t="str">
        <f t="shared" si="217"/>
        <v/>
      </c>
      <c r="IF788" s="2672" t="str">
        <f t="shared" si="218"/>
        <v/>
      </c>
      <c r="IG788" s="2672" t="str">
        <f t="shared" si="219"/>
        <v/>
      </c>
      <c r="IH788" s="2672" t="str">
        <f t="shared" si="220"/>
        <v/>
      </c>
      <c r="II788" s="2672" t="str">
        <f t="shared" si="221"/>
        <v/>
      </c>
      <c r="IJ788" s="2672" t="str">
        <f t="shared" si="222"/>
        <v/>
      </c>
      <c r="IK788" s="2672" t="str">
        <f t="shared" si="223"/>
        <v/>
      </c>
      <c r="IL788" s="2672" t="str">
        <f t="shared" si="224"/>
        <v/>
      </c>
      <c r="IM788" s="2672" t="str">
        <f t="shared" si="225"/>
        <v/>
      </c>
      <c r="IN788" s="2672" t="str">
        <f t="shared" si="226"/>
        <v/>
      </c>
      <c r="IO788" s="2672" t="str">
        <f t="shared" si="227"/>
        <v/>
      </c>
      <c r="IP788" s="2672" t="str">
        <f t="shared" si="228"/>
        <v/>
      </c>
      <c r="IQ788" s="2672" t="str">
        <f t="shared" si="229"/>
        <v/>
      </c>
      <c r="IR788" s="2672" t="str">
        <f t="shared" si="230"/>
        <v/>
      </c>
      <c r="IS788" s="2672" t="str">
        <f t="shared" si="231"/>
        <v/>
      </c>
      <c r="IT788" s="2672" t="str">
        <f t="shared" si="232"/>
        <v/>
      </c>
      <c r="IU788" s="2672" t="str">
        <f t="shared" si="233"/>
        <v/>
      </c>
      <c r="IV788" s="2672" t="str">
        <f t="shared" si="234"/>
        <v/>
      </c>
      <c r="IW788" s="2672" t="str">
        <f t="shared" si="235"/>
        <v/>
      </c>
      <c r="IX788" s="2672" t="str">
        <f t="shared" si="236"/>
        <v/>
      </c>
      <c r="IY788" s="2672" t="str">
        <f t="shared" si="237"/>
        <v/>
      </c>
      <c r="IZ788" s="2672" t="str">
        <f t="shared" si="238"/>
        <v/>
      </c>
      <c r="JA788" s="2672" t="str">
        <f t="shared" si="239"/>
        <v/>
      </c>
      <c r="JB788" s="2672" t="str">
        <f t="shared" si="240"/>
        <v/>
      </c>
      <c r="JC788" s="2672" t="str">
        <f t="shared" si="241"/>
        <v/>
      </c>
      <c r="JD788" s="2672" t="str">
        <f t="shared" si="242"/>
        <v/>
      </c>
      <c r="JE788" s="2672" t="str">
        <f t="shared" si="243"/>
        <v/>
      </c>
      <c r="JF788" s="2672" t="str">
        <f t="shared" si="244"/>
        <v/>
      </c>
      <c r="JG788" s="2672" t="str">
        <f t="shared" si="245"/>
        <v/>
      </c>
      <c r="JH788" s="2672" t="str">
        <f t="shared" si="246"/>
        <v/>
      </c>
      <c r="JI788" s="2672" t="str">
        <f t="shared" si="247"/>
        <v/>
      </c>
      <c r="JJ788" s="2672" t="str">
        <f t="shared" si="248"/>
        <v/>
      </c>
      <c r="JK788" s="2672" t="str">
        <f t="shared" si="249"/>
        <v/>
      </c>
      <c r="JL788" s="2672" t="str">
        <f t="shared" si="250"/>
        <v/>
      </c>
      <c r="JM788" s="2672" t="str">
        <f t="shared" si="251"/>
        <v/>
      </c>
      <c r="JN788" s="2672" t="str">
        <f t="shared" si="252"/>
        <v/>
      </c>
      <c r="JO788" s="2672" t="str">
        <f t="shared" si="253"/>
        <v/>
      </c>
      <c r="JP788" s="2672" t="str">
        <f t="shared" si="254"/>
        <v/>
      </c>
      <c r="JQ788" s="2672" t="str">
        <f t="shared" si="255"/>
        <v/>
      </c>
      <c r="JR788" s="2672" t="str">
        <f t="shared" si="256"/>
        <v/>
      </c>
      <c r="JS788" s="2672" t="str">
        <f t="shared" si="257"/>
        <v/>
      </c>
      <c r="JT788" s="2672" t="str">
        <f t="shared" si="258"/>
        <v/>
      </c>
      <c r="JU788" s="2672" t="str">
        <f t="shared" si="259"/>
        <v/>
      </c>
      <c r="JV788" s="2672" t="str">
        <f t="shared" si="260"/>
        <v/>
      </c>
      <c r="JW788" s="2672" t="str">
        <f t="shared" si="261"/>
        <v/>
      </c>
      <c r="JX788" s="2672" t="str">
        <f t="shared" si="262"/>
        <v/>
      </c>
      <c r="JY788" s="2672" t="str">
        <f t="shared" si="263"/>
        <v/>
      </c>
      <c r="JZ788" s="2672" t="str">
        <f t="shared" si="264"/>
        <v/>
      </c>
      <c r="KA788" s="2672" t="str">
        <f t="shared" si="265"/>
        <v/>
      </c>
      <c r="KB788" s="2672" t="str">
        <f t="shared" si="266"/>
        <v/>
      </c>
      <c r="KC788" s="2672" t="str">
        <f t="shared" si="267"/>
        <v/>
      </c>
      <c r="KD788" s="2672" t="str">
        <f t="shared" si="268"/>
        <v/>
      </c>
      <c r="KE788" s="2672" t="str">
        <f t="shared" si="269"/>
        <v/>
      </c>
      <c r="KF788" s="2672" t="str">
        <f t="shared" si="270"/>
        <v/>
      </c>
      <c r="KG788" s="2672" t="str">
        <f t="shared" si="271"/>
        <v/>
      </c>
      <c r="KH788" s="2672" t="str">
        <f t="shared" si="272"/>
        <v/>
      </c>
      <c r="KI788" s="2672" t="str">
        <f t="shared" si="273"/>
        <v/>
      </c>
      <c r="KJ788" s="2672" t="str">
        <f t="shared" si="274"/>
        <v/>
      </c>
      <c r="KK788" s="2672" t="str">
        <f t="shared" si="275"/>
        <v/>
      </c>
      <c r="KL788" s="2672" t="str">
        <f t="shared" si="276"/>
        <v/>
      </c>
      <c r="KM788" s="2672" t="str">
        <f t="shared" si="277"/>
        <v/>
      </c>
      <c r="KN788" s="2672" t="str">
        <f t="shared" si="278"/>
        <v/>
      </c>
      <c r="KO788" s="2672" t="str">
        <f t="shared" si="279"/>
        <v/>
      </c>
      <c r="KP788" s="2672" t="str">
        <f t="shared" si="280"/>
        <v/>
      </c>
      <c r="KQ788" s="2672" t="str">
        <f t="shared" si="281"/>
        <v/>
      </c>
      <c r="KR788" s="2672" t="str">
        <f t="shared" si="282"/>
        <v/>
      </c>
      <c r="KS788" s="2672" t="str">
        <f t="shared" si="283"/>
        <v/>
      </c>
      <c r="KT788" s="2672" t="str">
        <f t="shared" si="284"/>
        <v/>
      </c>
      <c r="KU788" s="2672" t="str">
        <f t="shared" si="285"/>
        <v/>
      </c>
      <c r="KV788" s="2672" t="str">
        <f t="shared" si="286"/>
        <v/>
      </c>
      <c r="KW788" s="2672" t="str">
        <f t="shared" si="287"/>
        <v/>
      </c>
      <c r="KX788" s="2672" t="str">
        <f t="shared" si="288"/>
        <v/>
      </c>
      <c r="KY788" s="2672" t="str">
        <f t="shared" si="289"/>
        <v/>
      </c>
      <c r="KZ788" s="2672">
        <f t="shared" si="290"/>
        <v>76</v>
      </c>
      <c r="LA788" s="2672" t="str">
        <f t="shared" si="291"/>
        <v/>
      </c>
      <c r="LB788" s="2672" t="str">
        <f t="shared" si="292"/>
        <v/>
      </c>
      <c r="LC788" s="2672" t="str">
        <f t="shared" si="293"/>
        <v/>
      </c>
      <c r="LD788" s="2672" t="str">
        <f t="shared" si="294"/>
        <v/>
      </c>
      <c r="LE788" s="2672" t="str">
        <f t="shared" si="295"/>
        <v/>
      </c>
      <c r="LF788" s="2672" t="str">
        <f t="shared" si="296"/>
        <v/>
      </c>
      <c r="LG788" s="2672" t="str">
        <f t="shared" si="297"/>
        <v/>
      </c>
      <c r="LH788" s="2672" t="str">
        <f t="shared" si="298"/>
        <v/>
      </c>
      <c r="LI788" s="2672" t="str">
        <f t="shared" si="299"/>
        <v/>
      </c>
      <c r="LJ788" s="2672" t="str">
        <f t="shared" si="300"/>
        <v/>
      </c>
      <c r="LK788" s="2672" t="str">
        <f t="shared" si="301"/>
        <v/>
      </c>
      <c r="LL788" s="2672" t="str">
        <f t="shared" si="302"/>
        <v/>
      </c>
      <c r="LM788" s="2672" t="str">
        <f t="shared" si="303"/>
        <v/>
      </c>
      <c r="LN788" s="2672" t="str">
        <f t="shared" si="304"/>
        <v/>
      </c>
      <c r="LO788" s="2672" t="str">
        <f t="shared" si="305"/>
        <v/>
      </c>
      <c r="LP788" s="2672" t="str">
        <f t="shared" si="306"/>
        <v/>
      </c>
      <c r="LQ788" s="2613" t="str">
        <f t="shared" si="307"/>
        <v/>
      </c>
      <c r="LR788" s="2613" t="str">
        <f t="shared" si="308"/>
        <v/>
      </c>
      <c r="LS788" s="2613" t="str">
        <f t="shared" si="309"/>
        <v/>
      </c>
      <c r="LT788" s="2613" t="str">
        <f t="shared" si="310"/>
        <v/>
      </c>
      <c r="LU788" s="2613" t="str">
        <f t="shared" si="311"/>
        <v/>
      </c>
      <c r="LV788" s="2494" t="str">
        <f t="shared" si="312"/>
        <v/>
      </c>
      <c r="LW788" s="2494" t="str">
        <f t="shared" si="313"/>
        <v/>
      </c>
      <c r="LX788" s="2494" t="str">
        <f t="shared" si="314"/>
        <v/>
      </c>
      <c r="LY788" s="2494" t="str">
        <f t="shared" si="315"/>
        <v/>
      </c>
      <c r="LZ788" s="2494" t="str">
        <f t="shared" si="316"/>
        <v/>
      </c>
      <c r="MA788" s="2494" t="str">
        <f t="shared" si="317"/>
        <v/>
      </c>
      <c r="MB788" s="2494" t="str">
        <f t="shared" si="318"/>
        <v/>
      </c>
      <c r="MC788" s="2494" t="str">
        <f t="shared" si="319"/>
        <v/>
      </c>
      <c r="MD788" s="2494" t="str">
        <f t="shared" si="320"/>
        <v/>
      </c>
      <c r="ME788" s="2494" t="str">
        <f t="shared" si="321"/>
        <v/>
      </c>
      <c r="MF788" s="2494" t="str">
        <f t="shared" si="322"/>
        <v/>
      </c>
      <c r="MG788" s="2494" t="str">
        <f t="shared" si="323"/>
        <v/>
      </c>
      <c r="MH788" s="2494" t="str">
        <f t="shared" si="324"/>
        <v/>
      </c>
      <c r="MI788" s="2494" t="str">
        <f t="shared" si="325"/>
        <v/>
      </c>
      <c r="MJ788" s="2494" t="str">
        <f t="shared" si="326"/>
        <v/>
      </c>
      <c r="MK788" s="2494" t="str">
        <f t="shared" si="327"/>
        <v/>
      </c>
      <c r="ML788" s="2494" t="str">
        <f t="shared" si="328"/>
        <v/>
      </c>
      <c r="MM788" s="2494" t="str">
        <f t="shared" si="329"/>
        <v/>
      </c>
      <c r="MN788" s="2494" t="str">
        <f t="shared" si="330"/>
        <v/>
      </c>
      <c r="MO788" s="2494" t="str">
        <f t="shared" si="331"/>
        <v/>
      </c>
      <c r="MP788" s="2613">
        <f t="shared" si="338"/>
        <v>0</v>
      </c>
      <c r="MQ788" s="2613">
        <f t="shared" si="339"/>
        <v>0</v>
      </c>
      <c r="MR788" s="2613">
        <f t="shared" si="340"/>
        <v>0</v>
      </c>
      <c r="MS788" s="2613">
        <f t="shared" si="341"/>
        <v>0</v>
      </c>
      <c r="MT788" s="2613">
        <f t="shared" si="342"/>
        <v>0</v>
      </c>
      <c r="MU788" s="2613">
        <f t="shared" si="343"/>
        <v>0</v>
      </c>
      <c r="MV788" s="2613">
        <f t="shared" si="344"/>
        <v>0</v>
      </c>
      <c r="MW788" s="2613">
        <f t="shared" si="345"/>
        <v>0</v>
      </c>
      <c r="MX788" s="2613">
        <f t="shared" si="346"/>
        <v>76</v>
      </c>
      <c r="MY788" s="2613">
        <f t="shared" si="347"/>
        <v>0</v>
      </c>
      <c r="MZ788" s="2613">
        <f t="shared" si="332"/>
        <v>0</v>
      </c>
      <c r="NA788" s="2613">
        <f t="shared" si="333"/>
        <v>0</v>
      </c>
      <c r="NB788" s="2613">
        <f t="shared" si="334"/>
        <v>0</v>
      </c>
      <c r="NC788" s="2613">
        <f t="shared" si="335"/>
        <v>0</v>
      </c>
      <c r="ND788" s="2613">
        <f t="shared" si="336"/>
        <v>0</v>
      </c>
    </row>
    <row r="789" spans="1:368" ht="13.8" customHeight="1">
      <c r="A789" s="2652" t="str">
        <f t="shared" si="337"/>
        <v/>
      </c>
      <c r="B789" s="2664">
        <f>'Part VI-Revenues &amp; Expenses'!B20</f>
        <v>50</v>
      </c>
      <c r="C789" s="2665">
        <f>'Part VI-Revenues &amp; Expenses'!C20</f>
        <v>0</v>
      </c>
      <c r="D789" s="2666">
        <f>'Part VI-Revenues &amp; Expenses'!D20</f>
        <v>0</v>
      </c>
      <c r="E789" s="2667">
        <f>'Part VI-Revenues &amp; Expenses'!E20</f>
        <v>0</v>
      </c>
      <c r="F789" s="2667">
        <f>'Part VI-Revenues &amp; Expenses'!F20</f>
        <v>0</v>
      </c>
      <c r="G789" s="2667">
        <f>'Part VI-Revenues &amp; Expenses'!G20</f>
        <v>0</v>
      </c>
      <c r="H789" s="2667">
        <f>'Part VI-Revenues &amp; Expenses'!H20</f>
        <v>0</v>
      </c>
      <c r="I789" s="2667">
        <f>'Part VI-Revenues &amp; Expenses'!I20</f>
        <v>0</v>
      </c>
      <c r="J789" s="2667">
        <f>'Part VI-Revenues &amp; Expenses'!J20</f>
        <v>0</v>
      </c>
      <c r="K789" s="2668">
        <f>'Part VI-Revenues &amp; Expenses'!K20</f>
        <v>0</v>
      </c>
      <c r="L789" s="2669">
        <f t="shared" si="0"/>
        <v>0</v>
      </c>
      <c r="M789" s="2669">
        <f t="shared" si="1"/>
        <v>0</v>
      </c>
      <c r="N789" s="2545">
        <f>'Part VI-Revenues &amp; Expenses'!N20</f>
        <v>0</v>
      </c>
      <c r="O789" s="2545">
        <f>'Part VI-Revenues &amp; Expenses'!O20</f>
        <v>0</v>
      </c>
      <c r="P789" s="2545">
        <f>'Part VI-Revenues &amp; Expenses'!P20</f>
        <v>0</v>
      </c>
      <c r="Q789" s="2251">
        <f>'Part VI-Revenues &amp; Expenses'!Q20</f>
        <v>0</v>
      </c>
      <c r="R789" s="2670"/>
      <c r="S789" s="2671"/>
      <c r="T789" s="2607"/>
      <c r="U789" s="2607"/>
      <c r="V789" s="2607"/>
      <c r="W789" s="2607"/>
      <c r="X789" s="2494" t="str">
        <f t="shared" si="2"/>
        <v/>
      </c>
      <c r="Y789" s="2494" t="str">
        <f t="shared" si="3"/>
        <v/>
      </c>
      <c r="Z789" s="2494" t="str">
        <f t="shared" si="4"/>
        <v/>
      </c>
      <c r="AA789" s="2494" t="str">
        <f t="shared" si="5"/>
        <v/>
      </c>
      <c r="AB789" s="2494" t="str">
        <f t="shared" si="6"/>
        <v/>
      </c>
      <c r="AC789" s="2494" t="str">
        <f t="shared" si="7"/>
        <v/>
      </c>
      <c r="AD789" s="2494" t="str">
        <f t="shared" si="8"/>
        <v/>
      </c>
      <c r="AE789" s="2494" t="str">
        <f t="shared" si="9"/>
        <v/>
      </c>
      <c r="AF789" s="2494" t="str">
        <f t="shared" si="10"/>
        <v/>
      </c>
      <c r="AG789" s="2494" t="str">
        <f t="shared" si="11"/>
        <v/>
      </c>
      <c r="AH789" s="2494" t="str">
        <f t="shared" si="12"/>
        <v/>
      </c>
      <c r="AI789" s="2494" t="str">
        <f t="shared" si="13"/>
        <v/>
      </c>
      <c r="AJ789" s="2494" t="str">
        <f t="shared" si="14"/>
        <v/>
      </c>
      <c r="AK789" s="2494" t="str">
        <f t="shared" si="15"/>
        <v/>
      </c>
      <c r="AL789" s="2494" t="str">
        <f t="shared" si="16"/>
        <v/>
      </c>
      <c r="AM789" s="2494" t="str">
        <f t="shared" si="17"/>
        <v/>
      </c>
      <c r="AN789" s="2494" t="str">
        <f t="shared" si="18"/>
        <v/>
      </c>
      <c r="AO789" s="2494" t="str">
        <f t="shared" si="19"/>
        <v/>
      </c>
      <c r="AP789" s="2494" t="str">
        <f t="shared" si="20"/>
        <v/>
      </c>
      <c r="AQ789" s="2494" t="str">
        <f t="shared" si="21"/>
        <v/>
      </c>
      <c r="AR789" s="2494" t="str">
        <f t="shared" si="22"/>
        <v/>
      </c>
      <c r="AS789" s="2494" t="str">
        <f t="shared" si="23"/>
        <v/>
      </c>
      <c r="AT789" s="2494" t="str">
        <f t="shared" si="24"/>
        <v/>
      </c>
      <c r="AU789" s="2494" t="str">
        <f t="shared" si="25"/>
        <v/>
      </c>
      <c r="AV789" s="2494" t="str">
        <f t="shared" si="26"/>
        <v/>
      </c>
      <c r="AW789" s="2494" t="str">
        <f t="shared" si="27"/>
        <v/>
      </c>
      <c r="AX789" s="2494" t="str">
        <f t="shared" si="28"/>
        <v/>
      </c>
      <c r="AY789" s="2494" t="str">
        <f t="shared" si="29"/>
        <v/>
      </c>
      <c r="AZ789" s="2494" t="str">
        <f t="shared" si="30"/>
        <v/>
      </c>
      <c r="BA789" s="2494" t="str">
        <f t="shared" si="31"/>
        <v/>
      </c>
      <c r="BB789" s="2494" t="str">
        <f t="shared" si="32"/>
        <v/>
      </c>
      <c r="BC789" s="2494" t="str">
        <f t="shared" si="33"/>
        <v/>
      </c>
      <c r="BD789" s="2494" t="str">
        <f t="shared" si="34"/>
        <v/>
      </c>
      <c r="BE789" s="2494" t="str">
        <f t="shared" si="35"/>
        <v/>
      </c>
      <c r="BF789" s="2494" t="str">
        <f t="shared" si="36"/>
        <v/>
      </c>
      <c r="BG789" s="2494" t="str">
        <f t="shared" si="37"/>
        <v/>
      </c>
      <c r="BH789" s="2494" t="str">
        <f t="shared" si="38"/>
        <v/>
      </c>
      <c r="BI789" s="2494" t="str">
        <f t="shared" si="39"/>
        <v/>
      </c>
      <c r="BJ789" s="2494" t="str">
        <f t="shared" si="40"/>
        <v/>
      </c>
      <c r="BK789" s="2494" t="str">
        <f t="shared" si="41"/>
        <v/>
      </c>
      <c r="BL789" s="2494" t="str">
        <f t="shared" si="42"/>
        <v/>
      </c>
      <c r="BM789" s="2494" t="str">
        <f t="shared" si="43"/>
        <v/>
      </c>
      <c r="BN789" s="2494" t="str">
        <f t="shared" si="44"/>
        <v/>
      </c>
      <c r="BO789" s="2494" t="str">
        <f t="shared" si="45"/>
        <v/>
      </c>
      <c r="BP789" s="2494" t="str">
        <f t="shared" si="46"/>
        <v/>
      </c>
      <c r="BQ789" s="2494" t="str">
        <f t="shared" si="47"/>
        <v/>
      </c>
      <c r="BR789" s="2494" t="str">
        <f t="shared" si="48"/>
        <v/>
      </c>
      <c r="BS789" s="2494" t="str">
        <f t="shared" si="49"/>
        <v/>
      </c>
      <c r="BT789" s="2494" t="str">
        <f t="shared" si="50"/>
        <v/>
      </c>
      <c r="BU789" s="2494" t="str">
        <f t="shared" si="51"/>
        <v/>
      </c>
      <c r="BV789" s="2494" t="str">
        <f t="shared" si="52"/>
        <v/>
      </c>
      <c r="BW789" s="2494" t="str">
        <f t="shared" si="53"/>
        <v/>
      </c>
      <c r="BX789" s="2494" t="str">
        <f t="shared" si="54"/>
        <v/>
      </c>
      <c r="BY789" s="2494" t="str">
        <f t="shared" si="55"/>
        <v/>
      </c>
      <c r="BZ789" s="2494" t="str">
        <f t="shared" si="56"/>
        <v/>
      </c>
      <c r="CA789" s="2494" t="str">
        <f t="shared" si="57"/>
        <v/>
      </c>
      <c r="CB789" s="2494" t="str">
        <f t="shared" si="58"/>
        <v/>
      </c>
      <c r="CC789" s="2494" t="str">
        <f t="shared" si="59"/>
        <v/>
      </c>
      <c r="CD789" s="2494" t="str">
        <f t="shared" si="60"/>
        <v/>
      </c>
      <c r="CE789" s="2494" t="str">
        <f t="shared" si="61"/>
        <v/>
      </c>
      <c r="CF789" s="2494" t="str">
        <f t="shared" si="62"/>
        <v/>
      </c>
      <c r="CG789" s="2494" t="str">
        <f t="shared" si="63"/>
        <v/>
      </c>
      <c r="CH789" s="2494" t="str">
        <f t="shared" si="64"/>
        <v/>
      </c>
      <c r="CI789" s="2494" t="str">
        <f t="shared" si="65"/>
        <v/>
      </c>
      <c r="CJ789" s="2494" t="str">
        <f t="shared" si="66"/>
        <v/>
      </c>
      <c r="CK789" s="2494" t="str">
        <f t="shared" si="67"/>
        <v/>
      </c>
      <c r="CL789" s="2494" t="str">
        <f t="shared" si="68"/>
        <v/>
      </c>
      <c r="CM789" s="2494" t="str">
        <f t="shared" si="69"/>
        <v/>
      </c>
      <c r="CN789" s="2494" t="str">
        <f t="shared" si="70"/>
        <v/>
      </c>
      <c r="CO789" s="2494" t="str">
        <f t="shared" si="71"/>
        <v/>
      </c>
      <c r="CP789" s="2494" t="str">
        <f t="shared" si="72"/>
        <v/>
      </c>
      <c r="CQ789" s="2494" t="str">
        <f t="shared" si="73"/>
        <v/>
      </c>
      <c r="CR789" s="2494" t="str">
        <f t="shared" si="74"/>
        <v/>
      </c>
      <c r="CS789" s="2494" t="str">
        <f t="shared" si="75"/>
        <v/>
      </c>
      <c r="CT789" s="2494" t="str">
        <f t="shared" si="76"/>
        <v/>
      </c>
      <c r="CU789" s="2494" t="str">
        <f t="shared" si="77"/>
        <v/>
      </c>
      <c r="CV789" s="2494" t="str">
        <f t="shared" si="78"/>
        <v/>
      </c>
      <c r="CW789" s="2494" t="str">
        <f t="shared" si="79"/>
        <v/>
      </c>
      <c r="CX789" s="2494" t="str">
        <f t="shared" si="80"/>
        <v/>
      </c>
      <c r="CY789" s="2494" t="str">
        <f t="shared" si="81"/>
        <v/>
      </c>
      <c r="CZ789" s="2494" t="str">
        <f t="shared" si="82"/>
        <v/>
      </c>
      <c r="DA789" s="2494" t="str">
        <f t="shared" si="83"/>
        <v/>
      </c>
      <c r="DB789" s="2494" t="str">
        <f t="shared" si="84"/>
        <v/>
      </c>
      <c r="DC789" s="2494" t="str">
        <f t="shared" si="85"/>
        <v/>
      </c>
      <c r="DD789" s="2494" t="str">
        <f t="shared" si="86"/>
        <v/>
      </c>
      <c r="DE789" s="2494" t="str">
        <f t="shared" si="87"/>
        <v/>
      </c>
      <c r="DF789" s="2494" t="str">
        <f t="shared" si="88"/>
        <v/>
      </c>
      <c r="DG789" s="2494" t="str">
        <f t="shared" si="89"/>
        <v/>
      </c>
      <c r="DH789" s="2494" t="str">
        <f t="shared" si="90"/>
        <v/>
      </c>
      <c r="DI789" s="2494" t="str">
        <f t="shared" si="91"/>
        <v/>
      </c>
      <c r="DJ789" s="2494" t="str">
        <f t="shared" si="92"/>
        <v/>
      </c>
      <c r="DK789" s="2494" t="str">
        <f t="shared" si="93"/>
        <v/>
      </c>
      <c r="DL789" s="2494" t="str">
        <f t="shared" si="94"/>
        <v/>
      </c>
      <c r="DM789" s="2494" t="str">
        <f t="shared" si="95"/>
        <v/>
      </c>
      <c r="DN789" s="2494" t="str">
        <f t="shared" si="96"/>
        <v/>
      </c>
      <c r="DO789" s="2494" t="str">
        <f t="shared" si="97"/>
        <v/>
      </c>
      <c r="DP789" s="2494" t="str">
        <f t="shared" si="98"/>
        <v/>
      </c>
      <c r="DQ789" s="2494" t="str">
        <f t="shared" si="99"/>
        <v/>
      </c>
      <c r="DR789" s="2494" t="str">
        <f t="shared" si="100"/>
        <v/>
      </c>
      <c r="DS789" s="2494" t="str">
        <f t="shared" si="101"/>
        <v/>
      </c>
      <c r="DT789" s="2494" t="str">
        <f t="shared" si="102"/>
        <v/>
      </c>
      <c r="DU789" s="2494" t="str">
        <f t="shared" si="103"/>
        <v/>
      </c>
      <c r="DV789" s="2494" t="str">
        <f t="shared" si="104"/>
        <v/>
      </c>
      <c r="DW789" s="2494" t="str">
        <f t="shared" si="105"/>
        <v/>
      </c>
      <c r="DX789" s="2494" t="str">
        <f t="shared" si="106"/>
        <v/>
      </c>
      <c r="DY789" s="2494" t="str">
        <f t="shared" si="107"/>
        <v/>
      </c>
      <c r="DZ789" s="2494" t="str">
        <f t="shared" si="108"/>
        <v/>
      </c>
      <c r="EA789" s="2494" t="str">
        <f t="shared" si="109"/>
        <v/>
      </c>
      <c r="EB789" s="2494" t="str">
        <f t="shared" si="110"/>
        <v/>
      </c>
      <c r="EC789" s="2494" t="str">
        <f t="shared" si="111"/>
        <v/>
      </c>
      <c r="ED789" s="2494" t="str">
        <f t="shared" si="112"/>
        <v/>
      </c>
      <c r="EE789" s="2494" t="str">
        <f t="shared" si="113"/>
        <v/>
      </c>
      <c r="EF789" s="2494" t="str">
        <f t="shared" si="114"/>
        <v/>
      </c>
      <c r="EG789" s="2494" t="str">
        <f t="shared" si="115"/>
        <v/>
      </c>
      <c r="EH789" s="2494" t="str">
        <f t="shared" si="116"/>
        <v/>
      </c>
      <c r="EI789" s="2494" t="str">
        <f t="shared" si="117"/>
        <v/>
      </c>
      <c r="EJ789" s="2494" t="str">
        <f t="shared" si="118"/>
        <v/>
      </c>
      <c r="EK789" s="2494" t="str">
        <f t="shared" si="119"/>
        <v/>
      </c>
      <c r="EL789" s="2494" t="str">
        <f t="shared" si="120"/>
        <v/>
      </c>
      <c r="EM789" s="2494" t="str">
        <f t="shared" si="121"/>
        <v/>
      </c>
      <c r="EN789" s="2494" t="str">
        <f t="shared" si="122"/>
        <v/>
      </c>
      <c r="EO789" s="2494" t="str">
        <f t="shared" si="123"/>
        <v/>
      </c>
      <c r="EP789" s="2494" t="str">
        <f t="shared" si="124"/>
        <v/>
      </c>
      <c r="EQ789" s="2494" t="str">
        <f t="shared" si="125"/>
        <v/>
      </c>
      <c r="ER789" s="2494" t="str">
        <f t="shared" si="126"/>
        <v/>
      </c>
      <c r="ES789" s="2494" t="str">
        <f t="shared" si="127"/>
        <v/>
      </c>
      <c r="ET789" s="2494" t="str">
        <f t="shared" si="128"/>
        <v/>
      </c>
      <c r="EU789" s="2494" t="str">
        <f t="shared" si="129"/>
        <v/>
      </c>
      <c r="EV789" s="2494" t="str">
        <f t="shared" si="130"/>
        <v/>
      </c>
      <c r="EW789" s="2494" t="str">
        <f t="shared" si="131"/>
        <v/>
      </c>
      <c r="EX789" s="2494" t="str">
        <f t="shared" si="132"/>
        <v/>
      </c>
      <c r="EY789" s="2494" t="str">
        <f t="shared" si="133"/>
        <v/>
      </c>
      <c r="EZ789" s="2494" t="str">
        <f t="shared" si="134"/>
        <v/>
      </c>
      <c r="FA789" s="2494" t="str">
        <f t="shared" si="135"/>
        <v/>
      </c>
      <c r="FB789" s="2494" t="str">
        <f t="shared" si="136"/>
        <v/>
      </c>
      <c r="FC789" s="2494" t="str">
        <f t="shared" si="137"/>
        <v/>
      </c>
      <c r="FD789" s="2494" t="str">
        <f t="shared" si="138"/>
        <v/>
      </c>
      <c r="FE789" s="2494" t="str">
        <f t="shared" si="139"/>
        <v/>
      </c>
      <c r="FF789" s="2494" t="str">
        <f t="shared" si="140"/>
        <v/>
      </c>
      <c r="FG789" s="2494" t="str">
        <f t="shared" si="141"/>
        <v/>
      </c>
      <c r="FH789" s="2494" t="str">
        <f t="shared" si="142"/>
        <v/>
      </c>
      <c r="FI789" s="2494" t="str">
        <f t="shared" si="143"/>
        <v/>
      </c>
      <c r="FJ789" s="2494" t="str">
        <f t="shared" si="144"/>
        <v/>
      </c>
      <c r="FK789" s="2494" t="str">
        <f t="shared" si="145"/>
        <v/>
      </c>
      <c r="FL789" s="2494" t="str">
        <f t="shared" si="146"/>
        <v/>
      </c>
      <c r="FM789" s="2494" t="str">
        <f t="shared" si="147"/>
        <v/>
      </c>
      <c r="FN789" s="2494" t="str">
        <f t="shared" si="148"/>
        <v/>
      </c>
      <c r="FO789" s="2494" t="str">
        <f t="shared" si="149"/>
        <v/>
      </c>
      <c r="FP789" s="2494" t="str">
        <f t="shared" si="150"/>
        <v/>
      </c>
      <c r="FQ789" s="2494" t="str">
        <f t="shared" si="151"/>
        <v/>
      </c>
      <c r="FR789" s="2494" t="str">
        <f t="shared" si="152"/>
        <v/>
      </c>
      <c r="FS789" s="2494" t="str">
        <f t="shared" si="153"/>
        <v/>
      </c>
      <c r="FT789" s="2494" t="str">
        <f t="shared" si="154"/>
        <v/>
      </c>
      <c r="FU789" s="2494" t="str">
        <f t="shared" si="155"/>
        <v/>
      </c>
      <c r="FV789" s="2494" t="str">
        <f t="shared" si="156"/>
        <v/>
      </c>
      <c r="FW789" s="2494" t="str">
        <f t="shared" si="157"/>
        <v/>
      </c>
      <c r="FX789" s="2494" t="str">
        <f t="shared" si="158"/>
        <v/>
      </c>
      <c r="FY789" s="2494" t="str">
        <f t="shared" si="159"/>
        <v/>
      </c>
      <c r="FZ789" s="2494" t="str">
        <f t="shared" si="160"/>
        <v/>
      </c>
      <c r="GA789" s="2494" t="str">
        <f t="shared" si="161"/>
        <v/>
      </c>
      <c r="GB789" s="2494" t="str">
        <f t="shared" si="162"/>
        <v/>
      </c>
      <c r="GC789" s="2494" t="str">
        <f t="shared" si="163"/>
        <v/>
      </c>
      <c r="GD789" s="2494" t="str">
        <f t="shared" si="164"/>
        <v/>
      </c>
      <c r="GE789" s="2494" t="str">
        <f t="shared" si="165"/>
        <v/>
      </c>
      <c r="GF789" s="2494" t="str">
        <f t="shared" si="166"/>
        <v/>
      </c>
      <c r="GG789" s="2494" t="str">
        <f t="shared" si="167"/>
        <v/>
      </c>
      <c r="GH789" s="2494" t="str">
        <f t="shared" si="168"/>
        <v/>
      </c>
      <c r="GI789" s="2494" t="str">
        <f t="shared" si="169"/>
        <v/>
      </c>
      <c r="GJ789" s="2494" t="str">
        <f t="shared" si="170"/>
        <v/>
      </c>
      <c r="GK789" s="2494" t="str">
        <f t="shared" si="171"/>
        <v/>
      </c>
      <c r="GL789" s="2494" t="str">
        <f t="shared" si="172"/>
        <v/>
      </c>
      <c r="GM789" s="2494" t="str">
        <f t="shared" si="173"/>
        <v/>
      </c>
      <c r="GN789" s="2494" t="str">
        <f t="shared" si="174"/>
        <v/>
      </c>
      <c r="GO789" s="2494" t="str">
        <f t="shared" si="175"/>
        <v/>
      </c>
      <c r="GP789" s="2494" t="str">
        <f t="shared" si="176"/>
        <v/>
      </c>
      <c r="GQ789" s="2494" t="str">
        <f t="shared" si="177"/>
        <v/>
      </c>
      <c r="GR789" s="2494" t="str">
        <f t="shared" si="178"/>
        <v/>
      </c>
      <c r="GS789" s="2494" t="str">
        <f t="shared" si="179"/>
        <v/>
      </c>
      <c r="GT789" s="2494" t="str">
        <f t="shared" si="180"/>
        <v/>
      </c>
      <c r="GU789" s="2494" t="str">
        <f t="shared" si="181"/>
        <v/>
      </c>
      <c r="GV789" s="2494" t="str">
        <f t="shared" si="182"/>
        <v/>
      </c>
      <c r="GW789" s="2494" t="str">
        <f t="shared" si="183"/>
        <v/>
      </c>
      <c r="GX789" s="2494" t="str">
        <f t="shared" si="184"/>
        <v/>
      </c>
      <c r="GY789" s="2494" t="str">
        <f t="shared" si="185"/>
        <v/>
      </c>
      <c r="GZ789" s="2494" t="str">
        <f t="shared" si="186"/>
        <v/>
      </c>
      <c r="HA789" s="2494" t="str">
        <f t="shared" si="187"/>
        <v/>
      </c>
      <c r="HB789" s="2494" t="str">
        <f t="shared" si="188"/>
        <v/>
      </c>
      <c r="HC789" s="2494" t="str">
        <f t="shared" si="189"/>
        <v/>
      </c>
      <c r="HD789" s="2494" t="str">
        <f t="shared" si="190"/>
        <v/>
      </c>
      <c r="HE789" s="2494" t="str">
        <f t="shared" si="191"/>
        <v/>
      </c>
      <c r="HF789" s="2494" t="str">
        <f t="shared" si="192"/>
        <v/>
      </c>
      <c r="HG789" s="2494" t="str">
        <f t="shared" si="193"/>
        <v/>
      </c>
      <c r="HH789" s="2494" t="str">
        <f t="shared" si="194"/>
        <v/>
      </c>
      <c r="HI789" s="2494" t="str">
        <f t="shared" si="195"/>
        <v/>
      </c>
      <c r="HJ789" s="2494" t="str">
        <f t="shared" si="196"/>
        <v/>
      </c>
      <c r="HK789" s="2494" t="str">
        <f t="shared" si="197"/>
        <v/>
      </c>
      <c r="HL789" s="2494" t="str">
        <f t="shared" si="198"/>
        <v/>
      </c>
      <c r="HM789" s="2494" t="str">
        <f t="shared" si="199"/>
        <v/>
      </c>
      <c r="HN789" s="2494" t="str">
        <f t="shared" si="200"/>
        <v/>
      </c>
      <c r="HO789" s="2494" t="str">
        <f t="shared" si="201"/>
        <v/>
      </c>
      <c r="HP789" s="2494" t="str">
        <f t="shared" si="202"/>
        <v/>
      </c>
      <c r="HQ789" s="2494" t="str">
        <f t="shared" si="203"/>
        <v/>
      </c>
      <c r="HR789" s="2494" t="str">
        <f t="shared" si="204"/>
        <v/>
      </c>
      <c r="HS789" s="2494" t="str">
        <f t="shared" si="205"/>
        <v/>
      </c>
      <c r="HT789" s="2494" t="str">
        <f t="shared" si="206"/>
        <v/>
      </c>
      <c r="HU789" s="2494" t="str">
        <f t="shared" si="207"/>
        <v/>
      </c>
      <c r="HV789" s="2494" t="str">
        <f t="shared" si="208"/>
        <v/>
      </c>
      <c r="HW789" s="2494" t="str">
        <f t="shared" si="209"/>
        <v/>
      </c>
      <c r="HX789" s="2494" t="str">
        <f t="shared" si="210"/>
        <v/>
      </c>
      <c r="HY789" s="2494" t="str">
        <f t="shared" si="211"/>
        <v/>
      </c>
      <c r="HZ789" s="2672" t="str">
        <f t="shared" si="212"/>
        <v/>
      </c>
      <c r="IA789" s="2672" t="str">
        <f t="shared" si="213"/>
        <v/>
      </c>
      <c r="IB789" s="2672" t="str">
        <f t="shared" si="214"/>
        <v/>
      </c>
      <c r="IC789" s="2672" t="str">
        <f t="shared" si="215"/>
        <v/>
      </c>
      <c r="ID789" s="2672" t="str">
        <f t="shared" si="216"/>
        <v/>
      </c>
      <c r="IE789" s="2672" t="str">
        <f t="shared" si="217"/>
        <v/>
      </c>
      <c r="IF789" s="2672" t="str">
        <f t="shared" si="218"/>
        <v/>
      </c>
      <c r="IG789" s="2672" t="str">
        <f t="shared" si="219"/>
        <v/>
      </c>
      <c r="IH789" s="2672" t="str">
        <f t="shared" si="220"/>
        <v/>
      </c>
      <c r="II789" s="2672" t="str">
        <f t="shared" si="221"/>
        <v/>
      </c>
      <c r="IJ789" s="2672" t="str">
        <f t="shared" si="222"/>
        <v/>
      </c>
      <c r="IK789" s="2672" t="str">
        <f t="shared" si="223"/>
        <v/>
      </c>
      <c r="IL789" s="2672" t="str">
        <f t="shared" si="224"/>
        <v/>
      </c>
      <c r="IM789" s="2672" t="str">
        <f t="shared" si="225"/>
        <v/>
      </c>
      <c r="IN789" s="2672" t="str">
        <f t="shared" si="226"/>
        <v/>
      </c>
      <c r="IO789" s="2672" t="str">
        <f t="shared" si="227"/>
        <v/>
      </c>
      <c r="IP789" s="2672" t="str">
        <f t="shared" si="228"/>
        <v/>
      </c>
      <c r="IQ789" s="2672" t="str">
        <f t="shared" si="229"/>
        <v/>
      </c>
      <c r="IR789" s="2672" t="str">
        <f t="shared" si="230"/>
        <v/>
      </c>
      <c r="IS789" s="2672" t="str">
        <f t="shared" si="231"/>
        <v/>
      </c>
      <c r="IT789" s="2672" t="str">
        <f t="shared" si="232"/>
        <v/>
      </c>
      <c r="IU789" s="2672" t="str">
        <f t="shared" si="233"/>
        <v/>
      </c>
      <c r="IV789" s="2672" t="str">
        <f t="shared" si="234"/>
        <v/>
      </c>
      <c r="IW789" s="2672" t="str">
        <f t="shared" si="235"/>
        <v/>
      </c>
      <c r="IX789" s="2672" t="str">
        <f t="shared" si="236"/>
        <v/>
      </c>
      <c r="IY789" s="2672" t="str">
        <f t="shared" si="237"/>
        <v/>
      </c>
      <c r="IZ789" s="2672" t="str">
        <f t="shared" si="238"/>
        <v/>
      </c>
      <c r="JA789" s="2672" t="str">
        <f t="shared" si="239"/>
        <v/>
      </c>
      <c r="JB789" s="2672" t="str">
        <f t="shared" si="240"/>
        <v/>
      </c>
      <c r="JC789" s="2672" t="str">
        <f t="shared" si="241"/>
        <v/>
      </c>
      <c r="JD789" s="2672" t="str">
        <f t="shared" si="242"/>
        <v/>
      </c>
      <c r="JE789" s="2672" t="str">
        <f t="shared" si="243"/>
        <v/>
      </c>
      <c r="JF789" s="2672" t="str">
        <f t="shared" si="244"/>
        <v/>
      </c>
      <c r="JG789" s="2672" t="str">
        <f t="shared" si="245"/>
        <v/>
      </c>
      <c r="JH789" s="2672" t="str">
        <f t="shared" si="246"/>
        <v/>
      </c>
      <c r="JI789" s="2672" t="str">
        <f t="shared" si="247"/>
        <v/>
      </c>
      <c r="JJ789" s="2672" t="str">
        <f t="shared" si="248"/>
        <v/>
      </c>
      <c r="JK789" s="2672" t="str">
        <f t="shared" si="249"/>
        <v/>
      </c>
      <c r="JL789" s="2672" t="str">
        <f t="shared" si="250"/>
        <v/>
      </c>
      <c r="JM789" s="2672" t="str">
        <f t="shared" si="251"/>
        <v/>
      </c>
      <c r="JN789" s="2672" t="str">
        <f t="shared" si="252"/>
        <v/>
      </c>
      <c r="JO789" s="2672" t="str">
        <f t="shared" si="253"/>
        <v/>
      </c>
      <c r="JP789" s="2672" t="str">
        <f t="shared" si="254"/>
        <v/>
      </c>
      <c r="JQ789" s="2672" t="str">
        <f t="shared" si="255"/>
        <v/>
      </c>
      <c r="JR789" s="2672" t="str">
        <f t="shared" si="256"/>
        <v/>
      </c>
      <c r="JS789" s="2672" t="str">
        <f t="shared" si="257"/>
        <v/>
      </c>
      <c r="JT789" s="2672" t="str">
        <f t="shared" si="258"/>
        <v/>
      </c>
      <c r="JU789" s="2672" t="str">
        <f t="shared" si="259"/>
        <v/>
      </c>
      <c r="JV789" s="2672" t="str">
        <f t="shared" si="260"/>
        <v/>
      </c>
      <c r="JW789" s="2672" t="str">
        <f t="shared" si="261"/>
        <v/>
      </c>
      <c r="JX789" s="2672" t="str">
        <f t="shared" si="262"/>
        <v/>
      </c>
      <c r="JY789" s="2672" t="str">
        <f t="shared" si="263"/>
        <v/>
      </c>
      <c r="JZ789" s="2672" t="str">
        <f t="shared" si="264"/>
        <v/>
      </c>
      <c r="KA789" s="2672" t="str">
        <f t="shared" si="265"/>
        <v/>
      </c>
      <c r="KB789" s="2672" t="str">
        <f t="shared" si="266"/>
        <v/>
      </c>
      <c r="KC789" s="2672" t="str">
        <f t="shared" si="267"/>
        <v/>
      </c>
      <c r="KD789" s="2672" t="str">
        <f t="shared" si="268"/>
        <v/>
      </c>
      <c r="KE789" s="2672" t="str">
        <f t="shared" si="269"/>
        <v/>
      </c>
      <c r="KF789" s="2672" t="str">
        <f t="shared" si="270"/>
        <v/>
      </c>
      <c r="KG789" s="2672" t="str">
        <f t="shared" si="271"/>
        <v/>
      </c>
      <c r="KH789" s="2672" t="str">
        <f t="shared" si="272"/>
        <v/>
      </c>
      <c r="KI789" s="2672" t="str">
        <f t="shared" si="273"/>
        <v/>
      </c>
      <c r="KJ789" s="2672" t="str">
        <f t="shared" si="274"/>
        <v/>
      </c>
      <c r="KK789" s="2672" t="str">
        <f t="shared" si="275"/>
        <v/>
      </c>
      <c r="KL789" s="2672" t="str">
        <f t="shared" si="276"/>
        <v/>
      </c>
      <c r="KM789" s="2672" t="str">
        <f t="shared" si="277"/>
        <v/>
      </c>
      <c r="KN789" s="2672" t="str">
        <f t="shared" si="278"/>
        <v/>
      </c>
      <c r="KO789" s="2672" t="str">
        <f t="shared" si="279"/>
        <v/>
      </c>
      <c r="KP789" s="2672" t="str">
        <f t="shared" si="280"/>
        <v/>
      </c>
      <c r="KQ789" s="2672" t="str">
        <f t="shared" si="281"/>
        <v/>
      </c>
      <c r="KR789" s="2672" t="str">
        <f t="shared" si="282"/>
        <v/>
      </c>
      <c r="KS789" s="2672" t="str">
        <f t="shared" si="283"/>
        <v/>
      </c>
      <c r="KT789" s="2672" t="str">
        <f t="shared" si="284"/>
        <v/>
      </c>
      <c r="KU789" s="2672" t="str">
        <f t="shared" si="285"/>
        <v/>
      </c>
      <c r="KV789" s="2672" t="str">
        <f t="shared" si="286"/>
        <v/>
      </c>
      <c r="KW789" s="2672" t="str">
        <f t="shared" si="287"/>
        <v/>
      </c>
      <c r="KX789" s="2672" t="str">
        <f t="shared" si="288"/>
        <v/>
      </c>
      <c r="KY789" s="2672" t="str">
        <f t="shared" si="289"/>
        <v/>
      </c>
      <c r="KZ789" s="2672" t="str">
        <f t="shared" si="290"/>
        <v/>
      </c>
      <c r="LA789" s="2672" t="str">
        <f t="shared" si="291"/>
        <v/>
      </c>
      <c r="LB789" s="2672" t="str">
        <f t="shared" si="292"/>
        <v/>
      </c>
      <c r="LC789" s="2672" t="str">
        <f t="shared" si="293"/>
        <v/>
      </c>
      <c r="LD789" s="2672" t="str">
        <f t="shared" si="294"/>
        <v/>
      </c>
      <c r="LE789" s="2672" t="str">
        <f t="shared" si="295"/>
        <v/>
      </c>
      <c r="LF789" s="2672" t="str">
        <f t="shared" si="296"/>
        <v/>
      </c>
      <c r="LG789" s="2672" t="str">
        <f t="shared" si="297"/>
        <v/>
      </c>
      <c r="LH789" s="2672" t="str">
        <f t="shared" si="298"/>
        <v/>
      </c>
      <c r="LI789" s="2672" t="str">
        <f t="shared" si="299"/>
        <v/>
      </c>
      <c r="LJ789" s="2672" t="str">
        <f t="shared" si="300"/>
        <v/>
      </c>
      <c r="LK789" s="2672" t="str">
        <f t="shared" si="301"/>
        <v/>
      </c>
      <c r="LL789" s="2672" t="str">
        <f t="shared" si="302"/>
        <v/>
      </c>
      <c r="LM789" s="2672" t="str">
        <f t="shared" si="303"/>
        <v/>
      </c>
      <c r="LN789" s="2672" t="str">
        <f t="shared" si="304"/>
        <v/>
      </c>
      <c r="LO789" s="2672" t="str">
        <f t="shared" si="305"/>
        <v/>
      </c>
      <c r="LP789" s="2672" t="str">
        <f t="shared" si="306"/>
        <v/>
      </c>
      <c r="LQ789" s="2613" t="str">
        <f t="shared" si="307"/>
        <v/>
      </c>
      <c r="LR789" s="2613" t="str">
        <f t="shared" si="308"/>
        <v/>
      </c>
      <c r="LS789" s="2613" t="str">
        <f t="shared" si="309"/>
        <v/>
      </c>
      <c r="LT789" s="2613" t="str">
        <f t="shared" si="310"/>
        <v/>
      </c>
      <c r="LU789" s="2613" t="str">
        <f t="shared" si="311"/>
        <v/>
      </c>
      <c r="LV789" s="2494" t="str">
        <f t="shared" si="312"/>
        <v/>
      </c>
      <c r="LW789" s="2494" t="str">
        <f t="shared" si="313"/>
        <v/>
      </c>
      <c r="LX789" s="2494" t="str">
        <f t="shared" si="314"/>
        <v/>
      </c>
      <c r="LY789" s="2494" t="str">
        <f t="shared" si="315"/>
        <v/>
      </c>
      <c r="LZ789" s="2494" t="str">
        <f t="shared" si="316"/>
        <v/>
      </c>
      <c r="MA789" s="2494" t="str">
        <f t="shared" si="317"/>
        <v/>
      </c>
      <c r="MB789" s="2494" t="str">
        <f t="shared" si="318"/>
        <v/>
      </c>
      <c r="MC789" s="2494" t="str">
        <f t="shared" si="319"/>
        <v/>
      </c>
      <c r="MD789" s="2494" t="str">
        <f t="shared" si="320"/>
        <v/>
      </c>
      <c r="ME789" s="2494" t="str">
        <f t="shared" si="321"/>
        <v/>
      </c>
      <c r="MF789" s="2494" t="str">
        <f t="shared" si="322"/>
        <v/>
      </c>
      <c r="MG789" s="2494" t="str">
        <f t="shared" si="323"/>
        <v/>
      </c>
      <c r="MH789" s="2494" t="str">
        <f t="shared" si="324"/>
        <v/>
      </c>
      <c r="MI789" s="2494" t="str">
        <f t="shared" si="325"/>
        <v/>
      </c>
      <c r="MJ789" s="2494" t="str">
        <f t="shared" si="326"/>
        <v/>
      </c>
      <c r="MK789" s="2494" t="str">
        <f t="shared" si="327"/>
        <v/>
      </c>
      <c r="ML789" s="2494" t="str">
        <f t="shared" si="328"/>
        <v/>
      </c>
      <c r="MM789" s="2494" t="str">
        <f t="shared" si="329"/>
        <v/>
      </c>
      <c r="MN789" s="2494" t="str">
        <f t="shared" si="330"/>
        <v/>
      </c>
      <c r="MO789" s="2494" t="str">
        <f t="shared" si="331"/>
        <v/>
      </c>
      <c r="MP789" s="2613">
        <f t="shared" si="338"/>
        <v>0</v>
      </c>
      <c r="MQ789" s="2613">
        <f t="shared" si="339"/>
        <v>0</v>
      </c>
      <c r="MR789" s="2613">
        <f t="shared" si="340"/>
        <v>0</v>
      </c>
      <c r="MS789" s="2613">
        <f t="shared" si="341"/>
        <v>0</v>
      </c>
      <c r="MT789" s="2613">
        <f t="shared" si="342"/>
        <v>0</v>
      </c>
      <c r="MU789" s="2613">
        <f t="shared" si="343"/>
        <v>0</v>
      </c>
      <c r="MV789" s="2613">
        <f t="shared" si="344"/>
        <v>0</v>
      </c>
      <c r="MW789" s="2613">
        <f t="shared" si="345"/>
        <v>0</v>
      </c>
      <c r="MX789" s="2613">
        <f t="shared" si="346"/>
        <v>0</v>
      </c>
      <c r="MY789" s="2613">
        <f t="shared" si="347"/>
        <v>0</v>
      </c>
      <c r="MZ789" s="2613">
        <f t="shared" si="332"/>
        <v>0</v>
      </c>
      <c r="NA789" s="2613">
        <f t="shared" si="333"/>
        <v>0</v>
      </c>
      <c r="NB789" s="2613">
        <f t="shared" si="334"/>
        <v>0</v>
      </c>
      <c r="NC789" s="2613">
        <f t="shared" si="335"/>
        <v>0</v>
      </c>
      <c r="ND789" s="2613">
        <f t="shared" si="336"/>
        <v>0</v>
      </c>
    </row>
    <row r="790" spans="1:368" ht="13.8" customHeight="1">
      <c r="A790" s="2652" t="str">
        <f t="shared" si="337"/>
        <v/>
      </c>
      <c r="B790" s="2664">
        <f>'Part VI-Revenues &amp; Expenses'!B21</f>
        <v>60</v>
      </c>
      <c r="C790" s="2665">
        <f>'Part VI-Revenues &amp; Expenses'!C21</f>
        <v>0</v>
      </c>
      <c r="D790" s="2666">
        <f>'Part VI-Revenues &amp; Expenses'!D21</f>
        <v>0</v>
      </c>
      <c r="E790" s="2667">
        <f>'Part VI-Revenues &amp; Expenses'!E21</f>
        <v>0</v>
      </c>
      <c r="F790" s="2667">
        <f>'Part VI-Revenues &amp; Expenses'!F21</f>
        <v>0</v>
      </c>
      <c r="G790" s="2667">
        <f>'Part VI-Revenues &amp; Expenses'!G21</f>
        <v>0</v>
      </c>
      <c r="H790" s="2667">
        <f>'Part VI-Revenues &amp; Expenses'!H21</f>
        <v>0</v>
      </c>
      <c r="I790" s="2667">
        <f>'Part VI-Revenues &amp; Expenses'!I21</f>
        <v>0</v>
      </c>
      <c r="J790" s="2667">
        <f>'Part VI-Revenues &amp; Expenses'!J21</f>
        <v>0</v>
      </c>
      <c r="K790" s="2668">
        <f>'Part VI-Revenues &amp; Expenses'!K21</f>
        <v>0</v>
      </c>
      <c r="L790" s="2669">
        <f t="shared" si="0"/>
        <v>0</v>
      </c>
      <c r="M790" s="2669">
        <f t="shared" si="1"/>
        <v>0</v>
      </c>
      <c r="N790" s="2545">
        <f>'Part VI-Revenues &amp; Expenses'!N21</f>
        <v>0</v>
      </c>
      <c r="O790" s="2545">
        <f>'Part VI-Revenues &amp; Expenses'!O21</f>
        <v>0</v>
      </c>
      <c r="P790" s="2545">
        <f>'Part VI-Revenues &amp; Expenses'!P21</f>
        <v>0</v>
      </c>
      <c r="Q790" s="2251">
        <f>'Part VI-Revenues &amp; Expenses'!Q21</f>
        <v>0</v>
      </c>
      <c r="R790" s="2670"/>
      <c r="S790" s="2671"/>
      <c r="T790" s="2607"/>
      <c r="U790" s="2607"/>
      <c r="V790" s="2607"/>
      <c r="W790" s="2607"/>
      <c r="X790" s="2494" t="str">
        <f t="shared" si="2"/>
        <v/>
      </c>
      <c r="Y790" s="2494" t="str">
        <f t="shared" si="3"/>
        <v/>
      </c>
      <c r="Z790" s="2494" t="str">
        <f t="shared" si="4"/>
        <v/>
      </c>
      <c r="AA790" s="2494" t="str">
        <f t="shared" si="5"/>
        <v/>
      </c>
      <c r="AB790" s="2494" t="str">
        <f t="shared" si="6"/>
        <v/>
      </c>
      <c r="AC790" s="2494" t="str">
        <f t="shared" si="7"/>
        <v/>
      </c>
      <c r="AD790" s="2494" t="str">
        <f t="shared" si="8"/>
        <v/>
      </c>
      <c r="AE790" s="2494" t="str">
        <f t="shared" si="9"/>
        <v/>
      </c>
      <c r="AF790" s="2494" t="str">
        <f t="shared" si="10"/>
        <v/>
      </c>
      <c r="AG790" s="2494" t="str">
        <f t="shared" si="11"/>
        <v/>
      </c>
      <c r="AH790" s="2494" t="str">
        <f t="shared" si="12"/>
        <v/>
      </c>
      <c r="AI790" s="2494" t="str">
        <f t="shared" si="13"/>
        <v/>
      </c>
      <c r="AJ790" s="2494" t="str">
        <f t="shared" si="14"/>
        <v/>
      </c>
      <c r="AK790" s="2494" t="str">
        <f t="shared" si="15"/>
        <v/>
      </c>
      <c r="AL790" s="2494" t="str">
        <f t="shared" si="16"/>
        <v/>
      </c>
      <c r="AM790" s="2494" t="str">
        <f t="shared" si="17"/>
        <v/>
      </c>
      <c r="AN790" s="2494" t="str">
        <f t="shared" si="18"/>
        <v/>
      </c>
      <c r="AO790" s="2494" t="str">
        <f t="shared" si="19"/>
        <v/>
      </c>
      <c r="AP790" s="2494" t="str">
        <f t="shared" si="20"/>
        <v/>
      </c>
      <c r="AQ790" s="2494" t="str">
        <f t="shared" si="21"/>
        <v/>
      </c>
      <c r="AR790" s="2494" t="str">
        <f t="shared" si="22"/>
        <v/>
      </c>
      <c r="AS790" s="2494" t="str">
        <f t="shared" si="23"/>
        <v/>
      </c>
      <c r="AT790" s="2494" t="str">
        <f t="shared" si="24"/>
        <v/>
      </c>
      <c r="AU790" s="2494" t="str">
        <f t="shared" si="25"/>
        <v/>
      </c>
      <c r="AV790" s="2494" t="str">
        <f t="shared" si="26"/>
        <v/>
      </c>
      <c r="AW790" s="2494" t="str">
        <f t="shared" si="27"/>
        <v/>
      </c>
      <c r="AX790" s="2494" t="str">
        <f t="shared" si="28"/>
        <v/>
      </c>
      <c r="AY790" s="2494" t="str">
        <f t="shared" si="29"/>
        <v/>
      </c>
      <c r="AZ790" s="2494" t="str">
        <f t="shared" si="30"/>
        <v/>
      </c>
      <c r="BA790" s="2494" t="str">
        <f t="shared" si="31"/>
        <v/>
      </c>
      <c r="BB790" s="2494" t="str">
        <f t="shared" si="32"/>
        <v/>
      </c>
      <c r="BC790" s="2494" t="str">
        <f t="shared" si="33"/>
        <v/>
      </c>
      <c r="BD790" s="2494" t="str">
        <f t="shared" si="34"/>
        <v/>
      </c>
      <c r="BE790" s="2494" t="str">
        <f t="shared" si="35"/>
        <v/>
      </c>
      <c r="BF790" s="2494" t="str">
        <f t="shared" si="36"/>
        <v/>
      </c>
      <c r="BG790" s="2494" t="str">
        <f t="shared" si="37"/>
        <v/>
      </c>
      <c r="BH790" s="2494" t="str">
        <f t="shared" si="38"/>
        <v/>
      </c>
      <c r="BI790" s="2494" t="str">
        <f t="shared" si="39"/>
        <v/>
      </c>
      <c r="BJ790" s="2494" t="str">
        <f t="shared" si="40"/>
        <v/>
      </c>
      <c r="BK790" s="2494" t="str">
        <f t="shared" si="41"/>
        <v/>
      </c>
      <c r="BL790" s="2494" t="str">
        <f t="shared" si="42"/>
        <v/>
      </c>
      <c r="BM790" s="2494" t="str">
        <f t="shared" si="43"/>
        <v/>
      </c>
      <c r="BN790" s="2494" t="str">
        <f t="shared" si="44"/>
        <v/>
      </c>
      <c r="BO790" s="2494" t="str">
        <f t="shared" si="45"/>
        <v/>
      </c>
      <c r="BP790" s="2494" t="str">
        <f t="shared" si="46"/>
        <v/>
      </c>
      <c r="BQ790" s="2494" t="str">
        <f t="shared" si="47"/>
        <v/>
      </c>
      <c r="BR790" s="2494" t="str">
        <f t="shared" si="48"/>
        <v/>
      </c>
      <c r="BS790" s="2494" t="str">
        <f t="shared" si="49"/>
        <v/>
      </c>
      <c r="BT790" s="2494" t="str">
        <f t="shared" si="50"/>
        <v/>
      </c>
      <c r="BU790" s="2494" t="str">
        <f t="shared" si="51"/>
        <v/>
      </c>
      <c r="BV790" s="2494" t="str">
        <f t="shared" si="52"/>
        <v/>
      </c>
      <c r="BW790" s="2494" t="str">
        <f t="shared" si="53"/>
        <v/>
      </c>
      <c r="BX790" s="2494" t="str">
        <f t="shared" si="54"/>
        <v/>
      </c>
      <c r="BY790" s="2494" t="str">
        <f t="shared" si="55"/>
        <v/>
      </c>
      <c r="BZ790" s="2494" t="str">
        <f t="shared" si="56"/>
        <v/>
      </c>
      <c r="CA790" s="2494" t="str">
        <f t="shared" si="57"/>
        <v/>
      </c>
      <c r="CB790" s="2494" t="str">
        <f t="shared" si="58"/>
        <v/>
      </c>
      <c r="CC790" s="2494" t="str">
        <f t="shared" si="59"/>
        <v/>
      </c>
      <c r="CD790" s="2494" t="str">
        <f t="shared" si="60"/>
        <v/>
      </c>
      <c r="CE790" s="2494" t="str">
        <f t="shared" si="61"/>
        <v/>
      </c>
      <c r="CF790" s="2494" t="str">
        <f t="shared" si="62"/>
        <v/>
      </c>
      <c r="CG790" s="2494" t="str">
        <f t="shared" si="63"/>
        <v/>
      </c>
      <c r="CH790" s="2494" t="str">
        <f t="shared" si="64"/>
        <v/>
      </c>
      <c r="CI790" s="2494" t="str">
        <f t="shared" si="65"/>
        <v/>
      </c>
      <c r="CJ790" s="2494" t="str">
        <f t="shared" si="66"/>
        <v/>
      </c>
      <c r="CK790" s="2494" t="str">
        <f t="shared" si="67"/>
        <v/>
      </c>
      <c r="CL790" s="2494" t="str">
        <f t="shared" si="68"/>
        <v/>
      </c>
      <c r="CM790" s="2494" t="str">
        <f t="shared" si="69"/>
        <v/>
      </c>
      <c r="CN790" s="2494" t="str">
        <f t="shared" si="70"/>
        <v/>
      </c>
      <c r="CO790" s="2494" t="str">
        <f t="shared" si="71"/>
        <v/>
      </c>
      <c r="CP790" s="2494" t="str">
        <f t="shared" si="72"/>
        <v/>
      </c>
      <c r="CQ790" s="2494" t="str">
        <f t="shared" si="73"/>
        <v/>
      </c>
      <c r="CR790" s="2494" t="str">
        <f t="shared" si="74"/>
        <v/>
      </c>
      <c r="CS790" s="2494" t="str">
        <f t="shared" si="75"/>
        <v/>
      </c>
      <c r="CT790" s="2494" t="str">
        <f t="shared" si="76"/>
        <v/>
      </c>
      <c r="CU790" s="2494" t="str">
        <f t="shared" si="77"/>
        <v/>
      </c>
      <c r="CV790" s="2494" t="str">
        <f t="shared" si="78"/>
        <v/>
      </c>
      <c r="CW790" s="2494" t="str">
        <f t="shared" si="79"/>
        <v/>
      </c>
      <c r="CX790" s="2494" t="str">
        <f t="shared" si="80"/>
        <v/>
      </c>
      <c r="CY790" s="2494" t="str">
        <f t="shared" si="81"/>
        <v/>
      </c>
      <c r="CZ790" s="2494" t="str">
        <f t="shared" si="82"/>
        <v/>
      </c>
      <c r="DA790" s="2494" t="str">
        <f t="shared" si="83"/>
        <v/>
      </c>
      <c r="DB790" s="2494" t="str">
        <f t="shared" si="84"/>
        <v/>
      </c>
      <c r="DC790" s="2494" t="str">
        <f t="shared" si="85"/>
        <v/>
      </c>
      <c r="DD790" s="2494" t="str">
        <f t="shared" si="86"/>
        <v/>
      </c>
      <c r="DE790" s="2494" t="str">
        <f t="shared" si="87"/>
        <v/>
      </c>
      <c r="DF790" s="2494" t="str">
        <f t="shared" si="88"/>
        <v/>
      </c>
      <c r="DG790" s="2494" t="str">
        <f t="shared" si="89"/>
        <v/>
      </c>
      <c r="DH790" s="2494" t="str">
        <f t="shared" si="90"/>
        <v/>
      </c>
      <c r="DI790" s="2494" t="str">
        <f t="shared" si="91"/>
        <v/>
      </c>
      <c r="DJ790" s="2494" t="str">
        <f t="shared" si="92"/>
        <v/>
      </c>
      <c r="DK790" s="2494" t="str">
        <f t="shared" si="93"/>
        <v/>
      </c>
      <c r="DL790" s="2494" t="str">
        <f t="shared" si="94"/>
        <v/>
      </c>
      <c r="DM790" s="2494" t="str">
        <f t="shared" si="95"/>
        <v/>
      </c>
      <c r="DN790" s="2494" t="str">
        <f t="shared" si="96"/>
        <v/>
      </c>
      <c r="DO790" s="2494" t="str">
        <f t="shared" si="97"/>
        <v/>
      </c>
      <c r="DP790" s="2494" t="str">
        <f t="shared" si="98"/>
        <v/>
      </c>
      <c r="DQ790" s="2494" t="str">
        <f t="shared" si="99"/>
        <v/>
      </c>
      <c r="DR790" s="2494" t="str">
        <f t="shared" si="100"/>
        <v/>
      </c>
      <c r="DS790" s="2494" t="str">
        <f t="shared" si="101"/>
        <v/>
      </c>
      <c r="DT790" s="2494" t="str">
        <f t="shared" si="102"/>
        <v/>
      </c>
      <c r="DU790" s="2494" t="str">
        <f t="shared" si="103"/>
        <v/>
      </c>
      <c r="DV790" s="2494" t="str">
        <f t="shared" si="104"/>
        <v/>
      </c>
      <c r="DW790" s="2494" t="str">
        <f t="shared" si="105"/>
        <v/>
      </c>
      <c r="DX790" s="2494" t="str">
        <f t="shared" si="106"/>
        <v/>
      </c>
      <c r="DY790" s="2494" t="str">
        <f t="shared" si="107"/>
        <v/>
      </c>
      <c r="DZ790" s="2494" t="str">
        <f t="shared" si="108"/>
        <v/>
      </c>
      <c r="EA790" s="2494" t="str">
        <f t="shared" si="109"/>
        <v/>
      </c>
      <c r="EB790" s="2494" t="str">
        <f t="shared" si="110"/>
        <v/>
      </c>
      <c r="EC790" s="2494" t="str">
        <f t="shared" si="111"/>
        <v/>
      </c>
      <c r="ED790" s="2494" t="str">
        <f t="shared" si="112"/>
        <v/>
      </c>
      <c r="EE790" s="2494" t="str">
        <f t="shared" si="113"/>
        <v/>
      </c>
      <c r="EF790" s="2494" t="str">
        <f t="shared" si="114"/>
        <v/>
      </c>
      <c r="EG790" s="2494" t="str">
        <f t="shared" si="115"/>
        <v/>
      </c>
      <c r="EH790" s="2494" t="str">
        <f t="shared" si="116"/>
        <v/>
      </c>
      <c r="EI790" s="2494" t="str">
        <f t="shared" si="117"/>
        <v/>
      </c>
      <c r="EJ790" s="2494" t="str">
        <f t="shared" si="118"/>
        <v/>
      </c>
      <c r="EK790" s="2494" t="str">
        <f t="shared" si="119"/>
        <v/>
      </c>
      <c r="EL790" s="2494" t="str">
        <f t="shared" si="120"/>
        <v/>
      </c>
      <c r="EM790" s="2494" t="str">
        <f t="shared" si="121"/>
        <v/>
      </c>
      <c r="EN790" s="2494" t="str">
        <f t="shared" si="122"/>
        <v/>
      </c>
      <c r="EO790" s="2494" t="str">
        <f t="shared" si="123"/>
        <v/>
      </c>
      <c r="EP790" s="2494" t="str">
        <f t="shared" si="124"/>
        <v/>
      </c>
      <c r="EQ790" s="2494" t="str">
        <f t="shared" si="125"/>
        <v/>
      </c>
      <c r="ER790" s="2494" t="str">
        <f t="shared" si="126"/>
        <v/>
      </c>
      <c r="ES790" s="2494" t="str">
        <f t="shared" si="127"/>
        <v/>
      </c>
      <c r="ET790" s="2494" t="str">
        <f t="shared" si="128"/>
        <v/>
      </c>
      <c r="EU790" s="2494" t="str">
        <f t="shared" si="129"/>
        <v/>
      </c>
      <c r="EV790" s="2494" t="str">
        <f t="shared" si="130"/>
        <v/>
      </c>
      <c r="EW790" s="2494" t="str">
        <f t="shared" si="131"/>
        <v/>
      </c>
      <c r="EX790" s="2494" t="str">
        <f t="shared" si="132"/>
        <v/>
      </c>
      <c r="EY790" s="2494" t="str">
        <f t="shared" si="133"/>
        <v/>
      </c>
      <c r="EZ790" s="2494" t="str">
        <f t="shared" si="134"/>
        <v/>
      </c>
      <c r="FA790" s="2494" t="str">
        <f t="shared" si="135"/>
        <v/>
      </c>
      <c r="FB790" s="2494" t="str">
        <f t="shared" si="136"/>
        <v/>
      </c>
      <c r="FC790" s="2494" t="str">
        <f t="shared" si="137"/>
        <v/>
      </c>
      <c r="FD790" s="2494" t="str">
        <f t="shared" si="138"/>
        <v/>
      </c>
      <c r="FE790" s="2494" t="str">
        <f t="shared" si="139"/>
        <v/>
      </c>
      <c r="FF790" s="2494" t="str">
        <f t="shared" si="140"/>
        <v/>
      </c>
      <c r="FG790" s="2494" t="str">
        <f t="shared" si="141"/>
        <v/>
      </c>
      <c r="FH790" s="2494" t="str">
        <f t="shared" si="142"/>
        <v/>
      </c>
      <c r="FI790" s="2494" t="str">
        <f t="shared" si="143"/>
        <v/>
      </c>
      <c r="FJ790" s="2494" t="str">
        <f t="shared" si="144"/>
        <v/>
      </c>
      <c r="FK790" s="2494" t="str">
        <f t="shared" si="145"/>
        <v/>
      </c>
      <c r="FL790" s="2494" t="str">
        <f t="shared" si="146"/>
        <v/>
      </c>
      <c r="FM790" s="2494" t="str">
        <f t="shared" si="147"/>
        <v/>
      </c>
      <c r="FN790" s="2494" t="str">
        <f t="shared" si="148"/>
        <v/>
      </c>
      <c r="FO790" s="2494" t="str">
        <f t="shared" si="149"/>
        <v/>
      </c>
      <c r="FP790" s="2494" t="str">
        <f t="shared" si="150"/>
        <v/>
      </c>
      <c r="FQ790" s="2494" t="str">
        <f t="shared" si="151"/>
        <v/>
      </c>
      <c r="FR790" s="2494" t="str">
        <f t="shared" si="152"/>
        <v/>
      </c>
      <c r="FS790" s="2494" t="str">
        <f t="shared" si="153"/>
        <v/>
      </c>
      <c r="FT790" s="2494" t="str">
        <f t="shared" si="154"/>
        <v/>
      </c>
      <c r="FU790" s="2494" t="str">
        <f t="shared" si="155"/>
        <v/>
      </c>
      <c r="FV790" s="2494" t="str">
        <f t="shared" si="156"/>
        <v/>
      </c>
      <c r="FW790" s="2494" t="str">
        <f t="shared" si="157"/>
        <v/>
      </c>
      <c r="FX790" s="2494" t="str">
        <f t="shared" si="158"/>
        <v/>
      </c>
      <c r="FY790" s="2494" t="str">
        <f t="shared" si="159"/>
        <v/>
      </c>
      <c r="FZ790" s="2494" t="str">
        <f t="shared" si="160"/>
        <v/>
      </c>
      <c r="GA790" s="2494" t="str">
        <f t="shared" si="161"/>
        <v/>
      </c>
      <c r="GB790" s="2494" t="str">
        <f t="shared" si="162"/>
        <v/>
      </c>
      <c r="GC790" s="2494" t="str">
        <f t="shared" si="163"/>
        <v/>
      </c>
      <c r="GD790" s="2494" t="str">
        <f t="shared" si="164"/>
        <v/>
      </c>
      <c r="GE790" s="2494" t="str">
        <f t="shared" si="165"/>
        <v/>
      </c>
      <c r="GF790" s="2494" t="str">
        <f t="shared" si="166"/>
        <v/>
      </c>
      <c r="GG790" s="2494" t="str">
        <f t="shared" si="167"/>
        <v/>
      </c>
      <c r="GH790" s="2494" t="str">
        <f t="shared" si="168"/>
        <v/>
      </c>
      <c r="GI790" s="2494" t="str">
        <f t="shared" si="169"/>
        <v/>
      </c>
      <c r="GJ790" s="2494" t="str">
        <f t="shared" si="170"/>
        <v/>
      </c>
      <c r="GK790" s="2494" t="str">
        <f t="shared" si="171"/>
        <v/>
      </c>
      <c r="GL790" s="2494" t="str">
        <f t="shared" si="172"/>
        <v/>
      </c>
      <c r="GM790" s="2494" t="str">
        <f t="shared" si="173"/>
        <v/>
      </c>
      <c r="GN790" s="2494" t="str">
        <f t="shared" si="174"/>
        <v/>
      </c>
      <c r="GO790" s="2494" t="str">
        <f t="shared" si="175"/>
        <v/>
      </c>
      <c r="GP790" s="2494" t="str">
        <f t="shared" si="176"/>
        <v/>
      </c>
      <c r="GQ790" s="2494" t="str">
        <f t="shared" si="177"/>
        <v/>
      </c>
      <c r="GR790" s="2494" t="str">
        <f t="shared" si="178"/>
        <v/>
      </c>
      <c r="GS790" s="2494" t="str">
        <f t="shared" si="179"/>
        <v/>
      </c>
      <c r="GT790" s="2494" t="str">
        <f t="shared" si="180"/>
        <v/>
      </c>
      <c r="GU790" s="2494" t="str">
        <f t="shared" si="181"/>
        <v/>
      </c>
      <c r="GV790" s="2494" t="str">
        <f t="shared" si="182"/>
        <v/>
      </c>
      <c r="GW790" s="2494" t="str">
        <f t="shared" si="183"/>
        <v/>
      </c>
      <c r="GX790" s="2494" t="str">
        <f t="shared" si="184"/>
        <v/>
      </c>
      <c r="GY790" s="2494" t="str">
        <f t="shared" si="185"/>
        <v/>
      </c>
      <c r="GZ790" s="2494" t="str">
        <f t="shared" si="186"/>
        <v/>
      </c>
      <c r="HA790" s="2494" t="str">
        <f t="shared" si="187"/>
        <v/>
      </c>
      <c r="HB790" s="2494" t="str">
        <f t="shared" si="188"/>
        <v/>
      </c>
      <c r="HC790" s="2494" t="str">
        <f t="shared" si="189"/>
        <v/>
      </c>
      <c r="HD790" s="2494" t="str">
        <f t="shared" si="190"/>
        <v/>
      </c>
      <c r="HE790" s="2494" t="str">
        <f t="shared" si="191"/>
        <v/>
      </c>
      <c r="HF790" s="2494" t="str">
        <f t="shared" si="192"/>
        <v/>
      </c>
      <c r="HG790" s="2494" t="str">
        <f t="shared" si="193"/>
        <v/>
      </c>
      <c r="HH790" s="2494" t="str">
        <f t="shared" si="194"/>
        <v/>
      </c>
      <c r="HI790" s="2494" t="str">
        <f t="shared" si="195"/>
        <v/>
      </c>
      <c r="HJ790" s="2494" t="str">
        <f t="shared" si="196"/>
        <v/>
      </c>
      <c r="HK790" s="2494" t="str">
        <f t="shared" si="197"/>
        <v/>
      </c>
      <c r="HL790" s="2494" t="str">
        <f t="shared" si="198"/>
        <v/>
      </c>
      <c r="HM790" s="2494" t="str">
        <f t="shared" si="199"/>
        <v/>
      </c>
      <c r="HN790" s="2494" t="str">
        <f t="shared" si="200"/>
        <v/>
      </c>
      <c r="HO790" s="2494" t="str">
        <f t="shared" si="201"/>
        <v/>
      </c>
      <c r="HP790" s="2494" t="str">
        <f t="shared" si="202"/>
        <v/>
      </c>
      <c r="HQ790" s="2494" t="str">
        <f t="shared" si="203"/>
        <v/>
      </c>
      <c r="HR790" s="2494" t="str">
        <f t="shared" si="204"/>
        <v/>
      </c>
      <c r="HS790" s="2494" t="str">
        <f t="shared" si="205"/>
        <v/>
      </c>
      <c r="HT790" s="2494" t="str">
        <f t="shared" si="206"/>
        <v/>
      </c>
      <c r="HU790" s="2494" t="str">
        <f t="shared" si="207"/>
        <v/>
      </c>
      <c r="HV790" s="2494" t="str">
        <f t="shared" si="208"/>
        <v/>
      </c>
      <c r="HW790" s="2494" t="str">
        <f t="shared" si="209"/>
        <v/>
      </c>
      <c r="HX790" s="2494" t="str">
        <f t="shared" si="210"/>
        <v/>
      </c>
      <c r="HY790" s="2494" t="str">
        <f t="shared" si="211"/>
        <v/>
      </c>
      <c r="HZ790" s="2672" t="str">
        <f t="shared" si="212"/>
        <v/>
      </c>
      <c r="IA790" s="2672" t="str">
        <f t="shared" si="213"/>
        <v/>
      </c>
      <c r="IB790" s="2672" t="str">
        <f t="shared" si="214"/>
        <v/>
      </c>
      <c r="IC790" s="2672" t="str">
        <f t="shared" si="215"/>
        <v/>
      </c>
      <c r="ID790" s="2672" t="str">
        <f t="shared" si="216"/>
        <v/>
      </c>
      <c r="IE790" s="2672" t="str">
        <f t="shared" si="217"/>
        <v/>
      </c>
      <c r="IF790" s="2672" t="str">
        <f t="shared" si="218"/>
        <v/>
      </c>
      <c r="IG790" s="2672" t="str">
        <f t="shared" si="219"/>
        <v/>
      </c>
      <c r="IH790" s="2672" t="str">
        <f t="shared" si="220"/>
        <v/>
      </c>
      <c r="II790" s="2672" t="str">
        <f t="shared" si="221"/>
        <v/>
      </c>
      <c r="IJ790" s="2672" t="str">
        <f t="shared" si="222"/>
        <v/>
      </c>
      <c r="IK790" s="2672" t="str">
        <f t="shared" si="223"/>
        <v/>
      </c>
      <c r="IL790" s="2672" t="str">
        <f t="shared" si="224"/>
        <v/>
      </c>
      <c r="IM790" s="2672" t="str">
        <f t="shared" si="225"/>
        <v/>
      </c>
      <c r="IN790" s="2672" t="str">
        <f t="shared" si="226"/>
        <v/>
      </c>
      <c r="IO790" s="2672" t="str">
        <f t="shared" si="227"/>
        <v/>
      </c>
      <c r="IP790" s="2672" t="str">
        <f t="shared" si="228"/>
        <v/>
      </c>
      <c r="IQ790" s="2672" t="str">
        <f t="shared" si="229"/>
        <v/>
      </c>
      <c r="IR790" s="2672" t="str">
        <f t="shared" si="230"/>
        <v/>
      </c>
      <c r="IS790" s="2672" t="str">
        <f t="shared" si="231"/>
        <v/>
      </c>
      <c r="IT790" s="2672" t="str">
        <f t="shared" si="232"/>
        <v/>
      </c>
      <c r="IU790" s="2672" t="str">
        <f t="shared" si="233"/>
        <v/>
      </c>
      <c r="IV790" s="2672" t="str">
        <f t="shared" si="234"/>
        <v/>
      </c>
      <c r="IW790" s="2672" t="str">
        <f t="shared" si="235"/>
        <v/>
      </c>
      <c r="IX790" s="2672" t="str">
        <f t="shared" si="236"/>
        <v/>
      </c>
      <c r="IY790" s="2672" t="str">
        <f t="shared" si="237"/>
        <v/>
      </c>
      <c r="IZ790" s="2672" t="str">
        <f t="shared" si="238"/>
        <v/>
      </c>
      <c r="JA790" s="2672" t="str">
        <f t="shared" si="239"/>
        <v/>
      </c>
      <c r="JB790" s="2672" t="str">
        <f t="shared" si="240"/>
        <v/>
      </c>
      <c r="JC790" s="2672" t="str">
        <f t="shared" si="241"/>
        <v/>
      </c>
      <c r="JD790" s="2672" t="str">
        <f t="shared" si="242"/>
        <v/>
      </c>
      <c r="JE790" s="2672" t="str">
        <f t="shared" si="243"/>
        <v/>
      </c>
      <c r="JF790" s="2672" t="str">
        <f t="shared" si="244"/>
        <v/>
      </c>
      <c r="JG790" s="2672" t="str">
        <f t="shared" si="245"/>
        <v/>
      </c>
      <c r="JH790" s="2672" t="str">
        <f t="shared" si="246"/>
        <v/>
      </c>
      <c r="JI790" s="2672" t="str">
        <f t="shared" si="247"/>
        <v/>
      </c>
      <c r="JJ790" s="2672" t="str">
        <f t="shared" si="248"/>
        <v/>
      </c>
      <c r="JK790" s="2672" t="str">
        <f t="shared" si="249"/>
        <v/>
      </c>
      <c r="JL790" s="2672" t="str">
        <f t="shared" si="250"/>
        <v/>
      </c>
      <c r="JM790" s="2672" t="str">
        <f t="shared" si="251"/>
        <v/>
      </c>
      <c r="JN790" s="2672" t="str">
        <f t="shared" si="252"/>
        <v/>
      </c>
      <c r="JO790" s="2672" t="str">
        <f t="shared" si="253"/>
        <v/>
      </c>
      <c r="JP790" s="2672" t="str">
        <f t="shared" si="254"/>
        <v/>
      </c>
      <c r="JQ790" s="2672" t="str">
        <f t="shared" si="255"/>
        <v/>
      </c>
      <c r="JR790" s="2672" t="str">
        <f t="shared" si="256"/>
        <v/>
      </c>
      <c r="JS790" s="2672" t="str">
        <f t="shared" si="257"/>
        <v/>
      </c>
      <c r="JT790" s="2672" t="str">
        <f t="shared" si="258"/>
        <v/>
      </c>
      <c r="JU790" s="2672" t="str">
        <f t="shared" si="259"/>
        <v/>
      </c>
      <c r="JV790" s="2672" t="str">
        <f t="shared" si="260"/>
        <v/>
      </c>
      <c r="JW790" s="2672" t="str">
        <f t="shared" si="261"/>
        <v/>
      </c>
      <c r="JX790" s="2672" t="str">
        <f t="shared" si="262"/>
        <v/>
      </c>
      <c r="JY790" s="2672" t="str">
        <f t="shared" si="263"/>
        <v/>
      </c>
      <c r="JZ790" s="2672" t="str">
        <f t="shared" si="264"/>
        <v/>
      </c>
      <c r="KA790" s="2672" t="str">
        <f t="shared" si="265"/>
        <v/>
      </c>
      <c r="KB790" s="2672" t="str">
        <f t="shared" si="266"/>
        <v/>
      </c>
      <c r="KC790" s="2672" t="str">
        <f t="shared" si="267"/>
        <v/>
      </c>
      <c r="KD790" s="2672" t="str">
        <f t="shared" si="268"/>
        <v/>
      </c>
      <c r="KE790" s="2672" t="str">
        <f t="shared" si="269"/>
        <v/>
      </c>
      <c r="KF790" s="2672" t="str">
        <f t="shared" si="270"/>
        <v/>
      </c>
      <c r="KG790" s="2672" t="str">
        <f t="shared" si="271"/>
        <v/>
      </c>
      <c r="KH790" s="2672" t="str">
        <f t="shared" si="272"/>
        <v/>
      </c>
      <c r="KI790" s="2672" t="str">
        <f t="shared" si="273"/>
        <v/>
      </c>
      <c r="KJ790" s="2672" t="str">
        <f t="shared" si="274"/>
        <v/>
      </c>
      <c r="KK790" s="2672" t="str">
        <f t="shared" si="275"/>
        <v/>
      </c>
      <c r="KL790" s="2672" t="str">
        <f t="shared" si="276"/>
        <v/>
      </c>
      <c r="KM790" s="2672" t="str">
        <f t="shared" si="277"/>
        <v/>
      </c>
      <c r="KN790" s="2672" t="str">
        <f t="shared" si="278"/>
        <v/>
      </c>
      <c r="KO790" s="2672" t="str">
        <f t="shared" si="279"/>
        <v/>
      </c>
      <c r="KP790" s="2672" t="str">
        <f t="shared" si="280"/>
        <v/>
      </c>
      <c r="KQ790" s="2672" t="str">
        <f t="shared" si="281"/>
        <v/>
      </c>
      <c r="KR790" s="2672" t="str">
        <f t="shared" si="282"/>
        <v/>
      </c>
      <c r="KS790" s="2672" t="str">
        <f t="shared" si="283"/>
        <v/>
      </c>
      <c r="KT790" s="2672" t="str">
        <f t="shared" si="284"/>
        <v/>
      </c>
      <c r="KU790" s="2672" t="str">
        <f t="shared" si="285"/>
        <v/>
      </c>
      <c r="KV790" s="2672" t="str">
        <f t="shared" si="286"/>
        <v/>
      </c>
      <c r="KW790" s="2672" t="str">
        <f t="shared" si="287"/>
        <v/>
      </c>
      <c r="KX790" s="2672" t="str">
        <f t="shared" si="288"/>
        <v/>
      </c>
      <c r="KY790" s="2672" t="str">
        <f t="shared" si="289"/>
        <v/>
      </c>
      <c r="KZ790" s="2672" t="str">
        <f t="shared" si="290"/>
        <v/>
      </c>
      <c r="LA790" s="2672" t="str">
        <f t="shared" si="291"/>
        <v/>
      </c>
      <c r="LB790" s="2672" t="str">
        <f t="shared" si="292"/>
        <v/>
      </c>
      <c r="LC790" s="2672" t="str">
        <f t="shared" si="293"/>
        <v/>
      </c>
      <c r="LD790" s="2672" t="str">
        <f t="shared" si="294"/>
        <v/>
      </c>
      <c r="LE790" s="2672" t="str">
        <f t="shared" si="295"/>
        <v/>
      </c>
      <c r="LF790" s="2672" t="str">
        <f t="shared" si="296"/>
        <v/>
      </c>
      <c r="LG790" s="2672" t="str">
        <f t="shared" si="297"/>
        <v/>
      </c>
      <c r="LH790" s="2672" t="str">
        <f t="shared" si="298"/>
        <v/>
      </c>
      <c r="LI790" s="2672" t="str">
        <f t="shared" si="299"/>
        <v/>
      </c>
      <c r="LJ790" s="2672" t="str">
        <f t="shared" si="300"/>
        <v/>
      </c>
      <c r="LK790" s="2672" t="str">
        <f t="shared" si="301"/>
        <v/>
      </c>
      <c r="LL790" s="2672" t="str">
        <f t="shared" si="302"/>
        <v/>
      </c>
      <c r="LM790" s="2672" t="str">
        <f t="shared" si="303"/>
        <v/>
      </c>
      <c r="LN790" s="2672" t="str">
        <f t="shared" si="304"/>
        <v/>
      </c>
      <c r="LO790" s="2672" t="str">
        <f t="shared" si="305"/>
        <v/>
      </c>
      <c r="LP790" s="2672" t="str">
        <f t="shared" si="306"/>
        <v/>
      </c>
      <c r="LQ790" s="2613" t="str">
        <f t="shared" si="307"/>
        <v/>
      </c>
      <c r="LR790" s="2613" t="str">
        <f t="shared" si="308"/>
        <v/>
      </c>
      <c r="LS790" s="2613" t="str">
        <f t="shared" si="309"/>
        <v/>
      </c>
      <c r="LT790" s="2613" t="str">
        <f t="shared" si="310"/>
        <v/>
      </c>
      <c r="LU790" s="2613" t="str">
        <f t="shared" si="311"/>
        <v/>
      </c>
      <c r="LV790" s="2494" t="str">
        <f t="shared" si="312"/>
        <v/>
      </c>
      <c r="LW790" s="2494" t="str">
        <f t="shared" si="313"/>
        <v/>
      </c>
      <c r="LX790" s="2494" t="str">
        <f t="shared" si="314"/>
        <v/>
      </c>
      <c r="LY790" s="2494" t="str">
        <f t="shared" si="315"/>
        <v/>
      </c>
      <c r="LZ790" s="2494" t="str">
        <f t="shared" si="316"/>
        <v/>
      </c>
      <c r="MA790" s="2494" t="str">
        <f t="shared" si="317"/>
        <v/>
      </c>
      <c r="MB790" s="2494" t="str">
        <f t="shared" si="318"/>
        <v/>
      </c>
      <c r="MC790" s="2494" t="str">
        <f t="shared" si="319"/>
        <v/>
      </c>
      <c r="MD790" s="2494" t="str">
        <f t="shared" si="320"/>
        <v/>
      </c>
      <c r="ME790" s="2494" t="str">
        <f t="shared" si="321"/>
        <v/>
      </c>
      <c r="MF790" s="2494" t="str">
        <f t="shared" si="322"/>
        <v/>
      </c>
      <c r="MG790" s="2494" t="str">
        <f t="shared" si="323"/>
        <v/>
      </c>
      <c r="MH790" s="2494" t="str">
        <f t="shared" si="324"/>
        <v/>
      </c>
      <c r="MI790" s="2494" t="str">
        <f t="shared" si="325"/>
        <v/>
      </c>
      <c r="MJ790" s="2494" t="str">
        <f t="shared" si="326"/>
        <v/>
      </c>
      <c r="MK790" s="2494" t="str">
        <f t="shared" si="327"/>
        <v/>
      </c>
      <c r="ML790" s="2494" t="str">
        <f t="shared" si="328"/>
        <v/>
      </c>
      <c r="MM790" s="2494" t="str">
        <f t="shared" si="329"/>
        <v/>
      </c>
      <c r="MN790" s="2494" t="str">
        <f t="shared" si="330"/>
        <v/>
      </c>
      <c r="MO790" s="2494" t="str">
        <f t="shared" si="331"/>
        <v/>
      </c>
      <c r="MP790" s="2613">
        <f t="shared" si="338"/>
        <v>0</v>
      </c>
      <c r="MQ790" s="2613">
        <f t="shared" si="339"/>
        <v>0</v>
      </c>
      <c r="MR790" s="2613">
        <f t="shared" si="340"/>
        <v>0</v>
      </c>
      <c r="MS790" s="2613">
        <f t="shared" si="341"/>
        <v>0</v>
      </c>
      <c r="MT790" s="2613">
        <f t="shared" si="342"/>
        <v>0</v>
      </c>
      <c r="MU790" s="2613">
        <f t="shared" si="343"/>
        <v>0</v>
      </c>
      <c r="MV790" s="2613">
        <f t="shared" si="344"/>
        <v>0</v>
      </c>
      <c r="MW790" s="2613">
        <f t="shared" si="345"/>
        <v>0</v>
      </c>
      <c r="MX790" s="2613">
        <f t="shared" si="346"/>
        <v>0</v>
      </c>
      <c r="MY790" s="2613">
        <f t="shared" si="347"/>
        <v>0</v>
      </c>
      <c r="MZ790" s="2613">
        <f t="shared" si="332"/>
        <v>0</v>
      </c>
      <c r="NA790" s="2613">
        <f t="shared" si="333"/>
        <v>0</v>
      </c>
      <c r="NB790" s="2613">
        <f t="shared" si="334"/>
        <v>0</v>
      </c>
      <c r="NC790" s="2613">
        <f t="shared" si="335"/>
        <v>0</v>
      </c>
      <c r="ND790" s="2613">
        <f t="shared" si="336"/>
        <v>0</v>
      </c>
    </row>
    <row r="791" spans="1:368" ht="13.8" customHeight="1">
      <c r="A791" s="2652" t="str">
        <f t="shared" si="337"/>
        <v/>
      </c>
      <c r="B791" s="2664">
        <f>'Part VI-Revenues &amp; Expenses'!B22</f>
        <v>70</v>
      </c>
      <c r="C791" s="2665">
        <f>'Part VI-Revenues &amp; Expenses'!C22</f>
        <v>0</v>
      </c>
      <c r="D791" s="2666">
        <f>'Part VI-Revenues &amp; Expenses'!D22</f>
        <v>0</v>
      </c>
      <c r="E791" s="2667">
        <f>'Part VI-Revenues &amp; Expenses'!E22</f>
        <v>0</v>
      </c>
      <c r="F791" s="2667">
        <f>'Part VI-Revenues &amp; Expenses'!F22</f>
        <v>0</v>
      </c>
      <c r="G791" s="2667">
        <f>'Part VI-Revenues &amp; Expenses'!G22</f>
        <v>0</v>
      </c>
      <c r="H791" s="2667">
        <f>'Part VI-Revenues &amp; Expenses'!H22</f>
        <v>0</v>
      </c>
      <c r="I791" s="2667">
        <f>'Part VI-Revenues &amp; Expenses'!I22</f>
        <v>0</v>
      </c>
      <c r="J791" s="2667">
        <f>'Part VI-Revenues &amp; Expenses'!J22</f>
        <v>0</v>
      </c>
      <c r="K791" s="2668">
        <f>'Part VI-Revenues &amp; Expenses'!K22</f>
        <v>0</v>
      </c>
      <c r="L791" s="2669">
        <f t="shared" si="0"/>
        <v>0</v>
      </c>
      <c r="M791" s="2669">
        <f t="shared" si="1"/>
        <v>0</v>
      </c>
      <c r="N791" s="2545">
        <f>'Part VI-Revenues &amp; Expenses'!N22</f>
        <v>0</v>
      </c>
      <c r="O791" s="2545">
        <f>'Part VI-Revenues &amp; Expenses'!O22</f>
        <v>0</v>
      </c>
      <c r="P791" s="2545">
        <f>'Part VI-Revenues &amp; Expenses'!P22</f>
        <v>0</v>
      </c>
      <c r="Q791" s="2251">
        <f>'Part VI-Revenues &amp; Expenses'!Q22</f>
        <v>0</v>
      </c>
      <c r="R791" s="2670"/>
      <c r="S791" s="2671"/>
      <c r="T791" s="2607"/>
      <c r="U791" s="2607"/>
      <c r="V791" s="2607"/>
      <c r="W791" s="2607"/>
      <c r="X791" s="2494" t="str">
        <f t="shared" si="2"/>
        <v/>
      </c>
      <c r="Y791" s="2494" t="str">
        <f t="shared" si="3"/>
        <v/>
      </c>
      <c r="Z791" s="2494" t="str">
        <f t="shared" si="4"/>
        <v/>
      </c>
      <c r="AA791" s="2494" t="str">
        <f t="shared" si="5"/>
        <v/>
      </c>
      <c r="AB791" s="2494" t="str">
        <f t="shared" si="6"/>
        <v/>
      </c>
      <c r="AC791" s="2494" t="str">
        <f t="shared" si="7"/>
        <v/>
      </c>
      <c r="AD791" s="2494" t="str">
        <f t="shared" si="8"/>
        <v/>
      </c>
      <c r="AE791" s="2494" t="str">
        <f t="shared" si="9"/>
        <v/>
      </c>
      <c r="AF791" s="2494" t="str">
        <f t="shared" si="10"/>
        <v/>
      </c>
      <c r="AG791" s="2494" t="str">
        <f t="shared" si="11"/>
        <v/>
      </c>
      <c r="AH791" s="2494" t="str">
        <f t="shared" si="12"/>
        <v/>
      </c>
      <c r="AI791" s="2494" t="str">
        <f t="shared" si="13"/>
        <v/>
      </c>
      <c r="AJ791" s="2494" t="str">
        <f t="shared" si="14"/>
        <v/>
      </c>
      <c r="AK791" s="2494" t="str">
        <f t="shared" si="15"/>
        <v/>
      </c>
      <c r="AL791" s="2494" t="str">
        <f t="shared" si="16"/>
        <v/>
      </c>
      <c r="AM791" s="2494" t="str">
        <f t="shared" si="17"/>
        <v/>
      </c>
      <c r="AN791" s="2494" t="str">
        <f t="shared" si="18"/>
        <v/>
      </c>
      <c r="AO791" s="2494" t="str">
        <f t="shared" si="19"/>
        <v/>
      </c>
      <c r="AP791" s="2494" t="str">
        <f t="shared" si="20"/>
        <v/>
      </c>
      <c r="AQ791" s="2494" t="str">
        <f t="shared" si="21"/>
        <v/>
      </c>
      <c r="AR791" s="2494" t="str">
        <f t="shared" si="22"/>
        <v/>
      </c>
      <c r="AS791" s="2494" t="str">
        <f t="shared" si="23"/>
        <v/>
      </c>
      <c r="AT791" s="2494" t="str">
        <f t="shared" si="24"/>
        <v/>
      </c>
      <c r="AU791" s="2494" t="str">
        <f t="shared" si="25"/>
        <v/>
      </c>
      <c r="AV791" s="2494" t="str">
        <f t="shared" si="26"/>
        <v/>
      </c>
      <c r="AW791" s="2494" t="str">
        <f t="shared" si="27"/>
        <v/>
      </c>
      <c r="AX791" s="2494" t="str">
        <f t="shared" si="28"/>
        <v/>
      </c>
      <c r="AY791" s="2494" t="str">
        <f t="shared" si="29"/>
        <v/>
      </c>
      <c r="AZ791" s="2494" t="str">
        <f t="shared" si="30"/>
        <v/>
      </c>
      <c r="BA791" s="2494" t="str">
        <f t="shared" si="31"/>
        <v/>
      </c>
      <c r="BB791" s="2494" t="str">
        <f t="shared" si="32"/>
        <v/>
      </c>
      <c r="BC791" s="2494" t="str">
        <f t="shared" si="33"/>
        <v/>
      </c>
      <c r="BD791" s="2494" t="str">
        <f t="shared" si="34"/>
        <v/>
      </c>
      <c r="BE791" s="2494" t="str">
        <f t="shared" si="35"/>
        <v/>
      </c>
      <c r="BF791" s="2494" t="str">
        <f t="shared" si="36"/>
        <v/>
      </c>
      <c r="BG791" s="2494" t="str">
        <f t="shared" si="37"/>
        <v/>
      </c>
      <c r="BH791" s="2494" t="str">
        <f t="shared" si="38"/>
        <v/>
      </c>
      <c r="BI791" s="2494" t="str">
        <f t="shared" si="39"/>
        <v/>
      </c>
      <c r="BJ791" s="2494" t="str">
        <f t="shared" si="40"/>
        <v/>
      </c>
      <c r="BK791" s="2494" t="str">
        <f t="shared" si="41"/>
        <v/>
      </c>
      <c r="BL791" s="2494" t="str">
        <f t="shared" si="42"/>
        <v/>
      </c>
      <c r="BM791" s="2494" t="str">
        <f t="shared" si="43"/>
        <v/>
      </c>
      <c r="BN791" s="2494" t="str">
        <f t="shared" si="44"/>
        <v/>
      </c>
      <c r="BO791" s="2494" t="str">
        <f t="shared" si="45"/>
        <v/>
      </c>
      <c r="BP791" s="2494" t="str">
        <f t="shared" si="46"/>
        <v/>
      </c>
      <c r="BQ791" s="2494" t="str">
        <f t="shared" si="47"/>
        <v/>
      </c>
      <c r="BR791" s="2494" t="str">
        <f t="shared" si="48"/>
        <v/>
      </c>
      <c r="BS791" s="2494" t="str">
        <f t="shared" si="49"/>
        <v/>
      </c>
      <c r="BT791" s="2494" t="str">
        <f t="shared" si="50"/>
        <v/>
      </c>
      <c r="BU791" s="2494" t="str">
        <f t="shared" si="51"/>
        <v/>
      </c>
      <c r="BV791" s="2494" t="str">
        <f t="shared" si="52"/>
        <v/>
      </c>
      <c r="BW791" s="2494" t="str">
        <f t="shared" si="53"/>
        <v/>
      </c>
      <c r="BX791" s="2494" t="str">
        <f t="shared" si="54"/>
        <v/>
      </c>
      <c r="BY791" s="2494" t="str">
        <f t="shared" si="55"/>
        <v/>
      </c>
      <c r="BZ791" s="2494" t="str">
        <f t="shared" si="56"/>
        <v/>
      </c>
      <c r="CA791" s="2494" t="str">
        <f t="shared" si="57"/>
        <v/>
      </c>
      <c r="CB791" s="2494" t="str">
        <f t="shared" si="58"/>
        <v/>
      </c>
      <c r="CC791" s="2494" t="str">
        <f t="shared" si="59"/>
        <v/>
      </c>
      <c r="CD791" s="2494" t="str">
        <f t="shared" si="60"/>
        <v/>
      </c>
      <c r="CE791" s="2494" t="str">
        <f t="shared" si="61"/>
        <v/>
      </c>
      <c r="CF791" s="2494" t="str">
        <f t="shared" si="62"/>
        <v/>
      </c>
      <c r="CG791" s="2494" t="str">
        <f t="shared" si="63"/>
        <v/>
      </c>
      <c r="CH791" s="2494" t="str">
        <f t="shared" si="64"/>
        <v/>
      </c>
      <c r="CI791" s="2494" t="str">
        <f t="shared" si="65"/>
        <v/>
      </c>
      <c r="CJ791" s="2494" t="str">
        <f t="shared" si="66"/>
        <v/>
      </c>
      <c r="CK791" s="2494" t="str">
        <f t="shared" si="67"/>
        <v/>
      </c>
      <c r="CL791" s="2494" t="str">
        <f t="shared" si="68"/>
        <v/>
      </c>
      <c r="CM791" s="2494" t="str">
        <f t="shared" si="69"/>
        <v/>
      </c>
      <c r="CN791" s="2494" t="str">
        <f t="shared" si="70"/>
        <v/>
      </c>
      <c r="CO791" s="2494" t="str">
        <f t="shared" si="71"/>
        <v/>
      </c>
      <c r="CP791" s="2494" t="str">
        <f t="shared" si="72"/>
        <v/>
      </c>
      <c r="CQ791" s="2494" t="str">
        <f t="shared" si="73"/>
        <v/>
      </c>
      <c r="CR791" s="2494" t="str">
        <f t="shared" si="74"/>
        <v/>
      </c>
      <c r="CS791" s="2494" t="str">
        <f t="shared" si="75"/>
        <v/>
      </c>
      <c r="CT791" s="2494" t="str">
        <f t="shared" si="76"/>
        <v/>
      </c>
      <c r="CU791" s="2494" t="str">
        <f t="shared" si="77"/>
        <v/>
      </c>
      <c r="CV791" s="2494" t="str">
        <f t="shared" si="78"/>
        <v/>
      </c>
      <c r="CW791" s="2494" t="str">
        <f t="shared" si="79"/>
        <v/>
      </c>
      <c r="CX791" s="2494" t="str">
        <f t="shared" si="80"/>
        <v/>
      </c>
      <c r="CY791" s="2494" t="str">
        <f t="shared" si="81"/>
        <v/>
      </c>
      <c r="CZ791" s="2494" t="str">
        <f t="shared" si="82"/>
        <v/>
      </c>
      <c r="DA791" s="2494" t="str">
        <f t="shared" si="83"/>
        <v/>
      </c>
      <c r="DB791" s="2494" t="str">
        <f t="shared" si="84"/>
        <v/>
      </c>
      <c r="DC791" s="2494" t="str">
        <f t="shared" si="85"/>
        <v/>
      </c>
      <c r="DD791" s="2494" t="str">
        <f t="shared" si="86"/>
        <v/>
      </c>
      <c r="DE791" s="2494" t="str">
        <f t="shared" si="87"/>
        <v/>
      </c>
      <c r="DF791" s="2494" t="str">
        <f t="shared" si="88"/>
        <v/>
      </c>
      <c r="DG791" s="2494" t="str">
        <f t="shared" si="89"/>
        <v/>
      </c>
      <c r="DH791" s="2494" t="str">
        <f t="shared" si="90"/>
        <v/>
      </c>
      <c r="DI791" s="2494" t="str">
        <f t="shared" si="91"/>
        <v/>
      </c>
      <c r="DJ791" s="2494" t="str">
        <f t="shared" si="92"/>
        <v/>
      </c>
      <c r="DK791" s="2494" t="str">
        <f t="shared" si="93"/>
        <v/>
      </c>
      <c r="DL791" s="2494" t="str">
        <f t="shared" si="94"/>
        <v/>
      </c>
      <c r="DM791" s="2494" t="str">
        <f t="shared" si="95"/>
        <v/>
      </c>
      <c r="DN791" s="2494" t="str">
        <f t="shared" si="96"/>
        <v/>
      </c>
      <c r="DO791" s="2494" t="str">
        <f t="shared" si="97"/>
        <v/>
      </c>
      <c r="DP791" s="2494" t="str">
        <f t="shared" si="98"/>
        <v/>
      </c>
      <c r="DQ791" s="2494" t="str">
        <f t="shared" si="99"/>
        <v/>
      </c>
      <c r="DR791" s="2494" t="str">
        <f t="shared" si="100"/>
        <v/>
      </c>
      <c r="DS791" s="2494" t="str">
        <f t="shared" si="101"/>
        <v/>
      </c>
      <c r="DT791" s="2494" t="str">
        <f t="shared" si="102"/>
        <v/>
      </c>
      <c r="DU791" s="2494" t="str">
        <f t="shared" si="103"/>
        <v/>
      </c>
      <c r="DV791" s="2494" t="str">
        <f t="shared" si="104"/>
        <v/>
      </c>
      <c r="DW791" s="2494" t="str">
        <f t="shared" si="105"/>
        <v/>
      </c>
      <c r="DX791" s="2494" t="str">
        <f t="shared" si="106"/>
        <v/>
      </c>
      <c r="DY791" s="2494" t="str">
        <f t="shared" si="107"/>
        <v/>
      </c>
      <c r="DZ791" s="2494" t="str">
        <f t="shared" si="108"/>
        <v/>
      </c>
      <c r="EA791" s="2494" t="str">
        <f t="shared" si="109"/>
        <v/>
      </c>
      <c r="EB791" s="2494" t="str">
        <f t="shared" si="110"/>
        <v/>
      </c>
      <c r="EC791" s="2494" t="str">
        <f t="shared" si="111"/>
        <v/>
      </c>
      <c r="ED791" s="2494" t="str">
        <f t="shared" si="112"/>
        <v/>
      </c>
      <c r="EE791" s="2494" t="str">
        <f t="shared" si="113"/>
        <v/>
      </c>
      <c r="EF791" s="2494" t="str">
        <f t="shared" si="114"/>
        <v/>
      </c>
      <c r="EG791" s="2494" t="str">
        <f t="shared" si="115"/>
        <v/>
      </c>
      <c r="EH791" s="2494" t="str">
        <f t="shared" si="116"/>
        <v/>
      </c>
      <c r="EI791" s="2494" t="str">
        <f t="shared" si="117"/>
        <v/>
      </c>
      <c r="EJ791" s="2494" t="str">
        <f t="shared" si="118"/>
        <v/>
      </c>
      <c r="EK791" s="2494" t="str">
        <f t="shared" si="119"/>
        <v/>
      </c>
      <c r="EL791" s="2494" t="str">
        <f t="shared" si="120"/>
        <v/>
      </c>
      <c r="EM791" s="2494" t="str">
        <f t="shared" si="121"/>
        <v/>
      </c>
      <c r="EN791" s="2494" t="str">
        <f t="shared" si="122"/>
        <v/>
      </c>
      <c r="EO791" s="2494" t="str">
        <f t="shared" si="123"/>
        <v/>
      </c>
      <c r="EP791" s="2494" t="str">
        <f t="shared" si="124"/>
        <v/>
      </c>
      <c r="EQ791" s="2494" t="str">
        <f t="shared" si="125"/>
        <v/>
      </c>
      <c r="ER791" s="2494" t="str">
        <f t="shared" si="126"/>
        <v/>
      </c>
      <c r="ES791" s="2494" t="str">
        <f t="shared" si="127"/>
        <v/>
      </c>
      <c r="ET791" s="2494" t="str">
        <f t="shared" si="128"/>
        <v/>
      </c>
      <c r="EU791" s="2494" t="str">
        <f t="shared" si="129"/>
        <v/>
      </c>
      <c r="EV791" s="2494" t="str">
        <f t="shared" si="130"/>
        <v/>
      </c>
      <c r="EW791" s="2494" t="str">
        <f t="shared" si="131"/>
        <v/>
      </c>
      <c r="EX791" s="2494" t="str">
        <f t="shared" si="132"/>
        <v/>
      </c>
      <c r="EY791" s="2494" t="str">
        <f t="shared" si="133"/>
        <v/>
      </c>
      <c r="EZ791" s="2494" t="str">
        <f t="shared" si="134"/>
        <v/>
      </c>
      <c r="FA791" s="2494" t="str">
        <f t="shared" si="135"/>
        <v/>
      </c>
      <c r="FB791" s="2494" t="str">
        <f t="shared" si="136"/>
        <v/>
      </c>
      <c r="FC791" s="2494" t="str">
        <f t="shared" si="137"/>
        <v/>
      </c>
      <c r="FD791" s="2494" t="str">
        <f t="shared" si="138"/>
        <v/>
      </c>
      <c r="FE791" s="2494" t="str">
        <f t="shared" si="139"/>
        <v/>
      </c>
      <c r="FF791" s="2494" t="str">
        <f t="shared" si="140"/>
        <v/>
      </c>
      <c r="FG791" s="2494" t="str">
        <f t="shared" si="141"/>
        <v/>
      </c>
      <c r="FH791" s="2494" t="str">
        <f t="shared" si="142"/>
        <v/>
      </c>
      <c r="FI791" s="2494" t="str">
        <f t="shared" si="143"/>
        <v/>
      </c>
      <c r="FJ791" s="2494" t="str">
        <f t="shared" si="144"/>
        <v/>
      </c>
      <c r="FK791" s="2494" t="str">
        <f t="shared" si="145"/>
        <v/>
      </c>
      <c r="FL791" s="2494" t="str">
        <f t="shared" si="146"/>
        <v/>
      </c>
      <c r="FM791" s="2494" t="str">
        <f t="shared" si="147"/>
        <v/>
      </c>
      <c r="FN791" s="2494" t="str">
        <f t="shared" si="148"/>
        <v/>
      </c>
      <c r="FO791" s="2494" t="str">
        <f t="shared" si="149"/>
        <v/>
      </c>
      <c r="FP791" s="2494" t="str">
        <f t="shared" si="150"/>
        <v/>
      </c>
      <c r="FQ791" s="2494" t="str">
        <f t="shared" si="151"/>
        <v/>
      </c>
      <c r="FR791" s="2494" t="str">
        <f t="shared" si="152"/>
        <v/>
      </c>
      <c r="FS791" s="2494" t="str">
        <f t="shared" si="153"/>
        <v/>
      </c>
      <c r="FT791" s="2494" t="str">
        <f t="shared" si="154"/>
        <v/>
      </c>
      <c r="FU791" s="2494" t="str">
        <f t="shared" si="155"/>
        <v/>
      </c>
      <c r="FV791" s="2494" t="str">
        <f t="shared" si="156"/>
        <v/>
      </c>
      <c r="FW791" s="2494" t="str">
        <f t="shared" si="157"/>
        <v/>
      </c>
      <c r="FX791" s="2494" t="str">
        <f t="shared" si="158"/>
        <v/>
      </c>
      <c r="FY791" s="2494" t="str">
        <f t="shared" si="159"/>
        <v/>
      </c>
      <c r="FZ791" s="2494" t="str">
        <f t="shared" si="160"/>
        <v/>
      </c>
      <c r="GA791" s="2494" t="str">
        <f t="shared" si="161"/>
        <v/>
      </c>
      <c r="GB791" s="2494" t="str">
        <f t="shared" si="162"/>
        <v/>
      </c>
      <c r="GC791" s="2494" t="str">
        <f t="shared" si="163"/>
        <v/>
      </c>
      <c r="GD791" s="2494" t="str">
        <f t="shared" si="164"/>
        <v/>
      </c>
      <c r="GE791" s="2494" t="str">
        <f t="shared" si="165"/>
        <v/>
      </c>
      <c r="GF791" s="2494" t="str">
        <f t="shared" si="166"/>
        <v/>
      </c>
      <c r="GG791" s="2494" t="str">
        <f t="shared" si="167"/>
        <v/>
      </c>
      <c r="GH791" s="2494" t="str">
        <f t="shared" si="168"/>
        <v/>
      </c>
      <c r="GI791" s="2494" t="str">
        <f t="shared" si="169"/>
        <v/>
      </c>
      <c r="GJ791" s="2494" t="str">
        <f t="shared" si="170"/>
        <v/>
      </c>
      <c r="GK791" s="2494" t="str">
        <f t="shared" si="171"/>
        <v/>
      </c>
      <c r="GL791" s="2494" t="str">
        <f t="shared" si="172"/>
        <v/>
      </c>
      <c r="GM791" s="2494" t="str">
        <f t="shared" si="173"/>
        <v/>
      </c>
      <c r="GN791" s="2494" t="str">
        <f t="shared" si="174"/>
        <v/>
      </c>
      <c r="GO791" s="2494" t="str">
        <f t="shared" si="175"/>
        <v/>
      </c>
      <c r="GP791" s="2494" t="str">
        <f t="shared" si="176"/>
        <v/>
      </c>
      <c r="GQ791" s="2494" t="str">
        <f t="shared" si="177"/>
        <v/>
      </c>
      <c r="GR791" s="2494" t="str">
        <f t="shared" si="178"/>
        <v/>
      </c>
      <c r="GS791" s="2494" t="str">
        <f t="shared" si="179"/>
        <v/>
      </c>
      <c r="GT791" s="2494" t="str">
        <f t="shared" si="180"/>
        <v/>
      </c>
      <c r="GU791" s="2494" t="str">
        <f t="shared" si="181"/>
        <v/>
      </c>
      <c r="GV791" s="2494" t="str">
        <f t="shared" si="182"/>
        <v/>
      </c>
      <c r="GW791" s="2494" t="str">
        <f t="shared" si="183"/>
        <v/>
      </c>
      <c r="GX791" s="2494" t="str">
        <f t="shared" si="184"/>
        <v/>
      </c>
      <c r="GY791" s="2494" t="str">
        <f t="shared" si="185"/>
        <v/>
      </c>
      <c r="GZ791" s="2494" t="str">
        <f t="shared" si="186"/>
        <v/>
      </c>
      <c r="HA791" s="2494" t="str">
        <f t="shared" si="187"/>
        <v/>
      </c>
      <c r="HB791" s="2494" t="str">
        <f t="shared" si="188"/>
        <v/>
      </c>
      <c r="HC791" s="2494" t="str">
        <f t="shared" si="189"/>
        <v/>
      </c>
      <c r="HD791" s="2494" t="str">
        <f t="shared" si="190"/>
        <v/>
      </c>
      <c r="HE791" s="2494" t="str">
        <f t="shared" si="191"/>
        <v/>
      </c>
      <c r="HF791" s="2494" t="str">
        <f t="shared" si="192"/>
        <v/>
      </c>
      <c r="HG791" s="2494" t="str">
        <f t="shared" si="193"/>
        <v/>
      </c>
      <c r="HH791" s="2494" t="str">
        <f t="shared" si="194"/>
        <v/>
      </c>
      <c r="HI791" s="2494" t="str">
        <f t="shared" si="195"/>
        <v/>
      </c>
      <c r="HJ791" s="2494" t="str">
        <f t="shared" si="196"/>
        <v/>
      </c>
      <c r="HK791" s="2494" t="str">
        <f t="shared" si="197"/>
        <v/>
      </c>
      <c r="HL791" s="2494" t="str">
        <f t="shared" si="198"/>
        <v/>
      </c>
      <c r="HM791" s="2494" t="str">
        <f t="shared" si="199"/>
        <v/>
      </c>
      <c r="HN791" s="2494" t="str">
        <f t="shared" si="200"/>
        <v/>
      </c>
      <c r="HO791" s="2494" t="str">
        <f t="shared" si="201"/>
        <v/>
      </c>
      <c r="HP791" s="2494" t="str">
        <f t="shared" si="202"/>
        <v/>
      </c>
      <c r="HQ791" s="2494" t="str">
        <f t="shared" si="203"/>
        <v/>
      </c>
      <c r="HR791" s="2494" t="str">
        <f t="shared" si="204"/>
        <v/>
      </c>
      <c r="HS791" s="2494" t="str">
        <f t="shared" si="205"/>
        <v/>
      </c>
      <c r="HT791" s="2494" t="str">
        <f t="shared" si="206"/>
        <v/>
      </c>
      <c r="HU791" s="2494" t="str">
        <f t="shared" si="207"/>
        <v/>
      </c>
      <c r="HV791" s="2494" t="str">
        <f t="shared" si="208"/>
        <v/>
      </c>
      <c r="HW791" s="2494" t="str">
        <f t="shared" si="209"/>
        <v/>
      </c>
      <c r="HX791" s="2494" t="str">
        <f t="shared" si="210"/>
        <v/>
      </c>
      <c r="HY791" s="2494" t="str">
        <f t="shared" si="211"/>
        <v/>
      </c>
      <c r="HZ791" s="2672" t="str">
        <f t="shared" si="212"/>
        <v/>
      </c>
      <c r="IA791" s="2672" t="str">
        <f t="shared" si="213"/>
        <v/>
      </c>
      <c r="IB791" s="2672" t="str">
        <f t="shared" si="214"/>
        <v/>
      </c>
      <c r="IC791" s="2672" t="str">
        <f t="shared" si="215"/>
        <v/>
      </c>
      <c r="ID791" s="2672" t="str">
        <f t="shared" si="216"/>
        <v/>
      </c>
      <c r="IE791" s="2672" t="str">
        <f t="shared" si="217"/>
        <v/>
      </c>
      <c r="IF791" s="2672" t="str">
        <f t="shared" si="218"/>
        <v/>
      </c>
      <c r="IG791" s="2672" t="str">
        <f t="shared" si="219"/>
        <v/>
      </c>
      <c r="IH791" s="2672" t="str">
        <f t="shared" si="220"/>
        <v/>
      </c>
      <c r="II791" s="2672" t="str">
        <f t="shared" si="221"/>
        <v/>
      </c>
      <c r="IJ791" s="2672" t="str">
        <f t="shared" si="222"/>
        <v/>
      </c>
      <c r="IK791" s="2672" t="str">
        <f t="shared" si="223"/>
        <v/>
      </c>
      <c r="IL791" s="2672" t="str">
        <f t="shared" si="224"/>
        <v/>
      </c>
      <c r="IM791" s="2672" t="str">
        <f t="shared" si="225"/>
        <v/>
      </c>
      <c r="IN791" s="2672" t="str">
        <f t="shared" si="226"/>
        <v/>
      </c>
      <c r="IO791" s="2672" t="str">
        <f t="shared" si="227"/>
        <v/>
      </c>
      <c r="IP791" s="2672" t="str">
        <f t="shared" si="228"/>
        <v/>
      </c>
      <c r="IQ791" s="2672" t="str">
        <f t="shared" si="229"/>
        <v/>
      </c>
      <c r="IR791" s="2672" t="str">
        <f t="shared" si="230"/>
        <v/>
      </c>
      <c r="IS791" s="2672" t="str">
        <f t="shared" si="231"/>
        <v/>
      </c>
      <c r="IT791" s="2672" t="str">
        <f t="shared" si="232"/>
        <v/>
      </c>
      <c r="IU791" s="2672" t="str">
        <f t="shared" si="233"/>
        <v/>
      </c>
      <c r="IV791" s="2672" t="str">
        <f t="shared" si="234"/>
        <v/>
      </c>
      <c r="IW791" s="2672" t="str">
        <f t="shared" si="235"/>
        <v/>
      </c>
      <c r="IX791" s="2672" t="str">
        <f t="shared" si="236"/>
        <v/>
      </c>
      <c r="IY791" s="2672" t="str">
        <f t="shared" si="237"/>
        <v/>
      </c>
      <c r="IZ791" s="2672" t="str">
        <f t="shared" si="238"/>
        <v/>
      </c>
      <c r="JA791" s="2672" t="str">
        <f t="shared" si="239"/>
        <v/>
      </c>
      <c r="JB791" s="2672" t="str">
        <f t="shared" si="240"/>
        <v/>
      </c>
      <c r="JC791" s="2672" t="str">
        <f t="shared" si="241"/>
        <v/>
      </c>
      <c r="JD791" s="2672" t="str">
        <f t="shared" si="242"/>
        <v/>
      </c>
      <c r="JE791" s="2672" t="str">
        <f t="shared" si="243"/>
        <v/>
      </c>
      <c r="JF791" s="2672" t="str">
        <f t="shared" si="244"/>
        <v/>
      </c>
      <c r="JG791" s="2672" t="str">
        <f t="shared" si="245"/>
        <v/>
      </c>
      <c r="JH791" s="2672" t="str">
        <f t="shared" si="246"/>
        <v/>
      </c>
      <c r="JI791" s="2672" t="str">
        <f t="shared" si="247"/>
        <v/>
      </c>
      <c r="JJ791" s="2672" t="str">
        <f t="shared" si="248"/>
        <v/>
      </c>
      <c r="JK791" s="2672" t="str">
        <f t="shared" si="249"/>
        <v/>
      </c>
      <c r="JL791" s="2672" t="str">
        <f t="shared" si="250"/>
        <v/>
      </c>
      <c r="JM791" s="2672" t="str">
        <f t="shared" si="251"/>
        <v/>
      </c>
      <c r="JN791" s="2672" t="str">
        <f t="shared" si="252"/>
        <v/>
      </c>
      <c r="JO791" s="2672" t="str">
        <f t="shared" si="253"/>
        <v/>
      </c>
      <c r="JP791" s="2672" t="str">
        <f t="shared" si="254"/>
        <v/>
      </c>
      <c r="JQ791" s="2672" t="str">
        <f t="shared" si="255"/>
        <v/>
      </c>
      <c r="JR791" s="2672" t="str">
        <f t="shared" si="256"/>
        <v/>
      </c>
      <c r="JS791" s="2672" t="str">
        <f t="shared" si="257"/>
        <v/>
      </c>
      <c r="JT791" s="2672" t="str">
        <f t="shared" si="258"/>
        <v/>
      </c>
      <c r="JU791" s="2672" t="str">
        <f t="shared" si="259"/>
        <v/>
      </c>
      <c r="JV791" s="2672" t="str">
        <f t="shared" si="260"/>
        <v/>
      </c>
      <c r="JW791" s="2672" t="str">
        <f t="shared" si="261"/>
        <v/>
      </c>
      <c r="JX791" s="2672" t="str">
        <f t="shared" si="262"/>
        <v/>
      </c>
      <c r="JY791" s="2672" t="str">
        <f t="shared" si="263"/>
        <v/>
      </c>
      <c r="JZ791" s="2672" t="str">
        <f t="shared" si="264"/>
        <v/>
      </c>
      <c r="KA791" s="2672" t="str">
        <f t="shared" si="265"/>
        <v/>
      </c>
      <c r="KB791" s="2672" t="str">
        <f t="shared" si="266"/>
        <v/>
      </c>
      <c r="KC791" s="2672" t="str">
        <f t="shared" si="267"/>
        <v/>
      </c>
      <c r="KD791" s="2672" t="str">
        <f t="shared" si="268"/>
        <v/>
      </c>
      <c r="KE791" s="2672" t="str">
        <f t="shared" si="269"/>
        <v/>
      </c>
      <c r="KF791" s="2672" t="str">
        <f t="shared" si="270"/>
        <v/>
      </c>
      <c r="KG791" s="2672" t="str">
        <f t="shared" si="271"/>
        <v/>
      </c>
      <c r="KH791" s="2672" t="str">
        <f t="shared" si="272"/>
        <v/>
      </c>
      <c r="KI791" s="2672" t="str">
        <f t="shared" si="273"/>
        <v/>
      </c>
      <c r="KJ791" s="2672" t="str">
        <f t="shared" si="274"/>
        <v/>
      </c>
      <c r="KK791" s="2672" t="str">
        <f t="shared" si="275"/>
        <v/>
      </c>
      <c r="KL791" s="2672" t="str">
        <f t="shared" si="276"/>
        <v/>
      </c>
      <c r="KM791" s="2672" t="str">
        <f t="shared" si="277"/>
        <v/>
      </c>
      <c r="KN791" s="2672" t="str">
        <f t="shared" si="278"/>
        <v/>
      </c>
      <c r="KO791" s="2672" t="str">
        <f t="shared" si="279"/>
        <v/>
      </c>
      <c r="KP791" s="2672" t="str">
        <f t="shared" si="280"/>
        <v/>
      </c>
      <c r="KQ791" s="2672" t="str">
        <f t="shared" si="281"/>
        <v/>
      </c>
      <c r="KR791" s="2672" t="str">
        <f t="shared" si="282"/>
        <v/>
      </c>
      <c r="KS791" s="2672" t="str">
        <f t="shared" si="283"/>
        <v/>
      </c>
      <c r="KT791" s="2672" t="str">
        <f t="shared" si="284"/>
        <v/>
      </c>
      <c r="KU791" s="2672" t="str">
        <f t="shared" si="285"/>
        <v/>
      </c>
      <c r="KV791" s="2672" t="str">
        <f t="shared" si="286"/>
        <v/>
      </c>
      <c r="KW791" s="2672" t="str">
        <f t="shared" si="287"/>
        <v/>
      </c>
      <c r="KX791" s="2672" t="str">
        <f t="shared" si="288"/>
        <v/>
      </c>
      <c r="KY791" s="2672" t="str">
        <f t="shared" si="289"/>
        <v/>
      </c>
      <c r="KZ791" s="2672" t="str">
        <f t="shared" si="290"/>
        <v/>
      </c>
      <c r="LA791" s="2672" t="str">
        <f t="shared" si="291"/>
        <v/>
      </c>
      <c r="LB791" s="2672" t="str">
        <f t="shared" si="292"/>
        <v/>
      </c>
      <c r="LC791" s="2672" t="str">
        <f t="shared" si="293"/>
        <v/>
      </c>
      <c r="LD791" s="2672" t="str">
        <f t="shared" si="294"/>
        <v/>
      </c>
      <c r="LE791" s="2672" t="str">
        <f t="shared" si="295"/>
        <v/>
      </c>
      <c r="LF791" s="2672" t="str">
        <f t="shared" si="296"/>
        <v/>
      </c>
      <c r="LG791" s="2672" t="str">
        <f t="shared" si="297"/>
        <v/>
      </c>
      <c r="LH791" s="2672" t="str">
        <f t="shared" si="298"/>
        <v/>
      </c>
      <c r="LI791" s="2672" t="str">
        <f t="shared" si="299"/>
        <v/>
      </c>
      <c r="LJ791" s="2672" t="str">
        <f t="shared" si="300"/>
        <v/>
      </c>
      <c r="LK791" s="2672" t="str">
        <f t="shared" si="301"/>
        <v/>
      </c>
      <c r="LL791" s="2672" t="str">
        <f t="shared" si="302"/>
        <v/>
      </c>
      <c r="LM791" s="2672" t="str">
        <f t="shared" si="303"/>
        <v/>
      </c>
      <c r="LN791" s="2672" t="str">
        <f t="shared" si="304"/>
        <v/>
      </c>
      <c r="LO791" s="2672" t="str">
        <f t="shared" si="305"/>
        <v/>
      </c>
      <c r="LP791" s="2672" t="str">
        <f t="shared" si="306"/>
        <v/>
      </c>
      <c r="LQ791" s="2613" t="str">
        <f t="shared" si="307"/>
        <v/>
      </c>
      <c r="LR791" s="2613" t="str">
        <f t="shared" si="308"/>
        <v/>
      </c>
      <c r="LS791" s="2613" t="str">
        <f t="shared" si="309"/>
        <v/>
      </c>
      <c r="LT791" s="2613" t="str">
        <f t="shared" si="310"/>
        <v/>
      </c>
      <c r="LU791" s="2613" t="str">
        <f t="shared" si="311"/>
        <v/>
      </c>
      <c r="LV791" s="2494" t="str">
        <f t="shared" si="312"/>
        <v/>
      </c>
      <c r="LW791" s="2494" t="str">
        <f t="shared" si="313"/>
        <v/>
      </c>
      <c r="LX791" s="2494" t="str">
        <f t="shared" si="314"/>
        <v/>
      </c>
      <c r="LY791" s="2494" t="str">
        <f t="shared" si="315"/>
        <v/>
      </c>
      <c r="LZ791" s="2494" t="str">
        <f t="shared" si="316"/>
        <v/>
      </c>
      <c r="MA791" s="2494" t="str">
        <f t="shared" si="317"/>
        <v/>
      </c>
      <c r="MB791" s="2494" t="str">
        <f t="shared" si="318"/>
        <v/>
      </c>
      <c r="MC791" s="2494" t="str">
        <f t="shared" si="319"/>
        <v/>
      </c>
      <c r="MD791" s="2494" t="str">
        <f t="shared" si="320"/>
        <v/>
      </c>
      <c r="ME791" s="2494" t="str">
        <f t="shared" si="321"/>
        <v/>
      </c>
      <c r="MF791" s="2494" t="str">
        <f t="shared" si="322"/>
        <v/>
      </c>
      <c r="MG791" s="2494" t="str">
        <f t="shared" si="323"/>
        <v/>
      </c>
      <c r="MH791" s="2494" t="str">
        <f t="shared" si="324"/>
        <v/>
      </c>
      <c r="MI791" s="2494" t="str">
        <f t="shared" si="325"/>
        <v/>
      </c>
      <c r="MJ791" s="2494" t="str">
        <f t="shared" si="326"/>
        <v/>
      </c>
      <c r="MK791" s="2494" t="str">
        <f t="shared" si="327"/>
        <v/>
      </c>
      <c r="ML791" s="2494" t="str">
        <f t="shared" si="328"/>
        <v/>
      </c>
      <c r="MM791" s="2494" t="str">
        <f t="shared" si="329"/>
        <v/>
      </c>
      <c r="MN791" s="2494" t="str">
        <f t="shared" si="330"/>
        <v/>
      </c>
      <c r="MO791" s="2494" t="str">
        <f t="shared" si="331"/>
        <v/>
      </c>
      <c r="MP791" s="2613">
        <f t="shared" si="338"/>
        <v>0</v>
      </c>
      <c r="MQ791" s="2613">
        <f t="shared" si="339"/>
        <v>0</v>
      </c>
      <c r="MR791" s="2613">
        <f t="shared" si="340"/>
        <v>0</v>
      </c>
      <c r="MS791" s="2613">
        <f t="shared" si="341"/>
        <v>0</v>
      </c>
      <c r="MT791" s="2613">
        <f t="shared" si="342"/>
        <v>0</v>
      </c>
      <c r="MU791" s="2613">
        <f t="shared" si="343"/>
        <v>0</v>
      </c>
      <c r="MV791" s="2613">
        <f t="shared" si="344"/>
        <v>0</v>
      </c>
      <c r="MW791" s="2613">
        <f t="shared" si="345"/>
        <v>0</v>
      </c>
      <c r="MX791" s="2613">
        <f t="shared" si="346"/>
        <v>0</v>
      </c>
      <c r="MY791" s="2613">
        <f t="shared" si="347"/>
        <v>0</v>
      </c>
      <c r="MZ791" s="2613">
        <f t="shared" si="332"/>
        <v>0</v>
      </c>
      <c r="NA791" s="2613">
        <f t="shared" si="333"/>
        <v>0</v>
      </c>
      <c r="NB791" s="2613">
        <f t="shared" si="334"/>
        <v>0</v>
      </c>
      <c r="NC791" s="2613">
        <f t="shared" si="335"/>
        <v>0</v>
      </c>
      <c r="ND791" s="2613">
        <f t="shared" si="336"/>
        <v>0</v>
      </c>
    </row>
    <row r="792" spans="1:368" ht="13.8" customHeight="1">
      <c r="A792" s="2652" t="str">
        <f t="shared" si="337"/>
        <v/>
      </c>
      <c r="B792" s="2664">
        <f>'Part VI-Revenues &amp; Expenses'!B23</f>
        <v>80</v>
      </c>
      <c r="C792" s="2665">
        <f>'Part VI-Revenues &amp; Expenses'!C23</f>
        <v>0</v>
      </c>
      <c r="D792" s="2666">
        <f>'Part VI-Revenues &amp; Expenses'!D23</f>
        <v>0</v>
      </c>
      <c r="E792" s="2667">
        <f>'Part VI-Revenues &amp; Expenses'!E23</f>
        <v>0</v>
      </c>
      <c r="F792" s="2667">
        <f>'Part VI-Revenues &amp; Expenses'!F23</f>
        <v>0</v>
      </c>
      <c r="G792" s="2667">
        <f>'Part VI-Revenues &amp; Expenses'!G23</f>
        <v>0</v>
      </c>
      <c r="H792" s="2667">
        <f>'Part VI-Revenues &amp; Expenses'!H23</f>
        <v>0</v>
      </c>
      <c r="I792" s="2667">
        <f>'Part VI-Revenues &amp; Expenses'!I23</f>
        <v>0</v>
      </c>
      <c r="J792" s="2667">
        <f>'Part VI-Revenues &amp; Expenses'!J23</f>
        <v>0</v>
      </c>
      <c r="K792" s="2668">
        <f>'Part VI-Revenues &amp; Expenses'!K23</f>
        <v>0</v>
      </c>
      <c r="L792" s="2669">
        <f t="shared" si="0"/>
        <v>0</v>
      </c>
      <c r="M792" s="2669">
        <f t="shared" si="1"/>
        <v>0</v>
      </c>
      <c r="N792" s="2545">
        <f>'Part VI-Revenues &amp; Expenses'!N23</f>
        <v>0</v>
      </c>
      <c r="O792" s="2545">
        <f>'Part VI-Revenues &amp; Expenses'!O23</f>
        <v>0</v>
      </c>
      <c r="P792" s="2545">
        <f>'Part VI-Revenues &amp; Expenses'!P23</f>
        <v>0</v>
      </c>
      <c r="Q792" s="2251">
        <f>'Part VI-Revenues &amp; Expenses'!Q23</f>
        <v>0</v>
      </c>
      <c r="R792" s="2670"/>
      <c r="S792" s="2671"/>
      <c r="T792" s="2607"/>
      <c r="U792" s="2607"/>
      <c r="V792" s="2607"/>
      <c r="W792" s="2607"/>
      <c r="X792" s="2494" t="str">
        <f t="shared" si="2"/>
        <v/>
      </c>
      <c r="Y792" s="2494" t="str">
        <f t="shared" si="3"/>
        <v/>
      </c>
      <c r="Z792" s="2494" t="str">
        <f t="shared" si="4"/>
        <v/>
      </c>
      <c r="AA792" s="2494" t="str">
        <f t="shared" si="5"/>
        <v/>
      </c>
      <c r="AB792" s="2494" t="str">
        <f t="shared" si="6"/>
        <v/>
      </c>
      <c r="AC792" s="2494" t="str">
        <f t="shared" si="7"/>
        <v/>
      </c>
      <c r="AD792" s="2494" t="str">
        <f t="shared" si="8"/>
        <v/>
      </c>
      <c r="AE792" s="2494" t="str">
        <f t="shared" si="9"/>
        <v/>
      </c>
      <c r="AF792" s="2494" t="str">
        <f t="shared" si="10"/>
        <v/>
      </c>
      <c r="AG792" s="2494" t="str">
        <f t="shared" si="11"/>
        <v/>
      </c>
      <c r="AH792" s="2494" t="str">
        <f t="shared" si="12"/>
        <v/>
      </c>
      <c r="AI792" s="2494" t="str">
        <f t="shared" si="13"/>
        <v/>
      </c>
      <c r="AJ792" s="2494" t="str">
        <f t="shared" si="14"/>
        <v/>
      </c>
      <c r="AK792" s="2494" t="str">
        <f t="shared" si="15"/>
        <v/>
      </c>
      <c r="AL792" s="2494" t="str">
        <f t="shared" si="16"/>
        <v/>
      </c>
      <c r="AM792" s="2494" t="str">
        <f t="shared" si="17"/>
        <v/>
      </c>
      <c r="AN792" s="2494" t="str">
        <f t="shared" si="18"/>
        <v/>
      </c>
      <c r="AO792" s="2494" t="str">
        <f t="shared" si="19"/>
        <v/>
      </c>
      <c r="AP792" s="2494" t="str">
        <f t="shared" si="20"/>
        <v/>
      </c>
      <c r="AQ792" s="2494" t="str">
        <f t="shared" si="21"/>
        <v/>
      </c>
      <c r="AR792" s="2494" t="str">
        <f t="shared" si="22"/>
        <v/>
      </c>
      <c r="AS792" s="2494" t="str">
        <f t="shared" si="23"/>
        <v/>
      </c>
      <c r="AT792" s="2494" t="str">
        <f t="shared" si="24"/>
        <v/>
      </c>
      <c r="AU792" s="2494" t="str">
        <f t="shared" si="25"/>
        <v/>
      </c>
      <c r="AV792" s="2494" t="str">
        <f t="shared" si="26"/>
        <v/>
      </c>
      <c r="AW792" s="2494" t="str">
        <f t="shared" si="27"/>
        <v/>
      </c>
      <c r="AX792" s="2494" t="str">
        <f t="shared" si="28"/>
        <v/>
      </c>
      <c r="AY792" s="2494" t="str">
        <f t="shared" si="29"/>
        <v/>
      </c>
      <c r="AZ792" s="2494" t="str">
        <f t="shared" si="30"/>
        <v/>
      </c>
      <c r="BA792" s="2494" t="str">
        <f t="shared" si="31"/>
        <v/>
      </c>
      <c r="BB792" s="2494" t="str">
        <f t="shared" si="32"/>
        <v/>
      </c>
      <c r="BC792" s="2494" t="str">
        <f t="shared" si="33"/>
        <v/>
      </c>
      <c r="BD792" s="2494" t="str">
        <f t="shared" si="34"/>
        <v/>
      </c>
      <c r="BE792" s="2494" t="str">
        <f t="shared" si="35"/>
        <v/>
      </c>
      <c r="BF792" s="2494" t="str">
        <f t="shared" si="36"/>
        <v/>
      </c>
      <c r="BG792" s="2494" t="str">
        <f t="shared" si="37"/>
        <v/>
      </c>
      <c r="BH792" s="2494" t="str">
        <f t="shared" si="38"/>
        <v/>
      </c>
      <c r="BI792" s="2494" t="str">
        <f t="shared" si="39"/>
        <v/>
      </c>
      <c r="BJ792" s="2494" t="str">
        <f t="shared" si="40"/>
        <v/>
      </c>
      <c r="BK792" s="2494" t="str">
        <f t="shared" si="41"/>
        <v/>
      </c>
      <c r="BL792" s="2494" t="str">
        <f t="shared" si="42"/>
        <v/>
      </c>
      <c r="BM792" s="2494" t="str">
        <f t="shared" si="43"/>
        <v/>
      </c>
      <c r="BN792" s="2494" t="str">
        <f t="shared" si="44"/>
        <v/>
      </c>
      <c r="BO792" s="2494" t="str">
        <f t="shared" si="45"/>
        <v/>
      </c>
      <c r="BP792" s="2494" t="str">
        <f t="shared" si="46"/>
        <v/>
      </c>
      <c r="BQ792" s="2494" t="str">
        <f t="shared" si="47"/>
        <v/>
      </c>
      <c r="BR792" s="2494" t="str">
        <f t="shared" si="48"/>
        <v/>
      </c>
      <c r="BS792" s="2494" t="str">
        <f t="shared" si="49"/>
        <v/>
      </c>
      <c r="BT792" s="2494" t="str">
        <f t="shared" si="50"/>
        <v/>
      </c>
      <c r="BU792" s="2494" t="str">
        <f t="shared" si="51"/>
        <v/>
      </c>
      <c r="BV792" s="2494" t="str">
        <f t="shared" si="52"/>
        <v/>
      </c>
      <c r="BW792" s="2494" t="str">
        <f t="shared" si="53"/>
        <v/>
      </c>
      <c r="BX792" s="2494" t="str">
        <f t="shared" si="54"/>
        <v/>
      </c>
      <c r="BY792" s="2494" t="str">
        <f t="shared" si="55"/>
        <v/>
      </c>
      <c r="BZ792" s="2494" t="str">
        <f t="shared" si="56"/>
        <v/>
      </c>
      <c r="CA792" s="2494" t="str">
        <f t="shared" si="57"/>
        <v/>
      </c>
      <c r="CB792" s="2494" t="str">
        <f t="shared" si="58"/>
        <v/>
      </c>
      <c r="CC792" s="2494" t="str">
        <f t="shared" si="59"/>
        <v/>
      </c>
      <c r="CD792" s="2494" t="str">
        <f t="shared" si="60"/>
        <v/>
      </c>
      <c r="CE792" s="2494" t="str">
        <f t="shared" si="61"/>
        <v/>
      </c>
      <c r="CF792" s="2494" t="str">
        <f t="shared" si="62"/>
        <v/>
      </c>
      <c r="CG792" s="2494" t="str">
        <f t="shared" si="63"/>
        <v/>
      </c>
      <c r="CH792" s="2494" t="str">
        <f t="shared" si="64"/>
        <v/>
      </c>
      <c r="CI792" s="2494" t="str">
        <f t="shared" si="65"/>
        <v/>
      </c>
      <c r="CJ792" s="2494" t="str">
        <f t="shared" si="66"/>
        <v/>
      </c>
      <c r="CK792" s="2494" t="str">
        <f t="shared" si="67"/>
        <v/>
      </c>
      <c r="CL792" s="2494" t="str">
        <f t="shared" si="68"/>
        <v/>
      </c>
      <c r="CM792" s="2494" t="str">
        <f t="shared" si="69"/>
        <v/>
      </c>
      <c r="CN792" s="2494" t="str">
        <f t="shared" si="70"/>
        <v/>
      </c>
      <c r="CO792" s="2494" t="str">
        <f t="shared" si="71"/>
        <v/>
      </c>
      <c r="CP792" s="2494" t="str">
        <f t="shared" si="72"/>
        <v/>
      </c>
      <c r="CQ792" s="2494" t="str">
        <f t="shared" si="73"/>
        <v/>
      </c>
      <c r="CR792" s="2494" t="str">
        <f t="shared" si="74"/>
        <v/>
      </c>
      <c r="CS792" s="2494" t="str">
        <f t="shared" si="75"/>
        <v/>
      </c>
      <c r="CT792" s="2494" t="str">
        <f t="shared" si="76"/>
        <v/>
      </c>
      <c r="CU792" s="2494" t="str">
        <f t="shared" si="77"/>
        <v/>
      </c>
      <c r="CV792" s="2494" t="str">
        <f t="shared" si="78"/>
        <v/>
      </c>
      <c r="CW792" s="2494" t="str">
        <f t="shared" si="79"/>
        <v/>
      </c>
      <c r="CX792" s="2494" t="str">
        <f t="shared" si="80"/>
        <v/>
      </c>
      <c r="CY792" s="2494" t="str">
        <f t="shared" si="81"/>
        <v/>
      </c>
      <c r="CZ792" s="2494" t="str">
        <f t="shared" si="82"/>
        <v/>
      </c>
      <c r="DA792" s="2494" t="str">
        <f t="shared" si="83"/>
        <v/>
      </c>
      <c r="DB792" s="2494" t="str">
        <f t="shared" si="84"/>
        <v/>
      </c>
      <c r="DC792" s="2494" t="str">
        <f t="shared" si="85"/>
        <v/>
      </c>
      <c r="DD792" s="2494" t="str">
        <f t="shared" si="86"/>
        <v/>
      </c>
      <c r="DE792" s="2494" t="str">
        <f t="shared" si="87"/>
        <v/>
      </c>
      <c r="DF792" s="2494" t="str">
        <f t="shared" si="88"/>
        <v/>
      </c>
      <c r="DG792" s="2494" t="str">
        <f t="shared" si="89"/>
        <v/>
      </c>
      <c r="DH792" s="2494" t="str">
        <f t="shared" si="90"/>
        <v/>
      </c>
      <c r="DI792" s="2494" t="str">
        <f t="shared" si="91"/>
        <v/>
      </c>
      <c r="DJ792" s="2494" t="str">
        <f t="shared" si="92"/>
        <v/>
      </c>
      <c r="DK792" s="2494" t="str">
        <f t="shared" si="93"/>
        <v/>
      </c>
      <c r="DL792" s="2494" t="str">
        <f t="shared" si="94"/>
        <v/>
      </c>
      <c r="DM792" s="2494" t="str">
        <f t="shared" si="95"/>
        <v/>
      </c>
      <c r="DN792" s="2494" t="str">
        <f t="shared" si="96"/>
        <v/>
      </c>
      <c r="DO792" s="2494" t="str">
        <f t="shared" si="97"/>
        <v/>
      </c>
      <c r="DP792" s="2494" t="str">
        <f t="shared" si="98"/>
        <v/>
      </c>
      <c r="DQ792" s="2494" t="str">
        <f t="shared" si="99"/>
        <v/>
      </c>
      <c r="DR792" s="2494" t="str">
        <f t="shared" si="100"/>
        <v/>
      </c>
      <c r="DS792" s="2494" t="str">
        <f t="shared" si="101"/>
        <v/>
      </c>
      <c r="DT792" s="2494" t="str">
        <f t="shared" si="102"/>
        <v/>
      </c>
      <c r="DU792" s="2494" t="str">
        <f t="shared" si="103"/>
        <v/>
      </c>
      <c r="DV792" s="2494" t="str">
        <f t="shared" si="104"/>
        <v/>
      </c>
      <c r="DW792" s="2494" t="str">
        <f t="shared" si="105"/>
        <v/>
      </c>
      <c r="DX792" s="2494" t="str">
        <f t="shared" si="106"/>
        <v/>
      </c>
      <c r="DY792" s="2494" t="str">
        <f t="shared" si="107"/>
        <v/>
      </c>
      <c r="DZ792" s="2494" t="str">
        <f t="shared" si="108"/>
        <v/>
      </c>
      <c r="EA792" s="2494" t="str">
        <f t="shared" si="109"/>
        <v/>
      </c>
      <c r="EB792" s="2494" t="str">
        <f t="shared" si="110"/>
        <v/>
      </c>
      <c r="EC792" s="2494" t="str">
        <f t="shared" si="111"/>
        <v/>
      </c>
      <c r="ED792" s="2494" t="str">
        <f t="shared" si="112"/>
        <v/>
      </c>
      <c r="EE792" s="2494" t="str">
        <f t="shared" si="113"/>
        <v/>
      </c>
      <c r="EF792" s="2494" t="str">
        <f t="shared" si="114"/>
        <v/>
      </c>
      <c r="EG792" s="2494" t="str">
        <f t="shared" si="115"/>
        <v/>
      </c>
      <c r="EH792" s="2494" t="str">
        <f t="shared" si="116"/>
        <v/>
      </c>
      <c r="EI792" s="2494" t="str">
        <f t="shared" si="117"/>
        <v/>
      </c>
      <c r="EJ792" s="2494" t="str">
        <f t="shared" si="118"/>
        <v/>
      </c>
      <c r="EK792" s="2494" t="str">
        <f t="shared" si="119"/>
        <v/>
      </c>
      <c r="EL792" s="2494" t="str">
        <f t="shared" si="120"/>
        <v/>
      </c>
      <c r="EM792" s="2494" t="str">
        <f t="shared" si="121"/>
        <v/>
      </c>
      <c r="EN792" s="2494" t="str">
        <f t="shared" si="122"/>
        <v/>
      </c>
      <c r="EO792" s="2494" t="str">
        <f t="shared" si="123"/>
        <v/>
      </c>
      <c r="EP792" s="2494" t="str">
        <f t="shared" si="124"/>
        <v/>
      </c>
      <c r="EQ792" s="2494" t="str">
        <f t="shared" si="125"/>
        <v/>
      </c>
      <c r="ER792" s="2494" t="str">
        <f t="shared" si="126"/>
        <v/>
      </c>
      <c r="ES792" s="2494" t="str">
        <f t="shared" si="127"/>
        <v/>
      </c>
      <c r="ET792" s="2494" t="str">
        <f t="shared" si="128"/>
        <v/>
      </c>
      <c r="EU792" s="2494" t="str">
        <f t="shared" si="129"/>
        <v/>
      </c>
      <c r="EV792" s="2494" t="str">
        <f t="shared" si="130"/>
        <v/>
      </c>
      <c r="EW792" s="2494" t="str">
        <f t="shared" si="131"/>
        <v/>
      </c>
      <c r="EX792" s="2494" t="str">
        <f t="shared" si="132"/>
        <v/>
      </c>
      <c r="EY792" s="2494" t="str">
        <f t="shared" si="133"/>
        <v/>
      </c>
      <c r="EZ792" s="2494" t="str">
        <f t="shared" si="134"/>
        <v/>
      </c>
      <c r="FA792" s="2494" t="str">
        <f t="shared" si="135"/>
        <v/>
      </c>
      <c r="FB792" s="2494" t="str">
        <f t="shared" si="136"/>
        <v/>
      </c>
      <c r="FC792" s="2494" t="str">
        <f t="shared" si="137"/>
        <v/>
      </c>
      <c r="FD792" s="2494" t="str">
        <f t="shared" si="138"/>
        <v/>
      </c>
      <c r="FE792" s="2494" t="str">
        <f t="shared" si="139"/>
        <v/>
      </c>
      <c r="FF792" s="2494" t="str">
        <f t="shared" si="140"/>
        <v/>
      </c>
      <c r="FG792" s="2494" t="str">
        <f t="shared" si="141"/>
        <v/>
      </c>
      <c r="FH792" s="2494" t="str">
        <f t="shared" si="142"/>
        <v/>
      </c>
      <c r="FI792" s="2494" t="str">
        <f t="shared" si="143"/>
        <v/>
      </c>
      <c r="FJ792" s="2494" t="str">
        <f t="shared" si="144"/>
        <v/>
      </c>
      <c r="FK792" s="2494" t="str">
        <f t="shared" si="145"/>
        <v/>
      </c>
      <c r="FL792" s="2494" t="str">
        <f t="shared" si="146"/>
        <v/>
      </c>
      <c r="FM792" s="2494" t="str">
        <f t="shared" si="147"/>
        <v/>
      </c>
      <c r="FN792" s="2494" t="str">
        <f t="shared" si="148"/>
        <v/>
      </c>
      <c r="FO792" s="2494" t="str">
        <f t="shared" si="149"/>
        <v/>
      </c>
      <c r="FP792" s="2494" t="str">
        <f t="shared" si="150"/>
        <v/>
      </c>
      <c r="FQ792" s="2494" t="str">
        <f t="shared" si="151"/>
        <v/>
      </c>
      <c r="FR792" s="2494" t="str">
        <f t="shared" si="152"/>
        <v/>
      </c>
      <c r="FS792" s="2494" t="str">
        <f t="shared" si="153"/>
        <v/>
      </c>
      <c r="FT792" s="2494" t="str">
        <f t="shared" si="154"/>
        <v/>
      </c>
      <c r="FU792" s="2494" t="str">
        <f t="shared" si="155"/>
        <v/>
      </c>
      <c r="FV792" s="2494" t="str">
        <f t="shared" si="156"/>
        <v/>
      </c>
      <c r="FW792" s="2494" t="str">
        <f t="shared" si="157"/>
        <v/>
      </c>
      <c r="FX792" s="2494" t="str">
        <f t="shared" si="158"/>
        <v/>
      </c>
      <c r="FY792" s="2494" t="str">
        <f t="shared" si="159"/>
        <v/>
      </c>
      <c r="FZ792" s="2494" t="str">
        <f t="shared" si="160"/>
        <v/>
      </c>
      <c r="GA792" s="2494" t="str">
        <f t="shared" si="161"/>
        <v/>
      </c>
      <c r="GB792" s="2494" t="str">
        <f t="shared" si="162"/>
        <v/>
      </c>
      <c r="GC792" s="2494" t="str">
        <f t="shared" si="163"/>
        <v/>
      </c>
      <c r="GD792" s="2494" t="str">
        <f t="shared" si="164"/>
        <v/>
      </c>
      <c r="GE792" s="2494" t="str">
        <f t="shared" si="165"/>
        <v/>
      </c>
      <c r="GF792" s="2494" t="str">
        <f t="shared" si="166"/>
        <v/>
      </c>
      <c r="GG792" s="2494" t="str">
        <f t="shared" si="167"/>
        <v/>
      </c>
      <c r="GH792" s="2494" t="str">
        <f t="shared" si="168"/>
        <v/>
      </c>
      <c r="GI792" s="2494" t="str">
        <f t="shared" si="169"/>
        <v/>
      </c>
      <c r="GJ792" s="2494" t="str">
        <f t="shared" si="170"/>
        <v/>
      </c>
      <c r="GK792" s="2494" t="str">
        <f t="shared" si="171"/>
        <v/>
      </c>
      <c r="GL792" s="2494" t="str">
        <f t="shared" si="172"/>
        <v/>
      </c>
      <c r="GM792" s="2494" t="str">
        <f t="shared" si="173"/>
        <v/>
      </c>
      <c r="GN792" s="2494" t="str">
        <f t="shared" si="174"/>
        <v/>
      </c>
      <c r="GO792" s="2494" t="str">
        <f t="shared" si="175"/>
        <v/>
      </c>
      <c r="GP792" s="2494" t="str">
        <f t="shared" si="176"/>
        <v/>
      </c>
      <c r="GQ792" s="2494" t="str">
        <f t="shared" si="177"/>
        <v/>
      </c>
      <c r="GR792" s="2494" t="str">
        <f t="shared" si="178"/>
        <v/>
      </c>
      <c r="GS792" s="2494" t="str">
        <f t="shared" si="179"/>
        <v/>
      </c>
      <c r="GT792" s="2494" t="str">
        <f t="shared" si="180"/>
        <v/>
      </c>
      <c r="GU792" s="2494" t="str">
        <f t="shared" si="181"/>
        <v/>
      </c>
      <c r="GV792" s="2494" t="str">
        <f t="shared" si="182"/>
        <v/>
      </c>
      <c r="GW792" s="2494" t="str">
        <f t="shared" si="183"/>
        <v/>
      </c>
      <c r="GX792" s="2494" t="str">
        <f t="shared" si="184"/>
        <v/>
      </c>
      <c r="GY792" s="2494" t="str">
        <f t="shared" si="185"/>
        <v/>
      </c>
      <c r="GZ792" s="2494" t="str">
        <f t="shared" si="186"/>
        <v/>
      </c>
      <c r="HA792" s="2494" t="str">
        <f t="shared" si="187"/>
        <v/>
      </c>
      <c r="HB792" s="2494" t="str">
        <f t="shared" si="188"/>
        <v/>
      </c>
      <c r="HC792" s="2494" t="str">
        <f t="shared" si="189"/>
        <v/>
      </c>
      <c r="HD792" s="2494" t="str">
        <f t="shared" si="190"/>
        <v/>
      </c>
      <c r="HE792" s="2494" t="str">
        <f t="shared" si="191"/>
        <v/>
      </c>
      <c r="HF792" s="2494" t="str">
        <f t="shared" si="192"/>
        <v/>
      </c>
      <c r="HG792" s="2494" t="str">
        <f t="shared" si="193"/>
        <v/>
      </c>
      <c r="HH792" s="2494" t="str">
        <f t="shared" si="194"/>
        <v/>
      </c>
      <c r="HI792" s="2494" t="str">
        <f t="shared" si="195"/>
        <v/>
      </c>
      <c r="HJ792" s="2494" t="str">
        <f t="shared" si="196"/>
        <v/>
      </c>
      <c r="HK792" s="2494" t="str">
        <f t="shared" si="197"/>
        <v/>
      </c>
      <c r="HL792" s="2494" t="str">
        <f t="shared" si="198"/>
        <v/>
      </c>
      <c r="HM792" s="2494" t="str">
        <f t="shared" si="199"/>
        <v/>
      </c>
      <c r="HN792" s="2494" t="str">
        <f t="shared" si="200"/>
        <v/>
      </c>
      <c r="HO792" s="2494" t="str">
        <f t="shared" si="201"/>
        <v/>
      </c>
      <c r="HP792" s="2494" t="str">
        <f t="shared" si="202"/>
        <v/>
      </c>
      <c r="HQ792" s="2494" t="str">
        <f t="shared" si="203"/>
        <v/>
      </c>
      <c r="HR792" s="2494" t="str">
        <f t="shared" si="204"/>
        <v/>
      </c>
      <c r="HS792" s="2494" t="str">
        <f t="shared" si="205"/>
        <v/>
      </c>
      <c r="HT792" s="2494" t="str">
        <f t="shared" si="206"/>
        <v/>
      </c>
      <c r="HU792" s="2494" t="str">
        <f t="shared" si="207"/>
        <v/>
      </c>
      <c r="HV792" s="2494" t="str">
        <f t="shared" si="208"/>
        <v/>
      </c>
      <c r="HW792" s="2494" t="str">
        <f t="shared" si="209"/>
        <v/>
      </c>
      <c r="HX792" s="2494" t="str">
        <f t="shared" si="210"/>
        <v/>
      </c>
      <c r="HY792" s="2494" t="str">
        <f t="shared" si="211"/>
        <v/>
      </c>
      <c r="HZ792" s="2672" t="str">
        <f t="shared" si="212"/>
        <v/>
      </c>
      <c r="IA792" s="2672" t="str">
        <f t="shared" si="213"/>
        <v/>
      </c>
      <c r="IB792" s="2672" t="str">
        <f t="shared" si="214"/>
        <v/>
      </c>
      <c r="IC792" s="2672" t="str">
        <f t="shared" si="215"/>
        <v/>
      </c>
      <c r="ID792" s="2672" t="str">
        <f t="shared" si="216"/>
        <v/>
      </c>
      <c r="IE792" s="2672" t="str">
        <f t="shared" si="217"/>
        <v/>
      </c>
      <c r="IF792" s="2672" t="str">
        <f t="shared" si="218"/>
        <v/>
      </c>
      <c r="IG792" s="2672" t="str">
        <f t="shared" si="219"/>
        <v/>
      </c>
      <c r="IH792" s="2672" t="str">
        <f t="shared" si="220"/>
        <v/>
      </c>
      <c r="II792" s="2672" t="str">
        <f t="shared" si="221"/>
        <v/>
      </c>
      <c r="IJ792" s="2672" t="str">
        <f t="shared" si="222"/>
        <v/>
      </c>
      <c r="IK792" s="2672" t="str">
        <f t="shared" si="223"/>
        <v/>
      </c>
      <c r="IL792" s="2672" t="str">
        <f t="shared" si="224"/>
        <v/>
      </c>
      <c r="IM792" s="2672" t="str">
        <f t="shared" si="225"/>
        <v/>
      </c>
      <c r="IN792" s="2672" t="str">
        <f t="shared" si="226"/>
        <v/>
      </c>
      <c r="IO792" s="2672" t="str">
        <f t="shared" si="227"/>
        <v/>
      </c>
      <c r="IP792" s="2672" t="str">
        <f t="shared" si="228"/>
        <v/>
      </c>
      <c r="IQ792" s="2672" t="str">
        <f t="shared" si="229"/>
        <v/>
      </c>
      <c r="IR792" s="2672" t="str">
        <f t="shared" si="230"/>
        <v/>
      </c>
      <c r="IS792" s="2672" t="str">
        <f t="shared" si="231"/>
        <v/>
      </c>
      <c r="IT792" s="2672" t="str">
        <f t="shared" si="232"/>
        <v/>
      </c>
      <c r="IU792" s="2672" t="str">
        <f t="shared" si="233"/>
        <v/>
      </c>
      <c r="IV792" s="2672" t="str">
        <f t="shared" si="234"/>
        <v/>
      </c>
      <c r="IW792" s="2672" t="str">
        <f t="shared" si="235"/>
        <v/>
      </c>
      <c r="IX792" s="2672" t="str">
        <f t="shared" si="236"/>
        <v/>
      </c>
      <c r="IY792" s="2672" t="str">
        <f t="shared" si="237"/>
        <v/>
      </c>
      <c r="IZ792" s="2672" t="str">
        <f t="shared" si="238"/>
        <v/>
      </c>
      <c r="JA792" s="2672" t="str">
        <f t="shared" si="239"/>
        <v/>
      </c>
      <c r="JB792" s="2672" t="str">
        <f t="shared" si="240"/>
        <v/>
      </c>
      <c r="JC792" s="2672" t="str">
        <f t="shared" si="241"/>
        <v/>
      </c>
      <c r="JD792" s="2672" t="str">
        <f t="shared" si="242"/>
        <v/>
      </c>
      <c r="JE792" s="2672" t="str">
        <f t="shared" si="243"/>
        <v/>
      </c>
      <c r="JF792" s="2672" t="str">
        <f t="shared" si="244"/>
        <v/>
      </c>
      <c r="JG792" s="2672" t="str">
        <f t="shared" si="245"/>
        <v/>
      </c>
      <c r="JH792" s="2672" t="str">
        <f t="shared" si="246"/>
        <v/>
      </c>
      <c r="JI792" s="2672" t="str">
        <f t="shared" si="247"/>
        <v/>
      </c>
      <c r="JJ792" s="2672" t="str">
        <f t="shared" si="248"/>
        <v/>
      </c>
      <c r="JK792" s="2672" t="str">
        <f t="shared" si="249"/>
        <v/>
      </c>
      <c r="JL792" s="2672" t="str">
        <f t="shared" si="250"/>
        <v/>
      </c>
      <c r="JM792" s="2672" t="str">
        <f t="shared" si="251"/>
        <v/>
      </c>
      <c r="JN792" s="2672" t="str">
        <f t="shared" si="252"/>
        <v/>
      </c>
      <c r="JO792" s="2672" t="str">
        <f t="shared" si="253"/>
        <v/>
      </c>
      <c r="JP792" s="2672" t="str">
        <f t="shared" si="254"/>
        <v/>
      </c>
      <c r="JQ792" s="2672" t="str">
        <f t="shared" si="255"/>
        <v/>
      </c>
      <c r="JR792" s="2672" t="str">
        <f t="shared" si="256"/>
        <v/>
      </c>
      <c r="JS792" s="2672" t="str">
        <f t="shared" si="257"/>
        <v/>
      </c>
      <c r="JT792" s="2672" t="str">
        <f t="shared" si="258"/>
        <v/>
      </c>
      <c r="JU792" s="2672" t="str">
        <f t="shared" si="259"/>
        <v/>
      </c>
      <c r="JV792" s="2672" t="str">
        <f t="shared" si="260"/>
        <v/>
      </c>
      <c r="JW792" s="2672" t="str">
        <f t="shared" si="261"/>
        <v/>
      </c>
      <c r="JX792" s="2672" t="str">
        <f t="shared" si="262"/>
        <v/>
      </c>
      <c r="JY792" s="2672" t="str">
        <f t="shared" si="263"/>
        <v/>
      </c>
      <c r="JZ792" s="2672" t="str">
        <f t="shared" si="264"/>
        <v/>
      </c>
      <c r="KA792" s="2672" t="str">
        <f t="shared" si="265"/>
        <v/>
      </c>
      <c r="KB792" s="2672" t="str">
        <f t="shared" si="266"/>
        <v/>
      </c>
      <c r="KC792" s="2672" t="str">
        <f t="shared" si="267"/>
        <v/>
      </c>
      <c r="KD792" s="2672" t="str">
        <f t="shared" si="268"/>
        <v/>
      </c>
      <c r="KE792" s="2672" t="str">
        <f t="shared" si="269"/>
        <v/>
      </c>
      <c r="KF792" s="2672" t="str">
        <f t="shared" si="270"/>
        <v/>
      </c>
      <c r="KG792" s="2672" t="str">
        <f t="shared" si="271"/>
        <v/>
      </c>
      <c r="KH792" s="2672" t="str">
        <f t="shared" si="272"/>
        <v/>
      </c>
      <c r="KI792" s="2672" t="str">
        <f t="shared" si="273"/>
        <v/>
      </c>
      <c r="KJ792" s="2672" t="str">
        <f t="shared" si="274"/>
        <v/>
      </c>
      <c r="KK792" s="2672" t="str">
        <f t="shared" si="275"/>
        <v/>
      </c>
      <c r="KL792" s="2672" t="str">
        <f t="shared" si="276"/>
        <v/>
      </c>
      <c r="KM792" s="2672" t="str">
        <f t="shared" si="277"/>
        <v/>
      </c>
      <c r="KN792" s="2672" t="str">
        <f t="shared" si="278"/>
        <v/>
      </c>
      <c r="KO792" s="2672" t="str">
        <f t="shared" si="279"/>
        <v/>
      </c>
      <c r="KP792" s="2672" t="str">
        <f t="shared" si="280"/>
        <v/>
      </c>
      <c r="KQ792" s="2672" t="str">
        <f t="shared" si="281"/>
        <v/>
      </c>
      <c r="KR792" s="2672" t="str">
        <f t="shared" si="282"/>
        <v/>
      </c>
      <c r="KS792" s="2672" t="str">
        <f t="shared" si="283"/>
        <v/>
      </c>
      <c r="KT792" s="2672" t="str">
        <f t="shared" si="284"/>
        <v/>
      </c>
      <c r="KU792" s="2672" t="str">
        <f t="shared" si="285"/>
        <v/>
      </c>
      <c r="KV792" s="2672" t="str">
        <f t="shared" si="286"/>
        <v/>
      </c>
      <c r="KW792" s="2672" t="str">
        <f t="shared" si="287"/>
        <v/>
      </c>
      <c r="KX792" s="2672" t="str">
        <f t="shared" si="288"/>
        <v/>
      </c>
      <c r="KY792" s="2672" t="str">
        <f t="shared" si="289"/>
        <v/>
      </c>
      <c r="KZ792" s="2672" t="str">
        <f t="shared" si="290"/>
        <v/>
      </c>
      <c r="LA792" s="2672" t="str">
        <f t="shared" si="291"/>
        <v/>
      </c>
      <c r="LB792" s="2672" t="str">
        <f t="shared" si="292"/>
        <v/>
      </c>
      <c r="LC792" s="2672" t="str">
        <f t="shared" si="293"/>
        <v/>
      </c>
      <c r="LD792" s="2672" t="str">
        <f t="shared" si="294"/>
        <v/>
      </c>
      <c r="LE792" s="2672" t="str">
        <f t="shared" si="295"/>
        <v/>
      </c>
      <c r="LF792" s="2672" t="str">
        <f t="shared" si="296"/>
        <v/>
      </c>
      <c r="LG792" s="2672" t="str">
        <f t="shared" si="297"/>
        <v/>
      </c>
      <c r="LH792" s="2672" t="str">
        <f t="shared" si="298"/>
        <v/>
      </c>
      <c r="LI792" s="2672" t="str">
        <f t="shared" si="299"/>
        <v/>
      </c>
      <c r="LJ792" s="2672" t="str">
        <f t="shared" si="300"/>
        <v/>
      </c>
      <c r="LK792" s="2672" t="str">
        <f t="shared" si="301"/>
        <v/>
      </c>
      <c r="LL792" s="2672" t="str">
        <f t="shared" si="302"/>
        <v/>
      </c>
      <c r="LM792" s="2672" t="str">
        <f t="shared" si="303"/>
        <v/>
      </c>
      <c r="LN792" s="2672" t="str">
        <f t="shared" si="304"/>
        <v/>
      </c>
      <c r="LO792" s="2672" t="str">
        <f t="shared" si="305"/>
        <v/>
      </c>
      <c r="LP792" s="2672" t="str">
        <f t="shared" si="306"/>
        <v/>
      </c>
      <c r="LQ792" s="2613" t="str">
        <f t="shared" si="307"/>
        <v/>
      </c>
      <c r="LR792" s="2613" t="str">
        <f t="shared" si="308"/>
        <v/>
      </c>
      <c r="LS792" s="2613" t="str">
        <f t="shared" si="309"/>
        <v/>
      </c>
      <c r="LT792" s="2613" t="str">
        <f t="shared" si="310"/>
        <v/>
      </c>
      <c r="LU792" s="2613" t="str">
        <f t="shared" si="311"/>
        <v/>
      </c>
      <c r="LV792" s="2494" t="str">
        <f t="shared" si="312"/>
        <v/>
      </c>
      <c r="LW792" s="2494" t="str">
        <f t="shared" si="313"/>
        <v/>
      </c>
      <c r="LX792" s="2494" t="str">
        <f t="shared" si="314"/>
        <v/>
      </c>
      <c r="LY792" s="2494" t="str">
        <f t="shared" si="315"/>
        <v/>
      </c>
      <c r="LZ792" s="2494" t="str">
        <f t="shared" si="316"/>
        <v/>
      </c>
      <c r="MA792" s="2494" t="str">
        <f t="shared" si="317"/>
        <v/>
      </c>
      <c r="MB792" s="2494" t="str">
        <f t="shared" si="318"/>
        <v/>
      </c>
      <c r="MC792" s="2494" t="str">
        <f t="shared" si="319"/>
        <v/>
      </c>
      <c r="MD792" s="2494" t="str">
        <f t="shared" si="320"/>
        <v/>
      </c>
      <c r="ME792" s="2494" t="str">
        <f t="shared" si="321"/>
        <v/>
      </c>
      <c r="MF792" s="2494" t="str">
        <f t="shared" si="322"/>
        <v/>
      </c>
      <c r="MG792" s="2494" t="str">
        <f t="shared" si="323"/>
        <v/>
      </c>
      <c r="MH792" s="2494" t="str">
        <f t="shared" si="324"/>
        <v/>
      </c>
      <c r="MI792" s="2494" t="str">
        <f t="shared" si="325"/>
        <v/>
      </c>
      <c r="MJ792" s="2494" t="str">
        <f t="shared" si="326"/>
        <v/>
      </c>
      <c r="MK792" s="2494" t="str">
        <f t="shared" si="327"/>
        <v/>
      </c>
      <c r="ML792" s="2494" t="str">
        <f t="shared" si="328"/>
        <v/>
      </c>
      <c r="MM792" s="2494" t="str">
        <f t="shared" si="329"/>
        <v/>
      </c>
      <c r="MN792" s="2494" t="str">
        <f t="shared" si="330"/>
        <v/>
      </c>
      <c r="MO792" s="2494" t="str">
        <f t="shared" si="331"/>
        <v/>
      </c>
      <c r="MP792" s="2613">
        <f t="shared" si="338"/>
        <v>0</v>
      </c>
      <c r="MQ792" s="2613">
        <f t="shared" si="339"/>
        <v>0</v>
      </c>
      <c r="MR792" s="2613">
        <f t="shared" si="340"/>
        <v>0</v>
      </c>
      <c r="MS792" s="2613">
        <f t="shared" si="341"/>
        <v>0</v>
      </c>
      <c r="MT792" s="2613">
        <f t="shared" si="342"/>
        <v>0</v>
      </c>
      <c r="MU792" s="2613">
        <f t="shared" si="343"/>
        <v>0</v>
      </c>
      <c r="MV792" s="2613">
        <f t="shared" si="344"/>
        <v>0</v>
      </c>
      <c r="MW792" s="2613">
        <f t="shared" si="345"/>
        <v>0</v>
      </c>
      <c r="MX792" s="2613">
        <f t="shared" si="346"/>
        <v>0</v>
      </c>
      <c r="MY792" s="2613">
        <f t="shared" si="347"/>
        <v>0</v>
      </c>
      <c r="MZ792" s="2613">
        <f t="shared" si="332"/>
        <v>0</v>
      </c>
      <c r="NA792" s="2613">
        <f t="shared" si="333"/>
        <v>0</v>
      </c>
      <c r="NB792" s="2613">
        <f t="shared" si="334"/>
        <v>0</v>
      </c>
      <c r="NC792" s="2613">
        <f t="shared" si="335"/>
        <v>0</v>
      </c>
      <c r="ND792" s="2613">
        <f t="shared" si="336"/>
        <v>0</v>
      </c>
    </row>
    <row r="793" spans="1:368" ht="13.8" customHeight="1">
      <c r="A793" s="2652" t="str">
        <f t="shared" si="337"/>
        <v/>
      </c>
      <c r="B793" s="2664">
        <f>'Part VI-Revenues &amp; Expenses'!B24</f>
        <v>80</v>
      </c>
      <c r="C793" s="2665">
        <f>'Part VI-Revenues &amp; Expenses'!C24</f>
        <v>0</v>
      </c>
      <c r="D793" s="2666">
        <f>'Part VI-Revenues &amp; Expenses'!D24</f>
        <v>0</v>
      </c>
      <c r="E793" s="2667">
        <f>'Part VI-Revenues &amp; Expenses'!E24</f>
        <v>0</v>
      </c>
      <c r="F793" s="2667">
        <f>'Part VI-Revenues &amp; Expenses'!F24</f>
        <v>0</v>
      </c>
      <c r="G793" s="2667">
        <f>'Part VI-Revenues &amp; Expenses'!G24</f>
        <v>0</v>
      </c>
      <c r="H793" s="2667">
        <f>'Part VI-Revenues &amp; Expenses'!H24</f>
        <v>0</v>
      </c>
      <c r="I793" s="2667">
        <f>'Part VI-Revenues &amp; Expenses'!I24</f>
        <v>0</v>
      </c>
      <c r="J793" s="2667">
        <f>'Part VI-Revenues &amp; Expenses'!J24</f>
        <v>0</v>
      </c>
      <c r="K793" s="2668">
        <f>'Part VI-Revenues &amp; Expenses'!K24</f>
        <v>0</v>
      </c>
      <c r="L793" s="2669">
        <f t="shared" si="0"/>
        <v>0</v>
      </c>
      <c r="M793" s="2669">
        <f t="shared" si="1"/>
        <v>0</v>
      </c>
      <c r="N793" s="2545">
        <f>'Part VI-Revenues &amp; Expenses'!N24</f>
        <v>0</v>
      </c>
      <c r="O793" s="2545">
        <f>'Part VI-Revenues &amp; Expenses'!O24</f>
        <v>0</v>
      </c>
      <c r="P793" s="2545">
        <f>'Part VI-Revenues &amp; Expenses'!P24</f>
        <v>0</v>
      </c>
      <c r="Q793" s="2251">
        <f>'Part VI-Revenues &amp; Expenses'!Q24</f>
        <v>0</v>
      </c>
      <c r="R793" s="2670"/>
      <c r="S793" s="2671"/>
      <c r="T793" s="2607"/>
      <c r="U793" s="2607"/>
      <c r="V793" s="2607"/>
      <c r="W793" s="2607"/>
      <c r="X793" s="2494" t="str">
        <f t="shared" si="2"/>
        <v/>
      </c>
      <c r="Y793" s="2494" t="str">
        <f t="shared" si="3"/>
        <v/>
      </c>
      <c r="Z793" s="2494" t="str">
        <f t="shared" si="4"/>
        <v/>
      </c>
      <c r="AA793" s="2494" t="str">
        <f t="shared" si="5"/>
        <v/>
      </c>
      <c r="AB793" s="2494" t="str">
        <f t="shared" si="6"/>
        <v/>
      </c>
      <c r="AC793" s="2494" t="str">
        <f t="shared" si="7"/>
        <v/>
      </c>
      <c r="AD793" s="2494" t="str">
        <f t="shared" si="8"/>
        <v/>
      </c>
      <c r="AE793" s="2494" t="str">
        <f t="shared" si="9"/>
        <v/>
      </c>
      <c r="AF793" s="2494" t="str">
        <f t="shared" si="10"/>
        <v/>
      </c>
      <c r="AG793" s="2494" t="str">
        <f t="shared" si="11"/>
        <v/>
      </c>
      <c r="AH793" s="2494" t="str">
        <f t="shared" si="12"/>
        <v/>
      </c>
      <c r="AI793" s="2494" t="str">
        <f t="shared" si="13"/>
        <v/>
      </c>
      <c r="AJ793" s="2494" t="str">
        <f t="shared" si="14"/>
        <v/>
      </c>
      <c r="AK793" s="2494" t="str">
        <f t="shared" si="15"/>
        <v/>
      </c>
      <c r="AL793" s="2494" t="str">
        <f t="shared" si="16"/>
        <v/>
      </c>
      <c r="AM793" s="2494" t="str">
        <f t="shared" si="17"/>
        <v/>
      </c>
      <c r="AN793" s="2494" t="str">
        <f t="shared" si="18"/>
        <v/>
      </c>
      <c r="AO793" s="2494" t="str">
        <f t="shared" si="19"/>
        <v/>
      </c>
      <c r="AP793" s="2494" t="str">
        <f t="shared" si="20"/>
        <v/>
      </c>
      <c r="AQ793" s="2494" t="str">
        <f t="shared" si="21"/>
        <v/>
      </c>
      <c r="AR793" s="2494" t="str">
        <f t="shared" si="22"/>
        <v/>
      </c>
      <c r="AS793" s="2494" t="str">
        <f t="shared" si="23"/>
        <v/>
      </c>
      <c r="AT793" s="2494" t="str">
        <f t="shared" si="24"/>
        <v/>
      </c>
      <c r="AU793" s="2494" t="str">
        <f t="shared" si="25"/>
        <v/>
      </c>
      <c r="AV793" s="2494" t="str">
        <f t="shared" si="26"/>
        <v/>
      </c>
      <c r="AW793" s="2494" t="str">
        <f t="shared" si="27"/>
        <v/>
      </c>
      <c r="AX793" s="2494" t="str">
        <f t="shared" si="28"/>
        <v/>
      </c>
      <c r="AY793" s="2494" t="str">
        <f t="shared" si="29"/>
        <v/>
      </c>
      <c r="AZ793" s="2494" t="str">
        <f t="shared" si="30"/>
        <v/>
      </c>
      <c r="BA793" s="2494" t="str">
        <f t="shared" si="31"/>
        <v/>
      </c>
      <c r="BB793" s="2494" t="str">
        <f t="shared" si="32"/>
        <v/>
      </c>
      <c r="BC793" s="2494" t="str">
        <f t="shared" si="33"/>
        <v/>
      </c>
      <c r="BD793" s="2494" t="str">
        <f t="shared" si="34"/>
        <v/>
      </c>
      <c r="BE793" s="2494" t="str">
        <f t="shared" si="35"/>
        <v/>
      </c>
      <c r="BF793" s="2494" t="str">
        <f t="shared" si="36"/>
        <v/>
      </c>
      <c r="BG793" s="2494" t="str">
        <f t="shared" si="37"/>
        <v/>
      </c>
      <c r="BH793" s="2494" t="str">
        <f t="shared" si="38"/>
        <v/>
      </c>
      <c r="BI793" s="2494" t="str">
        <f t="shared" si="39"/>
        <v/>
      </c>
      <c r="BJ793" s="2494" t="str">
        <f t="shared" si="40"/>
        <v/>
      </c>
      <c r="BK793" s="2494" t="str">
        <f t="shared" si="41"/>
        <v/>
      </c>
      <c r="BL793" s="2494" t="str">
        <f t="shared" si="42"/>
        <v/>
      </c>
      <c r="BM793" s="2494" t="str">
        <f t="shared" si="43"/>
        <v/>
      </c>
      <c r="BN793" s="2494" t="str">
        <f t="shared" si="44"/>
        <v/>
      </c>
      <c r="BO793" s="2494" t="str">
        <f t="shared" si="45"/>
        <v/>
      </c>
      <c r="BP793" s="2494" t="str">
        <f t="shared" si="46"/>
        <v/>
      </c>
      <c r="BQ793" s="2494" t="str">
        <f t="shared" si="47"/>
        <v/>
      </c>
      <c r="BR793" s="2494" t="str">
        <f t="shared" si="48"/>
        <v/>
      </c>
      <c r="BS793" s="2494" t="str">
        <f t="shared" si="49"/>
        <v/>
      </c>
      <c r="BT793" s="2494" t="str">
        <f t="shared" si="50"/>
        <v/>
      </c>
      <c r="BU793" s="2494" t="str">
        <f t="shared" si="51"/>
        <v/>
      </c>
      <c r="BV793" s="2494" t="str">
        <f t="shared" si="52"/>
        <v/>
      </c>
      <c r="BW793" s="2494" t="str">
        <f t="shared" si="53"/>
        <v/>
      </c>
      <c r="BX793" s="2494" t="str">
        <f t="shared" si="54"/>
        <v/>
      </c>
      <c r="BY793" s="2494" t="str">
        <f t="shared" si="55"/>
        <v/>
      </c>
      <c r="BZ793" s="2494" t="str">
        <f t="shared" si="56"/>
        <v/>
      </c>
      <c r="CA793" s="2494" t="str">
        <f t="shared" si="57"/>
        <v/>
      </c>
      <c r="CB793" s="2494" t="str">
        <f t="shared" si="58"/>
        <v/>
      </c>
      <c r="CC793" s="2494" t="str">
        <f t="shared" si="59"/>
        <v/>
      </c>
      <c r="CD793" s="2494" t="str">
        <f t="shared" si="60"/>
        <v/>
      </c>
      <c r="CE793" s="2494" t="str">
        <f t="shared" si="61"/>
        <v/>
      </c>
      <c r="CF793" s="2494" t="str">
        <f t="shared" si="62"/>
        <v/>
      </c>
      <c r="CG793" s="2494" t="str">
        <f t="shared" si="63"/>
        <v/>
      </c>
      <c r="CH793" s="2494" t="str">
        <f t="shared" si="64"/>
        <v/>
      </c>
      <c r="CI793" s="2494" t="str">
        <f t="shared" si="65"/>
        <v/>
      </c>
      <c r="CJ793" s="2494" t="str">
        <f t="shared" si="66"/>
        <v/>
      </c>
      <c r="CK793" s="2494" t="str">
        <f t="shared" si="67"/>
        <v/>
      </c>
      <c r="CL793" s="2494" t="str">
        <f t="shared" si="68"/>
        <v/>
      </c>
      <c r="CM793" s="2494" t="str">
        <f t="shared" si="69"/>
        <v/>
      </c>
      <c r="CN793" s="2494" t="str">
        <f t="shared" si="70"/>
        <v/>
      </c>
      <c r="CO793" s="2494" t="str">
        <f t="shared" si="71"/>
        <v/>
      </c>
      <c r="CP793" s="2494" t="str">
        <f t="shared" si="72"/>
        <v/>
      </c>
      <c r="CQ793" s="2494" t="str">
        <f t="shared" si="73"/>
        <v/>
      </c>
      <c r="CR793" s="2494" t="str">
        <f t="shared" si="74"/>
        <v/>
      </c>
      <c r="CS793" s="2494" t="str">
        <f t="shared" si="75"/>
        <v/>
      </c>
      <c r="CT793" s="2494" t="str">
        <f t="shared" si="76"/>
        <v/>
      </c>
      <c r="CU793" s="2494" t="str">
        <f t="shared" si="77"/>
        <v/>
      </c>
      <c r="CV793" s="2494" t="str">
        <f t="shared" si="78"/>
        <v/>
      </c>
      <c r="CW793" s="2494" t="str">
        <f t="shared" si="79"/>
        <v/>
      </c>
      <c r="CX793" s="2494" t="str">
        <f t="shared" si="80"/>
        <v/>
      </c>
      <c r="CY793" s="2494" t="str">
        <f t="shared" si="81"/>
        <v/>
      </c>
      <c r="CZ793" s="2494" t="str">
        <f t="shared" si="82"/>
        <v/>
      </c>
      <c r="DA793" s="2494" t="str">
        <f t="shared" si="83"/>
        <v/>
      </c>
      <c r="DB793" s="2494" t="str">
        <f t="shared" si="84"/>
        <v/>
      </c>
      <c r="DC793" s="2494" t="str">
        <f t="shared" si="85"/>
        <v/>
      </c>
      <c r="DD793" s="2494" t="str">
        <f t="shared" si="86"/>
        <v/>
      </c>
      <c r="DE793" s="2494" t="str">
        <f t="shared" si="87"/>
        <v/>
      </c>
      <c r="DF793" s="2494" t="str">
        <f t="shared" si="88"/>
        <v/>
      </c>
      <c r="DG793" s="2494" t="str">
        <f t="shared" si="89"/>
        <v/>
      </c>
      <c r="DH793" s="2494" t="str">
        <f t="shared" si="90"/>
        <v/>
      </c>
      <c r="DI793" s="2494" t="str">
        <f t="shared" si="91"/>
        <v/>
      </c>
      <c r="DJ793" s="2494" t="str">
        <f t="shared" si="92"/>
        <v/>
      </c>
      <c r="DK793" s="2494" t="str">
        <f t="shared" si="93"/>
        <v/>
      </c>
      <c r="DL793" s="2494" t="str">
        <f t="shared" si="94"/>
        <v/>
      </c>
      <c r="DM793" s="2494" t="str">
        <f t="shared" si="95"/>
        <v/>
      </c>
      <c r="DN793" s="2494" t="str">
        <f t="shared" si="96"/>
        <v/>
      </c>
      <c r="DO793" s="2494" t="str">
        <f t="shared" si="97"/>
        <v/>
      </c>
      <c r="DP793" s="2494" t="str">
        <f t="shared" si="98"/>
        <v/>
      </c>
      <c r="DQ793" s="2494" t="str">
        <f t="shared" si="99"/>
        <v/>
      </c>
      <c r="DR793" s="2494" t="str">
        <f t="shared" si="100"/>
        <v/>
      </c>
      <c r="DS793" s="2494" t="str">
        <f t="shared" si="101"/>
        <v/>
      </c>
      <c r="DT793" s="2494" t="str">
        <f t="shared" si="102"/>
        <v/>
      </c>
      <c r="DU793" s="2494" t="str">
        <f t="shared" si="103"/>
        <v/>
      </c>
      <c r="DV793" s="2494" t="str">
        <f t="shared" si="104"/>
        <v/>
      </c>
      <c r="DW793" s="2494" t="str">
        <f t="shared" si="105"/>
        <v/>
      </c>
      <c r="DX793" s="2494" t="str">
        <f t="shared" si="106"/>
        <v/>
      </c>
      <c r="DY793" s="2494" t="str">
        <f t="shared" si="107"/>
        <v/>
      </c>
      <c r="DZ793" s="2494" t="str">
        <f t="shared" si="108"/>
        <v/>
      </c>
      <c r="EA793" s="2494" t="str">
        <f t="shared" si="109"/>
        <v/>
      </c>
      <c r="EB793" s="2494" t="str">
        <f t="shared" si="110"/>
        <v/>
      </c>
      <c r="EC793" s="2494" t="str">
        <f t="shared" si="111"/>
        <v/>
      </c>
      <c r="ED793" s="2494" t="str">
        <f t="shared" si="112"/>
        <v/>
      </c>
      <c r="EE793" s="2494" t="str">
        <f t="shared" si="113"/>
        <v/>
      </c>
      <c r="EF793" s="2494" t="str">
        <f t="shared" si="114"/>
        <v/>
      </c>
      <c r="EG793" s="2494" t="str">
        <f t="shared" si="115"/>
        <v/>
      </c>
      <c r="EH793" s="2494" t="str">
        <f t="shared" si="116"/>
        <v/>
      </c>
      <c r="EI793" s="2494" t="str">
        <f t="shared" si="117"/>
        <v/>
      </c>
      <c r="EJ793" s="2494" t="str">
        <f t="shared" si="118"/>
        <v/>
      </c>
      <c r="EK793" s="2494" t="str">
        <f t="shared" si="119"/>
        <v/>
      </c>
      <c r="EL793" s="2494" t="str">
        <f t="shared" si="120"/>
        <v/>
      </c>
      <c r="EM793" s="2494" t="str">
        <f t="shared" si="121"/>
        <v/>
      </c>
      <c r="EN793" s="2494" t="str">
        <f t="shared" si="122"/>
        <v/>
      </c>
      <c r="EO793" s="2494" t="str">
        <f t="shared" si="123"/>
        <v/>
      </c>
      <c r="EP793" s="2494" t="str">
        <f t="shared" si="124"/>
        <v/>
      </c>
      <c r="EQ793" s="2494" t="str">
        <f t="shared" si="125"/>
        <v/>
      </c>
      <c r="ER793" s="2494" t="str">
        <f t="shared" si="126"/>
        <v/>
      </c>
      <c r="ES793" s="2494" t="str">
        <f t="shared" si="127"/>
        <v/>
      </c>
      <c r="ET793" s="2494" t="str">
        <f t="shared" si="128"/>
        <v/>
      </c>
      <c r="EU793" s="2494" t="str">
        <f t="shared" si="129"/>
        <v/>
      </c>
      <c r="EV793" s="2494" t="str">
        <f t="shared" si="130"/>
        <v/>
      </c>
      <c r="EW793" s="2494" t="str">
        <f t="shared" si="131"/>
        <v/>
      </c>
      <c r="EX793" s="2494" t="str">
        <f t="shared" si="132"/>
        <v/>
      </c>
      <c r="EY793" s="2494" t="str">
        <f t="shared" si="133"/>
        <v/>
      </c>
      <c r="EZ793" s="2494" t="str">
        <f t="shared" si="134"/>
        <v/>
      </c>
      <c r="FA793" s="2494" t="str">
        <f t="shared" si="135"/>
        <v/>
      </c>
      <c r="FB793" s="2494" t="str">
        <f t="shared" si="136"/>
        <v/>
      </c>
      <c r="FC793" s="2494" t="str">
        <f t="shared" si="137"/>
        <v/>
      </c>
      <c r="FD793" s="2494" t="str">
        <f t="shared" si="138"/>
        <v/>
      </c>
      <c r="FE793" s="2494" t="str">
        <f t="shared" si="139"/>
        <v/>
      </c>
      <c r="FF793" s="2494" t="str">
        <f t="shared" si="140"/>
        <v/>
      </c>
      <c r="FG793" s="2494" t="str">
        <f t="shared" si="141"/>
        <v/>
      </c>
      <c r="FH793" s="2494" t="str">
        <f t="shared" si="142"/>
        <v/>
      </c>
      <c r="FI793" s="2494" t="str">
        <f t="shared" si="143"/>
        <v/>
      </c>
      <c r="FJ793" s="2494" t="str">
        <f t="shared" si="144"/>
        <v/>
      </c>
      <c r="FK793" s="2494" t="str">
        <f t="shared" si="145"/>
        <v/>
      </c>
      <c r="FL793" s="2494" t="str">
        <f t="shared" si="146"/>
        <v/>
      </c>
      <c r="FM793" s="2494" t="str">
        <f t="shared" si="147"/>
        <v/>
      </c>
      <c r="FN793" s="2494" t="str">
        <f t="shared" si="148"/>
        <v/>
      </c>
      <c r="FO793" s="2494" t="str">
        <f t="shared" si="149"/>
        <v/>
      </c>
      <c r="FP793" s="2494" t="str">
        <f t="shared" si="150"/>
        <v/>
      </c>
      <c r="FQ793" s="2494" t="str">
        <f t="shared" si="151"/>
        <v/>
      </c>
      <c r="FR793" s="2494" t="str">
        <f t="shared" si="152"/>
        <v/>
      </c>
      <c r="FS793" s="2494" t="str">
        <f t="shared" si="153"/>
        <v/>
      </c>
      <c r="FT793" s="2494" t="str">
        <f t="shared" si="154"/>
        <v/>
      </c>
      <c r="FU793" s="2494" t="str">
        <f t="shared" si="155"/>
        <v/>
      </c>
      <c r="FV793" s="2494" t="str">
        <f t="shared" si="156"/>
        <v/>
      </c>
      <c r="FW793" s="2494" t="str">
        <f t="shared" si="157"/>
        <v/>
      </c>
      <c r="FX793" s="2494" t="str">
        <f t="shared" si="158"/>
        <v/>
      </c>
      <c r="FY793" s="2494" t="str">
        <f t="shared" si="159"/>
        <v/>
      </c>
      <c r="FZ793" s="2494" t="str">
        <f t="shared" si="160"/>
        <v/>
      </c>
      <c r="GA793" s="2494" t="str">
        <f t="shared" si="161"/>
        <v/>
      </c>
      <c r="GB793" s="2494" t="str">
        <f t="shared" si="162"/>
        <v/>
      </c>
      <c r="GC793" s="2494" t="str">
        <f t="shared" si="163"/>
        <v/>
      </c>
      <c r="GD793" s="2494" t="str">
        <f t="shared" si="164"/>
        <v/>
      </c>
      <c r="GE793" s="2494" t="str">
        <f t="shared" si="165"/>
        <v/>
      </c>
      <c r="GF793" s="2494" t="str">
        <f t="shared" si="166"/>
        <v/>
      </c>
      <c r="GG793" s="2494" t="str">
        <f t="shared" si="167"/>
        <v/>
      </c>
      <c r="GH793" s="2494" t="str">
        <f t="shared" si="168"/>
        <v/>
      </c>
      <c r="GI793" s="2494" t="str">
        <f t="shared" si="169"/>
        <v/>
      </c>
      <c r="GJ793" s="2494" t="str">
        <f t="shared" si="170"/>
        <v/>
      </c>
      <c r="GK793" s="2494" t="str">
        <f t="shared" si="171"/>
        <v/>
      </c>
      <c r="GL793" s="2494" t="str">
        <f t="shared" si="172"/>
        <v/>
      </c>
      <c r="GM793" s="2494" t="str">
        <f t="shared" si="173"/>
        <v/>
      </c>
      <c r="GN793" s="2494" t="str">
        <f t="shared" si="174"/>
        <v/>
      </c>
      <c r="GO793" s="2494" t="str">
        <f t="shared" si="175"/>
        <v/>
      </c>
      <c r="GP793" s="2494" t="str">
        <f t="shared" si="176"/>
        <v/>
      </c>
      <c r="GQ793" s="2494" t="str">
        <f t="shared" si="177"/>
        <v/>
      </c>
      <c r="GR793" s="2494" t="str">
        <f t="shared" si="178"/>
        <v/>
      </c>
      <c r="GS793" s="2494" t="str">
        <f t="shared" si="179"/>
        <v/>
      </c>
      <c r="GT793" s="2494" t="str">
        <f t="shared" si="180"/>
        <v/>
      </c>
      <c r="GU793" s="2494" t="str">
        <f t="shared" si="181"/>
        <v/>
      </c>
      <c r="GV793" s="2494" t="str">
        <f t="shared" si="182"/>
        <v/>
      </c>
      <c r="GW793" s="2494" t="str">
        <f t="shared" si="183"/>
        <v/>
      </c>
      <c r="GX793" s="2494" t="str">
        <f t="shared" si="184"/>
        <v/>
      </c>
      <c r="GY793" s="2494" t="str">
        <f t="shared" si="185"/>
        <v/>
      </c>
      <c r="GZ793" s="2494" t="str">
        <f t="shared" si="186"/>
        <v/>
      </c>
      <c r="HA793" s="2494" t="str">
        <f t="shared" si="187"/>
        <v/>
      </c>
      <c r="HB793" s="2494" t="str">
        <f t="shared" si="188"/>
        <v/>
      </c>
      <c r="HC793" s="2494" t="str">
        <f t="shared" si="189"/>
        <v/>
      </c>
      <c r="HD793" s="2494" t="str">
        <f t="shared" si="190"/>
        <v/>
      </c>
      <c r="HE793" s="2494" t="str">
        <f t="shared" si="191"/>
        <v/>
      </c>
      <c r="HF793" s="2494" t="str">
        <f t="shared" si="192"/>
        <v/>
      </c>
      <c r="HG793" s="2494" t="str">
        <f t="shared" si="193"/>
        <v/>
      </c>
      <c r="HH793" s="2494" t="str">
        <f t="shared" si="194"/>
        <v/>
      </c>
      <c r="HI793" s="2494" t="str">
        <f t="shared" si="195"/>
        <v/>
      </c>
      <c r="HJ793" s="2494" t="str">
        <f t="shared" si="196"/>
        <v/>
      </c>
      <c r="HK793" s="2494" t="str">
        <f t="shared" si="197"/>
        <v/>
      </c>
      <c r="HL793" s="2494" t="str">
        <f t="shared" si="198"/>
        <v/>
      </c>
      <c r="HM793" s="2494" t="str">
        <f t="shared" si="199"/>
        <v/>
      </c>
      <c r="HN793" s="2494" t="str">
        <f t="shared" si="200"/>
        <v/>
      </c>
      <c r="HO793" s="2494" t="str">
        <f t="shared" si="201"/>
        <v/>
      </c>
      <c r="HP793" s="2494" t="str">
        <f t="shared" si="202"/>
        <v/>
      </c>
      <c r="HQ793" s="2494" t="str">
        <f t="shared" si="203"/>
        <v/>
      </c>
      <c r="HR793" s="2494" t="str">
        <f t="shared" si="204"/>
        <v/>
      </c>
      <c r="HS793" s="2494" t="str">
        <f t="shared" si="205"/>
        <v/>
      </c>
      <c r="HT793" s="2494" t="str">
        <f t="shared" si="206"/>
        <v/>
      </c>
      <c r="HU793" s="2494" t="str">
        <f t="shared" si="207"/>
        <v/>
      </c>
      <c r="HV793" s="2494" t="str">
        <f t="shared" si="208"/>
        <v/>
      </c>
      <c r="HW793" s="2494" t="str">
        <f t="shared" si="209"/>
        <v/>
      </c>
      <c r="HX793" s="2494" t="str">
        <f t="shared" si="210"/>
        <v/>
      </c>
      <c r="HY793" s="2494" t="str">
        <f t="shared" si="211"/>
        <v/>
      </c>
      <c r="HZ793" s="2672" t="str">
        <f t="shared" si="212"/>
        <v/>
      </c>
      <c r="IA793" s="2672" t="str">
        <f t="shared" si="213"/>
        <v/>
      </c>
      <c r="IB793" s="2672" t="str">
        <f t="shared" si="214"/>
        <v/>
      </c>
      <c r="IC793" s="2672" t="str">
        <f t="shared" si="215"/>
        <v/>
      </c>
      <c r="ID793" s="2672" t="str">
        <f t="shared" si="216"/>
        <v/>
      </c>
      <c r="IE793" s="2672" t="str">
        <f t="shared" si="217"/>
        <v/>
      </c>
      <c r="IF793" s="2672" t="str">
        <f t="shared" si="218"/>
        <v/>
      </c>
      <c r="IG793" s="2672" t="str">
        <f t="shared" si="219"/>
        <v/>
      </c>
      <c r="IH793" s="2672" t="str">
        <f t="shared" si="220"/>
        <v/>
      </c>
      <c r="II793" s="2672" t="str">
        <f t="shared" si="221"/>
        <v/>
      </c>
      <c r="IJ793" s="2672" t="str">
        <f t="shared" si="222"/>
        <v/>
      </c>
      <c r="IK793" s="2672" t="str">
        <f t="shared" si="223"/>
        <v/>
      </c>
      <c r="IL793" s="2672" t="str">
        <f t="shared" si="224"/>
        <v/>
      </c>
      <c r="IM793" s="2672" t="str">
        <f t="shared" si="225"/>
        <v/>
      </c>
      <c r="IN793" s="2672" t="str">
        <f t="shared" si="226"/>
        <v/>
      </c>
      <c r="IO793" s="2672" t="str">
        <f t="shared" si="227"/>
        <v/>
      </c>
      <c r="IP793" s="2672" t="str">
        <f t="shared" si="228"/>
        <v/>
      </c>
      <c r="IQ793" s="2672" t="str">
        <f t="shared" si="229"/>
        <v/>
      </c>
      <c r="IR793" s="2672" t="str">
        <f t="shared" si="230"/>
        <v/>
      </c>
      <c r="IS793" s="2672" t="str">
        <f t="shared" si="231"/>
        <v/>
      </c>
      <c r="IT793" s="2672" t="str">
        <f t="shared" si="232"/>
        <v/>
      </c>
      <c r="IU793" s="2672" t="str">
        <f t="shared" si="233"/>
        <v/>
      </c>
      <c r="IV793" s="2672" t="str">
        <f t="shared" si="234"/>
        <v/>
      </c>
      <c r="IW793" s="2672" t="str">
        <f t="shared" si="235"/>
        <v/>
      </c>
      <c r="IX793" s="2672" t="str">
        <f t="shared" si="236"/>
        <v/>
      </c>
      <c r="IY793" s="2672" t="str">
        <f t="shared" si="237"/>
        <v/>
      </c>
      <c r="IZ793" s="2672" t="str">
        <f t="shared" si="238"/>
        <v/>
      </c>
      <c r="JA793" s="2672" t="str">
        <f t="shared" si="239"/>
        <v/>
      </c>
      <c r="JB793" s="2672" t="str">
        <f t="shared" si="240"/>
        <v/>
      </c>
      <c r="JC793" s="2672" t="str">
        <f t="shared" si="241"/>
        <v/>
      </c>
      <c r="JD793" s="2672" t="str">
        <f t="shared" si="242"/>
        <v/>
      </c>
      <c r="JE793" s="2672" t="str">
        <f t="shared" si="243"/>
        <v/>
      </c>
      <c r="JF793" s="2672" t="str">
        <f t="shared" si="244"/>
        <v/>
      </c>
      <c r="JG793" s="2672" t="str">
        <f t="shared" si="245"/>
        <v/>
      </c>
      <c r="JH793" s="2672" t="str">
        <f t="shared" si="246"/>
        <v/>
      </c>
      <c r="JI793" s="2672" t="str">
        <f t="shared" si="247"/>
        <v/>
      </c>
      <c r="JJ793" s="2672" t="str">
        <f t="shared" si="248"/>
        <v/>
      </c>
      <c r="JK793" s="2672" t="str">
        <f t="shared" si="249"/>
        <v/>
      </c>
      <c r="JL793" s="2672" t="str">
        <f t="shared" si="250"/>
        <v/>
      </c>
      <c r="JM793" s="2672" t="str">
        <f t="shared" si="251"/>
        <v/>
      </c>
      <c r="JN793" s="2672" t="str">
        <f t="shared" si="252"/>
        <v/>
      </c>
      <c r="JO793" s="2672" t="str">
        <f t="shared" si="253"/>
        <v/>
      </c>
      <c r="JP793" s="2672" t="str">
        <f t="shared" si="254"/>
        <v/>
      </c>
      <c r="JQ793" s="2672" t="str">
        <f t="shared" si="255"/>
        <v/>
      </c>
      <c r="JR793" s="2672" t="str">
        <f t="shared" si="256"/>
        <v/>
      </c>
      <c r="JS793" s="2672" t="str">
        <f t="shared" si="257"/>
        <v/>
      </c>
      <c r="JT793" s="2672" t="str">
        <f t="shared" si="258"/>
        <v/>
      </c>
      <c r="JU793" s="2672" t="str">
        <f t="shared" si="259"/>
        <v/>
      </c>
      <c r="JV793" s="2672" t="str">
        <f t="shared" si="260"/>
        <v/>
      </c>
      <c r="JW793" s="2672" t="str">
        <f t="shared" si="261"/>
        <v/>
      </c>
      <c r="JX793" s="2672" t="str">
        <f t="shared" si="262"/>
        <v/>
      </c>
      <c r="JY793" s="2672" t="str">
        <f t="shared" si="263"/>
        <v/>
      </c>
      <c r="JZ793" s="2672" t="str">
        <f t="shared" si="264"/>
        <v/>
      </c>
      <c r="KA793" s="2672" t="str">
        <f t="shared" si="265"/>
        <v/>
      </c>
      <c r="KB793" s="2672" t="str">
        <f t="shared" si="266"/>
        <v/>
      </c>
      <c r="KC793" s="2672" t="str">
        <f t="shared" si="267"/>
        <v/>
      </c>
      <c r="KD793" s="2672" t="str">
        <f t="shared" si="268"/>
        <v/>
      </c>
      <c r="KE793" s="2672" t="str">
        <f t="shared" si="269"/>
        <v/>
      </c>
      <c r="KF793" s="2672" t="str">
        <f t="shared" si="270"/>
        <v/>
      </c>
      <c r="KG793" s="2672" t="str">
        <f t="shared" si="271"/>
        <v/>
      </c>
      <c r="KH793" s="2672" t="str">
        <f t="shared" si="272"/>
        <v/>
      </c>
      <c r="KI793" s="2672" t="str">
        <f t="shared" si="273"/>
        <v/>
      </c>
      <c r="KJ793" s="2672" t="str">
        <f t="shared" si="274"/>
        <v/>
      </c>
      <c r="KK793" s="2672" t="str">
        <f t="shared" si="275"/>
        <v/>
      </c>
      <c r="KL793" s="2672" t="str">
        <f t="shared" si="276"/>
        <v/>
      </c>
      <c r="KM793" s="2672" t="str">
        <f t="shared" si="277"/>
        <v/>
      </c>
      <c r="KN793" s="2672" t="str">
        <f t="shared" si="278"/>
        <v/>
      </c>
      <c r="KO793" s="2672" t="str">
        <f t="shared" si="279"/>
        <v/>
      </c>
      <c r="KP793" s="2672" t="str">
        <f t="shared" si="280"/>
        <v/>
      </c>
      <c r="KQ793" s="2672" t="str">
        <f t="shared" si="281"/>
        <v/>
      </c>
      <c r="KR793" s="2672" t="str">
        <f t="shared" si="282"/>
        <v/>
      </c>
      <c r="KS793" s="2672" t="str">
        <f t="shared" si="283"/>
        <v/>
      </c>
      <c r="KT793" s="2672" t="str">
        <f t="shared" si="284"/>
        <v/>
      </c>
      <c r="KU793" s="2672" t="str">
        <f t="shared" si="285"/>
        <v/>
      </c>
      <c r="KV793" s="2672" t="str">
        <f t="shared" si="286"/>
        <v/>
      </c>
      <c r="KW793" s="2672" t="str">
        <f t="shared" si="287"/>
        <v/>
      </c>
      <c r="KX793" s="2672" t="str">
        <f t="shared" si="288"/>
        <v/>
      </c>
      <c r="KY793" s="2672" t="str">
        <f t="shared" si="289"/>
        <v/>
      </c>
      <c r="KZ793" s="2672" t="str">
        <f t="shared" si="290"/>
        <v/>
      </c>
      <c r="LA793" s="2672" t="str">
        <f t="shared" si="291"/>
        <v/>
      </c>
      <c r="LB793" s="2672" t="str">
        <f t="shared" si="292"/>
        <v/>
      </c>
      <c r="LC793" s="2672" t="str">
        <f t="shared" si="293"/>
        <v/>
      </c>
      <c r="LD793" s="2672" t="str">
        <f t="shared" si="294"/>
        <v/>
      </c>
      <c r="LE793" s="2672" t="str">
        <f t="shared" si="295"/>
        <v/>
      </c>
      <c r="LF793" s="2672" t="str">
        <f t="shared" si="296"/>
        <v/>
      </c>
      <c r="LG793" s="2672" t="str">
        <f t="shared" si="297"/>
        <v/>
      </c>
      <c r="LH793" s="2672" t="str">
        <f t="shared" si="298"/>
        <v/>
      </c>
      <c r="LI793" s="2672" t="str">
        <f t="shared" si="299"/>
        <v/>
      </c>
      <c r="LJ793" s="2672" t="str">
        <f t="shared" si="300"/>
        <v/>
      </c>
      <c r="LK793" s="2672" t="str">
        <f t="shared" si="301"/>
        <v/>
      </c>
      <c r="LL793" s="2672" t="str">
        <f t="shared" si="302"/>
        <v/>
      </c>
      <c r="LM793" s="2672" t="str">
        <f t="shared" si="303"/>
        <v/>
      </c>
      <c r="LN793" s="2672" t="str">
        <f t="shared" si="304"/>
        <v/>
      </c>
      <c r="LO793" s="2672" t="str">
        <f t="shared" si="305"/>
        <v/>
      </c>
      <c r="LP793" s="2672" t="str">
        <f t="shared" si="306"/>
        <v/>
      </c>
      <c r="LQ793" s="2613" t="str">
        <f t="shared" si="307"/>
        <v/>
      </c>
      <c r="LR793" s="2613" t="str">
        <f t="shared" si="308"/>
        <v/>
      </c>
      <c r="LS793" s="2613" t="str">
        <f t="shared" si="309"/>
        <v/>
      </c>
      <c r="LT793" s="2613" t="str">
        <f t="shared" si="310"/>
        <v/>
      </c>
      <c r="LU793" s="2613" t="str">
        <f t="shared" si="311"/>
        <v/>
      </c>
      <c r="LV793" s="2494" t="str">
        <f t="shared" si="312"/>
        <v/>
      </c>
      <c r="LW793" s="2494" t="str">
        <f t="shared" si="313"/>
        <v/>
      </c>
      <c r="LX793" s="2494" t="str">
        <f t="shared" si="314"/>
        <v/>
      </c>
      <c r="LY793" s="2494" t="str">
        <f t="shared" si="315"/>
        <v/>
      </c>
      <c r="LZ793" s="2494" t="str">
        <f t="shared" si="316"/>
        <v/>
      </c>
      <c r="MA793" s="2494" t="str">
        <f t="shared" si="317"/>
        <v/>
      </c>
      <c r="MB793" s="2494" t="str">
        <f t="shared" si="318"/>
        <v/>
      </c>
      <c r="MC793" s="2494" t="str">
        <f t="shared" si="319"/>
        <v/>
      </c>
      <c r="MD793" s="2494" t="str">
        <f t="shared" si="320"/>
        <v/>
      </c>
      <c r="ME793" s="2494" t="str">
        <f t="shared" si="321"/>
        <v/>
      </c>
      <c r="MF793" s="2494" t="str">
        <f t="shared" si="322"/>
        <v/>
      </c>
      <c r="MG793" s="2494" t="str">
        <f t="shared" si="323"/>
        <v/>
      </c>
      <c r="MH793" s="2494" t="str">
        <f t="shared" si="324"/>
        <v/>
      </c>
      <c r="MI793" s="2494" t="str">
        <f t="shared" si="325"/>
        <v/>
      </c>
      <c r="MJ793" s="2494" t="str">
        <f t="shared" si="326"/>
        <v/>
      </c>
      <c r="MK793" s="2494" t="str">
        <f t="shared" si="327"/>
        <v/>
      </c>
      <c r="ML793" s="2494" t="str">
        <f t="shared" si="328"/>
        <v/>
      </c>
      <c r="MM793" s="2494" t="str">
        <f t="shared" si="329"/>
        <v/>
      </c>
      <c r="MN793" s="2494" t="str">
        <f t="shared" si="330"/>
        <v/>
      </c>
      <c r="MO793" s="2494" t="str">
        <f t="shared" si="331"/>
        <v/>
      </c>
      <c r="MP793" s="2613">
        <f t="shared" si="338"/>
        <v>0</v>
      </c>
      <c r="MQ793" s="2613">
        <f t="shared" si="339"/>
        <v>0</v>
      </c>
      <c r="MR793" s="2613">
        <f t="shared" si="340"/>
        <v>0</v>
      </c>
      <c r="MS793" s="2613">
        <f t="shared" si="341"/>
        <v>0</v>
      </c>
      <c r="MT793" s="2613">
        <f t="shared" si="342"/>
        <v>0</v>
      </c>
      <c r="MU793" s="2613">
        <f t="shared" si="343"/>
        <v>0</v>
      </c>
      <c r="MV793" s="2613">
        <f t="shared" si="344"/>
        <v>0</v>
      </c>
      <c r="MW793" s="2613">
        <f t="shared" si="345"/>
        <v>0</v>
      </c>
      <c r="MX793" s="2613">
        <f t="shared" si="346"/>
        <v>0</v>
      </c>
      <c r="MY793" s="2613">
        <f t="shared" si="347"/>
        <v>0</v>
      </c>
      <c r="MZ793" s="2613">
        <f t="shared" si="332"/>
        <v>0</v>
      </c>
      <c r="NA793" s="2613">
        <f t="shared" si="333"/>
        <v>0</v>
      </c>
      <c r="NB793" s="2613">
        <f t="shared" si="334"/>
        <v>0</v>
      </c>
      <c r="NC793" s="2613">
        <f t="shared" si="335"/>
        <v>0</v>
      </c>
      <c r="ND793" s="2613">
        <f t="shared" si="336"/>
        <v>0</v>
      </c>
    </row>
    <row r="794" spans="1:368" ht="13.8" customHeight="1">
      <c r="A794" s="2652" t="str">
        <f t="shared" si="337"/>
        <v/>
      </c>
      <c r="B794" s="2664">
        <f>'Part VI-Revenues &amp; Expenses'!B25</f>
        <v>0</v>
      </c>
      <c r="C794" s="2665">
        <f>'Part VI-Revenues &amp; Expenses'!C25</f>
        <v>0</v>
      </c>
      <c r="D794" s="2666">
        <f>'Part VI-Revenues &amp; Expenses'!D25</f>
        <v>0</v>
      </c>
      <c r="E794" s="2667">
        <f>'Part VI-Revenues &amp; Expenses'!E25</f>
        <v>0</v>
      </c>
      <c r="F794" s="2667">
        <f>'Part VI-Revenues &amp; Expenses'!F25</f>
        <v>0</v>
      </c>
      <c r="G794" s="2667">
        <f>'Part VI-Revenues &amp; Expenses'!G25</f>
        <v>0</v>
      </c>
      <c r="H794" s="2667">
        <f>'Part VI-Revenues &amp; Expenses'!H25</f>
        <v>0</v>
      </c>
      <c r="I794" s="2667">
        <f>'Part VI-Revenues &amp; Expenses'!I25</f>
        <v>0</v>
      </c>
      <c r="J794" s="2667">
        <f>'Part VI-Revenues &amp; Expenses'!J25</f>
        <v>0</v>
      </c>
      <c r="K794" s="2668">
        <f>'Part VI-Revenues &amp; Expenses'!K25</f>
        <v>0</v>
      </c>
      <c r="L794" s="2669">
        <f t="shared" si="0"/>
        <v>0</v>
      </c>
      <c r="M794" s="2669">
        <f t="shared" si="1"/>
        <v>0</v>
      </c>
      <c r="N794" s="2545">
        <f>'Part VI-Revenues &amp; Expenses'!N25</f>
        <v>0</v>
      </c>
      <c r="O794" s="2545">
        <f>'Part VI-Revenues &amp; Expenses'!O25</f>
        <v>0</v>
      </c>
      <c r="P794" s="2545">
        <f>'Part VI-Revenues &amp; Expenses'!P25</f>
        <v>0</v>
      </c>
      <c r="Q794" s="2251">
        <f>'Part VI-Revenues &amp; Expenses'!Q25</f>
        <v>0</v>
      </c>
      <c r="R794" s="2670"/>
      <c r="S794" s="2671"/>
      <c r="T794" s="2607"/>
      <c r="U794" s="2607"/>
      <c r="V794" s="2607"/>
      <c r="W794" s="2607"/>
      <c r="X794" s="2494" t="str">
        <f t="shared" si="2"/>
        <v/>
      </c>
      <c r="Y794" s="2494" t="str">
        <f t="shared" si="3"/>
        <v/>
      </c>
      <c r="Z794" s="2494" t="str">
        <f t="shared" si="4"/>
        <v/>
      </c>
      <c r="AA794" s="2494" t="str">
        <f t="shared" si="5"/>
        <v/>
      </c>
      <c r="AB794" s="2494" t="str">
        <f t="shared" si="6"/>
        <v/>
      </c>
      <c r="AC794" s="2494" t="str">
        <f t="shared" si="7"/>
        <v/>
      </c>
      <c r="AD794" s="2494" t="str">
        <f t="shared" si="8"/>
        <v/>
      </c>
      <c r="AE794" s="2494" t="str">
        <f t="shared" si="9"/>
        <v/>
      </c>
      <c r="AF794" s="2494" t="str">
        <f t="shared" si="10"/>
        <v/>
      </c>
      <c r="AG794" s="2494" t="str">
        <f t="shared" si="11"/>
        <v/>
      </c>
      <c r="AH794" s="2494" t="str">
        <f t="shared" si="12"/>
        <v/>
      </c>
      <c r="AI794" s="2494" t="str">
        <f t="shared" si="13"/>
        <v/>
      </c>
      <c r="AJ794" s="2494" t="str">
        <f t="shared" si="14"/>
        <v/>
      </c>
      <c r="AK794" s="2494" t="str">
        <f t="shared" si="15"/>
        <v/>
      </c>
      <c r="AL794" s="2494" t="str">
        <f t="shared" si="16"/>
        <v/>
      </c>
      <c r="AM794" s="2494" t="str">
        <f t="shared" si="17"/>
        <v/>
      </c>
      <c r="AN794" s="2494" t="str">
        <f t="shared" si="18"/>
        <v/>
      </c>
      <c r="AO794" s="2494" t="str">
        <f t="shared" si="19"/>
        <v/>
      </c>
      <c r="AP794" s="2494" t="str">
        <f t="shared" si="20"/>
        <v/>
      </c>
      <c r="AQ794" s="2494" t="str">
        <f t="shared" si="21"/>
        <v/>
      </c>
      <c r="AR794" s="2494" t="str">
        <f t="shared" si="22"/>
        <v/>
      </c>
      <c r="AS794" s="2494" t="str">
        <f t="shared" si="23"/>
        <v/>
      </c>
      <c r="AT794" s="2494" t="str">
        <f t="shared" si="24"/>
        <v/>
      </c>
      <c r="AU794" s="2494" t="str">
        <f t="shared" si="25"/>
        <v/>
      </c>
      <c r="AV794" s="2494" t="str">
        <f t="shared" si="26"/>
        <v/>
      </c>
      <c r="AW794" s="2494" t="str">
        <f t="shared" si="27"/>
        <v/>
      </c>
      <c r="AX794" s="2494" t="str">
        <f t="shared" si="28"/>
        <v/>
      </c>
      <c r="AY794" s="2494" t="str">
        <f t="shared" si="29"/>
        <v/>
      </c>
      <c r="AZ794" s="2494" t="str">
        <f t="shared" si="30"/>
        <v/>
      </c>
      <c r="BA794" s="2494" t="str">
        <f t="shared" si="31"/>
        <v/>
      </c>
      <c r="BB794" s="2494" t="str">
        <f t="shared" si="32"/>
        <v/>
      </c>
      <c r="BC794" s="2494" t="str">
        <f t="shared" si="33"/>
        <v/>
      </c>
      <c r="BD794" s="2494" t="str">
        <f t="shared" si="34"/>
        <v/>
      </c>
      <c r="BE794" s="2494" t="str">
        <f t="shared" si="35"/>
        <v/>
      </c>
      <c r="BF794" s="2494" t="str">
        <f t="shared" si="36"/>
        <v/>
      </c>
      <c r="BG794" s="2494" t="str">
        <f t="shared" si="37"/>
        <v/>
      </c>
      <c r="BH794" s="2494" t="str">
        <f t="shared" si="38"/>
        <v/>
      </c>
      <c r="BI794" s="2494" t="str">
        <f t="shared" si="39"/>
        <v/>
      </c>
      <c r="BJ794" s="2494" t="str">
        <f t="shared" si="40"/>
        <v/>
      </c>
      <c r="BK794" s="2494" t="str">
        <f t="shared" si="41"/>
        <v/>
      </c>
      <c r="BL794" s="2494" t="str">
        <f t="shared" si="42"/>
        <v/>
      </c>
      <c r="BM794" s="2494" t="str">
        <f t="shared" si="43"/>
        <v/>
      </c>
      <c r="BN794" s="2494" t="str">
        <f t="shared" si="44"/>
        <v/>
      </c>
      <c r="BO794" s="2494" t="str">
        <f t="shared" si="45"/>
        <v/>
      </c>
      <c r="BP794" s="2494" t="str">
        <f t="shared" si="46"/>
        <v/>
      </c>
      <c r="BQ794" s="2494" t="str">
        <f t="shared" si="47"/>
        <v/>
      </c>
      <c r="BR794" s="2494" t="str">
        <f t="shared" si="48"/>
        <v/>
      </c>
      <c r="BS794" s="2494" t="str">
        <f t="shared" si="49"/>
        <v/>
      </c>
      <c r="BT794" s="2494" t="str">
        <f t="shared" si="50"/>
        <v/>
      </c>
      <c r="BU794" s="2494" t="str">
        <f t="shared" si="51"/>
        <v/>
      </c>
      <c r="BV794" s="2494" t="str">
        <f t="shared" si="52"/>
        <v/>
      </c>
      <c r="BW794" s="2494" t="str">
        <f t="shared" si="53"/>
        <v/>
      </c>
      <c r="BX794" s="2494" t="str">
        <f t="shared" si="54"/>
        <v/>
      </c>
      <c r="BY794" s="2494" t="str">
        <f t="shared" si="55"/>
        <v/>
      </c>
      <c r="BZ794" s="2494" t="str">
        <f t="shared" si="56"/>
        <v/>
      </c>
      <c r="CA794" s="2494" t="str">
        <f t="shared" si="57"/>
        <v/>
      </c>
      <c r="CB794" s="2494" t="str">
        <f t="shared" si="58"/>
        <v/>
      </c>
      <c r="CC794" s="2494" t="str">
        <f t="shared" si="59"/>
        <v/>
      </c>
      <c r="CD794" s="2494" t="str">
        <f t="shared" si="60"/>
        <v/>
      </c>
      <c r="CE794" s="2494" t="str">
        <f t="shared" si="61"/>
        <v/>
      </c>
      <c r="CF794" s="2494" t="str">
        <f t="shared" si="62"/>
        <v/>
      </c>
      <c r="CG794" s="2494" t="str">
        <f t="shared" si="63"/>
        <v/>
      </c>
      <c r="CH794" s="2494" t="str">
        <f t="shared" si="64"/>
        <v/>
      </c>
      <c r="CI794" s="2494" t="str">
        <f t="shared" si="65"/>
        <v/>
      </c>
      <c r="CJ794" s="2494" t="str">
        <f t="shared" si="66"/>
        <v/>
      </c>
      <c r="CK794" s="2494" t="str">
        <f t="shared" si="67"/>
        <v/>
      </c>
      <c r="CL794" s="2494" t="str">
        <f t="shared" si="68"/>
        <v/>
      </c>
      <c r="CM794" s="2494" t="str">
        <f t="shared" si="69"/>
        <v/>
      </c>
      <c r="CN794" s="2494" t="str">
        <f t="shared" si="70"/>
        <v/>
      </c>
      <c r="CO794" s="2494" t="str">
        <f t="shared" si="71"/>
        <v/>
      </c>
      <c r="CP794" s="2494" t="str">
        <f t="shared" si="72"/>
        <v/>
      </c>
      <c r="CQ794" s="2494" t="str">
        <f t="shared" si="73"/>
        <v/>
      </c>
      <c r="CR794" s="2494" t="str">
        <f t="shared" si="74"/>
        <v/>
      </c>
      <c r="CS794" s="2494" t="str">
        <f t="shared" si="75"/>
        <v/>
      </c>
      <c r="CT794" s="2494" t="str">
        <f t="shared" si="76"/>
        <v/>
      </c>
      <c r="CU794" s="2494" t="str">
        <f t="shared" si="77"/>
        <v/>
      </c>
      <c r="CV794" s="2494" t="str">
        <f t="shared" si="78"/>
        <v/>
      </c>
      <c r="CW794" s="2494" t="str">
        <f t="shared" si="79"/>
        <v/>
      </c>
      <c r="CX794" s="2494" t="str">
        <f t="shared" si="80"/>
        <v/>
      </c>
      <c r="CY794" s="2494" t="str">
        <f t="shared" si="81"/>
        <v/>
      </c>
      <c r="CZ794" s="2494" t="str">
        <f t="shared" si="82"/>
        <v/>
      </c>
      <c r="DA794" s="2494" t="str">
        <f t="shared" si="83"/>
        <v/>
      </c>
      <c r="DB794" s="2494" t="str">
        <f t="shared" si="84"/>
        <v/>
      </c>
      <c r="DC794" s="2494" t="str">
        <f t="shared" si="85"/>
        <v/>
      </c>
      <c r="DD794" s="2494" t="str">
        <f t="shared" si="86"/>
        <v/>
      </c>
      <c r="DE794" s="2494" t="str">
        <f t="shared" si="87"/>
        <v/>
      </c>
      <c r="DF794" s="2494" t="str">
        <f t="shared" si="88"/>
        <v/>
      </c>
      <c r="DG794" s="2494" t="str">
        <f t="shared" si="89"/>
        <v/>
      </c>
      <c r="DH794" s="2494" t="str">
        <f t="shared" si="90"/>
        <v/>
      </c>
      <c r="DI794" s="2494" t="str">
        <f t="shared" si="91"/>
        <v/>
      </c>
      <c r="DJ794" s="2494" t="str">
        <f t="shared" si="92"/>
        <v/>
      </c>
      <c r="DK794" s="2494" t="str">
        <f t="shared" si="93"/>
        <v/>
      </c>
      <c r="DL794" s="2494" t="str">
        <f t="shared" si="94"/>
        <v/>
      </c>
      <c r="DM794" s="2494" t="str">
        <f t="shared" si="95"/>
        <v/>
      </c>
      <c r="DN794" s="2494" t="str">
        <f t="shared" si="96"/>
        <v/>
      </c>
      <c r="DO794" s="2494" t="str">
        <f t="shared" si="97"/>
        <v/>
      </c>
      <c r="DP794" s="2494" t="str">
        <f t="shared" si="98"/>
        <v/>
      </c>
      <c r="DQ794" s="2494" t="str">
        <f t="shared" si="99"/>
        <v/>
      </c>
      <c r="DR794" s="2494" t="str">
        <f t="shared" si="100"/>
        <v/>
      </c>
      <c r="DS794" s="2494" t="str">
        <f t="shared" si="101"/>
        <v/>
      </c>
      <c r="DT794" s="2494" t="str">
        <f t="shared" si="102"/>
        <v/>
      </c>
      <c r="DU794" s="2494" t="str">
        <f t="shared" si="103"/>
        <v/>
      </c>
      <c r="DV794" s="2494" t="str">
        <f t="shared" si="104"/>
        <v/>
      </c>
      <c r="DW794" s="2494" t="str">
        <f t="shared" si="105"/>
        <v/>
      </c>
      <c r="DX794" s="2494" t="str">
        <f t="shared" si="106"/>
        <v/>
      </c>
      <c r="DY794" s="2494" t="str">
        <f t="shared" si="107"/>
        <v/>
      </c>
      <c r="DZ794" s="2494" t="str">
        <f t="shared" si="108"/>
        <v/>
      </c>
      <c r="EA794" s="2494" t="str">
        <f t="shared" si="109"/>
        <v/>
      </c>
      <c r="EB794" s="2494" t="str">
        <f t="shared" si="110"/>
        <v/>
      </c>
      <c r="EC794" s="2494" t="str">
        <f t="shared" si="111"/>
        <v/>
      </c>
      <c r="ED794" s="2494" t="str">
        <f t="shared" si="112"/>
        <v/>
      </c>
      <c r="EE794" s="2494" t="str">
        <f t="shared" si="113"/>
        <v/>
      </c>
      <c r="EF794" s="2494" t="str">
        <f t="shared" si="114"/>
        <v/>
      </c>
      <c r="EG794" s="2494" t="str">
        <f t="shared" si="115"/>
        <v/>
      </c>
      <c r="EH794" s="2494" t="str">
        <f t="shared" si="116"/>
        <v/>
      </c>
      <c r="EI794" s="2494" t="str">
        <f t="shared" si="117"/>
        <v/>
      </c>
      <c r="EJ794" s="2494" t="str">
        <f t="shared" si="118"/>
        <v/>
      </c>
      <c r="EK794" s="2494" t="str">
        <f t="shared" si="119"/>
        <v/>
      </c>
      <c r="EL794" s="2494" t="str">
        <f t="shared" si="120"/>
        <v/>
      </c>
      <c r="EM794" s="2494" t="str">
        <f t="shared" si="121"/>
        <v/>
      </c>
      <c r="EN794" s="2494" t="str">
        <f t="shared" si="122"/>
        <v/>
      </c>
      <c r="EO794" s="2494" t="str">
        <f t="shared" si="123"/>
        <v/>
      </c>
      <c r="EP794" s="2494" t="str">
        <f t="shared" si="124"/>
        <v/>
      </c>
      <c r="EQ794" s="2494" t="str">
        <f t="shared" si="125"/>
        <v/>
      </c>
      <c r="ER794" s="2494" t="str">
        <f t="shared" si="126"/>
        <v/>
      </c>
      <c r="ES794" s="2494" t="str">
        <f t="shared" si="127"/>
        <v/>
      </c>
      <c r="ET794" s="2494" t="str">
        <f t="shared" si="128"/>
        <v/>
      </c>
      <c r="EU794" s="2494" t="str">
        <f t="shared" si="129"/>
        <v/>
      </c>
      <c r="EV794" s="2494" t="str">
        <f t="shared" si="130"/>
        <v/>
      </c>
      <c r="EW794" s="2494" t="str">
        <f t="shared" si="131"/>
        <v/>
      </c>
      <c r="EX794" s="2494" t="str">
        <f t="shared" si="132"/>
        <v/>
      </c>
      <c r="EY794" s="2494" t="str">
        <f t="shared" si="133"/>
        <v/>
      </c>
      <c r="EZ794" s="2494" t="str">
        <f t="shared" si="134"/>
        <v/>
      </c>
      <c r="FA794" s="2494" t="str">
        <f t="shared" si="135"/>
        <v/>
      </c>
      <c r="FB794" s="2494" t="str">
        <f t="shared" si="136"/>
        <v/>
      </c>
      <c r="FC794" s="2494" t="str">
        <f t="shared" si="137"/>
        <v/>
      </c>
      <c r="FD794" s="2494" t="str">
        <f t="shared" si="138"/>
        <v/>
      </c>
      <c r="FE794" s="2494" t="str">
        <f t="shared" si="139"/>
        <v/>
      </c>
      <c r="FF794" s="2494" t="str">
        <f t="shared" si="140"/>
        <v/>
      </c>
      <c r="FG794" s="2494" t="str">
        <f t="shared" si="141"/>
        <v/>
      </c>
      <c r="FH794" s="2494" t="str">
        <f t="shared" si="142"/>
        <v/>
      </c>
      <c r="FI794" s="2494" t="str">
        <f t="shared" si="143"/>
        <v/>
      </c>
      <c r="FJ794" s="2494" t="str">
        <f t="shared" si="144"/>
        <v/>
      </c>
      <c r="FK794" s="2494" t="str">
        <f t="shared" si="145"/>
        <v/>
      </c>
      <c r="FL794" s="2494" t="str">
        <f t="shared" si="146"/>
        <v/>
      </c>
      <c r="FM794" s="2494" t="str">
        <f t="shared" si="147"/>
        <v/>
      </c>
      <c r="FN794" s="2494" t="str">
        <f t="shared" si="148"/>
        <v/>
      </c>
      <c r="FO794" s="2494" t="str">
        <f t="shared" si="149"/>
        <v/>
      </c>
      <c r="FP794" s="2494" t="str">
        <f t="shared" si="150"/>
        <v/>
      </c>
      <c r="FQ794" s="2494" t="str">
        <f t="shared" si="151"/>
        <v/>
      </c>
      <c r="FR794" s="2494" t="str">
        <f t="shared" si="152"/>
        <v/>
      </c>
      <c r="FS794" s="2494" t="str">
        <f t="shared" si="153"/>
        <v/>
      </c>
      <c r="FT794" s="2494" t="str">
        <f t="shared" si="154"/>
        <v/>
      </c>
      <c r="FU794" s="2494" t="str">
        <f t="shared" si="155"/>
        <v/>
      </c>
      <c r="FV794" s="2494" t="str">
        <f t="shared" si="156"/>
        <v/>
      </c>
      <c r="FW794" s="2494" t="str">
        <f t="shared" si="157"/>
        <v/>
      </c>
      <c r="FX794" s="2494" t="str">
        <f t="shared" si="158"/>
        <v/>
      </c>
      <c r="FY794" s="2494" t="str">
        <f t="shared" si="159"/>
        <v/>
      </c>
      <c r="FZ794" s="2494" t="str">
        <f t="shared" si="160"/>
        <v/>
      </c>
      <c r="GA794" s="2494" t="str">
        <f t="shared" si="161"/>
        <v/>
      </c>
      <c r="GB794" s="2494" t="str">
        <f t="shared" si="162"/>
        <v/>
      </c>
      <c r="GC794" s="2494" t="str">
        <f t="shared" si="163"/>
        <v/>
      </c>
      <c r="GD794" s="2494" t="str">
        <f t="shared" si="164"/>
        <v/>
      </c>
      <c r="GE794" s="2494" t="str">
        <f t="shared" si="165"/>
        <v/>
      </c>
      <c r="GF794" s="2494" t="str">
        <f t="shared" si="166"/>
        <v/>
      </c>
      <c r="GG794" s="2494" t="str">
        <f t="shared" si="167"/>
        <v/>
      </c>
      <c r="GH794" s="2494" t="str">
        <f t="shared" si="168"/>
        <v/>
      </c>
      <c r="GI794" s="2494" t="str">
        <f t="shared" si="169"/>
        <v/>
      </c>
      <c r="GJ794" s="2494" t="str">
        <f t="shared" si="170"/>
        <v/>
      </c>
      <c r="GK794" s="2494" t="str">
        <f t="shared" si="171"/>
        <v/>
      </c>
      <c r="GL794" s="2494" t="str">
        <f t="shared" si="172"/>
        <v/>
      </c>
      <c r="GM794" s="2494" t="str">
        <f t="shared" si="173"/>
        <v/>
      </c>
      <c r="GN794" s="2494" t="str">
        <f t="shared" si="174"/>
        <v/>
      </c>
      <c r="GO794" s="2494" t="str">
        <f t="shared" si="175"/>
        <v/>
      </c>
      <c r="GP794" s="2494" t="str">
        <f t="shared" si="176"/>
        <v/>
      </c>
      <c r="GQ794" s="2494" t="str">
        <f t="shared" si="177"/>
        <v/>
      </c>
      <c r="GR794" s="2494" t="str">
        <f t="shared" si="178"/>
        <v/>
      </c>
      <c r="GS794" s="2494" t="str">
        <f t="shared" si="179"/>
        <v/>
      </c>
      <c r="GT794" s="2494" t="str">
        <f t="shared" si="180"/>
        <v/>
      </c>
      <c r="GU794" s="2494" t="str">
        <f t="shared" si="181"/>
        <v/>
      </c>
      <c r="GV794" s="2494" t="str">
        <f t="shared" si="182"/>
        <v/>
      </c>
      <c r="GW794" s="2494" t="str">
        <f t="shared" si="183"/>
        <v/>
      </c>
      <c r="GX794" s="2494" t="str">
        <f t="shared" si="184"/>
        <v/>
      </c>
      <c r="GY794" s="2494" t="str">
        <f t="shared" si="185"/>
        <v/>
      </c>
      <c r="GZ794" s="2494" t="str">
        <f t="shared" si="186"/>
        <v/>
      </c>
      <c r="HA794" s="2494" t="str">
        <f t="shared" si="187"/>
        <v/>
      </c>
      <c r="HB794" s="2494" t="str">
        <f t="shared" si="188"/>
        <v/>
      </c>
      <c r="HC794" s="2494" t="str">
        <f t="shared" si="189"/>
        <v/>
      </c>
      <c r="HD794" s="2494" t="str">
        <f t="shared" si="190"/>
        <v/>
      </c>
      <c r="HE794" s="2494" t="str">
        <f t="shared" si="191"/>
        <v/>
      </c>
      <c r="HF794" s="2494" t="str">
        <f t="shared" si="192"/>
        <v/>
      </c>
      <c r="HG794" s="2494" t="str">
        <f t="shared" si="193"/>
        <v/>
      </c>
      <c r="HH794" s="2494" t="str">
        <f t="shared" si="194"/>
        <v/>
      </c>
      <c r="HI794" s="2494" t="str">
        <f t="shared" si="195"/>
        <v/>
      </c>
      <c r="HJ794" s="2494" t="str">
        <f t="shared" si="196"/>
        <v/>
      </c>
      <c r="HK794" s="2494" t="str">
        <f t="shared" si="197"/>
        <v/>
      </c>
      <c r="HL794" s="2494" t="str">
        <f t="shared" si="198"/>
        <v/>
      </c>
      <c r="HM794" s="2494" t="str">
        <f t="shared" si="199"/>
        <v/>
      </c>
      <c r="HN794" s="2494" t="str">
        <f t="shared" si="200"/>
        <v/>
      </c>
      <c r="HO794" s="2494" t="str">
        <f t="shared" si="201"/>
        <v/>
      </c>
      <c r="HP794" s="2494" t="str">
        <f t="shared" si="202"/>
        <v/>
      </c>
      <c r="HQ794" s="2494" t="str">
        <f t="shared" si="203"/>
        <v/>
      </c>
      <c r="HR794" s="2494" t="str">
        <f t="shared" si="204"/>
        <v/>
      </c>
      <c r="HS794" s="2494" t="str">
        <f t="shared" si="205"/>
        <v/>
      </c>
      <c r="HT794" s="2494" t="str">
        <f t="shared" si="206"/>
        <v/>
      </c>
      <c r="HU794" s="2494" t="str">
        <f t="shared" si="207"/>
        <v/>
      </c>
      <c r="HV794" s="2494" t="str">
        <f t="shared" si="208"/>
        <v/>
      </c>
      <c r="HW794" s="2494" t="str">
        <f t="shared" si="209"/>
        <v/>
      </c>
      <c r="HX794" s="2494" t="str">
        <f t="shared" si="210"/>
        <v/>
      </c>
      <c r="HY794" s="2494" t="str">
        <f t="shared" si="211"/>
        <v/>
      </c>
      <c r="HZ794" s="2672" t="str">
        <f t="shared" si="212"/>
        <v/>
      </c>
      <c r="IA794" s="2672" t="str">
        <f t="shared" si="213"/>
        <v/>
      </c>
      <c r="IB794" s="2672" t="str">
        <f t="shared" si="214"/>
        <v/>
      </c>
      <c r="IC794" s="2672" t="str">
        <f t="shared" si="215"/>
        <v/>
      </c>
      <c r="ID794" s="2672" t="str">
        <f t="shared" si="216"/>
        <v/>
      </c>
      <c r="IE794" s="2672" t="str">
        <f t="shared" si="217"/>
        <v/>
      </c>
      <c r="IF794" s="2672" t="str">
        <f t="shared" si="218"/>
        <v/>
      </c>
      <c r="IG794" s="2672" t="str">
        <f t="shared" si="219"/>
        <v/>
      </c>
      <c r="IH794" s="2672" t="str">
        <f t="shared" si="220"/>
        <v/>
      </c>
      <c r="II794" s="2672" t="str">
        <f t="shared" si="221"/>
        <v/>
      </c>
      <c r="IJ794" s="2672" t="str">
        <f t="shared" si="222"/>
        <v/>
      </c>
      <c r="IK794" s="2672" t="str">
        <f t="shared" si="223"/>
        <v/>
      </c>
      <c r="IL794" s="2672" t="str">
        <f t="shared" si="224"/>
        <v/>
      </c>
      <c r="IM794" s="2672" t="str">
        <f t="shared" si="225"/>
        <v/>
      </c>
      <c r="IN794" s="2672" t="str">
        <f t="shared" si="226"/>
        <v/>
      </c>
      <c r="IO794" s="2672" t="str">
        <f t="shared" si="227"/>
        <v/>
      </c>
      <c r="IP794" s="2672" t="str">
        <f t="shared" si="228"/>
        <v/>
      </c>
      <c r="IQ794" s="2672" t="str">
        <f t="shared" si="229"/>
        <v/>
      </c>
      <c r="IR794" s="2672" t="str">
        <f t="shared" si="230"/>
        <v/>
      </c>
      <c r="IS794" s="2672" t="str">
        <f t="shared" si="231"/>
        <v/>
      </c>
      <c r="IT794" s="2672" t="str">
        <f t="shared" si="232"/>
        <v/>
      </c>
      <c r="IU794" s="2672" t="str">
        <f t="shared" si="233"/>
        <v/>
      </c>
      <c r="IV794" s="2672" t="str">
        <f t="shared" si="234"/>
        <v/>
      </c>
      <c r="IW794" s="2672" t="str">
        <f t="shared" si="235"/>
        <v/>
      </c>
      <c r="IX794" s="2672" t="str">
        <f t="shared" si="236"/>
        <v/>
      </c>
      <c r="IY794" s="2672" t="str">
        <f t="shared" si="237"/>
        <v/>
      </c>
      <c r="IZ794" s="2672" t="str">
        <f t="shared" si="238"/>
        <v/>
      </c>
      <c r="JA794" s="2672" t="str">
        <f t="shared" si="239"/>
        <v/>
      </c>
      <c r="JB794" s="2672" t="str">
        <f t="shared" si="240"/>
        <v/>
      </c>
      <c r="JC794" s="2672" t="str">
        <f t="shared" si="241"/>
        <v/>
      </c>
      <c r="JD794" s="2672" t="str">
        <f t="shared" si="242"/>
        <v/>
      </c>
      <c r="JE794" s="2672" t="str">
        <f t="shared" si="243"/>
        <v/>
      </c>
      <c r="JF794" s="2672" t="str">
        <f t="shared" si="244"/>
        <v/>
      </c>
      <c r="JG794" s="2672" t="str">
        <f t="shared" si="245"/>
        <v/>
      </c>
      <c r="JH794" s="2672" t="str">
        <f t="shared" si="246"/>
        <v/>
      </c>
      <c r="JI794" s="2672" t="str">
        <f t="shared" si="247"/>
        <v/>
      </c>
      <c r="JJ794" s="2672" t="str">
        <f t="shared" si="248"/>
        <v/>
      </c>
      <c r="JK794" s="2672" t="str">
        <f t="shared" si="249"/>
        <v/>
      </c>
      <c r="JL794" s="2672" t="str">
        <f t="shared" si="250"/>
        <v/>
      </c>
      <c r="JM794" s="2672" t="str">
        <f t="shared" si="251"/>
        <v/>
      </c>
      <c r="JN794" s="2672" t="str">
        <f t="shared" si="252"/>
        <v/>
      </c>
      <c r="JO794" s="2672" t="str">
        <f t="shared" si="253"/>
        <v/>
      </c>
      <c r="JP794" s="2672" t="str">
        <f t="shared" si="254"/>
        <v/>
      </c>
      <c r="JQ794" s="2672" t="str">
        <f t="shared" si="255"/>
        <v/>
      </c>
      <c r="JR794" s="2672" t="str">
        <f t="shared" si="256"/>
        <v/>
      </c>
      <c r="JS794" s="2672" t="str">
        <f t="shared" si="257"/>
        <v/>
      </c>
      <c r="JT794" s="2672" t="str">
        <f t="shared" si="258"/>
        <v/>
      </c>
      <c r="JU794" s="2672" t="str">
        <f t="shared" si="259"/>
        <v/>
      </c>
      <c r="JV794" s="2672" t="str">
        <f t="shared" si="260"/>
        <v/>
      </c>
      <c r="JW794" s="2672" t="str">
        <f t="shared" si="261"/>
        <v/>
      </c>
      <c r="JX794" s="2672" t="str">
        <f t="shared" si="262"/>
        <v/>
      </c>
      <c r="JY794" s="2672" t="str">
        <f t="shared" si="263"/>
        <v/>
      </c>
      <c r="JZ794" s="2672" t="str">
        <f t="shared" si="264"/>
        <v/>
      </c>
      <c r="KA794" s="2672" t="str">
        <f t="shared" si="265"/>
        <v/>
      </c>
      <c r="KB794" s="2672" t="str">
        <f t="shared" si="266"/>
        <v/>
      </c>
      <c r="KC794" s="2672" t="str">
        <f t="shared" si="267"/>
        <v/>
      </c>
      <c r="KD794" s="2672" t="str">
        <f t="shared" si="268"/>
        <v/>
      </c>
      <c r="KE794" s="2672" t="str">
        <f t="shared" si="269"/>
        <v/>
      </c>
      <c r="KF794" s="2672" t="str">
        <f t="shared" si="270"/>
        <v/>
      </c>
      <c r="KG794" s="2672" t="str">
        <f t="shared" si="271"/>
        <v/>
      </c>
      <c r="KH794" s="2672" t="str">
        <f t="shared" si="272"/>
        <v/>
      </c>
      <c r="KI794" s="2672" t="str">
        <f t="shared" si="273"/>
        <v/>
      </c>
      <c r="KJ794" s="2672" t="str">
        <f t="shared" si="274"/>
        <v/>
      </c>
      <c r="KK794" s="2672" t="str">
        <f t="shared" si="275"/>
        <v/>
      </c>
      <c r="KL794" s="2672" t="str">
        <f t="shared" si="276"/>
        <v/>
      </c>
      <c r="KM794" s="2672" t="str">
        <f t="shared" si="277"/>
        <v/>
      </c>
      <c r="KN794" s="2672" t="str">
        <f t="shared" si="278"/>
        <v/>
      </c>
      <c r="KO794" s="2672" t="str">
        <f t="shared" si="279"/>
        <v/>
      </c>
      <c r="KP794" s="2672" t="str">
        <f t="shared" si="280"/>
        <v/>
      </c>
      <c r="KQ794" s="2672" t="str">
        <f t="shared" si="281"/>
        <v/>
      </c>
      <c r="KR794" s="2672" t="str">
        <f t="shared" si="282"/>
        <v/>
      </c>
      <c r="KS794" s="2672" t="str">
        <f t="shared" si="283"/>
        <v/>
      </c>
      <c r="KT794" s="2672" t="str">
        <f t="shared" si="284"/>
        <v/>
      </c>
      <c r="KU794" s="2672" t="str">
        <f t="shared" si="285"/>
        <v/>
      </c>
      <c r="KV794" s="2672" t="str">
        <f t="shared" si="286"/>
        <v/>
      </c>
      <c r="KW794" s="2672" t="str">
        <f t="shared" si="287"/>
        <v/>
      </c>
      <c r="KX794" s="2672" t="str">
        <f t="shared" si="288"/>
        <v/>
      </c>
      <c r="KY794" s="2672" t="str">
        <f t="shared" si="289"/>
        <v/>
      </c>
      <c r="KZ794" s="2672" t="str">
        <f t="shared" si="290"/>
        <v/>
      </c>
      <c r="LA794" s="2672" t="str">
        <f t="shared" si="291"/>
        <v/>
      </c>
      <c r="LB794" s="2672" t="str">
        <f t="shared" si="292"/>
        <v/>
      </c>
      <c r="LC794" s="2672" t="str">
        <f t="shared" si="293"/>
        <v/>
      </c>
      <c r="LD794" s="2672" t="str">
        <f t="shared" si="294"/>
        <v/>
      </c>
      <c r="LE794" s="2672" t="str">
        <f t="shared" si="295"/>
        <v/>
      </c>
      <c r="LF794" s="2672" t="str">
        <f t="shared" si="296"/>
        <v/>
      </c>
      <c r="LG794" s="2672" t="str">
        <f t="shared" si="297"/>
        <v/>
      </c>
      <c r="LH794" s="2672" t="str">
        <f t="shared" si="298"/>
        <v/>
      </c>
      <c r="LI794" s="2672" t="str">
        <f t="shared" si="299"/>
        <v/>
      </c>
      <c r="LJ794" s="2672" t="str">
        <f t="shared" si="300"/>
        <v/>
      </c>
      <c r="LK794" s="2672" t="str">
        <f t="shared" si="301"/>
        <v/>
      </c>
      <c r="LL794" s="2672" t="str">
        <f t="shared" si="302"/>
        <v/>
      </c>
      <c r="LM794" s="2672" t="str">
        <f t="shared" si="303"/>
        <v/>
      </c>
      <c r="LN794" s="2672" t="str">
        <f t="shared" si="304"/>
        <v/>
      </c>
      <c r="LO794" s="2672" t="str">
        <f t="shared" si="305"/>
        <v/>
      </c>
      <c r="LP794" s="2672" t="str">
        <f t="shared" si="306"/>
        <v/>
      </c>
      <c r="LQ794" s="2613" t="str">
        <f t="shared" si="307"/>
        <v/>
      </c>
      <c r="LR794" s="2613" t="str">
        <f t="shared" si="308"/>
        <v/>
      </c>
      <c r="LS794" s="2613" t="str">
        <f t="shared" si="309"/>
        <v/>
      </c>
      <c r="LT794" s="2613" t="str">
        <f t="shared" si="310"/>
        <v/>
      </c>
      <c r="LU794" s="2613" t="str">
        <f t="shared" si="311"/>
        <v/>
      </c>
      <c r="LV794" s="2494" t="str">
        <f t="shared" si="312"/>
        <v/>
      </c>
      <c r="LW794" s="2494" t="str">
        <f t="shared" si="313"/>
        <v/>
      </c>
      <c r="LX794" s="2494" t="str">
        <f t="shared" si="314"/>
        <v/>
      </c>
      <c r="LY794" s="2494" t="str">
        <f t="shared" si="315"/>
        <v/>
      </c>
      <c r="LZ794" s="2494" t="str">
        <f t="shared" si="316"/>
        <v/>
      </c>
      <c r="MA794" s="2494" t="str">
        <f t="shared" si="317"/>
        <v/>
      </c>
      <c r="MB794" s="2494" t="str">
        <f t="shared" si="318"/>
        <v/>
      </c>
      <c r="MC794" s="2494" t="str">
        <f t="shared" si="319"/>
        <v/>
      </c>
      <c r="MD794" s="2494" t="str">
        <f t="shared" si="320"/>
        <v/>
      </c>
      <c r="ME794" s="2494" t="str">
        <f t="shared" si="321"/>
        <v/>
      </c>
      <c r="MF794" s="2494" t="str">
        <f t="shared" si="322"/>
        <v/>
      </c>
      <c r="MG794" s="2494" t="str">
        <f t="shared" si="323"/>
        <v/>
      </c>
      <c r="MH794" s="2494" t="str">
        <f t="shared" si="324"/>
        <v/>
      </c>
      <c r="MI794" s="2494" t="str">
        <f t="shared" si="325"/>
        <v/>
      </c>
      <c r="MJ794" s="2494" t="str">
        <f t="shared" si="326"/>
        <v/>
      </c>
      <c r="MK794" s="2494" t="str">
        <f t="shared" si="327"/>
        <v/>
      </c>
      <c r="ML794" s="2494" t="str">
        <f t="shared" si="328"/>
        <v/>
      </c>
      <c r="MM794" s="2494" t="str">
        <f t="shared" si="329"/>
        <v/>
      </c>
      <c r="MN794" s="2494" t="str">
        <f t="shared" si="330"/>
        <v/>
      </c>
      <c r="MO794" s="2494" t="str">
        <f t="shared" si="331"/>
        <v/>
      </c>
      <c r="MP794" s="2613">
        <f t="shared" si="338"/>
        <v>0</v>
      </c>
      <c r="MQ794" s="2613">
        <f t="shared" si="339"/>
        <v>0</v>
      </c>
      <c r="MR794" s="2613">
        <f t="shared" si="340"/>
        <v>0</v>
      </c>
      <c r="MS794" s="2613">
        <f t="shared" si="341"/>
        <v>0</v>
      </c>
      <c r="MT794" s="2613">
        <f t="shared" si="342"/>
        <v>0</v>
      </c>
      <c r="MU794" s="2613">
        <f t="shared" si="343"/>
        <v>0</v>
      </c>
      <c r="MV794" s="2613">
        <f t="shared" si="344"/>
        <v>0</v>
      </c>
      <c r="MW794" s="2613">
        <f t="shared" si="345"/>
        <v>0</v>
      </c>
      <c r="MX794" s="2613">
        <f t="shared" si="346"/>
        <v>0</v>
      </c>
      <c r="MY794" s="2613">
        <f t="shared" si="347"/>
        <v>0</v>
      </c>
      <c r="MZ794" s="2613">
        <f t="shared" si="332"/>
        <v>0</v>
      </c>
      <c r="NA794" s="2613">
        <f t="shared" si="333"/>
        <v>0</v>
      </c>
      <c r="NB794" s="2613">
        <f t="shared" si="334"/>
        <v>0</v>
      </c>
      <c r="NC794" s="2613">
        <f t="shared" si="335"/>
        <v>0</v>
      </c>
      <c r="ND794" s="2613">
        <f t="shared" si="336"/>
        <v>0</v>
      </c>
    </row>
    <row r="795" spans="1:368" ht="13.8" customHeight="1">
      <c r="A795" s="2652" t="str">
        <f t="shared" si="337"/>
        <v/>
      </c>
      <c r="B795" s="2664">
        <f>'Part VI-Revenues &amp; Expenses'!B26</f>
        <v>0</v>
      </c>
      <c r="C795" s="2665">
        <f>'Part VI-Revenues &amp; Expenses'!C26</f>
        <v>0</v>
      </c>
      <c r="D795" s="2666">
        <f>'Part VI-Revenues &amp; Expenses'!D26</f>
        <v>0</v>
      </c>
      <c r="E795" s="2667">
        <f>'Part VI-Revenues &amp; Expenses'!E26</f>
        <v>0</v>
      </c>
      <c r="F795" s="2667">
        <f>'Part VI-Revenues &amp; Expenses'!F26</f>
        <v>0</v>
      </c>
      <c r="G795" s="2667">
        <f>'Part VI-Revenues &amp; Expenses'!G26</f>
        <v>0</v>
      </c>
      <c r="H795" s="2667">
        <f>'Part VI-Revenues &amp; Expenses'!H26</f>
        <v>0</v>
      </c>
      <c r="I795" s="2667">
        <f>'Part VI-Revenues &amp; Expenses'!I26</f>
        <v>0</v>
      </c>
      <c r="J795" s="2667">
        <f>'Part VI-Revenues &amp; Expenses'!J26</f>
        <v>0</v>
      </c>
      <c r="K795" s="2668">
        <f>'Part VI-Revenues &amp; Expenses'!K26</f>
        <v>0</v>
      </c>
      <c r="L795" s="2669">
        <f t="shared" si="0"/>
        <v>0</v>
      </c>
      <c r="M795" s="2669">
        <f t="shared" si="1"/>
        <v>0</v>
      </c>
      <c r="N795" s="2545">
        <f>'Part VI-Revenues &amp; Expenses'!N26</f>
        <v>0</v>
      </c>
      <c r="O795" s="2545">
        <f>'Part VI-Revenues &amp; Expenses'!O26</f>
        <v>0</v>
      </c>
      <c r="P795" s="2545">
        <f>'Part VI-Revenues &amp; Expenses'!P26</f>
        <v>0</v>
      </c>
      <c r="Q795" s="2251">
        <f>'Part VI-Revenues &amp; Expenses'!Q26</f>
        <v>0</v>
      </c>
      <c r="R795" s="2670"/>
      <c r="S795" s="2671"/>
      <c r="T795" s="2607"/>
      <c r="U795" s="2607"/>
      <c r="V795" s="2607"/>
      <c r="W795" s="2607"/>
      <c r="X795" s="2494" t="str">
        <f t="shared" si="2"/>
        <v/>
      </c>
      <c r="Y795" s="2494" t="str">
        <f t="shared" si="3"/>
        <v/>
      </c>
      <c r="Z795" s="2494" t="str">
        <f t="shared" si="4"/>
        <v/>
      </c>
      <c r="AA795" s="2494" t="str">
        <f t="shared" si="5"/>
        <v/>
      </c>
      <c r="AB795" s="2494" t="str">
        <f t="shared" si="6"/>
        <v/>
      </c>
      <c r="AC795" s="2494" t="str">
        <f t="shared" si="7"/>
        <v/>
      </c>
      <c r="AD795" s="2494" t="str">
        <f t="shared" si="8"/>
        <v/>
      </c>
      <c r="AE795" s="2494" t="str">
        <f t="shared" si="9"/>
        <v/>
      </c>
      <c r="AF795" s="2494" t="str">
        <f t="shared" si="10"/>
        <v/>
      </c>
      <c r="AG795" s="2494" t="str">
        <f t="shared" si="11"/>
        <v/>
      </c>
      <c r="AH795" s="2494" t="str">
        <f t="shared" si="12"/>
        <v/>
      </c>
      <c r="AI795" s="2494" t="str">
        <f t="shared" si="13"/>
        <v/>
      </c>
      <c r="AJ795" s="2494" t="str">
        <f t="shared" si="14"/>
        <v/>
      </c>
      <c r="AK795" s="2494" t="str">
        <f t="shared" si="15"/>
        <v/>
      </c>
      <c r="AL795" s="2494" t="str">
        <f t="shared" si="16"/>
        <v/>
      </c>
      <c r="AM795" s="2494" t="str">
        <f t="shared" si="17"/>
        <v/>
      </c>
      <c r="AN795" s="2494" t="str">
        <f t="shared" si="18"/>
        <v/>
      </c>
      <c r="AO795" s="2494" t="str">
        <f t="shared" si="19"/>
        <v/>
      </c>
      <c r="AP795" s="2494" t="str">
        <f t="shared" si="20"/>
        <v/>
      </c>
      <c r="AQ795" s="2494" t="str">
        <f t="shared" si="21"/>
        <v/>
      </c>
      <c r="AR795" s="2494" t="str">
        <f t="shared" si="22"/>
        <v/>
      </c>
      <c r="AS795" s="2494" t="str">
        <f t="shared" si="23"/>
        <v/>
      </c>
      <c r="AT795" s="2494" t="str">
        <f t="shared" si="24"/>
        <v/>
      </c>
      <c r="AU795" s="2494" t="str">
        <f t="shared" si="25"/>
        <v/>
      </c>
      <c r="AV795" s="2494" t="str">
        <f t="shared" si="26"/>
        <v/>
      </c>
      <c r="AW795" s="2494" t="str">
        <f t="shared" si="27"/>
        <v/>
      </c>
      <c r="AX795" s="2494" t="str">
        <f t="shared" si="28"/>
        <v/>
      </c>
      <c r="AY795" s="2494" t="str">
        <f t="shared" si="29"/>
        <v/>
      </c>
      <c r="AZ795" s="2494" t="str">
        <f t="shared" si="30"/>
        <v/>
      </c>
      <c r="BA795" s="2494" t="str">
        <f t="shared" si="31"/>
        <v/>
      </c>
      <c r="BB795" s="2494" t="str">
        <f t="shared" si="32"/>
        <v/>
      </c>
      <c r="BC795" s="2494" t="str">
        <f t="shared" si="33"/>
        <v/>
      </c>
      <c r="BD795" s="2494" t="str">
        <f t="shared" si="34"/>
        <v/>
      </c>
      <c r="BE795" s="2494" t="str">
        <f t="shared" si="35"/>
        <v/>
      </c>
      <c r="BF795" s="2494" t="str">
        <f t="shared" si="36"/>
        <v/>
      </c>
      <c r="BG795" s="2494" t="str">
        <f t="shared" si="37"/>
        <v/>
      </c>
      <c r="BH795" s="2494" t="str">
        <f t="shared" si="38"/>
        <v/>
      </c>
      <c r="BI795" s="2494" t="str">
        <f t="shared" si="39"/>
        <v/>
      </c>
      <c r="BJ795" s="2494" t="str">
        <f t="shared" si="40"/>
        <v/>
      </c>
      <c r="BK795" s="2494" t="str">
        <f t="shared" si="41"/>
        <v/>
      </c>
      <c r="BL795" s="2494" t="str">
        <f t="shared" si="42"/>
        <v/>
      </c>
      <c r="BM795" s="2494" t="str">
        <f t="shared" si="43"/>
        <v/>
      </c>
      <c r="BN795" s="2494" t="str">
        <f t="shared" si="44"/>
        <v/>
      </c>
      <c r="BO795" s="2494" t="str">
        <f t="shared" si="45"/>
        <v/>
      </c>
      <c r="BP795" s="2494" t="str">
        <f t="shared" si="46"/>
        <v/>
      </c>
      <c r="BQ795" s="2494" t="str">
        <f t="shared" si="47"/>
        <v/>
      </c>
      <c r="BR795" s="2494" t="str">
        <f t="shared" si="48"/>
        <v/>
      </c>
      <c r="BS795" s="2494" t="str">
        <f t="shared" si="49"/>
        <v/>
      </c>
      <c r="BT795" s="2494" t="str">
        <f t="shared" si="50"/>
        <v/>
      </c>
      <c r="BU795" s="2494" t="str">
        <f t="shared" si="51"/>
        <v/>
      </c>
      <c r="BV795" s="2494" t="str">
        <f t="shared" si="52"/>
        <v/>
      </c>
      <c r="BW795" s="2494" t="str">
        <f t="shared" si="53"/>
        <v/>
      </c>
      <c r="BX795" s="2494" t="str">
        <f t="shared" si="54"/>
        <v/>
      </c>
      <c r="BY795" s="2494" t="str">
        <f t="shared" si="55"/>
        <v/>
      </c>
      <c r="BZ795" s="2494" t="str">
        <f t="shared" si="56"/>
        <v/>
      </c>
      <c r="CA795" s="2494" t="str">
        <f t="shared" si="57"/>
        <v/>
      </c>
      <c r="CB795" s="2494" t="str">
        <f t="shared" si="58"/>
        <v/>
      </c>
      <c r="CC795" s="2494" t="str">
        <f t="shared" si="59"/>
        <v/>
      </c>
      <c r="CD795" s="2494" t="str">
        <f t="shared" si="60"/>
        <v/>
      </c>
      <c r="CE795" s="2494" t="str">
        <f t="shared" si="61"/>
        <v/>
      </c>
      <c r="CF795" s="2494" t="str">
        <f t="shared" si="62"/>
        <v/>
      </c>
      <c r="CG795" s="2494" t="str">
        <f t="shared" si="63"/>
        <v/>
      </c>
      <c r="CH795" s="2494" t="str">
        <f t="shared" si="64"/>
        <v/>
      </c>
      <c r="CI795" s="2494" t="str">
        <f t="shared" si="65"/>
        <v/>
      </c>
      <c r="CJ795" s="2494" t="str">
        <f t="shared" si="66"/>
        <v/>
      </c>
      <c r="CK795" s="2494" t="str">
        <f t="shared" si="67"/>
        <v/>
      </c>
      <c r="CL795" s="2494" t="str">
        <f t="shared" si="68"/>
        <v/>
      </c>
      <c r="CM795" s="2494" t="str">
        <f t="shared" si="69"/>
        <v/>
      </c>
      <c r="CN795" s="2494" t="str">
        <f t="shared" si="70"/>
        <v/>
      </c>
      <c r="CO795" s="2494" t="str">
        <f t="shared" si="71"/>
        <v/>
      </c>
      <c r="CP795" s="2494" t="str">
        <f t="shared" si="72"/>
        <v/>
      </c>
      <c r="CQ795" s="2494" t="str">
        <f t="shared" si="73"/>
        <v/>
      </c>
      <c r="CR795" s="2494" t="str">
        <f t="shared" si="74"/>
        <v/>
      </c>
      <c r="CS795" s="2494" t="str">
        <f t="shared" si="75"/>
        <v/>
      </c>
      <c r="CT795" s="2494" t="str">
        <f t="shared" si="76"/>
        <v/>
      </c>
      <c r="CU795" s="2494" t="str">
        <f t="shared" si="77"/>
        <v/>
      </c>
      <c r="CV795" s="2494" t="str">
        <f t="shared" si="78"/>
        <v/>
      </c>
      <c r="CW795" s="2494" t="str">
        <f t="shared" si="79"/>
        <v/>
      </c>
      <c r="CX795" s="2494" t="str">
        <f t="shared" si="80"/>
        <v/>
      </c>
      <c r="CY795" s="2494" t="str">
        <f t="shared" si="81"/>
        <v/>
      </c>
      <c r="CZ795" s="2494" t="str">
        <f t="shared" si="82"/>
        <v/>
      </c>
      <c r="DA795" s="2494" t="str">
        <f t="shared" si="83"/>
        <v/>
      </c>
      <c r="DB795" s="2494" t="str">
        <f t="shared" si="84"/>
        <v/>
      </c>
      <c r="DC795" s="2494" t="str">
        <f t="shared" si="85"/>
        <v/>
      </c>
      <c r="DD795" s="2494" t="str">
        <f t="shared" si="86"/>
        <v/>
      </c>
      <c r="DE795" s="2494" t="str">
        <f t="shared" si="87"/>
        <v/>
      </c>
      <c r="DF795" s="2494" t="str">
        <f t="shared" si="88"/>
        <v/>
      </c>
      <c r="DG795" s="2494" t="str">
        <f t="shared" si="89"/>
        <v/>
      </c>
      <c r="DH795" s="2494" t="str">
        <f t="shared" si="90"/>
        <v/>
      </c>
      <c r="DI795" s="2494" t="str">
        <f t="shared" si="91"/>
        <v/>
      </c>
      <c r="DJ795" s="2494" t="str">
        <f t="shared" si="92"/>
        <v/>
      </c>
      <c r="DK795" s="2494" t="str">
        <f t="shared" si="93"/>
        <v/>
      </c>
      <c r="DL795" s="2494" t="str">
        <f t="shared" si="94"/>
        <v/>
      </c>
      <c r="DM795" s="2494" t="str">
        <f t="shared" si="95"/>
        <v/>
      </c>
      <c r="DN795" s="2494" t="str">
        <f t="shared" si="96"/>
        <v/>
      </c>
      <c r="DO795" s="2494" t="str">
        <f t="shared" si="97"/>
        <v/>
      </c>
      <c r="DP795" s="2494" t="str">
        <f t="shared" si="98"/>
        <v/>
      </c>
      <c r="DQ795" s="2494" t="str">
        <f t="shared" si="99"/>
        <v/>
      </c>
      <c r="DR795" s="2494" t="str">
        <f t="shared" si="100"/>
        <v/>
      </c>
      <c r="DS795" s="2494" t="str">
        <f t="shared" si="101"/>
        <v/>
      </c>
      <c r="DT795" s="2494" t="str">
        <f t="shared" si="102"/>
        <v/>
      </c>
      <c r="DU795" s="2494" t="str">
        <f t="shared" si="103"/>
        <v/>
      </c>
      <c r="DV795" s="2494" t="str">
        <f t="shared" si="104"/>
        <v/>
      </c>
      <c r="DW795" s="2494" t="str">
        <f t="shared" si="105"/>
        <v/>
      </c>
      <c r="DX795" s="2494" t="str">
        <f t="shared" si="106"/>
        <v/>
      </c>
      <c r="DY795" s="2494" t="str">
        <f t="shared" si="107"/>
        <v/>
      </c>
      <c r="DZ795" s="2494" t="str">
        <f t="shared" si="108"/>
        <v/>
      </c>
      <c r="EA795" s="2494" t="str">
        <f t="shared" si="109"/>
        <v/>
      </c>
      <c r="EB795" s="2494" t="str">
        <f t="shared" si="110"/>
        <v/>
      </c>
      <c r="EC795" s="2494" t="str">
        <f t="shared" si="111"/>
        <v/>
      </c>
      <c r="ED795" s="2494" t="str">
        <f t="shared" si="112"/>
        <v/>
      </c>
      <c r="EE795" s="2494" t="str">
        <f t="shared" si="113"/>
        <v/>
      </c>
      <c r="EF795" s="2494" t="str">
        <f t="shared" si="114"/>
        <v/>
      </c>
      <c r="EG795" s="2494" t="str">
        <f t="shared" si="115"/>
        <v/>
      </c>
      <c r="EH795" s="2494" t="str">
        <f t="shared" si="116"/>
        <v/>
      </c>
      <c r="EI795" s="2494" t="str">
        <f t="shared" si="117"/>
        <v/>
      </c>
      <c r="EJ795" s="2494" t="str">
        <f t="shared" si="118"/>
        <v/>
      </c>
      <c r="EK795" s="2494" t="str">
        <f t="shared" si="119"/>
        <v/>
      </c>
      <c r="EL795" s="2494" t="str">
        <f t="shared" si="120"/>
        <v/>
      </c>
      <c r="EM795" s="2494" t="str">
        <f t="shared" si="121"/>
        <v/>
      </c>
      <c r="EN795" s="2494" t="str">
        <f t="shared" si="122"/>
        <v/>
      </c>
      <c r="EO795" s="2494" t="str">
        <f t="shared" si="123"/>
        <v/>
      </c>
      <c r="EP795" s="2494" t="str">
        <f t="shared" si="124"/>
        <v/>
      </c>
      <c r="EQ795" s="2494" t="str">
        <f t="shared" si="125"/>
        <v/>
      </c>
      <c r="ER795" s="2494" t="str">
        <f t="shared" si="126"/>
        <v/>
      </c>
      <c r="ES795" s="2494" t="str">
        <f t="shared" si="127"/>
        <v/>
      </c>
      <c r="ET795" s="2494" t="str">
        <f t="shared" si="128"/>
        <v/>
      </c>
      <c r="EU795" s="2494" t="str">
        <f t="shared" si="129"/>
        <v/>
      </c>
      <c r="EV795" s="2494" t="str">
        <f t="shared" si="130"/>
        <v/>
      </c>
      <c r="EW795" s="2494" t="str">
        <f t="shared" si="131"/>
        <v/>
      </c>
      <c r="EX795" s="2494" t="str">
        <f t="shared" si="132"/>
        <v/>
      </c>
      <c r="EY795" s="2494" t="str">
        <f t="shared" si="133"/>
        <v/>
      </c>
      <c r="EZ795" s="2494" t="str">
        <f t="shared" si="134"/>
        <v/>
      </c>
      <c r="FA795" s="2494" t="str">
        <f t="shared" si="135"/>
        <v/>
      </c>
      <c r="FB795" s="2494" t="str">
        <f t="shared" si="136"/>
        <v/>
      </c>
      <c r="FC795" s="2494" t="str">
        <f t="shared" si="137"/>
        <v/>
      </c>
      <c r="FD795" s="2494" t="str">
        <f t="shared" si="138"/>
        <v/>
      </c>
      <c r="FE795" s="2494" t="str">
        <f t="shared" si="139"/>
        <v/>
      </c>
      <c r="FF795" s="2494" t="str">
        <f t="shared" si="140"/>
        <v/>
      </c>
      <c r="FG795" s="2494" t="str">
        <f t="shared" si="141"/>
        <v/>
      </c>
      <c r="FH795" s="2494" t="str">
        <f t="shared" si="142"/>
        <v/>
      </c>
      <c r="FI795" s="2494" t="str">
        <f t="shared" si="143"/>
        <v/>
      </c>
      <c r="FJ795" s="2494" t="str">
        <f t="shared" si="144"/>
        <v/>
      </c>
      <c r="FK795" s="2494" t="str">
        <f t="shared" si="145"/>
        <v/>
      </c>
      <c r="FL795" s="2494" t="str">
        <f t="shared" si="146"/>
        <v/>
      </c>
      <c r="FM795" s="2494" t="str">
        <f t="shared" si="147"/>
        <v/>
      </c>
      <c r="FN795" s="2494" t="str">
        <f t="shared" si="148"/>
        <v/>
      </c>
      <c r="FO795" s="2494" t="str">
        <f t="shared" si="149"/>
        <v/>
      </c>
      <c r="FP795" s="2494" t="str">
        <f t="shared" si="150"/>
        <v/>
      </c>
      <c r="FQ795" s="2494" t="str">
        <f t="shared" si="151"/>
        <v/>
      </c>
      <c r="FR795" s="2494" t="str">
        <f t="shared" si="152"/>
        <v/>
      </c>
      <c r="FS795" s="2494" t="str">
        <f t="shared" si="153"/>
        <v/>
      </c>
      <c r="FT795" s="2494" t="str">
        <f t="shared" si="154"/>
        <v/>
      </c>
      <c r="FU795" s="2494" t="str">
        <f t="shared" si="155"/>
        <v/>
      </c>
      <c r="FV795" s="2494" t="str">
        <f t="shared" si="156"/>
        <v/>
      </c>
      <c r="FW795" s="2494" t="str">
        <f t="shared" si="157"/>
        <v/>
      </c>
      <c r="FX795" s="2494" t="str">
        <f t="shared" si="158"/>
        <v/>
      </c>
      <c r="FY795" s="2494" t="str">
        <f t="shared" si="159"/>
        <v/>
      </c>
      <c r="FZ795" s="2494" t="str">
        <f t="shared" si="160"/>
        <v/>
      </c>
      <c r="GA795" s="2494" t="str">
        <f t="shared" si="161"/>
        <v/>
      </c>
      <c r="GB795" s="2494" t="str">
        <f t="shared" si="162"/>
        <v/>
      </c>
      <c r="GC795" s="2494" t="str">
        <f t="shared" si="163"/>
        <v/>
      </c>
      <c r="GD795" s="2494" t="str">
        <f t="shared" si="164"/>
        <v/>
      </c>
      <c r="GE795" s="2494" t="str">
        <f t="shared" si="165"/>
        <v/>
      </c>
      <c r="GF795" s="2494" t="str">
        <f t="shared" si="166"/>
        <v/>
      </c>
      <c r="GG795" s="2494" t="str">
        <f t="shared" si="167"/>
        <v/>
      </c>
      <c r="GH795" s="2494" t="str">
        <f t="shared" si="168"/>
        <v/>
      </c>
      <c r="GI795" s="2494" t="str">
        <f t="shared" si="169"/>
        <v/>
      </c>
      <c r="GJ795" s="2494" t="str">
        <f t="shared" si="170"/>
        <v/>
      </c>
      <c r="GK795" s="2494" t="str">
        <f t="shared" si="171"/>
        <v/>
      </c>
      <c r="GL795" s="2494" t="str">
        <f t="shared" si="172"/>
        <v/>
      </c>
      <c r="GM795" s="2494" t="str">
        <f t="shared" si="173"/>
        <v/>
      </c>
      <c r="GN795" s="2494" t="str">
        <f t="shared" si="174"/>
        <v/>
      </c>
      <c r="GO795" s="2494" t="str">
        <f t="shared" si="175"/>
        <v/>
      </c>
      <c r="GP795" s="2494" t="str">
        <f t="shared" si="176"/>
        <v/>
      </c>
      <c r="GQ795" s="2494" t="str">
        <f t="shared" si="177"/>
        <v/>
      </c>
      <c r="GR795" s="2494" t="str">
        <f t="shared" si="178"/>
        <v/>
      </c>
      <c r="GS795" s="2494" t="str">
        <f t="shared" si="179"/>
        <v/>
      </c>
      <c r="GT795" s="2494" t="str">
        <f t="shared" si="180"/>
        <v/>
      </c>
      <c r="GU795" s="2494" t="str">
        <f t="shared" si="181"/>
        <v/>
      </c>
      <c r="GV795" s="2494" t="str">
        <f t="shared" si="182"/>
        <v/>
      </c>
      <c r="GW795" s="2494" t="str">
        <f t="shared" si="183"/>
        <v/>
      </c>
      <c r="GX795" s="2494" t="str">
        <f t="shared" si="184"/>
        <v/>
      </c>
      <c r="GY795" s="2494" t="str">
        <f t="shared" si="185"/>
        <v/>
      </c>
      <c r="GZ795" s="2494" t="str">
        <f t="shared" si="186"/>
        <v/>
      </c>
      <c r="HA795" s="2494" t="str">
        <f t="shared" si="187"/>
        <v/>
      </c>
      <c r="HB795" s="2494" t="str">
        <f t="shared" si="188"/>
        <v/>
      </c>
      <c r="HC795" s="2494" t="str">
        <f t="shared" si="189"/>
        <v/>
      </c>
      <c r="HD795" s="2494" t="str">
        <f t="shared" si="190"/>
        <v/>
      </c>
      <c r="HE795" s="2494" t="str">
        <f t="shared" si="191"/>
        <v/>
      </c>
      <c r="HF795" s="2494" t="str">
        <f t="shared" si="192"/>
        <v/>
      </c>
      <c r="HG795" s="2494" t="str">
        <f t="shared" si="193"/>
        <v/>
      </c>
      <c r="HH795" s="2494" t="str">
        <f t="shared" si="194"/>
        <v/>
      </c>
      <c r="HI795" s="2494" t="str">
        <f t="shared" si="195"/>
        <v/>
      </c>
      <c r="HJ795" s="2494" t="str">
        <f t="shared" si="196"/>
        <v/>
      </c>
      <c r="HK795" s="2494" t="str">
        <f t="shared" si="197"/>
        <v/>
      </c>
      <c r="HL795" s="2494" t="str">
        <f t="shared" si="198"/>
        <v/>
      </c>
      <c r="HM795" s="2494" t="str">
        <f t="shared" si="199"/>
        <v/>
      </c>
      <c r="HN795" s="2494" t="str">
        <f t="shared" si="200"/>
        <v/>
      </c>
      <c r="HO795" s="2494" t="str">
        <f t="shared" si="201"/>
        <v/>
      </c>
      <c r="HP795" s="2494" t="str">
        <f t="shared" si="202"/>
        <v/>
      </c>
      <c r="HQ795" s="2494" t="str">
        <f t="shared" si="203"/>
        <v/>
      </c>
      <c r="HR795" s="2494" t="str">
        <f t="shared" si="204"/>
        <v/>
      </c>
      <c r="HS795" s="2494" t="str">
        <f t="shared" si="205"/>
        <v/>
      </c>
      <c r="HT795" s="2494" t="str">
        <f t="shared" si="206"/>
        <v/>
      </c>
      <c r="HU795" s="2494" t="str">
        <f t="shared" si="207"/>
        <v/>
      </c>
      <c r="HV795" s="2494" t="str">
        <f t="shared" si="208"/>
        <v/>
      </c>
      <c r="HW795" s="2494" t="str">
        <f t="shared" si="209"/>
        <v/>
      </c>
      <c r="HX795" s="2494" t="str">
        <f t="shared" si="210"/>
        <v/>
      </c>
      <c r="HY795" s="2494" t="str">
        <f t="shared" si="211"/>
        <v/>
      </c>
      <c r="HZ795" s="2672" t="str">
        <f t="shared" si="212"/>
        <v/>
      </c>
      <c r="IA795" s="2672" t="str">
        <f t="shared" si="213"/>
        <v/>
      </c>
      <c r="IB795" s="2672" t="str">
        <f t="shared" si="214"/>
        <v/>
      </c>
      <c r="IC795" s="2672" t="str">
        <f t="shared" si="215"/>
        <v/>
      </c>
      <c r="ID795" s="2672" t="str">
        <f t="shared" si="216"/>
        <v/>
      </c>
      <c r="IE795" s="2672" t="str">
        <f t="shared" si="217"/>
        <v/>
      </c>
      <c r="IF795" s="2672" t="str">
        <f t="shared" si="218"/>
        <v/>
      </c>
      <c r="IG795" s="2672" t="str">
        <f t="shared" si="219"/>
        <v/>
      </c>
      <c r="IH795" s="2672" t="str">
        <f t="shared" si="220"/>
        <v/>
      </c>
      <c r="II795" s="2672" t="str">
        <f t="shared" si="221"/>
        <v/>
      </c>
      <c r="IJ795" s="2672" t="str">
        <f t="shared" si="222"/>
        <v/>
      </c>
      <c r="IK795" s="2672" t="str">
        <f t="shared" si="223"/>
        <v/>
      </c>
      <c r="IL795" s="2672" t="str">
        <f t="shared" si="224"/>
        <v/>
      </c>
      <c r="IM795" s="2672" t="str">
        <f t="shared" si="225"/>
        <v/>
      </c>
      <c r="IN795" s="2672" t="str">
        <f t="shared" si="226"/>
        <v/>
      </c>
      <c r="IO795" s="2672" t="str">
        <f t="shared" si="227"/>
        <v/>
      </c>
      <c r="IP795" s="2672" t="str">
        <f t="shared" si="228"/>
        <v/>
      </c>
      <c r="IQ795" s="2672" t="str">
        <f t="shared" si="229"/>
        <v/>
      </c>
      <c r="IR795" s="2672" t="str">
        <f t="shared" si="230"/>
        <v/>
      </c>
      <c r="IS795" s="2672" t="str">
        <f t="shared" si="231"/>
        <v/>
      </c>
      <c r="IT795" s="2672" t="str">
        <f t="shared" si="232"/>
        <v/>
      </c>
      <c r="IU795" s="2672" t="str">
        <f t="shared" si="233"/>
        <v/>
      </c>
      <c r="IV795" s="2672" t="str">
        <f t="shared" si="234"/>
        <v/>
      </c>
      <c r="IW795" s="2672" t="str">
        <f t="shared" si="235"/>
        <v/>
      </c>
      <c r="IX795" s="2672" t="str">
        <f t="shared" si="236"/>
        <v/>
      </c>
      <c r="IY795" s="2672" t="str">
        <f t="shared" si="237"/>
        <v/>
      </c>
      <c r="IZ795" s="2672" t="str">
        <f t="shared" si="238"/>
        <v/>
      </c>
      <c r="JA795" s="2672" t="str">
        <f t="shared" si="239"/>
        <v/>
      </c>
      <c r="JB795" s="2672" t="str">
        <f t="shared" si="240"/>
        <v/>
      </c>
      <c r="JC795" s="2672" t="str">
        <f t="shared" si="241"/>
        <v/>
      </c>
      <c r="JD795" s="2672" t="str">
        <f t="shared" si="242"/>
        <v/>
      </c>
      <c r="JE795" s="2672" t="str">
        <f t="shared" si="243"/>
        <v/>
      </c>
      <c r="JF795" s="2672" t="str">
        <f t="shared" si="244"/>
        <v/>
      </c>
      <c r="JG795" s="2672" t="str">
        <f t="shared" si="245"/>
        <v/>
      </c>
      <c r="JH795" s="2672" t="str">
        <f t="shared" si="246"/>
        <v/>
      </c>
      <c r="JI795" s="2672" t="str">
        <f t="shared" si="247"/>
        <v/>
      </c>
      <c r="JJ795" s="2672" t="str">
        <f t="shared" si="248"/>
        <v/>
      </c>
      <c r="JK795" s="2672" t="str">
        <f t="shared" si="249"/>
        <v/>
      </c>
      <c r="JL795" s="2672" t="str">
        <f t="shared" si="250"/>
        <v/>
      </c>
      <c r="JM795" s="2672" t="str">
        <f t="shared" si="251"/>
        <v/>
      </c>
      <c r="JN795" s="2672" t="str">
        <f t="shared" si="252"/>
        <v/>
      </c>
      <c r="JO795" s="2672" t="str">
        <f t="shared" si="253"/>
        <v/>
      </c>
      <c r="JP795" s="2672" t="str">
        <f t="shared" si="254"/>
        <v/>
      </c>
      <c r="JQ795" s="2672" t="str">
        <f t="shared" si="255"/>
        <v/>
      </c>
      <c r="JR795" s="2672" t="str">
        <f t="shared" si="256"/>
        <v/>
      </c>
      <c r="JS795" s="2672" t="str">
        <f t="shared" si="257"/>
        <v/>
      </c>
      <c r="JT795" s="2672" t="str">
        <f t="shared" si="258"/>
        <v/>
      </c>
      <c r="JU795" s="2672" t="str">
        <f t="shared" si="259"/>
        <v/>
      </c>
      <c r="JV795" s="2672" t="str">
        <f t="shared" si="260"/>
        <v/>
      </c>
      <c r="JW795" s="2672" t="str">
        <f t="shared" si="261"/>
        <v/>
      </c>
      <c r="JX795" s="2672" t="str">
        <f t="shared" si="262"/>
        <v/>
      </c>
      <c r="JY795" s="2672" t="str">
        <f t="shared" si="263"/>
        <v/>
      </c>
      <c r="JZ795" s="2672" t="str">
        <f t="shared" si="264"/>
        <v/>
      </c>
      <c r="KA795" s="2672" t="str">
        <f t="shared" si="265"/>
        <v/>
      </c>
      <c r="KB795" s="2672" t="str">
        <f t="shared" si="266"/>
        <v/>
      </c>
      <c r="KC795" s="2672" t="str">
        <f t="shared" si="267"/>
        <v/>
      </c>
      <c r="KD795" s="2672" t="str">
        <f t="shared" si="268"/>
        <v/>
      </c>
      <c r="KE795" s="2672" t="str">
        <f t="shared" si="269"/>
        <v/>
      </c>
      <c r="KF795" s="2672" t="str">
        <f t="shared" si="270"/>
        <v/>
      </c>
      <c r="KG795" s="2672" t="str">
        <f t="shared" si="271"/>
        <v/>
      </c>
      <c r="KH795" s="2672" t="str">
        <f t="shared" si="272"/>
        <v/>
      </c>
      <c r="KI795" s="2672" t="str">
        <f t="shared" si="273"/>
        <v/>
      </c>
      <c r="KJ795" s="2672" t="str">
        <f t="shared" si="274"/>
        <v/>
      </c>
      <c r="KK795" s="2672" t="str">
        <f t="shared" si="275"/>
        <v/>
      </c>
      <c r="KL795" s="2672" t="str">
        <f t="shared" si="276"/>
        <v/>
      </c>
      <c r="KM795" s="2672" t="str">
        <f t="shared" si="277"/>
        <v/>
      </c>
      <c r="KN795" s="2672" t="str">
        <f t="shared" si="278"/>
        <v/>
      </c>
      <c r="KO795" s="2672" t="str">
        <f t="shared" si="279"/>
        <v/>
      </c>
      <c r="KP795" s="2672" t="str">
        <f t="shared" si="280"/>
        <v/>
      </c>
      <c r="KQ795" s="2672" t="str">
        <f t="shared" si="281"/>
        <v/>
      </c>
      <c r="KR795" s="2672" t="str">
        <f t="shared" si="282"/>
        <v/>
      </c>
      <c r="KS795" s="2672" t="str">
        <f t="shared" si="283"/>
        <v/>
      </c>
      <c r="KT795" s="2672" t="str">
        <f t="shared" si="284"/>
        <v/>
      </c>
      <c r="KU795" s="2672" t="str">
        <f t="shared" si="285"/>
        <v/>
      </c>
      <c r="KV795" s="2672" t="str">
        <f t="shared" si="286"/>
        <v/>
      </c>
      <c r="KW795" s="2672" t="str">
        <f t="shared" si="287"/>
        <v/>
      </c>
      <c r="KX795" s="2672" t="str">
        <f t="shared" si="288"/>
        <v/>
      </c>
      <c r="KY795" s="2672" t="str">
        <f t="shared" si="289"/>
        <v/>
      </c>
      <c r="KZ795" s="2672" t="str">
        <f t="shared" si="290"/>
        <v/>
      </c>
      <c r="LA795" s="2672" t="str">
        <f t="shared" si="291"/>
        <v/>
      </c>
      <c r="LB795" s="2672" t="str">
        <f t="shared" si="292"/>
        <v/>
      </c>
      <c r="LC795" s="2672" t="str">
        <f t="shared" si="293"/>
        <v/>
      </c>
      <c r="LD795" s="2672" t="str">
        <f t="shared" si="294"/>
        <v/>
      </c>
      <c r="LE795" s="2672" t="str">
        <f t="shared" si="295"/>
        <v/>
      </c>
      <c r="LF795" s="2672" t="str">
        <f t="shared" si="296"/>
        <v/>
      </c>
      <c r="LG795" s="2672" t="str">
        <f t="shared" si="297"/>
        <v/>
      </c>
      <c r="LH795" s="2672" t="str">
        <f t="shared" si="298"/>
        <v/>
      </c>
      <c r="LI795" s="2672" t="str">
        <f t="shared" si="299"/>
        <v/>
      </c>
      <c r="LJ795" s="2672" t="str">
        <f t="shared" si="300"/>
        <v/>
      </c>
      <c r="LK795" s="2672" t="str">
        <f t="shared" si="301"/>
        <v/>
      </c>
      <c r="LL795" s="2672" t="str">
        <f t="shared" si="302"/>
        <v/>
      </c>
      <c r="LM795" s="2672" t="str">
        <f t="shared" si="303"/>
        <v/>
      </c>
      <c r="LN795" s="2672" t="str">
        <f t="shared" si="304"/>
        <v/>
      </c>
      <c r="LO795" s="2672" t="str">
        <f t="shared" si="305"/>
        <v/>
      </c>
      <c r="LP795" s="2672" t="str">
        <f t="shared" si="306"/>
        <v/>
      </c>
      <c r="LQ795" s="2613" t="str">
        <f t="shared" si="307"/>
        <v/>
      </c>
      <c r="LR795" s="2613" t="str">
        <f t="shared" si="308"/>
        <v/>
      </c>
      <c r="LS795" s="2613" t="str">
        <f t="shared" si="309"/>
        <v/>
      </c>
      <c r="LT795" s="2613" t="str">
        <f t="shared" si="310"/>
        <v/>
      </c>
      <c r="LU795" s="2613" t="str">
        <f t="shared" si="311"/>
        <v/>
      </c>
      <c r="LV795" s="2494" t="str">
        <f t="shared" si="312"/>
        <v/>
      </c>
      <c r="LW795" s="2494" t="str">
        <f t="shared" si="313"/>
        <v/>
      </c>
      <c r="LX795" s="2494" t="str">
        <f t="shared" si="314"/>
        <v/>
      </c>
      <c r="LY795" s="2494" t="str">
        <f t="shared" si="315"/>
        <v/>
      </c>
      <c r="LZ795" s="2494" t="str">
        <f t="shared" si="316"/>
        <v/>
      </c>
      <c r="MA795" s="2494" t="str">
        <f t="shared" si="317"/>
        <v/>
      </c>
      <c r="MB795" s="2494" t="str">
        <f t="shared" si="318"/>
        <v/>
      </c>
      <c r="MC795" s="2494" t="str">
        <f t="shared" si="319"/>
        <v/>
      </c>
      <c r="MD795" s="2494" t="str">
        <f t="shared" si="320"/>
        <v/>
      </c>
      <c r="ME795" s="2494" t="str">
        <f t="shared" si="321"/>
        <v/>
      </c>
      <c r="MF795" s="2494" t="str">
        <f t="shared" si="322"/>
        <v/>
      </c>
      <c r="MG795" s="2494" t="str">
        <f t="shared" si="323"/>
        <v/>
      </c>
      <c r="MH795" s="2494" t="str">
        <f t="shared" si="324"/>
        <v/>
      </c>
      <c r="MI795" s="2494" t="str">
        <f t="shared" si="325"/>
        <v/>
      </c>
      <c r="MJ795" s="2494" t="str">
        <f t="shared" si="326"/>
        <v/>
      </c>
      <c r="MK795" s="2494" t="str">
        <f t="shared" si="327"/>
        <v/>
      </c>
      <c r="ML795" s="2494" t="str">
        <f t="shared" si="328"/>
        <v/>
      </c>
      <c r="MM795" s="2494" t="str">
        <f t="shared" si="329"/>
        <v/>
      </c>
      <c r="MN795" s="2494" t="str">
        <f t="shared" si="330"/>
        <v/>
      </c>
      <c r="MO795" s="2494" t="str">
        <f t="shared" si="331"/>
        <v/>
      </c>
      <c r="MP795" s="2613">
        <f t="shared" si="338"/>
        <v>0</v>
      </c>
      <c r="MQ795" s="2613">
        <f t="shared" si="339"/>
        <v>0</v>
      </c>
      <c r="MR795" s="2613">
        <f t="shared" si="340"/>
        <v>0</v>
      </c>
      <c r="MS795" s="2613">
        <f t="shared" si="341"/>
        <v>0</v>
      </c>
      <c r="MT795" s="2613">
        <f t="shared" si="342"/>
        <v>0</v>
      </c>
      <c r="MU795" s="2613">
        <f t="shared" si="343"/>
        <v>0</v>
      </c>
      <c r="MV795" s="2613">
        <f t="shared" si="344"/>
        <v>0</v>
      </c>
      <c r="MW795" s="2613">
        <f t="shared" si="345"/>
        <v>0</v>
      </c>
      <c r="MX795" s="2613">
        <f t="shared" si="346"/>
        <v>0</v>
      </c>
      <c r="MY795" s="2613">
        <f t="shared" si="347"/>
        <v>0</v>
      </c>
      <c r="MZ795" s="2613">
        <f t="shared" si="332"/>
        <v>0</v>
      </c>
      <c r="NA795" s="2613">
        <f t="shared" si="333"/>
        <v>0</v>
      </c>
      <c r="NB795" s="2613">
        <f t="shared" si="334"/>
        <v>0</v>
      </c>
      <c r="NC795" s="2613">
        <f t="shared" si="335"/>
        <v>0</v>
      </c>
      <c r="ND795" s="2613">
        <f t="shared" si="336"/>
        <v>0</v>
      </c>
    </row>
    <row r="796" spans="1:368" ht="13.8" customHeight="1">
      <c r="A796" s="2652" t="str">
        <f t="shared" si="337"/>
        <v/>
      </c>
      <c r="B796" s="2664">
        <f>'Part VI-Revenues &amp; Expenses'!B27</f>
        <v>0</v>
      </c>
      <c r="C796" s="2665">
        <f>'Part VI-Revenues &amp; Expenses'!C27</f>
        <v>0</v>
      </c>
      <c r="D796" s="2666">
        <f>'Part VI-Revenues &amp; Expenses'!D27</f>
        <v>0</v>
      </c>
      <c r="E796" s="2667">
        <f>'Part VI-Revenues &amp; Expenses'!E27</f>
        <v>0</v>
      </c>
      <c r="F796" s="2667">
        <f>'Part VI-Revenues &amp; Expenses'!F27</f>
        <v>0</v>
      </c>
      <c r="G796" s="2667">
        <f>'Part VI-Revenues &amp; Expenses'!G27</f>
        <v>0</v>
      </c>
      <c r="H796" s="2667">
        <f>'Part VI-Revenues &amp; Expenses'!H27</f>
        <v>0</v>
      </c>
      <c r="I796" s="2667">
        <f>'Part VI-Revenues &amp; Expenses'!I27</f>
        <v>0</v>
      </c>
      <c r="J796" s="2667">
        <f>'Part VI-Revenues &amp; Expenses'!J27</f>
        <v>0</v>
      </c>
      <c r="K796" s="2668">
        <f>'Part VI-Revenues &amp; Expenses'!K27</f>
        <v>0</v>
      </c>
      <c r="L796" s="2669">
        <f t="shared" si="0"/>
        <v>0</v>
      </c>
      <c r="M796" s="2669">
        <f t="shared" si="1"/>
        <v>0</v>
      </c>
      <c r="N796" s="2545">
        <f>'Part VI-Revenues &amp; Expenses'!N27</f>
        <v>0</v>
      </c>
      <c r="O796" s="2545">
        <f>'Part VI-Revenues &amp; Expenses'!O27</f>
        <v>0</v>
      </c>
      <c r="P796" s="2545">
        <f>'Part VI-Revenues &amp; Expenses'!P27</f>
        <v>0</v>
      </c>
      <c r="Q796" s="2251">
        <f>'Part VI-Revenues &amp; Expenses'!Q27</f>
        <v>0</v>
      </c>
      <c r="R796" s="2670"/>
      <c r="S796" s="2671"/>
      <c r="T796" s="2607"/>
      <c r="U796" s="2607"/>
      <c r="V796" s="2607"/>
      <c r="W796" s="2607"/>
      <c r="X796" s="2494" t="str">
        <f t="shared" si="2"/>
        <v/>
      </c>
      <c r="Y796" s="2494" t="str">
        <f t="shared" si="3"/>
        <v/>
      </c>
      <c r="Z796" s="2494" t="str">
        <f t="shared" si="4"/>
        <v/>
      </c>
      <c r="AA796" s="2494" t="str">
        <f t="shared" si="5"/>
        <v/>
      </c>
      <c r="AB796" s="2494" t="str">
        <f t="shared" si="6"/>
        <v/>
      </c>
      <c r="AC796" s="2494" t="str">
        <f t="shared" si="7"/>
        <v/>
      </c>
      <c r="AD796" s="2494" t="str">
        <f t="shared" si="8"/>
        <v/>
      </c>
      <c r="AE796" s="2494" t="str">
        <f t="shared" si="9"/>
        <v/>
      </c>
      <c r="AF796" s="2494" t="str">
        <f t="shared" si="10"/>
        <v/>
      </c>
      <c r="AG796" s="2494" t="str">
        <f t="shared" si="11"/>
        <v/>
      </c>
      <c r="AH796" s="2494" t="str">
        <f t="shared" si="12"/>
        <v/>
      </c>
      <c r="AI796" s="2494" t="str">
        <f t="shared" si="13"/>
        <v/>
      </c>
      <c r="AJ796" s="2494" t="str">
        <f t="shared" si="14"/>
        <v/>
      </c>
      <c r="AK796" s="2494" t="str">
        <f t="shared" si="15"/>
        <v/>
      </c>
      <c r="AL796" s="2494" t="str">
        <f t="shared" si="16"/>
        <v/>
      </c>
      <c r="AM796" s="2494" t="str">
        <f t="shared" si="17"/>
        <v/>
      </c>
      <c r="AN796" s="2494" t="str">
        <f t="shared" si="18"/>
        <v/>
      </c>
      <c r="AO796" s="2494" t="str">
        <f t="shared" si="19"/>
        <v/>
      </c>
      <c r="AP796" s="2494" t="str">
        <f t="shared" si="20"/>
        <v/>
      </c>
      <c r="AQ796" s="2494" t="str">
        <f t="shared" si="21"/>
        <v/>
      </c>
      <c r="AR796" s="2494" t="str">
        <f t="shared" si="22"/>
        <v/>
      </c>
      <c r="AS796" s="2494" t="str">
        <f t="shared" si="23"/>
        <v/>
      </c>
      <c r="AT796" s="2494" t="str">
        <f t="shared" si="24"/>
        <v/>
      </c>
      <c r="AU796" s="2494" t="str">
        <f t="shared" si="25"/>
        <v/>
      </c>
      <c r="AV796" s="2494" t="str">
        <f t="shared" si="26"/>
        <v/>
      </c>
      <c r="AW796" s="2494" t="str">
        <f t="shared" si="27"/>
        <v/>
      </c>
      <c r="AX796" s="2494" t="str">
        <f t="shared" si="28"/>
        <v/>
      </c>
      <c r="AY796" s="2494" t="str">
        <f t="shared" si="29"/>
        <v/>
      </c>
      <c r="AZ796" s="2494" t="str">
        <f t="shared" si="30"/>
        <v/>
      </c>
      <c r="BA796" s="2494" t="str">
        <f t="shared" si="31"/>
        <v/>
      </c>
      <c r="BB796" s="2494" t="str">
        <f t="shared" si="32"/>
        <v/>
      </c>
      <c r="BC796" s="2494" t="str">
        <f t="shared" si="33"/>
        <v/>
      </c>
      <c r="BD796" s="2494" t="str">
        <f t="shared" si="34"/>
        <v/>
      </c>
      <c r="BE796" s="2494" t="str">
        <f t="shared" si="35"/>
        <v/>
      </c>
      <c r="BF796" s="2494" t="str">
        <f t="shared" si="36"/>
        <v/>
      </c>
      <c r="BG796" s="2494" t="str">
        <f t="shared" si="37"/>
        <v/>
      </c>
      <c r="BH796" s="2494" t="str">
        <f t="shared" si="38"/>
        <v/>
      </c>
      <c r="BI796" s="2494" t="str">
        <f t="shared" si="39"/>
        <v/>
      </c>
      <c r="BJ796" s="2494" t="str">
        <f t="shared" si="40"/>
        <v/>
      </c>
      <c r="BK796" s="2494" t="str">
        <f t="shared" si="41"/>
        <v/>
      </c>
      <c r="BL796" s="2494" t="str">
        <f t="shared" si="42"/>
        <v/>
      </c>
      <c r="BM796" s="2494" t="str">
        <f t="shared" si="43"/>
        <v/>
      </c>
      <c r="BN796" s="2494" t="str">
        <f t="shared" si="44"/>
        <v/>
      </c>
      <c r="BO796" s="2494" t="str">
        <f t="shared" si="45"/>
        <v/>
      </c>
      <c r="BP796" s="2494" t="str">
        <f t="shared" si="46"/>
        <v/>
      </c>
      <c r="BQ796" s="2494" t="str">
        <f t="shared" si="47"/>
        <v/>
      </c>
      <c r="BR796" s="2494" t="str">
        <f t="shared" si="48"/>
        <v/>
      </c>
      <c r="BS796" s="2494" t="str">
        <f t="shared" si="49"/>
        <v/>
      </c>
      <c r="BT796" s="2494" t="str">
        <f t="shared" si="50"/>
        <v/>
      </c>
      <c r="BU796" s="2494" t="str">
        <f t="shared" si="51"/>
        <v/>
      </c>
      <c r="BV796" s="2494" t="str">
        <f t="shared" si="52"/>
        <v/>
      </c>
      <c r="BW796" s="2494" t="str">
        <f t="shared" si="53"/>
        <v/>
      </c>
      <c r="BX796" s="2494" t="str">
        <f t="shared" si="54"/>
        <v/>
      </c>
      <c r="BY796" s="2494" t="str">
        <f t="shared" si="55"/>
        <v/>
      </c>
      <c r="BZ796" s="2494" t="str">
        <f t="shared" si="56"/>
        <v/>
      </c>
      <c r="CA796" s="2494" t="str">
        <f t="shared" si="57"/>
        <v/>
      </c>
      <c r="CB796" s="2494" t="str">
        <f t="shared" si="58"/>
        <v/>
      </c>
      <c r="CC796" s="2494" t="str">
        <f t="shared" si="59"/>
        <v/>
      </c>
      <c r="CD796" s="2494" t="str">
        <f t="shared" si="60"/>
        <v/>
      </c>
      <c r="CE796" s="2494" t="str">
        <f t="shared" si="61"/>
        <v/>
      </c>
      <c r="CF796" s="2494" t="str">
        <f t="shared" si="62"/>
        <v/>
      </c>
      <c r="CG796" s="2494" t="str">
        <f t="shared" si="63"/>
        <v/>
      </c>
      <c r="CH796" s="2494" t="str">
        <f t="shared" si="64"/>
        <v/>
      </c>
      <c r="CI796" s="2494" t="str">
        <f t="shared" si="65"/>
        <v/>
      </c>
      <c r="CJ796" s="2494" t="str">
        <f t="shared" si="66"/>
        <v/>
      </c>
      <c r="CK796" s="2494" t="str">
        <f t="shared" si="67"/>
        <v/>
      </c>
      <c r="CL796" s="2494" t="str">
        <f t="shared" si="68"/>
        <v/>
      </c>
      <c r="CM796" s="2494" t="str">
        <f t="shared" si="69"/>
        <v/>
      </c>
      <c r="CN796" s="2494" t="str">
        <f t="shared" si="70"/>
        <v/>
      </c>
      <c r="CO796" s="2494" t="str">
        <f t="shared" si="71"/>
        <v/>
      </c>
      <c r="CP796" s="2494" t="str">
        <f t="shared" si="72"/>
        <v/>
      </c>
      <c r="CQ796" s="2494" t="str">
        <f t="shared" si="73"/>
        <v/>
      </c>
      <c r="CR796" s="2494" t="str">
        <f t="shared" si="74"/>
        <v/>
      </c>
      <c r="CS796" s="2494" t="str">
        <f t="shared" si="75"/>
        <v/>
      </c>
      <c r="CT796" s="2494" t="str">
        <f t="shared" si="76"/>
        <v/>
      </c>
      <c r="CU796" s="2494" t="str">
        <f t="shared" si="77"/>
        <v/>
      </c>
      <c r="CV796" s="2494" t="str">
        <f t="shared" si="78"/>
        <v/>
      </c>
      <c r="CW796" s="2494" t="str">
        <f t="shared" si="79"/>
        <v/>
      </c>
      <c r="CX796" s="2494" t="str">
        <f t="shared" si="80"/>
        <v/>
      </c>
      <c r="CY796" s="2494" t="str">
        <f t="shared" si="81"/>
        <v/>
      </c>
      <c r="CZ796" s="2494" t="str">
        <f t="shared" si="82"/>
        <v/>
      </c>
      <c r="DA796" s="2494" t="str">
        <f t="shared" si="83"/>
        <v/>
      </c>
      <c r="DB796" s="2494" t="str">
        <f t="shared" si="84"/>
        <v/>
      </c>
      <c r="DC796" s="2494" t="str">
        <f t="shared" si="85"/>
        <v/>
      </c>
      <c r="DD796" s="2494" t="str">
        <f t="shared" si="86"/>
        <v/>
      </c>
      <c r="DE796" s="2494" t="str">
        <f t="shared" si="87"/>
        <v/>
      </c>
      <c r="DF796" s="2494" t="str">
        <f t="shared" si="88"/>
        <v/>
      </c>
      <c r="DG796" s="2494" t="str">
        <f t="shared" si="89"/>
        <v/>
      </c>
      <c r="DH796" s="2494" t="str">
        <f t="shared" si="90"/>
        <v/>
      </c>
      <c r="DI796" s="2494" t="str">
        <f t="shared" si="91"/>
        <v/>
      </c>
      <c r="DJ796" s="2494" t="str">
        <f t="shared" si="92"/>
        <v/>
      </c>
      <c r="DK796" s="2494" t="str">
        <f t="shared" si="93"/>
        <v/>
      </c>
      <c r="DL796" s="2494" t="str">
        <f t="shared" si="94"/>
        <v/>
      </c>
      <c r="DM796" s="2494" t="str">
        <f t="shared" si="95"/>
        <v/>
      </c>
      <c r="DN796" s="2494" t="str">
        <f t="shared" si="96"/>
        <v/>
      </c>
      <c r="DO796" s="2494" t="str">
        <f t="shared" si="97"/>
        <v/>
      </c>
      <c r="DP796" s="2494" t="str">
        <f t="shared" si="98"/>
        <v/>
      </c>
      <c r="DQ796" s="2494" t="str">
        <f t="shared" si="99"/>
        <v/>
      </c>
      <c r="DR796" s="2494" t="str">
        <f t="shared" si="100"/>
        <v/>
      </c>
      <c r="DS796" s="2494" t="str">
        <f t="shared" si="101"/>
        <v/>
      </c>
      <c r="DT796" s="2494" t="str">
        <f t="shared" si="102"/>
        <v/>
      </c>
      <c r="DU796" s="2494" t="str">
        <f t="shared" si="103"/>
        <v/>
      </c>
      <c r="DV796" s="2494" t="str">
        <f t="shared" si="104"/>
        <v/>
      </c>
      <c r="DW796" s="2494" t="str">
        <f t="shared" si="105"/>
        <v/>
      </c>
      <c r="DX796" s="2494" t="str">
        <f t="shared" si="106"/>
        <v/>
      </c>
      <c r="DY796" s="2494" t="str">
        <f t="shared" si="107"/>
        <v/>
      </c>
      <c r="DZ796" s="2494" t="str">
        <f t="shared" si="108"/>
        <v/>
      </c>
      <c r="EA796" s="2494" t="str">
        <f t="shared" si="109"/>
        <v/>
      </c>
      <c r="EB796" s="2494" t="str">
        <f t="shared" si="110"/>
        <v/>
      </c>
      <c r="EC796" s="2494" t="str">
        <f t="shared" si="111"/>
        <v/>
      </c>
      <c r="ED796" s="2494" t="str">
        <f t="shared" si="112"/>
        <v/>
      </c>
      <c r="EE796" s="2494" t="str">
        <f t="shared" si="113"/>
        <v/>
      </c>
      <c r="EF796" s="2494" t="str">
        <f t="shared" si="114"/>
        <v/>
      </c>
      <c r="EG796" s="2494" t="str">
        <f t="shared" si="115"/>
        <v/>
      </c>
      <c r="EH796" s="2494" t="str">
        <f t="shared" si="116"/>
        <v/>
      </c>
      <c r="EI796" s="2494" t="str">
        <f t="shared" si="117"/>
        <v/>
      </c>
      <c r="EJ796" s="2494" t="str">
        <f t="shared" si="118"/>
        <v/>
      </c>
      <c r="EK796" s="2494" t="str">
        <f t="shared" si="119"/>
        <v/>
      </c>
      <c r="EL796" s="2494" t="str">
        <f t="shared" si="120"/>
        <v/>
      </c>
      <c r="EM796" s="2494" t="str">
        <f t="shared" si="121"/>
        <v/>
      </c>
      <c r="EN796" s="2494" t="str">
        <f t="shared" si="122"/>
        <v/>
      </c>
      <c r="EO796" s="2494" t="str">
        <f t="shared" si="123"/>
        <v/>
      </c>
      <c r="EP796" s="2494" t="str">
        <f t="shared" si="124"/>
        <v/>
      </c>
      <c r="EQ796" s="2494" t="str">
        <f t="shared" si="125"/>
        <v/>
      </c>
      <c r="ER796" s="2494" t="str">
        <f t="shared" si="126"/>
        <v/>
      </c>
      <c r="ES796" s="2494" t="str">
        <f t="shared" si="127"/>
        <v/>
      </c>
      <c r="ET796" s="2494" t="str">
        <f t="shared" si="128"/>
        <v/>
      </c>
      <c r="EU796" s="2494" t="str">
        <f t="shared" si="129"/>
        <v/>
      </c>
      <c r="EV796" s="2494" t="str">
        <f t="shared" si="130"/>
        <v/>
      </c>
      <c r="EW796" s="2494" t="str">
        <f t="shared" si="131"/>
        <v/>
      </c>
      <c r="EX796" s="2494" t="str">
        <f t="shared" si="132"/>
        <v/>
      </c>
      <c r="EY796" s="2494" t="str">
        <f t="shared" si="133"/>
        <v/>
      </c>
      <c r="EZ796" s="2494" t="str">
        <f t="shared" si="134"/>
        <v/>
      </c>
      <c r="FA796" s="2494" t="str">
        <f t="shared" si="135"/>
        <v/>
      </c>
      <c r="FB796" s="2494" t="str">
        <f t="shared" si="136"/>
        <v/>
      </c>
      <c r="FC796" s="2494" t="str">
        <f t="shared" si="137"/>
        <v/>
      </c>
      <c r="FD796" s="2494" t="str">
        <f t="shared" si="138"/>
        <v/>
      </c>
      <c r="FE796" s="2494" t="str">
        <f t="shared" si="139"/>
        <v/>
      </c>
      <c r="FF796" s="2494" t="str">
        <f t="shared" si="140"/>
        <v/>
      </c>
      <c r="FG796" s="2494" t="str">
        <f t="shared" si="141"/>
        <v/>
      </c>
      <c r="FH796" s="2494" t="str">
        <f t="shared" si="142"/>
        <v/>
      </c>
      <c r="FI796" s="2494" t="str">
        <f t="shared" si="143"/>
        <v/>
      </c>
      <c r="FJ796" s="2494" t="str">
        <f t="shared" si="144"/>
        <v/>
      </c>
      <c r="FK796" s="2494" t="str">
        <f t="shared" si="145"/>
        <v/>
      </c>
      <c r="FL796" s="2494" t="str">
        <f t="shared" si="146"/>
        <v/>
      </c>
      <c r="FM796" s="2494" t="str">
        <f t="shared" si="147"/>
        <v/>
      </c>
      <c r="FN796" s="2494" t="str">
        <f t="shared" si="148"/>
        <v/>
      </c>
      <c r="FO796" s="2494" t="str">
        <f t="shared" si="149"/>
        <v/>
      </c>
      <c r="FP796" s="2494" t="str">
        <f t="shared" si="150"/>
        <v/>
      </c>
      <c r="FQ796" s="2494" t="str">
        <f t="shared" si="151"/>
        <v/>
      </c>
      <c r="FR796" s="2494" t="str">
        <f t="shared" si="152"/>
        <v/>
      </c>
      <c r="FS796" s="2494" t="str">
        <f t="shared" si="153"/>
        <v/>
      </c>
      <c r="FT796" s="2494" t="str">
        <f t="shared" si="154"/>
        <v/>
      </c>
      <c r="FU796" s="2494" t="str">
        <f t="shared" si="155"/>
        <v/>
      </c>
      <c r="FV796" s="2494" t="str">
        <f t="shared" si="156"/>
        <v/>
      </c>
      <c r="FW796" s="2494" t="str">
        <f t="shared" si="157"/>
        <v/>
      </c>
      <c r="FX796" s="2494" t="str">
        <f t="shared" si="158"/>
        <v/>
      </c>
      <c r="FY796" s="2494" t="str">
        <f t="shared" si="159"/>
        <v/>
      </c>
      <c r="FZ796" s="2494" t="str">
        <f t="shared" si="160"/>
        <v/>
      </c>
      <c r="GA796" s="2494" t="str">
        <f t="shared" si="161"/>
        <v/>
      </c>
      <c r="GB796" s="2494" t="str">
        <f t="shared" si="162"/>
        <v/>
      </c>
      <c r="GC796" s="2494" t="str">
        <f t="shared" si="163"/>
        <v/>
      </c>
      <c r="GD796" s="2494" t="str">
        <f t="shared" si="164"/>
        <v/>
      </c>
      <c r="GE796" s="2494" t="str">
        <f t="shared" si="165"/>
        <v/>
      </c>
      <c r="GF796" s="2494" t="str">
        <f t="shared" si="166"/>
        <v/>
      </c>
      <c r="GG796" s="2494" t="str">
        <f t="shared" si="167"/>
        <v/>
      </c>
      <c r="GH796" s="2494" t="str">
        <f t="shared" si="168"/>
        <v/>
      </c>
      <c r="GI796" s="2494" t="str">
        <f t="shared" si="169"/>
        <v/>
      </c>
      <c r="GJ796" s="2494" t="str">
        <f t="shared" si="170"/>
        <v/>
      </c>
      <c r="GK796" s="2494" t="str">
        <f t="shared" si="171"/>
        <v/>
      </c>
      <c r="GL796" s="2494" t="str">
        <f t="shared" si="172"/>
        <v/>
      </c>
      <c r="GM796" s="2494" t="str">
        <f t="shared" si="173"/>
        <v/>
      </c>
      <c r="GN796" s="2494" t="str">
        <f t="shared" si="174"/>
        <v/>
      </c>
      <c r="GO796" s="2494" t="str">
        <f t="shared" si="175"/>
        <v/>
      </c>
      <c r="GP796" s="2494" t="str">
        <f t="shared" si="176"/>
        <v/>
      </c>
      <c r="GQ796" s="2494" t="str">
        <f t="shared" si="177"/>
        <v/>
      </c>
      <c r="GR796" s="2494" t="str">
        <f t="shared" si="178"/>
        <v/>
      </c>
      <c r="GS796" s="2494" t="str">
        <f t="shared" si="179"/>
        <v/>
      </c>
      <c r="GT796" s="2494" t="str">
        <f t="shared" si="180"/>
        <v/>
      </c>
      <c r="GU796" s="2494" t="str">
        <f t="shared" si="181"/>
        <v/>
      </c>
      <c r="GV796" s="2494" t="str">
        <f t="shared" si="182"/>
        <v/>
      </c>
      <c r="GW796" s="2494" t="str">
        <f t="shared" si="183"/>
        <v/>
      </c>
      <c r="GX796" s="2494" t="str">
        <f t="shared" si="184"/>
        <v/>
      </c>
      <c r="GY796" s="2494" t="str">
        <f t="shared" si="185"/>
        <v/>
      </c>
      <c r="GZ796" s="2494" t="str">
        <f t="shared" si="186"/>
        <v/>
      </c>
      <c r="HA796" s="2494" t="str">
        <f t="shared" si="187"/>
        <v/>
      </c>
      <c r="HB796" s="2494" t="str">
        <f t="shared" si="188"/>
        <v/>
      </c>
      <c r="HC796" s="2494" t="str">
        <f t="shared" si="189"/>
        <v/>
      </c>
      <c r="HD796" s="2494" t="str">
        <f t="shared" si="190"/>
        <v/>
      </c>
      <c r="HE796" s="2494" t="str">
        <f t="shared" si="191"/>
        <v/>
      </c>
      <c r="HF796" s="2494" t="str">
        <f t="shared" si="192"/>
        <v/>
      </c>
      <c r="HG796" s="2494" t="str">
        <f t="shared" si="193"/>
        <v/>
      </c>
      <c r="HH796" s="2494" t="str">
        <f t="shared" si="194"/>
        <v/>
      </c>
      <c r="HI796" s="2494" t="str">
        <f t="shared" si="195"/>
        <v/>
      </c>
      <c r="HJ796" s="2494" t="str">
        <f t="shared" si="196"/>
        <v/>
      </c>
      <c r="HK796" s="2494" t="str">
        <f t="shared" si="197"/>
        <v/>
      </c>
      <c r="HL796" s="2494" t="str">
        <f t="shared" si="198"/>
        <v/>
      </c>
      <c r="HM796" s="2494" t="str">
        <f t="shared" si="199"/>
        <v/>
      </c>
      <c r="HN796" s="2494" t="str">
        <f t="shared" si="200"/>
        <v/>
      </c>
      <c r="HO796" s="2494" t="str">
        <f t="shared" si="201"/>
        <v/>
      </c>
      <c r="HP796" s="2494" t="str">
        <f t="shared" si="202"/>
        <v/>
      </c>
      <c r="HQ796" s="2494" t="str">
        <f t="shared" si="203"/>
        <v/>
      </c>
      <c r="HR796" s="2494" t="str">
        <f t="shared" si="204"/>
        <v/>
      </c>
      <c r="HS796" s="2494" t="str">
        <f t="shared" si="205"/>
        <v/>
      </c>
      <c r="HT796" s="2494" t="str">
        <f t="shared" si="206"/>
        <v/>
      </c>
      <c r="HU796" s="2494" t="str">
        <f t="shared" si="207"/>
        <v/>
      </c>
      <c r="HV796" s="2494" t="str">
        <f t="shared" si="208"/>
        <v/>
      </c>
      <c r="HW796" s="2494" t="str">
        <f t="shared" si="209"/>
        <v/>
      </c>
      <c r="HX796" s="2494" t="str">
        <f t="shared" si="210"/>
        <v/>
      </c>
      <c r="HY796" s="2494" t="str">
        <f t="shared" si="211"/>
        <v/>
      </c>
      <c r="HZ796" s="2672" t="str">
        <f t="shared" si="212"/>
        <v/>
      </c>
      <c r="IA796" s="2672" t="str">
        <f t="shared" si="213"/>
        <v/>
      </c>
      <c r="IB796" s="2672" t="str">
        <f t="shared" si="214"/>
        <v/>
      </c>
      <c r="IC796" s="2672" t="str">
        <f t="shared" si="215"/>
        <v/>
      </c>
      <c r="ID796" s="2672" t="str">
        <f t="shared" si="216"/>
        <v/>
      </c>
      <c r="IE796" s="2672" t="str">
        <f t="shared" si="217"/>
        <v/>
      </c>
      <c r="IF796" s="2672" t="str">
        <f t="shared" si="218"/>
        <v/>
      </c>
      <c r="IG796" s="2672" t="str">
        <f t="shared" si="219"/>
        <v/>
      </c>
      <c r="IH796" s="2672" t="str">
        <f t="shared" si="220"/>
        <v/>
      </c>
      <c r="II796" s="2672" t="str">
        <f t="shared" si="221"/>
        <v/>
      </c>
      <c r="IJ796" s="2672" t="str">
        <f t="shared" si="222"/>
        <v/>
      </c>
      <c r="IK796" s="2672" t="str">
        <f t="shared" si="223"/>
        <v/>
      </c>
      <c r="IL796" s="2672" t="str">
        <f t="shared" si="224"/>
        <v/>
      </c>
      <c r="IM796" s="2672" t="str">
        <f t="shared" si="225"/>
        <v/>
      </c>
      <c r="IN796" s="2672" t="str">
        <f t="shared" si="226"/>
        <v/>
      </c>
      <c r="IO796" s="2672" t="str">
        <f t="shared" si="227"/>
        <v/>
      </c>
      <c r="IP796" s="2672" t="str">
        <f t="shared" si="228"/>
        <v/>
      </c>
      <c r="IQ796" s="2672" t="str">
        <f t="shared" si="229"/>
        <v/>
      </c>
      <c r="IR796" s="2672" t="str">
        <f t="shared" si="230"/>
        <v/>
      </c>
      <c r="IS796" s="2672" t="str">
        <f t="shared" si="231"/>
        <v/>
      </c>
      <c r="IT796" s="2672" t="str">
        <f t="shared" si="232"/>
        <v/>
      </c>
      <c r="IU796" s="2672" t="str">
        <f t="shared" si="233"/>
        <v/>
      </c>
      <c r="IV796" s="2672" t="str">
        <f t="shared" si="234"/>
        <v/>
      </c>
      <c r="IW796" s="2672" t="str">
        <f t="shared" si="235"/>
        <v/>
      </c>
      <c r="IX796" s="2672" t="str">
        <f t="shared" si="236"/>
        <v/>
      </c>
      <c r="IY796" s="2672" t="str">
        <f t="shared" si="237"/>
        <v/>
      </c>
      <c r="IZ796" s="2672" t="str">
        <f t="shared" si="238"/>
        <v/>
      </c>
      <c r="JA796" s="2672" t="str">
        <f t="shared" si="239"/>
        <v/>
      </c>
      <c r="JB796" s="2672" t="str">
        <f t="shared" si="240"/>
        <v/>
      </c>
      <c r="JC796" s="2672" t="str">
        <f t="shared" si="241"/>
        <v/>
      </c>
      <c r="JD796" s="2672" t="str">
        <f t="shared" si="242"/>
        <v/>
      </c>
      <c r="JE796" s="2672" t="str">
        <f t="shared" si="243"/>
        <v/>
      </c>
      <c r="JF796" s="2672" t="str">
        <f t="shared" si="244"/>
        <v/>
      </c>
      <c r="JG796" s="2672" t="str">
        <f t="shared" si="245"/>
        <v/>
      </c>
      <c r="JH796" s="2672" t="str">
        <f t="shared" si="246"/>
        <v/>
      </c>
      <c r="JI796" s="2672" t="str">
        <f t="shared" si="247"/>
        <v/>
      </c>
      <c r="JJ796" s="2672" t="str">
        <f t="shared" si="248"/>
        <v/>
      </c>
      <c r="JK796" s="2672" t="str">
        <f t="shared" si="249"/>
        <v/>
      </c>
      <c r="JL796" s="2672" t="str">
        <f t="shared" si="250"/>
        <v/>
      </c>
      <c r="JM796" s="2672" t="str">
        <f t="shared" si="251"/>
        <v/>
      </c>
      <c r="JN796" s="2672" t="str">
        <f t="shared" si="252"/>
        <v/>
      </c>
      <c r="JO796" s="2672" t="str">
        <f t="shared" si="253"/>
        <v/>
      </c>
      <c r="JP796" s="2672" t="str">
        <f t="shared" si="254"/>
        <v/>
      </c>
      <c r="JQ796" s="2672" t="str">
        <f t="shared" si="255"/>
        <v/>
      </c>
      <c r="JR796" s="2672" t="str">
        <f t="shared" si="256"/>
        <v/>
      </c>
      <c r="JS796" s="2672" t="str">
        <f t="shared" si="257"/>
        <v/>
      </c>
      <c r="JT796" s="2672" t="str">
        <f t="shared" si="258"/>
        <v/>
      </c>
      <c r="JU796" s="2672" t="str">
        <f t="shared" si="259"/>
        <v/>
      </c>
      <c r="JV796" s="2672" t="str">
        <f t="shared" si="260"/>
        <v/>
      </c>
      <c r="JW796" s="2672" t="str">
        <f t="shared" si="261"/>
        <v/>
      </c>
      <c r="JX796" s="2672" t="str">
        <f t="shared" si="262"/>
        <v/>
      </c>
      <c r="JY796" s="2672" t="str">
        <f t="shared" si="263"/>
        <v/>
      </c>
      <c r="JZ796" s="2672" t="str">
        <f t="shared" si="264"/>
        <v/>
      </c>
      <c r="KA796" s="2672" t="str">
        <f t="shared" si="265"/>
        <v/>
      </c>
      <c r="KB796" s="2672" t="str">
        <f t="shared" si="266"/>
        <v/>
      </c>
      <c r="KC796" s="2672" t="str">
        <f t="shared" si="267"/>
        <v/>
      </c>
      <c r="KD796" s="2672" t="str">
        <f t="shared" si="268"/>
        <v/>
      </c>
      <c r="KE796" s="2672" t="str">
        <f t="shared" si="269"/>
        <v/>
      </c>
      <c r="KF796" s="2672" t="str">
        <f t="shared" si="270"/>
        <v/>
      </c>
      <c r="KG796" s="2672" t="str">
        <f t="shared" si="271"/>
        <v/>
      </c>
      <c r="KH796" s="2672" t="str">
        <f t="shared" si="272"/>
        <v/>
      </c>
      <c r="KI796" s="2672" t="str">
        <f t="shared" si="273"/>
        <v/>
      </c>
      <c r="KJ796" s="2672" t="str">
        <f t="shared" si="274"/>
        <v/>
      </c>
      <c r="KK796" s="2672" t="str">
        <f t="shared" si="275"/>
        <v/>
      </c>
      <c r="KL796" s="2672" t="str">
        <f t="shared" si="276"/>
        <v/>
      </c>
      <c r="KM796" s="2672" t="str">
        <f t="shared" si="277"/>
        <v/>
      </c>
      <c r="KN796" s="2672" t="str">
        <f t="shared" si="278"/>
        <v/>
      </c>
      <c r="KO796" s="2672" t="str">
        <f t="shared" si="279"/>
        <v/>
      </c>
      <c r="KP796" s="2672" t="str">
        <f t="shared" si="280"/>
        <v/>
      </c>
      <c r="KQ796" s="2672" t="str">
        <f t="shared" si="281"/>
        <v/>
      </c>
      <c r="KR796" s="2672" t="str">
        <f t="shared" si="282"/>
        <v/>
      </c>
      <c r="KS796" s="2672" t="str">
        <f t="shared" si="283"/>
        <v/>
      </c>
      <c r="KT796" s="2672" t="str">
        <f t="shared" si="284"/>
        <v/>
      </c>
      <c r="KU796" s="2672" t="str">
        <f t="shared" si="285"/>
        <v/>
      </c>
      <c r="KV796" s="2672" t="str">
        <f t="shared" si="286"/>
        <v/>
      </c>
      <c r="KW796" s="2672" t="str">
        <f t="shared" si="287"/>
        <v/>
      </c>
      <c r="KX796" s="2672" t="str">
        <f t="shared" si="288"/>
        <v/>
      </c>
      <c r="KY796" s="2672" t="str">
        <f t="shared" si="289"/>
        <v/>
      </c>
      <c r="KZ796" s="2672" t="str">
        <f t="shared" si="290"/>
        <v/>
      </c>
      <c r="LA796" s="2672" t="str">
        <f t="shared" si="291"/>
        <v/>
      </c>
      <c r="LB796" s="2672" t="str">
        <f t="shared" si="292"/>
        <v/>
      </c>
      <c r="LC796" s="2672" t="str">
        <f t="shared" si="293"/>
        <v/>
      </c>
      <c r="LD796" s="2672" t="str">
        <f t="shared" si="294"/>
        <v/>
      </c>
      <c r="LE796" s="2672" t="str">
        <f t="shared" si="295"/>
        <v/>
      </c>
      <c r="LF796" s="2672" t="str">
        <f t="shared" si="296"/>
        <v/>
      </c>
      <c r="LG796" s="2672" t="str">
        <f t="shared" si="297"/>
        <v/>
      </c>
      <c r="LH796" s="2672" t="str">
        <f t="shared" si="298"/>
        <v/>
      </c>
      <c r="LI796" s="2672" t="str">
        <f t="shared" si="299"/>
        <v/>
      </c>
      <c r="LJ796" s="2672" t="str">
        <f t="shared" si="300"/>
        <v/>
      </c>
      <c r="LK796" s="2672" t="str">
        <f t="shared" si="301"/>
        <v/>
      </c>
      <c r="LL796" s="2672" t="str">
        <f t="shared" si="302"/>
        <v/>
      </c>
      <c r="LM796" s="2672" t="str">
        <f t="shared" si="303"/>
        <v/>
      </c>
      <c r="LN796" s="2672" t="str">
        <f t="shared" si="304"/>
        <v/>
      </c>
      <c r="LO796" s="2672" t="str">
        <f t="shared" si="305"/>
        <v/>
      </c>
      <c r="LP796" s="2672" t="str">
        <f t="shared" si="306"/>
        <v/>
      </c>
      <c r="LQ796" s="2613" t="str">
        <f t="shared" si="307"/>
        <v/>
      </c>
      <c r="LR796" s="2613" t="str">
        <f t="shared" si="308"/>
        <v/>
      </c>
      <c r="LS796" s="2613" t="str">
        <f t="shared" si="309"/>
        <v/>
      </c>
      <c r="LT796" s="2613" t="str">
        <f t="shared" si="310"/>
        <v/>
      </c>
      <c r="LU796" s="2613" t="str">
        <f t="shared" si="311"/>
        <v/>
      </c>
      <c r="LV796" s="2494" t="str">
        <f t="shared" si="312"/>
        <v/>
      </c>
      <c r="LW796" s="2494" t="str">
        <f t="shared" si="313"/>
        <v/>
      </c>
      <c r="LX796" s="2494" t="str">
        <f t="shared" si="314"/>
        <v/>
      </c>
      <c r="LY796" s="2494" t="str">
        <f t="shared" si="315"/>
        <v/>
      </c>
      <c r="LZ796" s="2494" t="str">
        <f t="shared" si="316"/>
        <v/>
      </c>
      <c r="MA796" s="2494" t="str">
        <f t="shared" si="317"/>
        <v/>
      </c>
      <c r="MB796" s="2494" t="str">
        <f t="shared" si="318"/>
        <v/>
      </c>
      <c r="MC796" s="2494" t="str">
        <f t="shared" si="319"/>
        <v/>
      </c>
      <c r="MD796" s="2494" t="str">
        <f t="shared" si="320"/>
        <v/>
      </c>
      <c r="ME796" s="2494" t="str">
        <f t="shared" si="321"/>
        <v/>
      </c>
      <c r="MF796" s="2494" t="str">
        <f t="shared" si="322"/>
        <v/>
      </c>
      <c r="MG796" s="2494" t="str">
        <f t="shared" si="323"/>
        <v/>
      </c>
      <c r="MH796" s="2494" t="str">
        <f t="shared" si="324"/>
        <v/>
      </c>
      <c r="MI796" s="2494" t="str">
        <f t="shared" si="325"/>
        <v/>
      </c>
      <c r="MJ796" s="2494" t="str">
        <f t="shared" si="326"/>
        <v/>
      </c>
      <c r="MK796" s="2494" t="str">
        <f t="shared" si="327"/>
        <v/>
      </c>
      <c r="ML796" s="2494" t="str">
        <f t="shared" si="328"/>
        <v/>
      </c>
      <c r="MM796" s="2494" t="str">
        <f t="shared" si="329"/>
        <v/>
      </c>
      <c r="MN796" s="2494" t="str">
        <f t="shared" si="330"/>
        <v/>
      </c>
      <c r="MO796" s="2494" t="str">
        <f t="shared" si="331"/>
        <v/>
      </c>
      <c r="MP796" s="2613">
        <f t="shared" si="338"/>
        <v>0</v>
      </c>
      <c r="MQ796" s="2613">
        <f t="shared" si="339"/>
        <v>0</v>
      </c>
      <c r="MR796" s="2613">
        <f t="shared" si="340"/>
        <v>0</v>
      </c>
      <c r="MS796" s="2613">
        <f t="shared" si="341"/>
        <v>0</v>
      </c>
      <c r="MT796" s="2613">
        <f t="shared" si="342"/>
        <v>0</v>
      </c>
      <c r="MU796" s="2613">
        <f t="shared" si="343"/>
        <v>0</v>
      </c>
      <c r="MV796" s="2613">
        <f t="shared" si="344"/>
        <v>0</v>
      </c>
      <c r="MW796" s="2613">
        <f t="shared" si="345"/>
        <v>0</v>
      </c>
      <c r="MX796" s="2613">
        <f t="shared" si="346"/>
        <v>0</v>
      </c>
      <c r="MY796" s="2613">
        <f t="shared" si="347"/>
        <v>0</v>
      </c>
      <c r="MZ796" s="2613">
        <f t="shared" si="332"/>
        <v>0</v>
      </c>
      <c r="NA796" s="2613">
        <f t="shared" si="333"/>
        <v>0</v>
      </c>
      <c r="NB796" s="2613">
        <f t="shared" si="334"/>
        <v>0</v>
      </c>
      <c r="NC796" s="2613">
        <f t="shared" si="335"/>
        <v>0</v>
      </c>
      <c r="ND796" s="2613">
        <f t="shared" si="336"/>
        <v>0</v>
      </c>
    </row>
    <row r="797" spans="1:368" ht="13.8" customHeight="1">
      <c r="A797" s="2652" t="str">
        <f t="shared" si="337"/>
        <v/>
      </c>
      <c r="B797" s="2664">
        <f>'Part VI-Revenues &amp; Expenses'!B28</f>
        <v>0</v>
      </c>
      <c r="C797" s="2665">
        <f>'Part VI-Revenues &amp; Expenses'!C28</f>
        <v>0</v>
      </c>
      <c r="D797" s="2666">
        <f>'Part VI-Revenues &amp; Expenses'!D28</f>
        <v>0</v>
      </c>
      <c r="E797" s="2667">
        <f>'Part VI-Revenues &amp; Expenses'!E28</f>
        <v>0</v>
      </c>
      <c r="F797" s="2667">
        <f>'Part VI-Revenues &amp; Expenses'!F28</f>
        <v>0</v>
      </c>
      <c r="G797" s="2667">
        <f>'Part VI-Revenues &amp; Expenses'!G28</f>
        <v>0</v>
      </c>
      <c r="H797" s="2667">
        <f>'Part VI-Revenues &amp; Expenses'!H28</f>
        <v>0</v>
      </c>
      <c r="I797" s="2667">
        <f>'Part VI-Revenues &amp; Expenses'!I28</f>
        <v>0</v>
      </c>
      <c r="J797" s="2667">
        <f>'Part VI-Revenues &amp; Expenses'!J28</f>
        <v>0</v>
      </c>
      <c r="K797" s="2668">
        <f>'Part VI-Revenues &amp; Expenses'!K28</f>
        <v>0</v>
      </c>
      <c r="L797" s="2669">
        <f t="shared" si="0"/>
        <v>0</v>
      </c>
      <c r="M797" s="2669">
        <f t="shared" si="1"/>
        <v>0</v>
      </c>
      <c r="N797" s="2545">
        <f>'Part VI-Revenues &amp; Expenses'!N28</f>
        <v>0</v>
      </c>
      <c r="O797" s="2545">
        <f>'Part VI-Revenues &amp; Expenses'!O28</f>
        <v>0</v>
      </c>
      <c r="P797" s="2545">
        <f>'Part VI-Revenues &amp; Expenses'!P28</f>
        <v>0</v>
      </c>
      <c r="Q797" s="2251">
        <f>'Part VI-Revenues &amp; Expenses'!Q28</f>
        <v>0</v>
      </c>
      <c r="R797" s="2670"/>
      <c r="S797" s="2671"/>
      <c r="T797" s="2607"/>
      <c r="U797" s="2607"/>
      <c r="V797" s="2607"/>
      <c r="W797" s="2607"/>
      <c r="X797" s="2494" t="str">
        <f t="shared" si="2"/>
        <v/>
      </c>
      <c r="Y797" s="2494" t="str">
        <f t="shared" si="3"/>
        <v/>
      </c>
      <c r="Z797" s="2494" t="str">
        <f t="shared" si="4"/>
        <v/>
      </c>
      <c r="AA797" s="2494" t="str">
        <f t="shared" si="5"/>
        <v/>
      </c>
      <c r="AB797" s="2494" t="str">
        <f t="shared" si="6"/>
        <v/>
      </c>
      <c r="AC797" s="2494" t="str">
        <f t="shared" si="7"/>
        <v/>
      </c>
      <c r="AD797" s="2494" t="str">
        <f t="shared" si="8"/>
        <v/>
      </c>
      <c r="AE797" s="2494" t="str">
        <f t="shared" si="9"/>
        <v/>
      </c>
      <c r="AF797" s="2494" t="str">
        <f t="shared" si="10"/>
        <v/>
      </c>
      <c r="AG797" s="2494" t="str">
        <f t="shared" si="11"/>
        <v/>
      </c>
      <c r="AH797" s="2494" t="str">
        <f t="shared" si="12"/>
        <v/>
      </c>
      <c r="AI797" s="2494" t="str">
        <f t="shared" si="13"/>
        <v/>
      </c>
      <c r="AJ797" s="2494" t="str">
        <f t="shared" si="14"/>
        <v/>
      </c>
      <c r="AK797" s="2494" t="str">
        <f t="shared" si="15"/>
        <v/>
      </c>
      <c r="AL797" s="2494" t="str">
        <f t="shared" si="16"/>
        <v/>
      </c>
      <c r="AM797" s="2494" t="str">
        <f t="shared" si="17"/>
        <v/>
      </c>
      <c r="AN797" s="2494" t="str">
        <f t="shared" si="18"/>
        <v/>
      </c>
      <c r="AO797" s="2494" t="str">
        <f t="shared" si="19"/>
        <v/>
      </c>
      <c r="AP797" s="2494" t="str">
        <f t="shared" si="20"/>
        <v/>
      </c>
      <c r="AQ797" s="2494" t="str">
        <f t="shared" si="21"/>
        <v/>
      </c>
      <c r="AR797" s="2494" t="str">
        <f t="shared" si="22"/>
        <v/>
      </c>
      <c r="AS797" s="2494" t="str">
        <f t="shared" si="23"/>
        <v/>
      </c>
      <c r="AT797" s="2494" t="str">
        <f t="shared" si="24"/>
        <v/>
      </c>
      <c r="AU797" s="2494" t="str">
        <f t="shared" si="25"/>
        <v/>
      </c>
      <c r="AV797" s="2494" t="str">
        <f t="shared" si="26"/>
        <v/>
      </c>
      <c r="AW797" s="2494" t="str">
        <f t="shared" si="27"/>
        <v/>
      </c>
      <c r="AX797" s="2494" t="str">
        <f t="shared" si="28"/>
        <v/>
      </c>
      <c r="AY797" s="2494" t="str">
        <f t="shared" si="29"/>
        <v/>
      </c>
      <c r="AZ797" s="2494" t="str">
        <f t="shared" si="30"/>
        <v/>
      </c>
      <c r="BA797" s="2494" t="str">
        <f t="shared" si="31"/>
        <v/>
      </c>
      <c r="BB797" s="2494" t="str">
        <f t="shared" si="32"/>
        <v/>
      </c>
      <c r="BC797" s="2494" t="str">
        <f t="shared" si="33"/>
        <v/>
      </c>
      <c r="BD797" s="2494" t="str">
        <f t="shared" si="34"/>
        <v/>
      </c>
      <c r="BE797" s="2494" t="str">
        <f t="shared" si="35"/>
        <v/>
      </c>
      <c r="BF797" s="2494" t="str">
        <f t="shared" si="36"/>
        <v/>
      </c>
      <c r="BG797" s="2494" t="str">
        <f t="shared" si="37"/>
        <v/>
      </c>
      <c r="BH797" s="2494" t="str">
        <f t="shared" si="38"/>
        <v/>
      </c>
      <c r="BI797" s="2494" t="str">
        <f t="shared" si="39"/>
        <v/>
      </c>
      <c r="BJ797" s="2494" t="str">
        <f t="shared" si="40"/>
        <v/>
      </c>
      <c r="BK797" s="2494" t="str">
        <f t="shared" si="41"/>
        <v/>
      </c>
      <c r="BL797" s="2494" t="str">
        <f t="shared" si="42"/>
        <v/>
      </c>
      <c r="BM797" s="2494" t="str">
        <f t="shared" si="43"/>
        <v/>
      </c>
      <c r="BN797" s="2494" t="str">
        <f t="shared" si="44"/>
        <v/>
      </c>
      <c r="BO797" s="2494" t="str">
        <f t="shared" si="45"/>
        <v/>
      </c>
      <c r="BP797" s="2494" t="str">
        <f t="shared" si="46"/>
        <v/>
      </c>
      <c r="BQ797" s="2494" t="str">
        <f t="shared" si="47"/>
        <v/>
      </c>
      <c r="BR797" s="2494" t="str">
        <f t="shared" si="48"/>
        <v/>
      </c>
      <c r="BS797" s="2494" t="str">
        <f t="shared" si="49"/>
        <v/>
      </c>
      <c r="BT797" s="2494" t="str">
        <f t="shared" si="50"/>
        <v/>
      </c>
      <c r="BU797" s="2494" t="str">
        <f t="shared" si="51"/>
        <v/>
      </c>
      <c r="BV797" s="2494" t="str">
        <f t="shared" si="52"/>
        <v/>
      </c>
      <c r="BW797" s="2494" t="str">
        <f t="shared" si="53"/>
        <v/>
      </c>
      <c r="BX797" s="2494" t="str">
        <f t="shared" si="54"/>
        <v/>
      </c>
      <c r="BY797" s="2494" t="str">
        <f t="shared" si="55"/>
        <v/>
      </c>
      <c r="BZ797" s="2494" t="str">
        <f t="shared" si="56"/>
        <v/>
      </c>
      <c r="CA797" s="2494" t="str">
        <f t="shared" si="57"/>
        <v/>
      </c>
      <c r="CB797" s="2494" t="str">
        <f t="shared" si="58"/>
        <v/>
      </c>
      <c r="CC797" s="2494" t="str">
        <f t="shared" si="59"/>
        <v/>
      </c>
      <c r="CD797" s="2494" t="str">
        <f t="shared" si="60"/>
        <v/>
      </c>
      <c r="CE797" s="2494" t="str">
        <f t="shared" si="61"/>
        <v/>
      </c>
      <c r="CF797" s="2494" t="str">
        <f t="shared" si="62"/>
        <v/>
      </c>
      <c r="CG797" s="2494" t="str">
        <f t="shared" si="63"/>
        <v/>
      </c>
      <c r="CH797" s="2494" t="str">
        <f t="shared" si="64"/>
        <v/>
      </c>
      <c r="CI797" s="2494" t="str">
        <f t="shared" si="65"/>
        <v/>
      </c>
      <c r="CJ797" s="2494" t="str">
        <f t="shared" si="66"/>
        <v/>
      </c>
      <c r="CK797" s="2494" t="str">
        <f t="shared" si="67"/>
        <v/>
      </c>
      <c r="CL797" s="2494" t="str">
        <f t="shared" si="68"/>
        <v/>
      </c>
      <c r="CM797" s="2494" t="str">
        <f t="shared" si="69"/>
        <v/>
      </c>
      <c r="CN797" s="2494" t="str">
        <f t="shared" si="70"/>
        <v/>
      </c>
      <c r="CO797" s="2494" t="str">
        <f t="shared" si="71"/>
        <v/>
      </c>
      <c r="CP797" s="2494" t="str">
        <f t="shared" si="72"/>
        <v/>
      </c>
      <c r="CQ797" s="2494" t="str">
        <f t="shared" si="73"/>
        <v/>
      </c>
      <c r="CR797" s="2494" t="str">
        <f t="shared" si="74"/>
        <v/>
      </c>
      <c r="CS797" s="2494" t="str">
        <f t="shared" si="75"/>
        <v/>
      </c>
      <c r="CT797" s="2494" t="str">
        <f t="shared" si="76"/>
        <v/>
      </c>
      <c r="CU797" s="2494" t="str">
        <f t="shared" si="77"/>
        <v/>
      </c>
      <c r="CV797" s="2494" t="str">
        <f t="shared" si="78"/>
        <v/>
      </c>
      <c r="CW797" s="2494" t="str">
        <f t="shared" si="79"/>
        <v/>
      </c>
      <c r="CX797" s="2494" t="str">
        <f t="shared" si="80"/>
        <v/>
      </c>
      <c r="CY797" s="2494" t="str">
        <f t="shared" si="81"/>
        <v/>
      </c>
      <c r="CZ797" s="2494" t="str">
        <f t="shared" si="82"/>
        <v/>
      </c>
      <c r="DA797" s="2494" t="str">
        <f t="shared" si="83"/>
        <v/>
      </c>
      <c r="DB797" s="2494" t="str">
        <f t="shared" si="84"/>
        <v/>
      </c>
      <c r="DC797" s="2494" t="str">
        <f t="shared" si="85"/>
        <v/>
      </c>
      <c r="DD797" s="2494" t="str">
        <f t="shared" si="86"/>
        <v/>
      </c>
      <c r="DE797" s="2494" t="str">
        <f t="shared" si="87"/>
        <v/>
      </c>
      <c r="DF797" s="2494" t="str">
        <f t="shared" si="88"/>
        <v/>
      </c>
      <c r="DG797" s="2494" t="str">
        <f t="shared" si="89"/>
        <v/>
      </c>
      <c r="DH797" s="2494" t="str">
        <f t="shared" si="90"/>
        <v/>
      </c>
      <c r="DI797" s="2494" t="str">
        <f t="shared" si="91"/>
        <v/>
      </c>
      <c r="DJ797" s="2494" t="str">
        <f t="shared" si="92"/>
        <v/>
      </c>
      <c r="DK797" s="2494" t="str">
        <f t="shared" si="93"/>
        <v/>
      </c>
      <c r="DL797" s="2494" t="str">
        <f t="shared" si="94"/>
        <v/>
      </c>
      <c r="DM797" s="2494" t="str">
        <f t="shared" si="95"/>
        <v/>
      </c>
      <c r="DN797" s="2494" t="str">
        <f t="shared" si="96"/>
        <v/>
      </c>
      <c r="DO797" s="2494" t="str">
        <f t="shared" si="97"/>
        <v/>
      </c>
      <c r="DP797" s="2494" t="str">
        <f t="shared" si="98"/>
        <v/>
      </c>
      <c r="DQ797" s="2494" t="str">
        <f t="shared" si="99"/>
        <v/>
      </c>
      <c r="DR797" s="2494" t="str">
        <f t="shared" si="100"/>
        <v/>
      </c>
      <c r="DS797" s="2494" t="str">
        <f t="shared" si="101"/>
        <v/>
      </c>
      <c r="DT797" s="2494" t="str">
        <f t="shared" si="102"/>
        <v/>
      </c>
      <c r="DU797" s="2494" t="str">
        <f t="shared" si="103"/>
        <v/>
      </c>
      <c r="DV797" s="2494" t="str">
        <f t="shared" si="104"/>
        <v/>
      </c>
      <c r="DW797" s="2494" t="str">
        <f t="shared" si="105"/>
        <v/>
      </c>
      <c r="DX797" s="2494" t="str">
        <f t="shared" si="106"/>
        <v/>
      </c>
      <c r="DY797" s="2494" t="str">
        <f t="shared" si="107"/>
        <v/>
      </c>
      <c r="DZ797" s="2494" t="str">
        <f t="shared" si="108"/>
        <v/>
      </c>
      <c r="EA797" s="2494" t="str">
        <f t="shared" si="109"/>
        <v/>
      </c>
      <c r="EB797" s="2494" t="str">
        <f t="shared" si="110"/>
        <v/>
      </c>
      <c r="EC797" s="2494" t="str">
        <f t="shared" si="111"/>
        <v/>
      </c>
      <c r="ED797" s="2494" t="str">
        <f t="shared" si="112"/>
        <v/>
      </c>
      <c r="EE797" s="2494" t="str">
        <f t="shared" si="113"/>
        <v/>
      </c>
      <c r="EF797" s="2494" t="str">
        <f t="shared" si="114"/>
        <v/>
      </c>
      <c r="EG797" s="2494" t="str">
        <f t="shared" si="115"/>
        <v/>
      </c>
      <c r="EH797" s="2494" t="str">
        <f t="shared" si="116"/>
        <v/>
      </c>
      <c r="EI797" s="2494" t="str">
        <f t="shared" si="117"/>
        <v/>
      </c>
      <c r="EJ797" s="2494" t="str">
        <f t="shared" si="118"/>
        <v/>
      </c>
      <c r="EK797" s="2494" t="str">
        <f t="shared" si="119"/>
        <v/>
      </c>
      <c r="EL797" s="2494" t="str">
        <f t="shared" si="120"/>
        <v/>
      </c>
      <c r="EM797" s="2494" t="str">
        <f t="shared" si="121"/>
        <v/>
      </c>
      <c r="EN797" s="2494" t="str">
        <f t="shared" si="122"/>
        <v/>
      </c>
      <c r="EO797" s="2494" t="str">
        <f t="shared" si="123"/>
        <v/>
      </c>
      <c r="EP797" s="2494" t="str">
        <f t="shared" si="124"/>
        <v/>
      </c>
      <c r="EQ797" s="2494" t="str">
        <f t="shared" si="125"/>
        <v/>
      </c>
      <c r="ER797" s="2494" t="str">
        <f t="shared" si="126"/>
        <v/>
      </c>
      <c r="ES797" s="2494" t="str">
        <f t="shared" si="127"/>
        <v/>
      </c>
      <c r="ET797" s="2494" t="str">
        <f t="shared" si="128"/>
        <v/>
      </c>
      <c r="EU797" s="2494" t="str">
        <f t="shared" si="129"/>
        <v/>
      </c>
      <c r="EV797" s="2494" t="str">
        <f t="shared" si="130"/>
        <v/>
      </c>
      <c r="EW797" s="2494" t="str">
        <f t="shared" si="131"/>
        <v/>
      </c>
      <c r="EX797" s="2494" t="str">
        <f t="shared" si="132"/>
        <v/>
      </c>
      <c r="EY797" s="2494" t="str">
        <f t="shared" si="133"/>
        <v/>
      </c>
      <c r="EZ797" s="2494" t="str">
        <f t="shared" si="134"/>
        <v/>
      </c>
      <c r="FA797" s="2494" t="str">
        <f t="shared" si="135"/>
        <v/>
      </c>
      <c r="FB797" s="2494" t="str">
        <f t="shared" si="136"/>
        <v/>
      </c>
      <c r="FC797" s="2494" t="str">
        <f t="shared" si="137"/>
        <v/>
      </c>
      <c r="FD797" s="2494" t="str">
        <f t="shared" si="138"/>
        <v/>
      </c>
      <c r="FE797" s="2494" t="str">
        <f t="shared" si="139"/>
        <v/>
      </c>
      <c r="FF797" s="2494" t="str">
        <f t="shared" si="140"/>
        <v/>
      </c>
      <c r="FG797" s="2494" t="str">
        <f t="shared" si="141"/>
        <v/>
      </c>
      <c r="FH797" s="2494" t="str">
        <f t="shared" si="142"/>
        <v/>
      </c>
      <c r="FI797" s="2494" t="str">
        <f t="shared" si="143"/>
        <v/>
      </c>
      <c r="FJ797" s="2494" t="str">
        <f t="shared" si="144"/>
        <v/>
      </c>
      <c r="FK797" s="2494" t="str">
        <f t="shared" si="145"/>
        <v/>
      </c>
      <c r="FL797" s="2494" t="str">
        <f t="shared" si="146"/>
        <v/>
      </c>
      <c r="FM797" s="2494" t="str">
        <f t="shared" si="147"/>
        <v/>
      </c>
      <c r="FN797" s="2494" t="str">
        <f t="shared" si="148"/>
        <v/>
      </c>
      <c r="FO797" s="2494" t="str">
        <f t="shared" si="149"/>
        <v/>
      </c>
      <c r="FP797" s="2494" t="str">
        <f t="shared" si="150"/>
        <v/>
      </c>
      <c r="FQ797" s="2494" t="str">
        <f t="shared" si="151"/>
        <v/>
      </c>
      <c r="FR797" s="2494" t="str">
        <f t="shared" si="152"/>
        <v/>
      </c>
      <c r="FS797" s="2494" t="str">
        <f t="shared" si="153"/>
        <v/>
      </c>
      <c r="FT797" s="2494" t="str">
        <f t="shared" si="154"/>
        <v/>
      </c>
      <c r="FU797" s="2494" t="str">
        <f t="shared" si="155"/>
        <v/>
      </c>
      <c r="FV797" s="2494" t="str">
        <f t="shared" si="156"/>
        <v/>
      </c>
      <c r="FW797" s="2494" t="str">
        <f t="shared" si="157"/>
        <v/>
      </c>
      <c r="FX797" s="2494" t="str">
        <f t="shared" si="158"/>
        <v/>
      </c>
      <c r="FY797" s="2494" t="str">
        <f t="shared" si="159"/>
        <v/>
      </c>
      <c r="FZ797" s="2494" t="str">
        <f t="shared" si="160"/>
        <v/>
      </c>
      <c r="GA797" s="2494" t="str">
        <f t="shared" si="161"/>
        <v/>
      </c>
      <c r="GB797" s="2494" t="str">
        <f t="shared" si="162"/>
        <v/>
      </c>
      <c r="GC797" s="2494" t="str">
        <f t="shared" si="163"/>
        <v/>
      </c>
      <c r="GD797" s="2494" t="str">
        <f t="shared" si="164"/>
        <v/>
      </c>
      <c r="GE797" s="2494" t="str">
        <f t="shared" si="165"/>
        <v/>
      </c>
      <c r="GF797" s="2494" t="str">
        <f t="shared" si="166"/>
        <v/>
      </c>
      <c r="GG797" s="2494" t="str">
        <f t="shared" si="167"/>
        <v/>
      </c>
      <c r="GH797" s="2494" t="str">
        <f t="shared" si="168"/>
        <v/>
      </c>
      <c r="GI797" s="2494" t="str">
        <f t="shared" si="169"/>
        <v/>
      </c>
      <c r="GJ797" s="2494" t="str">
        <f t="shared" si="170"/>
        <v/>
      </c>
      <c r="GK797" s="2494" t="str">
        <f t="shared" si="171"/>
        <v/>
      </c>
      <c r="GL797" s="2494" t="str">
        <f t="shared" si="172"/>
        <v/>
      </c>
      <c r="GM797" s="2494" t="str">
        <f t="shared" si="173"/>
        <v/>
      </c>
      <c r="GN797" s="2494" t="str">
        <f t="shared" si="174"/>
        <v/>
      </c>
      <c r="GO797" s="2494" t="str">
        <f t="shared" si="175"/>
        <v/>
      </c>
      <c r="GP797" s="2494" t="str">
        <f t="shared" si="176"/>
        <v/>
      </c>
      <c r="GQ797" s="2494" t="str">
        <f t="shared" si="177"/>
        <v/>
      </c>
      <c r="GR797" s="2494" t="str">
        <f t="shared" si="178"/>
        <v/>
      </c>
      <c r="GS797" s="2494" t="str">
        <f t="shared" si="179"/>
        <v/>
      </c>
      <c r="GT797" s="2494" t="str">
        <f t="shared" si="180"/>
        <v/>
      </c>
      <c r="GU797" s="2494" t="str">
        <f t="shared" si="181"/>
        <v/>
      </c>
      <c r="GV797" s="2494" t="str">
        <f t="shared" si="182"/>
        <v/>
      </c>
      <c r="GW797" s="2494" t="str">
        <f t="shared" si="183"/>
        <v/>
      </c>
      <c r="GX797" s="2494" t="str">
        <f t="shared" si="184"/>
        <v/>
      </c>
      <c r="GY797" s="2494" t="str">
        <f t="shared" si="185"/>
        <v/>
      </c>
      <c r="GZ797" s="2494" t="str">
        <f t="shared" si="186"/>
        <v/>
      </c>
      <c r="HA797" s="2494" t="str">
        <f t="shared" si="187"/>
        <v/>
      </c>
      <c r="HB797" s="2494" t="str">
        <f t="shared" si="188"/>
        <v/>
      </c>
      <c r="HC797" s="2494" t="str">
        <f t="shared" si="189"/>
        <v/>
      </c>
      <c r="HD797" s="2494" t="str">
        <f t="shared" si="190"/>
        <v/>
      </c>
      <c r="HE797" s="2494" t="str">
        <f t="shared" si="191"/>
        <v/>
      </c>
      <c r="HF797" s="2494" t="str">
        <f t="shared" si="192"/>
        <v/>
      </c>
      <c r="HG797" s="2494" t="str">
        <f t="shared" si="193"/>
        <v/>
      </c>
      <c r="HH797" s="2494" t="str">
        <f t="shared" si="194"/>
        <v/>
      </c>
      <c r="HI797" s="2494" t="str">
        <f t="shared" si="195"/>
        <v/>
      </c>
      <c r="HJ797" s="2494" t="str">
        <f t="shared" si="196"/>
        <v/>
      </c>
      <c r="HK797" s="2494" t="str">
        <f t="shared" si="197"/>
        <v/>
      </c>
      <c r="HL797" s="2494" t="str">
        <f t="shared" si="198"/>
        <v/>
      </c>
      <c r="HM797" s="2494" t="str">
        <f t="shared" si="199"/>
        <v/>
      </c>
      <c r="HN797" s="2494" t="str">
        <f t="shared" si="200"/>
        <v/>
      </c>
      <c r="HO797" s="2494" t="str">
        <f t="shared" si="201"/>
        <v/>
      </c>
      <c r="HP797" s="2494" t="str">
        <f t="shared" si="202"/>
        <v/>
      </c>
      <c r="HQ797" s="2494" t="str">
        <f t="shared" si="203"/>
        <v/>
      </c>
      <c r="HR797" s="2494" t="str">
        <f t="shared" si="204"/>
        <v/>
      </c>
      <c r="HS797" s="2494" t="str">
        <f t="shared" si="205"/>
        <v/>
      </c>
      <c r="HT797" s="2494" t="str">
        <f t="shared" si="206"/>
        <v/>
      </c>
      <c r="HU797" s="2494" t="str">
        <f t="shared" si="207"/>
        <v/>
      </c>
      <c r="HV797" s="2494" t="str">
        <f t="shared" si="208"/>
        <v/>
      </c>
      <c r="HW797" s="2494" t="str">
        <f t="shared" si="209"/>
        <v/>
      </c>
      <c r="HX797" s="2494" t="str">
        <f t="shared" si="210"/>
        <v/>
      </c>
      <c r="HY797" s="2494" t="str">
        <f t="shared" si="211"/>
        <v/>
      </c>
      <c r="HZ797" s="2672" t="str">
        <f t="shared" si="212"/>
        <v/>
      </c>
      <c r="IA797" s="2672" t="str">
        <f t="shared" si="213"/>
        <v/>
      </c>
      <c r="IB797" s="2672" t="str">
        <f t="shared" si="214"/>
        <v/>
      </c>
      <c r="IC797" s="2672" t="str">
        <f t="shared" si="215"/>
        <v/>
      </c>
      <c r="ID797" s="2672" t="str">
        <f t="shared" si="216"/>
        <v/>
      </c>
      <c r="IE797" s="2672" t="str">
        <f t="shared" si="217"/>
        <v/>
      </c>
      <c r="IF797" s="2672" t="str">
        <f t="shared" si="218"/>
        <v/>
      </c>
      <c r="IG797" s="2672" t="str">
        <f t="shared" si="219"/>
        <v/>
      </c>
      <c r="IH797" s="2672" t="str">
        <f t="shared" si="220"/>
        <v/>
      </c>
      <c r="II797" s="2672" t="str">
        <f t="shared" si="221"/>
        <v/>
      </c>
      <c r="IJ797" s="2672" t="str">
        <f t="shared" si="222"/>
        <v/>
      </c>
      <c r="IK797" s="2672" t="str">
        <f t="shared" si="223"/>
        <v/>
      </c>
      <c r="IL797" s="2672" t="str">
        <f t="shared" si="224"/>
        <v/>
      </c>
      <c r="IM797" s="2672" t="str">
        <f t="shared" si="225"/>
        <v/>
      </c>
      <c r="IN797" s="2672" t="str">
        <f t="shared" si="226"/>
        <v/>
      </c>
      <c r="IO797" s="2672" t="str">
        <f t="shared" si="227"/>
        <v/>
      </c>
      <c r="IP797" s="2672" t="str">
        <f t="shared" si="228"/>
        <v/>
      </c>
      <c r="IQ797" s="2672" t="str">
        <f t="shared" si="229"/>
        <v/>
      </c>
      <c r="IR797" s="2672" t="str">
        <f t="shared" si="230"/>
        <v/>
      </c>
      <c r="IS797" s="2672" t="str">
        <f t="shared" si="231"/>
        <v/>
      </c>
      <c r="IT797" s="2672" t="str">
        <f t="shared" si="232"/>
        <v/>
      </c>
      <c r="IU797" s="2672" t="str">
        <f t="shared" si="233"/>
        <v/>
      </c>
      <c r="IV797" s="2672" t="str">
        <f t="shared" si="234"/>
        <v/>
      </c>
      <c r="IW797" s="2672" t="str">
        <f t="shared" si="235"/>
        <v/>
      </c>
      <c r="IX797" s="2672" t="str">
        <f t="shared" si="236"/>
        <v/>
      </c>
      <c r="IY797" s="2672" t="str">
        <f t="shared" si="237"/>
        <v/>
      </c>
      <c r="IZ797" s="2672" t="str">
        <f t="shared" si="238"/>
        <v/>
      </c>
      <c r="JA797" s="2672" t="str">
        <f t="shared" si="239"/>
        <v/>
      </c>
      <c r="JB797" s="2672" t="str">
        <f t="shared" si="240"/>
        <v/>
      </c>
      <c r="JC797" s="2672" t="str">
        <f t="shared" si="241"/>
        <v/>
      </c>
      <c r="JD797" s="2672" t="str">
        <f t="shared" si="242"/>
        <v/>
      </c>
      <c r="JE797" s="2672" t="str">
        <f t="shared" si="243"/>
        <v/>
      </c>
      <c r="JF797" s="2672" t="str">
        <f t="shared" si="244"/>
        <v/>
      </c>
      <c r="JG797" s="2672" t="str">
        <f t="shared" si="245"/>
        <v/>
      </c>
      <c r="JH797" s="2672" t="str">
        <f t="shared" si="246"/>
        <v/>
      </c>
      <c r="JI797" s="2672" t="str">
        <f t="shared" si="247"/>
        <v/>
      </c>
      <c r="JJ797" s="2672" t="str">
        <f t="shared" si="248"/>
        <v/>
      </c>
      <c r="JK797" s="2672" t="str">
        <f t="shared" si="249"/>
        <v/>
      </c>
      <c r="JL797" s="2672" t="str">
        <f t="shared" si="250"/>
        <v/>
      </c>
      <c r="JM797" s="2672" t="str">
        <f t="shared" si="251"/>
        <v/>
      </c>
      <c r="JN797" s="2672" t="str">
        <f t="shared" si="252"/>
        <v/>
      </c>
      <c r="JO797" s="2672" t="str">
        <f t="shared" si="253"/>
        <v/>
      </c>
      <c r="JP797" s="2672" t="str">
        <f t="shared" si="254"/>
        <v/>
      </c>
      <c r="JQ797" s="2672" t="str">
        <f t="shared" si="255"/>
        <v/>
      </c>
      <c r="JR797" s="2672" t="str">
        <f t="shared" si="256"/>
        <v/>
      </c>
      <c r="JS797" s="2672" t="str">
        <f t="shared" si="257"/>
        <v/>
      </c>
      <c r="JT797" s="2672" t="str">
        <f t="shared" si="258"/>
        <v/>
      </c>
      <c r="JU797" s="2672" t="str">
        <f t="shared" si="259"/>
        <v/>
      </c>
      <c r="JV797" s="2672" t="str">
        <f t="shared" si="260"/>
        <v/>
      </c>
      <c r="JW797" s="2672" t="str">
        <f t="shared" si="261"/>
        <v/>
      </c>
      <c r="JX797" s="2672" t="str">
        <f t="shared" si="262"/>
        <v/>
      </c>
      <c r="JY797" s="2672" t="str">
        <f t="shared" si="263"/>
        <v/>
      </c>
      <c r="JZ797" s="2672" t="str">
        <f t="shared" si="264"/>
        <v/>
      </c>
      <c r="KA797" s="2672" t="str">
        <f t="shared" si="265"/>
        <v/>
      </c>
      <c r="KB797" s="2672" t="str">
        <f t="shared" si="266"/>
        <v/>
      </c>
      <c r="KC797" s="2672" t="str">
        <f t="shared" si="267"/>
        <v/>
      </c>
      <c r="KD797" s="2672" t="str">
        <f t="shared" si="268"/>
        <v/>
      </c>
      <c r="KE797" s="2672" t="str">
        <f t="shared" si="269"/>
        <v/>
      </c>
      <c r="KF797" s="2672" t="str">
        <f t="shared" si="270"/>
        <v/>
      </c>
      <c r="KG797" s="2672" t="str">
        <f t="shared" si="271"/>
        <v/>
      </c>
      <c r="KH797" s="2672" t="str">
        <f t="shared" si="272"/>
        <v/>
      </c>
      <c r="KI797" s="2672" t="str">
        <f t="shared" si="273"/>
        <v/>
      </c>
      <c r="KJ797" s="2672" t="str">
        <f t="shared" si="274"/>
        <v/>
      </c>
      <c r="KK797" s="2672" t="str">
        <f t="shared" si="275"/>
        <v/>
      </c>
      <c r="KL797" s="2672" t="str">
        <f t="shared" si="276"/>
        <v/>
      </c>
      <c r="KM797" s="2672" t="str">
        <f t="shared" si="277"/>
        <v/>
      </c>
      <c r="KN797" s="2672" t="str">
        <f t="shared" si="278"/>
        <v/>
      </c>
      <c r="KO797" s="2672" t="str">
        <f t="shared" si="279"/>
        <v/>
      </c>
      <c r="KP797" s="2672" t="str">
        <f t="shared" si="280"/>
        <v/>
      </c>
      <c r="KQ797" s="2672" t="str">
        <f t="shared" si="281"/>
        <v/>
      </c>
      <c r="KR797" s="2672" t="str">
        <f t="shared" si="282"/>
        <v/>
      </c>
      <c r="KS797" s="2672" t="str">
        <f t="shared" si="283"/>
        <v/>
      </c>
      <c r="KT797" s="2672" t="str">
        <f t="shared" si="284"/>
        <v/>
      </c>
      <c r="KU797" s="2672" t="str">
        <f t="shared" si="285"/>
        <v/>
      </c>
      <c r="KV797" s="2672" t="str">
        <f t="shared" si="286"/>
        <v/>
      </c>
      <c r="KW797" s="2672" t="str">
        <f t="shared" si="287"/>
        <v/>
      </c>
      <c r="KX797" s="2672" t="str">
        <f t="shared" si="288"/>
        <v/>
      </c>
      <c r="KY797" s="2672" t="str">
        <f t="shared" si="289"/>
        <v/>
      </c>
      <c r="KZ797" s="2672" t="str">
        <f t="shared" si="290"/>
        <v/>
      </c>
      <c r="LA797" s="2672" t="str">
        <f t="shared" si="291"/>
        <v/>
      </c>
      <c r="LB797" s="2672" t="str">
        <f t="shared" si="292"/>
        <v/>
      </c>
      <c r="LC797" s="2672" t="str">
        <f t="shared" si="293"/>
        <v/>
      </c>
      <c r="LD797" s="2672" t="str">
        <f t="shared" si="294"/>
        <v/>
      </c>
      <c r="LE797" s="2672" t="str">
        <f t="shared" si="295"/>
        <v/>
      </c>
      <c r="LF797" s="2672" t="str">
        <f t="shared" si="296"/>
        <v/>
      </c>
      <c r="LG797" s="2672" t="str">
        <f t="shared" si="297"/>
        <v/>
      </c>
      <c r="LH797" s="2672" t="str">
        <f t="shared" si="298"/>
        <v/>
      </c>
      <c r="LI797" s="2672" t="str">
        <f t="shared" si="299"/>
        <v/>
      </c>
      <c r="LJ797" s="2672" t="str">
        <f t="shared" si="300"/>
        <v/>
      </c>
      <c r="LK797" s="2672" t="str">
        <f t="shared" si="301"/>
        <v/>
      </c>
      <c r="LL797" s="2672" t="str">
        <f t="shared" si="302"/>
        <v/>
      </c>
      <c r="LM797" s="2672" t="str">
        <f t="shared" si="303"/>
        <v/>
      </c>
      <c r="LN797" s="2672" t="str">
        <f t="shared" si="304"/>
        <v/>
      </c>
      <c r="LO797" s="2672" t="str">
        <f t="shared" si="305"/>
        <v/>
      </c>
      <c r="LP797" s="2672" t="str">
        <f t="shared" si="306"/>
        <v/>
      </c>
      <c r="LQ797" s="2613" t="str">
        <f t="shared" si="307"/>
        <v/>
      </c>
      <c r="LR797" s="2613" t="str">
        <f t="shared" si="308"/>
        <v/>
      </c>
      <c r="LS797" s="2613" t="str">
        <f t="shared" si="309"/>
        <v/>
      </c>
      <c r="LT797" s="2613" t="str">
        <f t="shared" si="310"/>
        <v/>
      </c>
      <c r="LU797" s="2613" t="str">
        <f t="shared" si="311"/>
        <v/>
      </c>
      <c r="LV797" s="2494" t="str">
        <f t="shared" si="312"/>
        <v/>
      </c>
      <c r="LW797" s="2494" t="str">
        <f t="shared" si="313"/>
        <v/>
      </c>
      <c r="LX797" s="2494" t="str">
        <f t="shared" si="314"/>
        <v/>
      </c>
      <c r="LY797" s="2494" t="str">
        <f t="shared" si="315"/>
        <v/>
      </c>
      <c r="LZ797" s="2494" t="str">
        <f t="shared" si="316"/>
        <v/>
      </c>
      <c r="MA797" s="2494" t="str">
        <f t="shared" si="317"/>
        <v/>
      </c>
      <c r="MB797" s="2494" t="str">
        <f t="shared" si="318"/>
        <v/>
      </c>
      <c r="MC797" s="2494" t="str">
        <f t="shared" si="319"/>
        <v/>
      </c>
      <c r="MD797" s="2494" t="str">
        <f t="shared" si="320"/>
        <v/>
      </c>
      <c r="ME797" s="2494" t="str">
        <f t="shared" si="321"/>
        <v/>
      </c>
      <c r="MF797" s="2494" t="str">
        <f t="shared" si="322"/>
        <v/>
      </c>
      <c r="MG797" s="2494" t="str">
        <f t="shared" si="323"/>
        <v/>
      </c>
      <c r="MH797" s="2494" t="str">
        <f t="shared" si="324"/>
        <v/>
      </c>
      <c r="MI797" s="2494" t="str">
        <f t="shared" si="325"/>
        <v/>
      </c>
      <c r="MJ797" s="2494" t="str">
        <f t="shared" si="326"/>
        <v/>
      </c>
      <c r="MK797" s="2494" t="str">
        <f t="shared" si="327"/>
        <v/>
      </c>
      <c r="ML797" s="2494" t="str">
        <f t="shared" si="328"/>
        <v/>
      </c>
      <c r="MM797" s="2494" t="str">
        <f t="shared" si="329"/>
        <v/>
      </c>
      <c r="MN797" s="2494" t="str">
        <f t="shared" si="330"/>
        <v/>
      </c>
      <c r="MO797" s="2494" t="str">
        <f t="shared" si="331"/>
        <v/>
      </c>
      <c r="MP797" s="2613">
        <f t="shared" si="338"/>
        <v>0</v>
      </c>
      <c r="MQ797" s="2613">
        <f t="shared" si="339"/>
        <v>0</v>
      </c>
      <c r="MR797" s="2613">
        <f t="shared" si="340"/>
        <v>0</v>
      </c>
      <c r="MS797" s="2613">
        <f t="shared" si="341"/>
        <v>0</v>
      </c>
      <c r="MT797" s="2613">
        <f t="shared" si="342"/>
        <v>0</v>
      </c>
      <c r="MU797" s="2613">
        <f t="shared" si="343"/>
        <v>0</v>
      </c>
      <c r="MV797" s="2613">
        <f t="shared" si="344"/>
        <v>0</v>
      </c>
      <c r="MW797" s="2613">
        <f t="shared" si="345"/>
        <v>0</v>
      </c>
      <c r="MX797" s="2613">
        <f t="shared" si="346"/>
        <v>0</v>
      </c>
      <c r="MY797" s="2613">
        <f t="shared" si="347"/>
        <v>0</v>
      </c>
      <c r="MZ797" s="2613">
        <f t="shared" si="332"/>
        <v>0</v>
      </c>
      <c r="NA797" s="2613">
        <f t="shared" si="333"/>
        <v>0</v>
      </c>
      <c r="NB797" s="2613">
        <f t="shared" si="334"/>
        <v>0</v>
      </c>
      <c r="NC797" s="2613">
        <f t="shared" si="335"/>
        <v>0</v>
      </c>
      <c r="ND797" s="2613">
        <f t="shared" si="336"/>
        <v>0</v>
      </c>
    </row>
    <row r="798" spans="1:368" ht="13.8" customHeight="1">
      <c r="A798" s="2652" t="str">
        <f t="shared" si="337"/>
        <v/>
      </c>
      <c r="B798" s="2664">
        <f>'Part VI-Revenues &amp; Expenses'!B29</f>
        <v>0</v>
      </c>
      <c r="C798" s="2665">
        <f>'Part VI-Revenues &amp; Expenses'!C29</f>
        <v>0</v>
      </c>
      <c r="D798" s="2666">
        <f>'Part VI-Revenues &amp; Expenses'!D29</f>
        <v>0</v>
      </c>
      <c r="E798" s="2667">
        <f>'Part VI-Revenues &amp; Expenses'!E29</f>
        <v>0</v>
      </c>
      <c r="F798" s="2667">
        <f>'Part VI-Revenues &amp; Expenses'!F29</f>
        <v>0</v>
      </c>
      <c r="G798" s="2667">
        <f>'Part VI-Revenues &amp; Expenses'!G29</f>
        <v>0</v>
      </c>
      <c r="H798" s="2667">
        <f>'Part VI-Revenues &amp; Expenses'!H29</f>
        <v>0</v>
      </c>
      <c r="I798" s="2667">
        <f>'Part VI-Revenues &amp; Expenses'!I29</f>
        <v>0</v>
      </c>
      <c r="J798" s="2667">
        <f>'Part VI-Revenues &amp; Expenses'!J29</f>
        <v>0</v>
      </c>
      <c r="K798" s="2668">
        <f>'Part VI-Revenues &amp; Expenses'!K29</f>
        <v>0</v>
      </c>
      <c r="L798" s="2669">
        <f t="shared" si="0"/>
        <v>0</v>
      </c>
      <c r="M798" s="2669">
        <f t="shared" si="1"/>
        <v>0</v>
      </c>
      <c r="N798" s="2545">
        <f>'Part VI-Revenues &amp; Expenses'!N29</f>
        <v>0</v>
      </c>
      <c r="O798" s="2545">
        <f>'Part VI-Revenues &amp; Expenses'!O29</f>
        <v>0</v>
      </c>
      <c r="P798" s="2545">
        <f>'Part VI-Revenues &amp; Expenses'!P29</f>
        <v>0</v>
      </c>
      <c r="Q798" s="2251">
        <f>'Part VI-Revenues &amp; Expenses'!Q29</f>
        <v>0</v>
      </c>
      <c r="R798" s="2670"/>
      <c r="S798" s="2671"/>
      <c r="T798" s="2607"/>
      <c r="U798" s="2607"/>
      <c r="V798" s="2607"/>
      <c r="W798" s="2607"/>
      <c r="X798" s="2494" t="str">
        <f t="shared" si="2"/>
        <v/>
      </c>
      <c r="Y798" s="2494" t="str">
        <f t="shared" si="3"/>
        <v/>
      </c>
      <c r="Z798" s="2494" t="str">
        <f t="shared" si="4"/>
        <v/>
      </c>
      <c r="AA798" s="2494" t="str">
        <f t="shared" si="5"/>
        <v/>
      </c>
      <c r="AB798" s="2494" t="str">
        <f t="shared" si="6"/>
        <v/>
      </c>
      <c r="AC798" s="2494" t="str">
        <f t="shared" si="7"/>
        <v/>
      </c>
      <c r="AD798" s="2494" t="str">
        <f t="shared" si="8"/>
        <v/>
      </c>
      <c r="AE798" s="2494" t="str">
        <f t="shared" si="9"/>
        <v/>
      </c>
      <c r="AF798" s="2494" t="str">
        <f t="shared" si="10"/>
        <v/>
      </c>
      <c r="AG798" s="2494" t="str">
        <f t="shared" si="11"/>
        <v/>
      </c>
      <c r="AH798" s="2494" t="str">
        <f t="shared" si="12"/>
        <v/>
      </c>
      <c r="AI798" s="2494" t="str">
        <f t="shared" si="13"/>
        <v/>
      </c>
      <c r="AJ798" s="2494" t="str">
        <f t="shared" si="14"/>
        <v/>
      </c>
      <c r="AK798" s="2494" t="str">
        <f t="shared" si="15"/>
        <v/>
      </c>
      <c r="AL798" s="2494" t="str">
        <f t="shared" si="16"/>
        <v/>
      </c>
      <c r="AM798" s="2494" t="str">
        <f t="shared" si="17"/>
        <v/>
      </c>
      <c r="AN798" s="2494" t="str">
        <f t="shared" si="18"/>
        <v/>
      </c>
      <c r="AO798" s="2494" t="str">
        <f t="shared" si="19"/>
        <v/>
      </c>
      <c r="AP798" s="2494" t="str">
        <f t="shared" si="20"/>
        <v/>
      </c>
      <c r="AQ798" s="2494" t="str">
        <f t="shared" si="21"/>
        <v/>
      </c>
      <c r="AR798" s="2494" t="str">
        <f t="shared" si="22"/>
        <v/>
      </c>
      <c r="AS798" s="2494" t="str">
        <f t="shared" si="23"/>
        <v/>
      </c>
      <c r="AT798" s="2494" t="str">
        <f t="shared" si="24"/>
        <v/>
      </c>
      <c r="AU798" s="2494" t="str">
        <f t="shared" si="25"/>
        <v/>
      </c>
      <c r="AV798" s="2494" t="str">
        <f t="shared" si="26"/>
        <v/>
      </c>
      <c r="AW798" s="2494" t="str">
        <f t="shared" si="27"/>
        <v/>
      </c>
      <c r="AX798" s="2494" t="str">
        <f t="shared" si="28"/>
        <v/>
      </c>
      <c r="AY798" s="2494" t="str">
        <f t="shared" si="29"/>
        <v/>
      </c>
      <c r="AZ798" s="2494" t="str">
        <f t="shared" si="30"/>
        <v/>
      </c>
      <c r="BA798" s="2494" t="str">
        <f t="shared" si="31"/>
        <v/>
      </c>
      <c r="BB798" s="2494" t="str">
        <f t="shared" si="32"/>
        <v/>
      </c>
      <c r="BC798" s="2494" t="str">
        <f t="shared" si="33"/>
        <v/>
      </c>
      <c r="BD798" s="2494" t="str">
        <f t="shared" si="34"/>
        <v/>
      </c>
      <c r="BE798" s="2494" t="str">
        <f t="shared" si="35"/>
        <v/>
      </c>
      <c r="BF798" s="2494" t="str">
        <f t="shared" si="36"/>
        <v/>
      </c>
      <c r="BG798" s="2494" t="str">
        <f t="shared" si="37"/>
        <v/>
      </c>
      <c r="BH798" s="2494" t="str">
        <f t="shared" si="38"/>
        <v/>
      </c>
      <c r="BI798" s="2494" t="str">
        <f t="shared" si="39"/>
        <v/>
      </c>
      <c r="BJ798" s="2494" t="str">
        <f t="shared" si="40"/>
        <v/>
      </c>
      <c r="BK798" s="2494" t="str">
        <f t="shared" si="41"/>
        <v/>
      </c>
      <c r="BL798" s="2494" t="str">
        <f t="shared" si="42"/>
        <v/>
      </c>
      <c r="BM798" s="2494" t="str">
        <f t="shared" si="43"/>
        <v/>
      </c>
      <c r="BN798" s="2494" t="str">
        <f t="shared" si="44"/>
        <v/>
      </c>
      <c r="BO798" s="2494" t="str">
        <f t="shared" si="45"/>
        <v/>
      </c>
      <c r="BP798" s="2494" t="str">
        <f t="shared" si="46"/>
        <v/>
      </c>
      <c r="BQ798" s="2494" t="str">
        <f t="shared" si="47"/>
        <v/>
      </c>
      <c r="BR798" s="2494" t="str">
        <f t="shared" si="48"/>
        <v/>
      </c>
      <c r="BS798" s="2494" t="str">
        <f t="shared" si="49"/>
        <v/>
      </c>
      <c r="BT798" s="2494" t="str">
        <f t="shared" si="50"/>
        <v/>
      </c>
      <c r="BU798" s="2494" t="str">
        <f t="shared" si="51"/>
        <v/>
      </c>
      <c r="BV798" s="2494" t="str">
        <f t="shared" si="52"/>
        <v/>
      </c>
      <c r="BW798" s="2494" t="str">
        <f t="shared" si="53"/>
        <v/>
      </c>
      <c r="BX798" s="2494" t="str">
        <f t="shared" si="54"/>
        <v/>
      </c>
      <c r="BY798" s="2494" t="str">
        <f t="shared" si="55"/>
        <v/>
      </c>
      <c r="BZ798" s="2494" t="str">
        <f t="shared" si="56"/>
        <v/>
      </c>
      <c r="CA798" s="2494" t="str">
        <f t="shared" si="57"/>
        <v/>
      </c>
      <c r="CB798" s="2494" t="str">
        <f t="shared" si="58"/>
        <v/>
      </c>
      <c r="CC798" s="2494" t="str">
        <f t="shared" si="59"/>
        <v/>
      </c>
      <c r="CD798" s="2494" t="str">
        <f t="shared" si="60"/>
        <v/>
      </c>
      <c r="CE798" s="2494" t="str">
        <f t="shared" si="61"/>
        <v/>
      </c>
      <c r="CF798" s="2494" t="str">
        <f t="shared" si="62"/>
        <v/>
      </c>
      <c r="CG798" s="2494" t="str">
        <f t="shared" si="63"/>
        <v/>
      </c>
      <c r="CH798" s="2494" t="str">
        <f t="shared" si="64"/>
        <v/>
      </c>
      <c r="CI798" s="2494" t="str">
        <f t="shared" si="65"/>
        <v/>
      </c>
      <c r="CJ798" s="2494" t="str">
        <f t="shared" si="66"/>
        <v/>
      </c>
      <c r="CK798" s="2494" t="str">
        <f t="shared" si="67"/>
        <v/>
      </c>
      <c r="CL798" s="2494" t="str">
        <f t="shared" si="68"/>
        <v/>
      </c>
      <c r="CM798" s="2494" t="str">
        <f t="shared" si="69"/>
        <v/>
      </c>
      <c r="CN798" s="2494" t="str">
        <f t="shared" si="70"/>
        <v/>
      </c>
      <c r="CO798" s="2494" t="str">
        <f t="shared" si="71"/>
        <v/>
      </c>
      <c r="CP798" s="2494" t="str">
        <f t="shared" si="72"/>
        <v/>
      </c>
      <c r="CQ798" s="2494" t="str">
        <f t="shared" si="73"/>
        <v/>
      </c>
      <c r="CR798" s="2494" t="str">
        <f t="shared" si="74"/>
        <v/>
      </c>
      <c r="CS798" s="2494" t="str">
        <f t="shared" si="75"/>
        <v/>
      </c>
      <c r="CT798" s="2494" t="str">
        <f t="shared" si="76"/>
        <v/>
      </c>
      <c r="CU798" s="2494" t="str">
        <f t="shared" si="77"/>
        <v/>
      </c>
      <c r="CV798" s="2494" t="str">
        <f t="shared" si="78"/>
        <v/>
      </c>
      <c r="CW798" s="2494" t="str">
        <f t="shared" si="79"/>
        <v/>
      </c>
      <c r="CX798" s="2494" t="str">
        <f t="shared" si="80"/>
        <v/>
      </c>
      <c r="CY798" s="2494" t="str">
        <f t="shared" si="81"/>
        <v/>
      </c>
      <c r="CZ798" s="2494" t="str">
        <f t="shared" si="82"/>
        <v/>
      </c>
      <c r="DA798" s="2494" t="str">
        <f t="shared" si="83"/>
        <v/>
      </c>
      <c r="DB798" s="2494" t="str">
        <f t="shared" si="84"/>
        <v/>
      </c>
      <c r="DC798" s="2494" t="str">
        <f t="shared" si="85"/>
        <v/>
      </c>
      <c r="DD798" s="2494" t="str">
        <f t="shared" si="86"/>
        <v/>
      </c>
      <c r="DE798" s="2494" t="str">
        <f t="shared" si="87"/>
        <v/>
      </c>
      <c r="DF798" s="2494" t="str">
        <f t="shared" si="88"/>
        <v/>
      </c>
      <c r="DG798" s="2494" t="str">
        <f t="shared" si="89"/>
        <v/>
      </c>
      <c r="DH798" s="2494" t="str">
        <f t="shared" si="90"/>
        <v/>
      </c>
      <c r="DI798" s="2494" t="str">
        <f t="shared" si="91"/>
        <v/>
      </c>
      <c r="DJ798" s="2494" t="str">
        <f t="shared" si="92"/>
        <v/>
      </c>
      <c r="DK798" s="2494" t="str">
        <f t="shared" si="93"/>
        <v/>
      </c>
      <c r="DL798" s="2494" t="str">
        <f t="shared" si="94"/>
        <v/>
      </c>
      <c r="DM798" s="2494" t="str">
        <f t="shared" si="95"/>
        <v/>
      </c>
      <c r="DN798" s="2494" t="str">
        <f t="shared" si="96"/>
        <v/>
      </c>
      <c r="DO798" s="2494" t="str">
        <f t="shared" si="97"/>
        <v/>
      </c>
      <c r="DP798" s="2494" t="str">
        <f t="shared" si="98"/>
        <v/>
      </c>
      <c r="DQ798" s="2494" t="str">
        <f t="shared" si="99"/>
        <v/>
      </c>
      <c r="DR798" s="2494" t="str">
        <f t="shared" si="100"/>
        <v/>
      </c>
      <c r="DS798" s="2494" t="str">
        <f t="shared" si="101"/>
        <v/>
      </c>
      <c r="DT798" s="2494" t="str">
        <f t="shared" si="102"/>
        <v/>
      </c>
      <c r="DU798" s="2494" t="str">
        <f t="shared" si="103"/>
        <v/>
      </c>
      <c r="DV798" s="2494" t="str">
        <f t="shared" si="104"/>
        <v/>
      </c>
      <c r="DW798" s="2494" t="str">
        <f t="shared" si="105"/>
        <v/>
      </c>
      <c r="DX798" s="2494" t="str">
        <f t="shared" si="106"/>
        <v/>
      </c>
      <c r="DY798" s="2494" t="str">
        <f t="shared" si="107"/>
        <v/>
      </c>
      <c r="DZ798" s="2494" t="str">
        <f t="shared" si="108"/>
        <v/>
      </c>
      <c r="EA798" s="2494" t="str">
        <f t="shared" si="109"/>
        <v/>
      </c>
      <c r="EB798" s="2494" t="str">
        <f t="shared" si="110"/>
        <v/>
      </c>
      <c r="EC798" s="2494" t="str">
        <f t="shared" si="111"/>
        <v/>
      </c>
      <c r="ED798" s="2494" t="str">
        <f t="shared" si="112"/>
        <v/>
      </c>
      <c r="EE798" s="2494" t="str">
        <f t="shared" si="113"/>
        <v/>
      </c>
      <c r="EF798" s="2494" t="str">
        <f t="shared" si="114"/>
        <v/>
      </c>
      <c r="EG798" s="2494" t="str">
        <f t="shared" si="115"/>
        <v/>
      </c>
      <c r="EH798" s="2494" t="str">
        <f t="shared" si="116"/>
        <v/>
      </c>
      <c r="EI798" s="2494" t="str">
        <f t="shared" si="117"/>
        <v/>
      </c>
      <c r="EJ798" s="2494" t="str">
        <f t="shared" si="118"/>
        <v/>
      </c>
      <c r="EK798" s="2494" t="str">
        <f t="shared" si="119"/>
        <v/>
      </c>
      <c r="EL798" s="2494" t="str">
        <f t="shared" si="120"/>
        <v/>
      </c>
      <c r="EM798" s="2494" t="str">
        <f t="shared" si="121"/>
        <v/>
      </c>
      <c r="EN798" s="2494" t="str">
        <f t="shared" si="122"/>
        <v/>
      </c>
      <c r="EO798" s="2494" t="str">
        <f t="shared" si="123"/>
        <v/>
      </c>
      <c r="EP798" s="2494" t="str">
        <f t="shared" si="124"/>
        <v/>
      </c>
      <c r="EQ798" s="2494" t="str">
        <f t="shared" si="125"/>
        <v/>
      </c>
      <c r="ER798" s="2494" t="str">
        <f t="shared" si="126"/>
        <v/>
      </c>
      <c r="ES798" s="2494" t="str">
        <f t="shared" si="127"/>
        <v/>
      </c>
      <c r="ET798" s="2494" t="str">
        <f t="shared" si="128"/>
        <v/>
      </c>
      <c r="EU798" s="2494" t="str">
        <f t="shared" si="129"/>
        <v/>
      </c>
      <c r="EV798" s="2494" t="str">
        <f t="shared" si="130"/>
        <v/>
      </c>
      <c r="EW798" s="2494" t="str">
        <f t="shared" si="131"/>
        <v/>
      </c>
      <c r="EX798" s="2494" t="str">
        <f t="shared" si="132"/>
        <v/>
      </c>
      <c r="EY798" s="2494" t="str">
        <f t="shared" si="133"/>
        <v/>
      </c>
      <c r="EZ798" s="2494" t="str">
        <f t="shared" si="134"/>
        <v/>
      </c>
      <c r="FA798" s="2494" t="str">
        <f t="shared" si="135"/>
        <v/>
      </c>
      <c r="FB798" s="2494" t="str">
        <f t="shared" si="136"/>
        <v/>
      </c>
      <c r="FC798" s="2494" t="str">
        <f t="shared" si="137"/>
        <v/>
      </c>
      <c r="FD798" s="2494" t="str">
        <f t="shared" si="138"/>
        <v/>
      </c>
      <c r="FE798" s="2494" t="str">
        <f t="shared" si="139"/>
        <v/>
      </c>
      <c r="FF798" s="2494" t="str">
        <f t="shared" si="140"/>
        <v/>
      </c>
      <c r="FG798" s="2494" t="str">
        <f t="shared" si="141"/>
        <v/>
      </c>
      <c r="FH798" s="2494" t="str">
        <f t="shared" si="142"/>
        <v/>
      </c>
      <c r="FI798" s="2494" t="str">
        <f t="shared" si="143"/>
        <v/>
      </c>
      <c r="FJ798" s="2494" t="str">
        <f t="shared" si="144"/>
        <v/>
      </c>
      <c r="FK798" s="2494" t="str">
        <f t="shared" si="145"/>
        <v/>
      </c>
      <c r="FL798" s="2494" t="str">
        <f t="shared" si="146"/>
        <v/>
      </c>
      <c r="FM798" s="2494" t="str">
        <f t="shared" si="147"/>
        <v/>
      </c>
      <c r="FN798" s="2494" t="str">
        <f t="shared" si="148"/>
        <v/>
      </c>
      <c r="FO798" s="2494" t="str">
        <f t="shared" si="149"/>
        <v/>
      </c>
      <c r="FP798" s="2494" t="str">
        <f t="shared" si="150"/>
        <v/>
      </c>
      <c r="FQ798" s="2494" t="str">
        <f t="shared" si="151"/>
        <v/>
      </c>
      <c r="FR798" s="2494" t="str">
        <f t="shared" si="152"/>
        <v/>
      </c>
      <c r="FS798" s="2494" t="str">
        <f t="shared" si="153"/>
        <v/>
      </c>
      <c r="FT798" s="2494" t="str">
        <f t="shared" si="154"/>
        <v/>
      </c>
      <c r="FU798" s="2494" t="str">
        <f t="shared" si="155"/>
        <v/>
      </c>
      <c r="FV798" s="2494" t="str">
        <f t="shared" si="156"/>
        <v/>
      </c>
      <c r="FW798" s="2494" t="str">
        <f t="shared" si="157"/>
        <v/>
      </c>
      <c r="FX798" s="2494" t="str">
        <f t="shared" si="158"/>
        <v/>
      </c>
      <c r="FY798" s="2494" t="str">
        <f t="shared" si="159"/>
        <v/>
      </c>
      <c r="FZ798" s="2494" t="str">
        <f t="shared" si="160"/>
        <v/>
      </c>
      <c r="GA798" s="2494" t="str">
        <f t="shared" si="161"/>
        <v/>
      </c>
      <c r="GB798" s="2494" t="str">
        <f t="shared" si="162"/>
        <v/>
      </c>
      <c r="GC798" s="2494" t="str">
        <f t="shared" si="163"/>
        <v/>
      </c>
      <c r="GD798" s="2494" t="str">
        <f t="shared" si="164"/>
        <v/>
      </c>
      <c r="GE798" s="2494" t="str">
        <f t="shared" si="165"/>
        <v/>
      </c>
      <c r="GF798" s="2494" t="str">
        <f t="shared" si="166"/>
        <v/>
      </c>
      <c r="GG798" s="2494" t="str">
        <f t="shared" si="167"/>
        <v/>
      </c>
      <c r="GH798" s="2494" t="str">
        <f t="shared" si="168"/>
        <v/>
      </c>
      <c r="GI798" s="2494" t="str">
        <f t="shared" si="169"/>
        <v/>
      </c>
      <c r="GJ798" s="2494" t="str">
        <f t="shared" si="170"/>
        <v/>
      </c>
      <c r="GK798" s="2494" t="str">
        <f t="shared" si="171"/>
        <v/>
      </c>
      <c r="GL798" s="2494" t="str">
        <f t="shared" si="172"/>
        <v/>
      </c>
      <c r="GM798" s="2494" t="str">
        <f t="shared" si="173"/>
        <v/>
      </c>
      <c r="GN798" s="2494" t="str">
        <f t="shared" si="174"/>
        <v/>
      </c>
      <c r="GO798" s="2494" t="str">
        <f t="shared" si="175"/>
        <v/>
      </c>
      <c r="GP798" s="2494" t="str">
        <f t="shared" si="176"/>
        <v/>
      </c>
      <c r="GQ798" s="2494" t="str">
        <f t="shared" si="177"/>
        <v/>
      </c>
      <c r="GR798" s="2494" t="str">
        <f t="shared" si="178"/>
        <v/>
      </c>
      <c r="GS798" s="2494" t="str">
        <f t="shared" si="179"/>
        <v/>
      </c>
      <c r="GT798" s="2494" t="str">
        <f t="shared" si="180"/>
        <v/>
      </c>
      <c r="GU798" s="2494" t="str">
        <f t="shared" si="181"/>
        <v/>
      </c>
      <c r="GV798" s="2494" t="str">
        <f t="shared" si="182"/>
        <v/>
      </c>
      <c r="GW798" s="2494" t="str">
        <f t="shared" si="183"/>
        <v/>
      </c>
      <c r="GX798" s="2494" t="str">
        <f t="shared" si="184"/>
        <v/>
      </c>
      <c r="GY798" s="2494" t="str">
        <f t="shared" si="185"/>
        <v/>
      </c>
      <c r="GZ798" s="2494" t="str">
        <f t="shared" si="186"/>
        <v/>
      </c>
      <c r="HA798" s="2494" t="str">
        <f t="shared" si="187"/>
        <v/>
      </c>
      <c r="HB798" s="2494" t="str">
        <f t="shared" si="188"/>
        <v/>
      </c>
      <c r="HC798" s="2494" t="str">
        <f t="shared" si="189"/>
        <v/>
      </c>
      <c r="HD798" s="2494" t="str">
        <f t="shared" si="190"/>
        <v/>
      </c>
      <c r="HE798" s="2494" t="str">
        <f t="shared" si="191"/>
        <v/>
      </c>
      <c r="HF798" s="2494" t="str">
        <f t="shared" si="192"/>
        <v/>
      </c>
      <c r="HG798" s="2494" t="str">
        <f t="shared" si="193"/>
        <v/>
      </c>
      <c r="HH798" s="2494" t="str">
        <f t="shared" si="194"/>
        <v/>
      </c>
      <c r="HI798" s="2494" t="str">
        <f t="shared" si="195"/>
        <v/>
      </c>
      <c r="HJ798" s="2494" t="str">
        <f t="shared" si="196"/>
        <v/>
      </c>
      <c r="HK798" s="2494" t="str">
        <f t="shared" si="197"/>
        <v/>
      </c>
      <c r="HL798" s="2494" t="str">
        <f t="shared" si="198"/>
        <v/>
      </c>
      <c r="HM798" s="2494" t="str">
        <f t="shared" si="199"/>
        <v/>
      </c>
      <c r="HN798" s="2494" t="str">
        <f t="shared" si="200"/>
        <v/>
      </c>
      <c r="HO798" s="2494" t="str">
        <f t="shared" si="201"/>
        <v/>
      </c>
      <c r="HP798" s="2494" t="str">
        <f t="shared" si="202"/>
        <v/>
      </c>
      <c r="HQ798" s="2494" t="str">
        <f t="shared" si="203"/>
        <v/>
      </c>
      <c r="HR798" s="2494" t="str">
        <f t="shared" si="204"/>
        <v/>
      </c>
      <c r="HS798" s="2494" t="str">
        <f t="shared" si="205"/>
        <v/>
      </c>
      <c r="HT798" s="2494" t="str">
        <f t="shared" si="206"/>
        <v/>
      </c>
      <c r="HU798" s="2494" t="str">
        <f t="shared" si="207"/>
        <v/>
      </c>
      <c r="HV798" s="2494" t="str">
        <f t="shared" si="208"/>
        <v/>
      </c>
      <c r="HW798" s="2494" t="str">
        <f t="shared" si="209"/>
        <v/>
      </c>
      <c r="HX798" s="2494" t="str">
        <f t="shared" si="210"/>
        <v/>
      </c>
      <c r="HY798" s="2494" t="str">
        <f t="shared" si="211"/>
        <v/>
      </c>
      <c r="HZ798" s="2672" t="str">
        <f t="shared" si="212"/>
        <v/>
      </c>
      <c r="IA798" s="2672" t="str">
        <f t="shared" si="213"/>
        <v/>
      </c>
      <c r="IB798" s="2672" t="str">
        <f t="shared" si="214"/>
        <v/>
      </c>
      <c r="IC798" s="2672" t="str">
        <f t="shared" si="215"/>
        <v/>
      </c>
      <c r="ID798" s="2672" t="str">
        <f t="shared" si="216"/>
        <v/>
      </c>
      <c r="IE798" s="2672" t="str">
        <f t="shared" si="217"/>
        <v/>
      </c>
      <c r="IF798" s="2672" t="str">
        <f t="shared" si="218"/>
        <v/>
      </c>
      <c r="IG798" s="2672" t="str">
        <f t="shared" si="219"/>
        <v/>
      </c>
      <c r="IH798" s="2672" t="str">
        <f t="shared" si="220"/>
        <v/>
      </c>
      <c r="II798" s="2672" t="str">
        <f t="shared" si="221"/>
        <v/>
      </c>
      <c r="IJ798" s="2672" t="str">
        <f t="shared" si="222"/>
        <v/>
      </c>
      <c r="IK798" s="2672" t="str">
        <f t="shared" si="223"/>
        <v/>
      </c>
      <c r="IL798" s="2672" t="str">
        <f t="shared" si="224"/>
        <v/>
      </c>
      <c r="IM798" s="2672" t="str">
        <f t="shared" si="225"/>
        <v/>
      </c>
      <c r="IN798" s="2672" t="str">
        <f t="shared" si="226"/>
        <v/>
      </c>
      <c r="IO798" s="2672" t="str">
        <f t="shared" si="227"/>
        <v/>
      </c>
      <c r="IP798" s="2672" t="str">
        <f t="shared" si="228"/>
        <v/>
      </c>
      <c r="IQ798" s="2672" t="str">
        <f t="shared" si="229"/>
        <v/>
      </c>
      <c r="IR798" s="2672" t="str">
        <f t="shared" si="230"/>
        <v/>
      </c>
      <c r="IS798" s="2672" t="str">
        <f t="shared" si="231"/>
        <v/>
      </c>
      <c r="IT798" s="2672" t="str">
        <f t="shared" si="232"/>
        <v/>
      </c>
      <c r="IU798" s="2672" t="str">
        <f t="shared" si="233"/>
        <v/>
      </c>
      <c r="IV798" s="2672" t="str">
        <f t="shared" si="234"/>
        <v/>
      </c>
      <c r="IW798" s="2672" t="str">
        <f t="shared" si="235"/>
        <v/>
      </c>
      <c r="IX798" s="2672" t="str">
        <f t="shared" si="236"/>
        <v/>
      </c>
      <c r="IY798" s="2672" t="str">
        <f t="shared" si="237"/>
        <v/>
      </c>
      <c r="IZ798" s="2672" t="str">
        <f t="shared" si="238"/>
        <v/>
      </c>
      <c r="JA798" s="2672" t="str">
        <f t="shared" si="239"/>
        <v/>
      </c>
      <c r="JB798" s="2672" t="str">
        <f t="shared" si="240"/>
        <v/>
      </c>
      <c r="JC798" s="2672" t="str">
        <f t="shared" si="241"/>
        <v/>
      </c>
      <c r="JD798" s="2672" t="str">
        <f t="shared" si="242"/>
        <v/>
      </c>
      <c r="JE798" s="2672" t="str">
        <f t="shared" si="243"/>
        <v/>
      </c>
      <c r="JF798" s="2672" t="str">
        <f t="shared" si="244"/>
        <v/>
      </c>
      <c r="JG798" s="2672" t="str">
        <f t="shared" si="245"/>
        <v/>
      </c>
      <c r="JH798" s="2672" t="str">
        <f t="shared" si="246"/>
        <v/>
      </c>
      <c r="JI798" s="2672" t="str">
        <f t="shared" si="247"/>
        <v/>
      </c>
      <c r="JJ798" s="2672" t="str">
        <f t="shared" si="248"/>
        <v/>
      </c>
      <c r="JK798" s="2672" t="str">
        <f t="shared" si="249"/>
        <v/>
      </c>
      <c r="JL798" s="2672" t="str">
        <f t="shared" si="250"/>
        <v/>
      </c>
      <c r="JM798" s="2672" t="str">
        <f t="shared" si="251"/>
        <v/>
      </c>
      <c r="JN798" s="2672" t="str">
        <f t="shared" si="252"/>
        <v/>
      </c>
      <c r="JO798" s="2672" t="str">
        <f t="shared" si="253"/>
        <v/>
      </c>
      <c r="JP798" s="2672" t="str">
        <f t="shared" si="254"/>
        <v/>
      </c>
      <c r="JQ798" s="2672" t="str">
        <f t="shared" si="255"/>
        <v/>
      </c>
      <c r="JR798" s="2672" t="str">
        <f t="shared" si="256"/>
        <v/>
      </c>
      <c r="JS798" s="2672" t="str">
        <f t="shared" si="257"/>
        <v/>
      </c>
      <c r="JT798" s="2672" t="str">
        <f t="shared" si="258"/>
        <v/>
      </c>
      <c r="JU798" s="2672" t="str">
        <f t="shared" si="259"/>
        <v/>
      </c>
      <c r="JV798" s="2672" t="str">
        <f t="shared" si="260"/>
        <v/>
      </c>
      <c r="JW798" s="2672" t="str">
        <f t="shared" si="261"/>
        <v/>
      </c>
      <c r="JX798" s="2672" t="str">
        <f t="shared" si="262"/>
        <v/>
      </c>
      <c r="JY798" s="2672" t="str">
        <f t="shared" si="263"/>
        <v/>
      </c>
      <c r="JZ798" s="2672" t="str">
        <f t="shared" si="264"/>
        <v/>
      </c>
      <c r="KA798" s="2672" t="str">
        <f t="shared" si="265"/>
        <v/>
      </c>
      <c r="KB798" s="2672" t="str">
        <f t="shared" si="266"/>
        <v/>
      </c>
      <c r="KC798" s="2672" t="str">
        <f t="shared" si="267"/>
        <v/>
      </c>
      <c r="KD798" s="2672" t="str">
        <f t="shared" si="268"/>
        <v/>
      </c>
      <c r="KE798" s="2672" t="str">
        <f t="shared" si="269"/>
        <v/>
      </c>
      <c r="KF798" s="2672" t="str">
        <f t="shared" si="270"/>
        <v/>
      </c>
      <c r="KG798" s="2672" t="str">
        <f t="shared" si="271"/>
        <v/>
      </c>
      <c r="KH798" s="2672" t="str">
        <f t="shared" si="272"/>
        <v/>
      </c>
      <c r="KI798" s="2672" t="str">
        <f t="shared" si="273"/>
        <v/>
      </c>
      <c r="KJ798" s="2672" t="str">
        <f t="shared" si="274"/>
        <v/>
      </c>
      <c r="KK798" s="2672" t="str">
        <f t="shared" si="275"/>
        <v/>
      </c>
      <c r="KL798" s="2672" t="str">
        <f t="shared" si="276"/>
        <v/>
      </c>
      <c r="KM798" s="2672" t="str">
        <f t="shared" si="277"/>
        <v/>
      </c>
      <c r="KN798" s="2672" t="str">
        <f t="shared" si="278"/>
        <v/>
      </c>
      <c r="KO798" s="2672" t="str">
        <f t="shared" si="279"/>
        <v/>
      </c>
      <c r="KP798" s="2672" t="str">
        <f t="shared" si="280"/>
        <v/>
      </c>
      <c r="KQ798" s="2672" t="str">
        <f t="shared" si="281"/>
        <v/>
      </c>
      <c r="KR798" s="2672" t="str">
        <f t="shared" si="282"/>
        <v/>
      </c>
      <c r="KS798" s="2672" t="str">
        <f t="shared" si="283"/>
        <v/>
      </c>
      <c r="KT798" s="2672" t="str">
        <f t="shared" si="284"/>
        <v/>
      </c>
      <c r="KU798" s="2672" t="str">
        <f t="shared" si="285"/>
        <v/>
      </c>
      <c r="KV798" s="2672" t="str">
        <f t="shared" si="286"/>
        <v/>
      </c>
      <c r="KW798" s="2672" t="str">
        <f t="shared" si="287"/>
        <v/>
      </c>
      <c r="KX798" s="2672" t="str">
        <f t="shared" si="288"/>
        <v/>
      </c>
      <c r="KY798" s="2672" t="str">
        <f t="shared" si="289"/>
        <v/>
      </c>
      <c r="KZ798" s="2672" t="str">
        <f t="shared" si="290"/>
        <v/>
      </c>
      <c r="LA798" s="2672" t="str">
        <f t="shared" si="291"/>
        <v/>
      </c>
      <c r="LB798" s="2672" t="str">
        <f t="shared" si="292"/>
        <v/>
      </c>
      <c r="LC798" s="2672" t="str">
        <f t="shared" si="293"/>
        <v/>
      </c>
      <c r="LD798" s="2672" t="str">
        <f t="shared" si="294"/>
        <v/>
      </c>
      <c r="LE798" s="2672" t="str">
        <f t="shared" si="295"/>
        <v/>
      </c>
      <c r="LF798" s="2672" t="str">
        <f t="shared" si="296"/>
        <v/>
      </c>
      <c r="LG798" s="2672" t="str">
        <f t="shared" si="297"/>
        <v/>
      </c>
      <c r="LH798" s="2672" t="str">
        <f t="shared" si="298"/>
        <v/>
      </c>
      <c r="LI798" s="2672" t="str">
        <f t="shared" si="299"/>
        <v/>
      </c>
      <c r="LJ798" s="2672" t="str">
        <f t="shared" si="300"/>
        <v/>
      </c>
      <c r="LK798" s="2672" t="str">
        <f t="shared" si="301"/>
        <v/>
      </c>
      <c r="LL798" s="2672" t="str">
        <f t="shared" si="302"/>
        <v/>
      </c>
      <c r="LM798" s="2672" t="str">
        <f t="shared" si="303"/>
        <v/>
      </c>
      <c r="LN798" s="2672" t="str">
        <f t="shared" si="304"/>
        <v/>
      </c>
      <c r="LO798" s="2672" t="str">
        <f t="shared" si="305"/>
        <v/>
      </c>
      <c r="LP798" s="2672" t="str">
        <f t="shared" si="306"/>
        <v/>
      </c>
      <c r="LQ798" s="2613" t="str">
        <f t="shared" si="307"/>
        <v/>
      </c>
      <c r="LR798" s="2613" t="str">
        <f t="shared" si="308"/>
        <v/>
      </c>
      <c r="LS798" s="2613" t="str">
        <f t="shared" si="309"/>
        <v/>
      </c>
      <c r="LT798" s="2613" t="str">
        <f t="shared" si="310"/>
        <v/>
      </c>
      <c r="LU798" s="2613" t="str">
        <f t="shared" si="311"/>
        <v/>
      </c>
      <c r="LV798" s="2494" t="str">
        <f t="shared" si="312"/>
        <v/>
      </c>
      <c r="LW798" s="2494" t="str">
        <f t="shared" si="313"/>
        <v/>
      </c>
      <c r="LX798" s="2494" t="str">
        <f t="shared" si="314"/>
        <v/>
      </c>
      <c r="LY798" s="2494" t="str">
        <f t="shared" si="315"/>
        <v/>
      </c>
      <c r="LZ798" s="2494" t="str">
        <f t="shared" si="316"/>
        <v/>
      </c>
      <c r="MA798" s="2494" t="str">
        <f t="shared" si="317"/>
        <v/>
      </c>
      <c r="MB798" s="2494" t="str">
        <f t="shared" si="318"/>
        <v/>
      </c>
      <c r="MC798" s="2494" t="str">
        <f t="shared" si="319"/>
        <v/>
      </c>
      <c r="MD798" s="2494" t="str">
        <f t="shared" si="320"/>
        <v/>
      </c>
      <c r="ME798" s="2494" t="str">
        <f t="shared" si="321"/>
        <v/>
      </c>
      <c r="MF798" s="2494" t="str">
        <f t="shared" si="322"/>
        <v/>
      </c>
      <c r="MG798" s="2494" t="str">
        <f t="shared" si="323"/>
        <v/>
      </c>
      <c r="MH798" s="2494" t="str">
        <f t="shared" si="324"/>
        <v/>
      </c>
      <c r="MI798" s="2494" t="str">
        <f t="shared" si="325"/>
        <v/>
      </c>
      <c r="MJ798" s="2494" t="str">
        <f t="shared" si="326"/>
        <v/>
      </c>
      <c r="MK798" s="2494" t="str">
        <f t="shared" si="327"/>
        <v/>
      </c>
      <c r="ML798" s="2494" t="str">
        <f t="shared" si="328"/>
        <v/>
      </c>
      <c r="MM798" s="2494" t="str">
        <f t="shared" si="329"/>
        <v/>
      </c>
      <c r="MN798" s="2494" t="str">
        <f t="shared" si="330"/>
        <v/>
      </c>
      <c r="MO798" s="2494" t="str">
        <f t="shared" si="331"/>
        <v/>
      </c>
      <c r="MP798" s="2613">
        <f t="shared" si="338"/>
        <v>0</v>
      </c>
      <c r="MQ798" s="2613">
        <f t="shared" si="339"/>
        <v>0</v>
      </c>
      <c r="MR798" s="2613">
        <f t="shared" si="340"/>
        <v>0</v>
      </c>
      <c r="MS798" s="2613">
        <f t="shared" si="341"/>
        <v>0</v>
      </c>
      <c r="MT798" s="2613">
        <f t="shared" si="342"/>
        <v>0</v>
      </c>
      <c r="MU798" s="2613">
        <f t="shared" si="343"/>
        <v>0</v>
      </c>
      <c r="MV798" s="2613">
        <f t="shared" si="344"/>
        <v>0</v>
      </c>
      <c r="MW798" s="2613">
        <f t="shared" si="345"/>
        <v>0</v>
      </c>
      <c r="MX798" s="2613">
        <f t="shared" si="346"/>
        <v>0</v>
      </c>
      <c r="MY798" s="2613">
        <f t="shared" si="347"/>
        <v>0</v>
      </c>
      <c r="MZ798" s="2613">
        <f t="shared" si="332"/>
        <v>0</v>
      </c>
      <c r="NA798" s="2613">
        <f t="shared" si="333"/>
        <v>0</v>
      </c>
      <c r="NB798" s="2613">
        <f t="shared" si="334"/>
        <v>0</v>
      </c>
      <c r="NC798" s="2613">
        <f t="shared" si="335"/>
        <v>0</v>
      </c>
      <c r="ND798" s="2613">
        <f t="shared" si="336"/>
        <v>0</v>
      </c>
    </row>
    <row r="799" spans="1:368" ht="13.8" customHeight="1">
      <c r="A799" s="2652" t="str">
        <f t="shared" si="337"/>
        <v/>
      </c>
      <c r="B799" s="2664">
        <f>'Part VI-Revenues &amp; Expenses'!B30</f>
        <v>0</v>
      </c>
      <c r="C799" s="2665">
        <f>'Part VI-Revenues &amp; Expenses'!C30</f>
        <v>0</v>
      </c>
      <c r="D799" s="2666">
        <f>'Part VI-Revenues &amp; Expenses'!D30</f>
        <v>0</v>
      </c>
      <c r="E799" s="2667">
        <f>'Part VI-Revenues &amp; Expenses'!E30</f>
        <v>0</v>
      </c>
      <c r="F799" s="2667">
        <f>'Part VI-Revenues &amp; Expenses'!F30</f>
        <v>0</v>
      </c>
      <c r="G799" s="2667">
        <f>'Part VI-Revenues &amp; Expenses'!G30</f>
        <v>0</v>
      </c>
      <c r="H799" s="2667">
        <f>'Part VI-Revenues &amp; Expenses'!H30</f>
        <v>0</v>
      </c>
      <c r="I799" s="2667">
        <f>'Part VI-Revenues &amp; Expenses'!I30</f>
        <v>0</v>
      </c>
      <c r="J799" s="2667">
        <f>'Part VI-Revenues &amp; Expenses'!J30</f>
        <v>0</v>
      </c>
      <c r="K799" s="2668">
        <f>'Part VI-Revenues &amp; Expenses'!K30</f>
        <v>0</v>
      </c>
      <c r="L799" s="2669">
        <f t="shared" si="0"/>
        <v>0</v>
      </c>
      <c r="M799" s="2669">
        <f t="shared" si="1"/>
        <v>0</v>
      </c>
      <c r="N799" s="2545">
        <f>'Part VI-Revenues &amp; Expenses'!N30</f>
        <v>0</v>
      </c>
      <c r="O799" s="2545">
        <f>'Part VI-Revenues &amp; Expenses'!O30</f>
        <v>0</v>
      </c>
      <c r="P799" s="2545">
        <f>'Part VI-Revenues &amp; Expenses'!P30</f>
        <v>0</v>
      </c>
      <c r="Q799" s="2251">
        <f>'Part VI-Revenues &amp; Expenses'!Q30</f>
        <v>0</v>
      </c>
      <c r="R799" s="2670"/>
      <c r="S799" s="2671"/>
      <c r="T799" s="2607"/>
      <c r="U799" s="2607"/>
      <c r="V799" s="2607"/>
      <c r="W799" s="2607"/>
      <c r="X799" s="2494" t="str">
        <f t="shared" si="2"/>
        <v/>
      </c>
      <c r="Y799" s="2494" t="str">
        <f t="shared" si="3"/>
        <v/>
      </c>
      <c r="Z799" s="2494" t="str">
        <f t="shared" si="4"/>
        <v/>
      </c>
      <c r="AA799" s="2494" t="str">
        <f t="shared" si="5"/>
        <v/>
      </c>
      <c r="AB799" s="2494" t="str">
        <f t="shared" si="6"/>
        <v/>
      </c>
      <c r="AC799" s="2494" t="str">
        <f t="shared" si="7"/>
        <v/>
      </c>
      <c r="AD799" s="2494" t="str">
        <f t="shared" si="8"/>
        <v/>
      </c>
      <c r="AE799" s="2494" t="str">
        <f t="shared" si="9"/>
        <v/>
      </c>
      <c r="AF799" s="2494" t="str">
        <f t="shared" si="10"/>
        <v/>
      </c>
      <c r="AG799" s="2494" t="str">
        <f t="shared" si="11"/>
        <v/>
      </c>
      <c r="AH799" s="2494" t="str">
        <f t="shared" si="12"/>
        <v/>
      </c>
      <c r="AI799" s="2494" t="str">
        <f t="shared" si="13"/>
        <v/>
      </c>
      <c r="AJ799" s="2494" t="str">
        <f t="shared" si="14"/>
        <v/>
      </c>
      <c r="AK799" s="2494" t="str">
        <f t="shared" si="15"/>
        <v/>
      </c>
      <c r="AL799" s="2494" t="str">
        <f t="shared" si="16"/>
        <v/>
      </c>
      <c r="AM799" s="2494" t="str">
        <f t="shared" si="17"/>
        <v/>
      </c>
      <c r="AN799" s="2494" t="str">
        <f t="shared" si="18"/>
        <v/>
      </c>
      <c r="AO799" s="2494" t="str">
        <f t="shared" si="19"/>
        <v/>
      </c>
      <c r="AP799" s="2494" t="str">
        <f t="shared" si="20"/>
        <v/>
      </c>
      <c r="AQ799" s="2494" t="str">
        <f t="shared" si="21"/>
        <v/>
      </c>
      <c r="AR799" s="2494" t="str">
        <f t="shared" si="22"/>
        <v/>
      </c>
      <c r="AS799" s="2494" t="str">
        <f t="shared" si="23"/>
        <v/>
      </c>
      <c r="AT799" s="2494" t="str">
        <f t="shared" si="24"/>
        <v/>
      </c>
      <c r="AU799" s="2494" t="str">
        <f t="shared" si="25"/>
        <v/>
      </c>
      <c r="AV799" s="2494" t="str">
        <f t="shared" si="26"/>
        <v/>
      </c>
      <c r="AW799" s="2494" t="str">
        <f t="shared" si="27"/>
        <v/>
      </c>
      <c r="AX799" s="2494" t="str">
        <f t="shared" si="28"/>
        <v/>
      </c>
      <c r="AY799" s="2494" t="str">
        <f t="shared" si="29"/>
        <v/>
      </c>
      <c r="AZ799" s="2494" t="str">
        <f t="shared" si="30"/>
        <v/>
      </c>
      <c r="BA799" s="2494" t="str">
        <f t="shared" si="31"/>
        <v/>
      </c>
      <c r="BB799" s="2494" t="str">
        <f t="shared" si="32"/>
        <v/>
      </c>
      <c r="BC799" s="2494" t="str">
        <f t="shared" si="33"/>
        <v/>
      </c>
      <c r="BD799" s="2494" t="str">
        <f t="shared" si="34"/>
        <v/>
      </c>
      <c r="BE799" s="2494" t="str">
        <f t="shared" si="35"/>
        <v/>
      </c>
      <c r="BF799" s="2494" t="str">
        <f t="shared" si="36"/>
        <v/>
      </c>
      <c r="BG799" s="2494" t="str">
        <f t="shared" si="37"/>
        <v/>
      </c>
      <c r="BH799" s="2494" t="str">
        <f t="shared" si="38"/>
        <v/>
      </c>
      <c r="BI799" s="2494" t="str">
        <f t="shared" si="39"/>
        <v/>
      </c>
      <c r="BJ799" s="2494" t="str">
        <f t="shared" si="40"/>
        <v/>
      </c>
      <c r="BK799" s="2494" t="str">
        <f t="shared" si="41"/>
        <v/>
      </c>
      <c r="BL799" s="2494" t="str">
        <f t="shared" si="42"/>
        <v/>
      </c>
      <c r="BM799" s="2494" t="str">
        <f t="shared" si="43"/>
        <v/>
      </c>
      <c r="BN799" s="2494" t="str">
        <f t="shared" si="44"/>
        <v/>
      </c>
      <c r="BO799" s="2494" t="str">
        <f t="shared" si="45"/>
        <v/>
      </c>
      <c r="BP799" s="2494" t="str">
        <f t="shared" si="46"/>
        <v/>
      </c>
      <c r="BQ799" s="2494" t="str">
        <f t="shared" si="47"/>
        <v/>
      </c>
      <c r="BR799" s="2494" t="str">
        <f t="shared" si="48"/>
        <v/>
      </c>
      <c r="BS799" s="2494" t="str">
        <f t="shared" si="49"/>
        <v/>
      </c>
      <c r="BT799" s="2494" t="str">
        <f t="shared" si="50"/>
        <v/>
      </c>
      <c r="BU799" s="2494" t="str">
        <f t="shared" si="51"/>
        <v/>
      </c>
      <c r="BV799" s="2494" t="str">
        <f t="shared" si="52"/>
        <v/>
      </c>
      <c r="BW799" s="2494" t="str">
        <f t="shared" si="53"/>
        <v/>
      </c>
      <c r="BX799" s="2494" t="str">
        <f t="shared" si="54"/>
        <v/>
      </c>
      <c r="BY799" s="2494" t="str">
        <f t="shared" si="55"/>
        <v/>
      </c>
      <c r="BZ799" s="2494" t="str">
        <f t="shared" si="56"/>
        <v/>
      </c>
      <c r="CA799" s="2494" t="str">
        <f t="shared" si="57"/>
        <v/>
      </c>
      <c r="CB799" s="2494" t="str">
        <f t="shared" si="58"/>
        <v/>
      </c>
      <c r="CC799" s="2494" t="str">
        <f t="shared" si="59"/>
        <v/>
      </c>
      <c r="CD799" s="2494" t="str">
        <f t="shared" si="60"/>
        <v/>
      </c>
      <c r="CE799" s="2494" t="str">
        <f t="shared" si="61"/>
        <v/>
      </c>
      <c r="CF799" s="2494" t="str">
        <f t="shared" si="62"/>
        <v/>
      </c>
      <c r="CG799" s="2494" t="str">
        <f t="shared" si="63"/>
        <v/>
      </c>
      <c r="CH799" s="2494" t="str">
        <f t="shared" si="64"/>
        <v/>
      </c>
      <c r="CI799" s="2494" t="str">
        <f t="shared" si="65"/>
        <v/>
      </c>
      <c r="CJ799" s="2494" t="str">
        <f t="shared" si="66"/>
        <v/>
      </c>
      <c r="CK799" s="2494" t="str">
        <f t="shared" si="67"/>
        <v/>
      </c>
      <c r="CL799" s="2494" t="str">
        <f t="shared" si="68"/>
        <v/>
      </c>
      <c r="CM799" s="2494" t="str">
        <f t="shared" si="69"/>
        <v/>
      </c>
      <c r="CN799" s="2494" t="str">
        <f t="shared" si="70"/>
        <v/>
      </c>
      <c r="CO799" s="2494" t="str">
        <f t="shared" si="71"/>
        <v/>
      </c>
      <c r="CP799" s="2494" t="str">
        <f t="shared" si="72"/>
        <v/>
      </c>
      <c r="CQ799" s="2494" t="str">
        <f t="shared" si="73"/>
        <v/>
      </c>
      <c r="CR799" s="2494" t="str">
        <f t="shared" si="74"/>
        <v/>
      </c>
      <c r="CS799" s="2494" t="str">
        <f t="shared" si="75"/>
        <v/>
      </c>
      <c r="CT799" s="2494" t="str">
        <f t="shared" si="76"/>
        <v/>
      </c>
      <c r="CU799" s="2494" t="str">
        <f t="shared" si="77"/>
        <v/>
      </c>
      <c r="CV799" s="2494" t="str">
        <f t="shared" si="78"/>
        <v/>
      </c>
      <c r="CW799" s="2494" t="str">
        <f t="shared" si="79"/>
        <v/>
      </c>
      <c r="CX799" s="2494" t="str">
        <f t="shared" si="80"/>
        <v/>
      </c>
      <c r="CY799" s="2494" t="str">
        <f t="shared" si="81"/>
        <v/>
      </c>
      <c r="CZ799" s="2494" t="str">
        <f t="shared" si="82"/>
        <v/>
      </c>
      <c r="DA799" s="2494" t="str">
        <f t="shared" si="83"/>
        <v/>
      </c>
      <c r="DB799" s="2494" t="str">
        <f t="shared" si="84"/>
        <v/>
      </c>
      <c r="DC799" s="2494" t="str">
        <f t="shared" si="85"/>
        <v/>
      </c>
      <c r="DD799" s="2494" t="str">
        <f t="shared" si="86"/>
        <v/>
      </c>
      <c r="DE799" s="2494" t="str">
        <f t="shared" si="87"/>
        <v/>
      </c>
      <c r="DF799" s="2494" t="str">
        <f t="shared" si="88"/>
        <v/>
      </c>
      <c r="DG799" s="2494" t="str">
        <f t="shared" si="89"/>
        <v/>
      </c>
      <c r="DH799" s="2494" t="str">
        <f t="shared" si="90"/>
        <v/>
      </c>
      <c r="DI799" s="2494" t="str">
        <f t="shared" si="91"/>
        <v/>
      </c>
      <c r="DJ799" s="2494" t="str">
        <f t="shared" si="92"/>
        <v/>
      </c>
      <c r="DK799" s="2494" t="str">
        <f t="shared" si="93"/>
        <v/>
      </c>
      <c r="DL799" s="2494" t="str">
        <f t="shared" si="94"/>
        <v/>
      </c>
      <c r="DM799" s="2494" t="str">
        <f t="shared" si="95"/>
        <v/>
      </c>
      <c r="DN799" s="2494" t="str">
        <f t="shared" si="96"/>
        <v/>
      </c>
      <c r="DO799" s="2494" t="str">
        <f t="shared" si="97"/>
        <v/>
      </c>
      <c r="DP799" s="2494" t="str">
        <f t="shared" si="98"/>
        <v/>
      </c>
      <c r="DQ799" s="2494" t="str">
        <f t="shared" si="99"/>
        <v/>
      </c>
      <c r="DR799" s="2494" t="str">
        <f t="shared" si="100"/>
        <v/>
      </c>
      <c r="DS799" s="2494" t="str">
        <f t="shared" si="101"/>
        <v/>
      </c>
      <c r="DT799" s="2494" t="str">
        <f t="shared" si="102"/>
        <v/>
      </c>
      <c r="DU799" s="2494" t="str">
        <f t="shared" si="103"/>
        <v/>
      </c>
      <c r="DV799" s="2494" t="str">
        <f t="shared" si="104"/>
        <v/>
      </c>
      <c r="DW799" s="2494" t="str">
        <f t="shared" si="105"/>
        <v/>
      </c>
      <c r="DX799" s="2494" t="str">
        <f t="shared" si="106"/>
        <v/>
      </c>
      <c r="DY799" s="2494" t="str">
        <f t="shared" si="107"/>
        <v/>
      </c>
      <c r="DZ799" s="2494" t="str">
        <f t="shared" si="108"/>
        <v/>
      </c>
      <c r="EA799" s="2494" t="str">
        <f t="shared" si="109"/>
        <v/>
      </c>
      <c r="EB799" s="2494" t="str">
        <f t="shared" si="110"/>
        <v/>
      </c>
      <c r="EC799" s="2494" t="str">
        <f t="shared" si="111"/>
        <v/>
      </c>
      <c r="ED799" s="2494" t="str">
        <f t="shared" si="112"/>
        <v/>
      </c>
      <c r="EE799" s="2494" t="str">
        <f t="shared" si="113"/>
        <v/>
      </c>
      <c r="EF799" s="2494" t="str">
        <f t="shared" si="114"/>
        <v/>
      </c>
      <c r="EG799" s="2494" t="str">
        <f t="shared" si="115"/>
        <v/>
      </c>
      <c r="EH799" s="2494" t="str">
        <f t="shared" si="116"/>
        <v/>
      </c>
      <c r="EI799" s="2494" t="str">
        <f t="shared" si="117"/>
        <v/>
      </c>
      <c r="EJ799" s="2494" t="str">
        <f t="shared" si="118"/>
        <v/>
      </c>
      <c r="EK799" s="2494" t="str">
        <f t="shared" si="119"/>
        <v/>
      </c>
      <c r="EL799" s="2494" t="str">
        <f t="shared" si="120"/>
        <v/>
      </c>
      <c r="EM799" s="2494" t="str">
        <f t="shared" si="121"/>
        <v/>
      </c>
      <c r="EN799" s="2494" t="str">
        <f t="shared" si="122"/>
        <v/>
      </c>
      <c r="EO799" s="2494" t="str">
        <f t="shared" si="123"/>
        <v/>
      </c>
      <c r="EP799" s="2494" t="str">
        <f t="shared" si="124"/>
        <v/>
      </c>
      <c r="EQ799" s="2494" t="str">
        <f t="shared" si="125"/>
        <v/>
      </c>
      <c r="ER799" s="2494" t="str">
        <f t="shared" si="126"/>
        <v/>
      </c>
      <c r="ES799" s="2494" t="str">
        <f t="shared" si="127"/>
        <v/>
      </c>
      <c r="ET799" s="2494" t="str">
        <f t="shared" si="128"/>
        <v/>
      </c>
      <c r="EU799" s="2494" t="str">
        <f t="shared" si="129"/>
        <v/>
      </c>
      <c r="EV799" s="2494" t="str">
        <f t="shared" si="130"/>
        <v/>
      </c>
      <c r="EW799" s="2494" t="str">
        <f t="shared" si="131"/>
        <v/>
      </c>
      <c r="EX799" s="2494" t="str">
        <f t="shared" si="132"/>
        <v/>
      </c>
      <c r="EY799" s="2494" t="str">
        <f t="shared" si="133"/>
        <v/>
      </c>
      <c r="EZ799" s="2494" t="str">
        <f t="shared" si="134"/>
        <v/>
      </c>
      <c r="FA799" s="2494" t="str">
        <f t="shared" si="135"/>
        <v/>
      </c>
      <c r="FB799" s="2494" t="str">
        <f t="shared" si="136"/>
        <v/>
      </c>
      <c r="FC799" s="2494" t="str">
        <f t="shared" si="137"/>
        <v/>
      </c>
      <c r="FD799" s="2494" t="str">
        <f t="shared" si="138"/>
        <v/>
      </c>
      <c r="FE799" s="2494" t="str">
        <f t="shared" si="139"/>
        <v/>
      </c>
      <c r="FF799" s="2494" t="str">
        <f t="shared" si="140"/>
        <v/>
      </c>
      <c r="FG799" s="2494" t="str">
        <f t="shared" si="141"/>
        <v/>
      </c>
      <c r="FH799" s="2494" t="str">
        <f t="shared" si="142"/>
        <v/>
      </c>
      <c r="FI799" s="2494" t="str">
        <f t="shared" si="143"/>
        <v/>
      </c>
      <c r="FJ799" s="2494" t="str">
        <f t="shared" si="144"/>
        <v/>
      </c>
      <c r="FK799" s="2494" t="str">
        <f t="shared" si="145"/>
        <v/>
      </c>
      <c r="FL799" s="2494" t="str">
        <f t="shared" si="146"/>
        <v/>
      </c>
      <c r="FM799" s="2494" t="str">
        <f t="shared" si="147"/>
        <v/>
      </c>
      <c r="FN799" s="2494" t="str">
        <f t="shared" si="148"/>
        <v/>
      </c>
      <c r="FO799" s="2494" t="str">
        <f t="shared" si="149"/>
        <v/>
      </c>
      <c r="FP799" s="2494" t="str">
        <f t="shared" si="150"/>
        <v/>
      </c>
      <c r="FQ799" s="2494" t="str">
        <f t="shared" si="151"/>
        <v/>
      </c>
      <c r="FR799" s="2494" t="str">
        <f t="shared" si="152"/>
        <v/>
      </c>
      <c r="FS799" s="2494" t="str">
        <f t="shared" si="153"/>
        <v/>
      </c>
      <c r="FT799" s="2494" t="str">
        <f t="shared" si="154"/>
        <v/>
      </c>
      <c r="FU799" s="2494" t="str">
        <f t="shared" si="155"/>
        <v/>
      </c>
      <c r="FV799" s="2494" t="str">
        <f t="shared" si="156"/>
        <v/>
      </c>
      <c r="FW799" s="2494" t="str">
        <f t="shared" si="157"/>
        <v/>
      </c>
      <c r="FX799" s="2494" t="str">
        <f t="shared" si="158"/>
        <v/>
      </c>
      <c r="FY799" s="2494" t="str">
        <f t="shared" si="159"/>
        <v/>
      </c>
      <c r="FZ799" s="2494" t="str">
        <f t="shared" si="160"/>
        <v/>
      </c>
      <c r="GA799" s="2494" t="str">
        <f t="shared" si="161"/>
        <v/>
      </c>
      <c r="GB799" s="2494" t="str">
        <f t="shared" si="162"/>
        <v/>
      </c>
      <c r="GC799" s="2494" t="str">
        <f t="shared" si="163"/>
        <v/>
      </c>
      <c r="GD799" s="2494" t="str">
        <f t="shared" si="164"/>
        <v/>
      </c>
      <c r="GE799" s="2494" t="str">
        <f t="shared" si="165"/>
        <v/>
      </c>
      <c r="GF799" s="2494" t="str">
        <f t="shared" si="166"/>
        <v/>
      </c>
      <c r="GG799" s="2494" t="str">
        <f t="shared" si="167"/>
        <v/>
      </c>
      <c r="GH799" s="2494" t="str">
        <f t="shared" si="168"/>
        <v/>
      </c>
      <c r="GI799" s="2494" t="str">
        <f t="shared" si="169"/>
        <v/>
      </c>
      <c r="GJ799" s="2494" t="str">
        <f t="shared" si="170"/>
        <v/>
      </c>
      <c r="GK799" s="2494" t="str">
        <f t="shared" si="171"/>
        <v/>
      </c>
      <c r="GL799" s="2494" t="str">
        <f t="shared" si="172"/>
        <v/>
      </c>
      <c r="GM799" s="2494" t="str">
        <f t="shared" si="173"/>
        <v/>
      </c>
      <c r="GN799" s="2494" t="str">
        <f t="shared" si="174"/>
        <v/>
      </c>
      <c r="GO799" s="2494" t="str">
        <f t="shared" si="175"/>
        <v/>
      </c>
      <c r="GP799" s="2494" t="str">
        <f t="shared" si="176"/>
        <v/>
      </c>
      <c r="GQ799" s="2494" t="str">
        <f t="shared" si="177"/>
        <v/>
      </c>
      <c r="GR799" s="2494" t="str">
        <f t="shared" si="178"/>
        <v/>
      </c>
      <c r="GS799" s="2494" t="str">
        <f t="shared" si="179"/>
        <v/>
      </c>
      <c r="GT799" s="2494" t="str">
        <f t="shared" si="180"/>
        <v/>
      </c>
      <c r="GU799" s="2494" t="str">
        <f t="shared" si="181"/>
        <v/>
      </c>
      <c r="GV799" s="2494" t="str">
        <f t="shared" si="182"/>
        <v/>
      </c>
      <c r="GW799" s="2494" t="str">
        <f t="shared" si="183"/>
        <v/>
      </c>
      <c r="GX799" s="2494" t="str">
        <f t="shared" si="184"/>
        <v/>
      </c>
      <c r="GY799" s="2494" t="str">
        <f t="shared" si="185"/>
        <v/>
      </c>
      <c r="GZ799" s="2494" t="str">
        <f t="shared" si="186"/>
        <v/>
      </c>
      <c r="HA799" s="2494" t="str">
        <f t="shared" si="187"/>
        <v/>
      </c>
      <c r="HB799" s="2494" t="str">
        <f t="shared" si="188"/>
        <v/>
      </c>
      <c r="HC799" s="2494" t="str">
        <f t="shared" si="189"/>
        <v/>
      </c>
      <c r="HD799" s="2494" t="str">
        <f t="shared" si="190"/>
        <v/>
      </c>
      <c r="HE799" s="2494" t="str">
        <f t="shared" si="191"/>
        <v/>
      </c>
      <c r="HF799" s="2494" t="str">
        <f t="shared" si="192"/>
        <v/>
      </c>
      <c r="HG799" s="2494" t="str">
        <f t="shared" si="193"/>
        <v/>
      </c>
      <c r="HH799" s="2494" t="str">
        <f t="shared" si="194"/>
        <v/>
      </c>
      <c r="HI799" s="2494" t="str">
        <f t="shared" si="195"/>
        <v/>
      </c>
      <c r="HJ799" s="2494" t="str">
        <f t="shared" si="196"/>
        <v/>
      </c>
      <c r="HK799" s="2494" t="str">
        <f t="shared" si="197"/>
        <v/>
      </c>
      <c r="HL799" s="2494" t="str">
        <f t="shared" si="198"/>
        <v/>
      </c>
      <c r="HM799" s="2494" t="str">
        <f t="shared" si="199"/>
        <v/>
      </c>
      <c r="HN799" s="2494" t="str">
        <f t="shared" si="200"/>
        <v/>
      </c>
      <c r="HO799" s="2494" t="str">
        <f t="shared" si="201"/>
        <v/>
      </c>
      <c r="HP799" s="2494" t="str">
        <f t="shared" si="202"/>
        <v/>
      </c>
      <c r="HQ799" s="2494" t="str">
        <f t="shared" si="203"/>
        <v/>
      </c>
      <c r="HR799" s="2494" t="str">
        <f t="shared" si="204"/>
        <v/>
      </c>
      <c r="HS799" s="2494" t="str">
        <f t="shared" si="205"/>
        <v/>
      </c>
      <c r="HT799" s="2494" t="str">
        <f t="shared" si="206"/>
        <v/>
      </c>
      <c r="HU799" s="2494" t="str">
        <f t="shared" si="207"/>
        <v/>
      </c>
      <c r="HV799" s="2494" t="str">
        <f t="shared" si="208"/>
        <v/>
      </c>
      <c r="HW799" s="2494" t="str">
        <f t="shared" si="209"/>
        <v/>
      </c>
      <c r="HX799" s="2494" t="str">
        <f t="shared" si="210"/>
        <v/>
      </c>
      <c r="HY799" s="2494" t="str">
        <f t="shared" si="211"/>
        <v/>
      </c>
      <c r="HZ799" s="2672" t="str">
        <f t="shared" si="212"/>
        <v/>
      </c>
      <c r="IA799" s="2672" t="str">
        <f t="shared" si="213"/>
        <v/>
      </c>
      <c r="IB799" s="2672" t="str">
        <f t="shared" si="214"/>
        <v/>
      </c>
      <c r="IC799" s="2672" t="str">
        <f t="shared" si="215"/>
        <v/>
      </c>
      <c r="ID799" s="2672" t="str">
        <f t="shared" si="216"/>
        <v/>
      </c>
      <c r="IE799" s="2672" t="str">
        <f t="shared" si="217"/>
        <v/>
      </c>
      <c r="IF799" s="2672" t="str">
        <f t="shared" si="218"/>
        <v/>
      </c>
      <c r="IG799" s="2672" t="str">
        <f t="shared" si="219"/>
        <v/>
      </c>
      <c r="IH799" s="2672" t="str">
        <f t="shared" si="220"/>
        <v/>
      </c>
      <c r="II799" s="2672" t="str">
        <f t="shared" si="221"/>
        <v/>
      </c>
      <c r="IJ799" s="2672" t="str">
        <f t="shared" si="222"/>
        <v/>
      </c>
      <c r="IK799" s="2672" t="str">
        <f t="shared" si="223"/>
        <v/>
      </c>
      <c r="IL799" s="2672" t="str">
        <f t="shared" si="224"/>
        <v/>
      </c>
      <c r="IM799" s="2672" t="str">
        <f t="shared" si="225"/>
        <v/>
      </c>
      <c r="IN799" s="2672" t="str">
        <f t="shared" si="226"/>
        <v/>
      </c>
      <c r="IO799" s="2672" t="str">
        <f t="shared" si="227"/>
        <v/>
      </c>
      <c r="IP799" s="2672" t="str">
        <f t="shared" si="228"/>
        <v/>
      </c>
      <c r="IQ799" s="2672" t="str">
        <f t="shared" si="229"/>
        <v/>
      </c>
      <c r="IR799" s="2672" t="str">
        <f t="shared" si="230"/>
        <v/>
      </c>
      <c r="IS799" s="2672" t="str">
        <f t="shared" si="231"/>
        <v/>
      </c>
      <c r="IT799" s="2672" t="str">
        <f t="shared" si="232"/>
        <v/>
      </c>
      <c r="IU799" s="2672" t="str">
        <f t="shared" si="233"/>
        <v/>
      </c>
      <c r="IV799" s="2672" t="str">
        <f t="shared" si="234"/>
        <v/>
      </c>
      <c r="IW799" s="2672" t="str">
        <f t="shared" si="235"/>
        <v/>
      </c>
      <c r="IX799" s="2672" t="str">
        <f t="shared" si="236"/>
        <v/>
      </c>
      <c r="IY799" s="2672" t="str">
        <f t="shared" si="237"/>
        <v/>
      </c>
      <c r="IZ799" s="2672" t="str">
        <f t="shared" si="238"/>
        <v/>
      </c>
      <c r="JA799" s="2672" t="str">
        <f t="shared" si="239"/>
        <v/>
      </c>
      <c r="JB799" s="2672" t="str">
        <f t="shared" si="240"/>
        <v/>
      </c>
      <c r="JC799" s="2672" t="str">
        <f t="shared" si="241"/>
        <v/>
      </c>
      <c r="JD799" s="2672" t="str">
        <f t="shared" si="242"/>
        <v/>
      </c>
      <c r="JE799" s="2672" t="str">
        <f t="shared" si="243"/>
        <v/>
      </c>
      <c r="JF799" s="2672" t="str">
        <f t="shared" si="244"/>
        <v/>
      </c>
      <c r="JG799" s="2672" t="str">
        <f t="shared" si="245"/>
        <v/>
      </c>
      <c r="JH799" s="2672" t="str">
        <f t="shared" si="246"/>
        <v/>
      </c>
      <c r="JI799" s="2672" t="str">
        <f t="shared" si="247"/>
        <v/>
      </c>
      <c r="JJ799" s="2672" t="str">
        <f t="shared" si="248"/>
        <v/>
      </c>
      <c r="JK799" s="2672" t="str">
        <f t="shared" si="249"/>
        <v/>
      </c>
      <c r="JL799" s="2672" t="str">
        <f t="shared" si="250"/>
        <v/>
      </c>
      <c r="JM799" s="2672" t="str">
        <f t="shared" si="251"/>
        <v/>
      </c>
      <c r="JN799" s="2672" t="str">
        <f t="shared" si="252"/>
        <v/>
      </c>
      <c r="JO799" s="2672" t="str">
        <f t="shared" si="253"/>
        <v/>
      </c>
      <c r="JP799" s="2672" t="str">
        <f t="shared" si="254"/>
        <v/>
      </c>
      <c r="JQ799" s="2672" t="str">
        <f t="shared" si="255"/>
        <v/>
      </c>
      <c r="JR799" s="2672" t="str">
        <f t="shared" si="256"/>
        <v/>
      </c>
      <c r="JS799" s="2672" t="str">
        <f t="shared" si="257"/>
        <v/>
      </c>
      <c r="JT799" s="2672" t="str">
        <f t="shared" si="258"/>
        <v/>
      </c>
      <c r="JU799" s="2672" t="str">
        <f t="shared" si="259"/>
        <v/>
      </c>
      <c r="JV799" s="2672" t="str">
        <f t="shared" si="260"/>
        <v/>
      </c>
      <c r="JW799" s="2672" t="str">
        <f t="shared" si="261"/>
        <v/>
      </c>
      <c r="JX799" s="2672" t="str">
        <f t="shared" si="262"/>
        <v/>
      </c>
      <c r="JY799" s="2672" t="str">
        <f t="shared" si="263"/>
        <v/>
      </c>
      <c r="JZ799" s="2672" t="str">
        <f t="shared" si="264"/>
        <v/>
      </c>
      <c r="KA799" s="2672" t="str">
        <f t="shared" si="265"/>
        <v/>
      </c>
      <c r="KB799" s="2672" t="str">
        <f t="shared" si="266"/>
        <v/>
      </c>
      <c r="KC799" s="2672" t="str">
        <f t="shared" si="267"/>
        <v/>
      </c>
      <c r="KD799" s="2672" t="str">
        <f t="shared" si="268"/>
        <v/>
      </c>
      <c r="KE799" s="2672" t="str">
        <f t="shared" si="269"/>
        <v/>
      </c>
      <c r="KF799" s="2672" t="str">
        <f t="shared" si="270"/>
        <v/>
      </c>
      <c r="KG799" s="2672" t="str">
        <f t="shared" si="271"/>
        <v/>
      </c>
      <c r="KH799" s="2672" t="str">
        <f t="shared" si="272"/>
        <v/>
      </c>
      <c r="KI799" s="2672" t="str">
        <f t="shared" si="273"/>
        <v/>
      </c>
      <c r="KJ799" s="2672" t="str">
        <f t="shared" si="274"/>
        <v/>
      </c>
      <c r="KK799" s="2672" t="str">
        <f t="shared" si="275"/>
        <v/>
      </c>
      <c r="KL799" s="2672" t="str">
        <f t="shared" si="276"/>
        <v/>
      </c>
      <c r="KM799" s="2672" t="str">
        <f t="shared" si="277"/>
        <v/>
      </c>
      <c r="KN799" s="2672" t="str">
        <f t="shared" si="278"/>
        <v/>
      </c>
      <c r="KO799" s="2672" t="str">
        <f t="shared" si="279"/>
        <v/>
      </c>
      <c r="KP799" s="2672" t="str">
        <f t="shared" si="280"/>
        <v/>
      </c>
      <c r="KQ799" s="2672" t="str">
        <f t="shared" si="281"/>
        <v/>
      </c>
      <c r="KR799" s="2672" t="str">
        <f t="shared" si="282"/>
        <v/>
      </c>
      <c r="KS799" s="2672" t="str">
        <f t="shared" si="283"/>
        <v/>
      </c>
      <c r="KT799" s="2672" t="str">
        <f t="shared" si="284"/>
        <v/>
      </c>
      <c r="KU799" s="2672" t="str">
        <f t="shared" si="285"/>
        <v/>
      </c>
      <c r="KV799" s="2672" t="str">
        <f t="shared" si="286"/>
        <v/>
      </c>
      <c r="KW799" s="2672" t="str">
        <f t="shared" si="287"/>
        <v/>
      </c>
      <c r="KX799" s="2672" t="str">
        <f t="shared" si="288"/>
        <v/>
      </c>
      <c r="KY799" s="2672" t="str">
        <f t="shared" si="289"/>
        <v/>
      </c>
      <c r="KZ799" s="2672" t="str">
        <f t="shared" si="290"/>
        <v/>
      </c>
      <c r="LA799" s="2672" t="str">
        <f t="shared" si="291"/>
        <v/>
      </c>
      <c r="LB799" s="2672" t="str">
        <f t="shared" si="292"/>
        <v/>
      </c>
      <c r="LC799" s="2672" t="str">
        <f t="shared" si="293"/>
        <v/>
      </c>
      <c r="LD799" s="2672" t="str">
        <f t="shared" si="294"/>
        <v/>
      </c>
      <c r="LE799" s="2672" t="str">
        <f t="shared" si="295"/>
        <v/>
      </c>
      <c r="LF799" s="2672" t="str">
        <f t="shared" si="296"/>
        <v/>
      </c>
      <c r="LG799" s="2672" t="str">
        <f t="shared" si="297"/>
        <v/>
      </c>
      <c r="LH799" s="2672" t="str">
        <f t="shared" si="298"/>
        <v/>
      </c>
      <c r="LI799" s="2672" t="str">
        <f t="shared" si="299"/>
        <v/>
      </c>
      <c r="LJ799" s="2672" t="str">
        <f t="shared" si="300"/>
        <v/>
      </c>
      <c r="LK799" s="2672" t="str">
        <f t="shared" si="301"/>
        <v/>
      </c>
      <c r="LL799" s="2672" t="str">
        <f t="shared" si="302"/>
        <v/>
      </c>
      <c r="LM799" s="2672" t="str">
        <f t="shared" si="303"/>
        <v/>
      </c>
      <c r="LN799" s="2672" t="str">
        <f t="shared" si="304"/>
        <v/>
      </c>
      <c r="LO799" s="2672" t="str">
        <f t="shared" si="305"/>
        <v/>
      </c>
      <c r="LP799" s="2672" t="str">
        <f t="shared" si="306"/>
        <v/>
      </c>
      <c r="LQ799" s="2613" t="str">
        <f t="shared" si="307"/>
        <v/>
      </c>
      <c r="LR799" s="2613" t="str">
        <f t="shared" si="308"/>
        <v/>
      </c>
      <c r="LS799" s="2613" t="str">
        <f t="shared" si="309"/>
        <v/>
      </c>
      <c r="LT799" s="2613" t="str">
        <f t="shared" si="310"/>
        <v/>
      </c>
      <c r="LU799" s="2613" t="str">
        <f t="shared" si="311"/>
        <v/>
      </c>
      <c r="LV799" s="2494" t="str">
        <f t="shared" si="312"/>
        <v/>
      </c>
      <c r="LW799" s="2494" t="str">
        <f t="shared" si="313"/>
        <v/>
      </c>
      <c r="LX799" s="2494" t="str">
        <f t="shared" si="314"/>
        <v/>
      </c>
      <c r="LY799" s="2494" t="str">
        <f t="shared" si="315"/>
        <v/>
      </c>
      <c r="LZ799" s="2494" t="str">
        <f t="shared" si="316"/>
        <v/>
      </c>
      <c r="MA799" s="2494" t="str">
        <f t="shared" si="317"/>
        <v/>
      </c>
      <c r="MB799" s="2494" t="str">
        <f t="shared" si="318"/>
        <v/>
      </c>
      <c r="MC799" s="2494" t="str">
        <f t="shared" si="319"/>
        <v/>
      </c>
      <c r="MD799" s="2494" t="str">
        <f t="shared" si="320"/>
        <v/>
      </c>
      <c r="ME799" s="2494" t="str">
        <f t="shared" si="321"/>
        <v/>
      </c>
      <c r="MF799" s="2494" t="str">
        <f t="shared" si="322"/>
        <v/>
      </c>
      <c r="MG799" s="2494" t="str">
        <f t="shared" si="323"/>
        <v/>
      </c>
      <c r="MH799" s="2494" t="str">
        <f t="shared" si="324"/>
        <v/>
      </c>
      <c r="MI799" s="2494" t="str">
        <f t="shared" si="325"/>
        <v/>
      </c>
      <c r="MJ799" s="2494" t="str">
        <f t="shared" si="326"/>
        <v/>
      </c>
      <c r="MK799" s="2494" t="str">
        <f t="shared" si="327"/>
        <v/>
      </c>
      <c r="ML799" s="2494" t="str">
        <f t="shared" si="328"/>
        <v/>
      </c>
      <c r="MM799" s="2494" t="str">
        <f t="shared" si="329"/>
        <v/>
      </c>
      <c r="MN799" s="2494" t="str">
        <f t="shared" si="330"/>
        <v/>
      </c>
      <c r="MO799" s="2494" t="str">
        <f t="shared" si="331"/>
        <v/>
      </c>
      <c r="MP799" s="2613">
        <f t="shared" si="338"/>
        <v>0</v>
      </c>
      <c r="MQ799" s="2613">
        <f t="shared" si="339"/>
        <v>0</v>
      </c>
      <c r="MR799" s="2613">
        <f t="shared" si="340"/>
        <v>0</v>
      </c>
      <c r="MS799" s="2613">
        <f t="shared" si="341"/>
        <v>0</v>
      </c>
      <c r="MT799" s="2613">
        <f t="shared" si="342"/>
        <v>0</v>
      </c>
      <c r="MU799" s="2613">
        <f t="shared" si="343"/>
        <v>0</v>
      </c>
      <c r="MV799" s="2613">
        <f t="shared" si="344"/>
        <v>0</v>
      </c>
      <c r="MW799" s="2613">
        <f t="shared" si="345"/>
        <v>0</v>
      </c>
      <c r="MX799" s="2613">
        <f t="shared" si="346"/>
        <v>0</v>
      </c>
      <c r="MY799" s="2613">
        <f t="shared" si="347"/>
        <v>0</v>
      </c>
      <c r="MZ799" s="2613">
        <f t="shared" si="332"/>
        <v>0</v>
      </c>
      <c r="NA799" s="2613">
        <f t="shared" si="333"/>
        <v>0</v>
      </c>
      <c r="NB799" s="2613">
        <f t="shared" si="334"/>
        <v>0</v>
      </c>
      <c r="NC799" s="2613">
        <f t="shared" si="335"/>
        <v>0</v>
      </c>
      <c r="ND799" s="2613">
        <f t="shared" si="336"/>
        <v>0</v>
      </c>
    </row>
    <row r="800" spans="1:368" ht="13.8" customHeight="1">
      <c r="A800" s="2652" t="str">
        <f t="shared" si="337"/>
        <v/>
      </c>
      <c r="B800" s="2664">
        <f>'Part VI-Revenues &amp; Expenses'!B31</f>
        <v>0</v>
      </c>
      <c r="C800" s="2665">
        <f>'Part VI-Revenues &amp; Expenses'!C31</f>
        <v>0</v>
      </c>
      <c r="D800" s="2666">
        <f>'Part VI-Revenues &amp; Expenses'!D31</f>
        <v>0</v>
      </c>
      <c r="E800" s="2667">
        <f>'Part VI-Revenues &amp; Expenses'!E31</f>
        <v>0</v>
      </c>
      <c r="F800" s="2667">
        <f>'Part VI-Revenues &amp; Expenses'!F31</f>
        <v>0</v>
      </c>
      <c r="G800" s="2667">
        <f>'Part VI-Revenues &amp; Expenses'!G31</f>
        <v>0</v>
      </c>
      <c r="H800" s="2667">
        <f>'Part VI-Revenues &amp; Expenses'!H31</f>
        <v>0</v>
      </c>
      <c r="I800" s="2667">
        <f>'Part VI-Revenues &amp; Expenses'!I31</f>
        <v>0</v>
      </c>
      <c r="J800" s="2667">
        <f>'Part VI-Revenues &amp; Expenses'!J31</f>
        <v>0</v>
      </c>
      <c r="K800" s="2668">
        <f>'Part VI-Revenues &amp; Expenses'!K31</f>
        <v>0</v>
      </c>
      <c r="L800" s="2669">
        <f t="shared" si="0"/>
        <v>0</v>
      </c>
      <c r="M800" s="2669">
        <f t="shared" si="1"/>
        <v>0</v>
      </c>
      <c r="N800" s="2545">
        <f>'Part VI-Revenues &amp; Expenses'!N31</f>
        <v>0</v>
      </c>
      <c r="O800" s="2545">
        <f>'Part VI-Revenues &amp; Expenses'!O31</f>
        <v>0</v>
      </c>
      <c r="P800" s="2545">
        <f>'Part VI-Revenues &amp; Expenses'!P31</f>
        <v>0</v>
      </c>
      <c r="Q800" s="2251">
        <f>'Part VI-Revenues &amp; Expenses'!Q31</f>
        <v>0</v>
      </c>
      <c r="R800" s="2670"/>
      <c r="S800" s="2671"/>
      <c r="T800" s="2607"/>
      <c r="U800" s="2607"/>
      <c r="V800" s="2607"/>
      <c r="W800" s="2607"/>
      <c r="X800" s="2494" t="str">
        <f t="shared" si="2"/>
        <v/>
      </c>
      <c r="Y800" s="2494" t="str">
        <f t="shared" si="3"/>
        <v/>
      </c>
      <c r="Z800" s="2494" t="str">
        <f t="shared" si="4"/>
        <v/>
      </c>
      <c r="AA800" s="2494" t="str">
        <f t="shared" si="5"/>
        <v/>
      </c>
      <c r="AB800" s="2494" t="str">
        <f t="shared" si="6"/>
        <v/>
      </c>
      <c r="AC800" s="2494" t="str">
        <f t="shared" si="7"/>
        <v/>
      </c>
      <c r="AD800" s="2494" t="str">
        <f t="shared" si="8"/>
        <v/>
      </c>
      <c r="AE800" s="2494" t="str">
        <f t="shared" si="9"/>
        <v/>
      </c>
      <c r="AF800" s="2494" t="str">
        <f t="shared" si="10"/>
        <v/>
      </c>
      <c r="AG800" s="2494" t="str">
        <f t="shared" si="11"/>
        <v/>
      </c>
      <c r="AH800" s="2494" t="str">
        <f t="shared" si="12"/>
        <v/>
      </c>
      <c r="AI800" s="2494" t="str">
        <f t="shared" si="13"/>
        <v/>
      </c>
      <c r="AJ800" s="2494" t="str">
        <f t="shared" si="14"/>
        <v/>
      </c>
      <c r="AK800" s="2494" t="str">
        <f t="shared" si="15"/>
        <v/>
      </c>
      <c r="AL800" s="2494" t="str">
        <f t="shared" si="16"/>
        <v/>
      </c>
      <c r="AM800" s="2494" t="str">
        <f t="shared" si="17"/>
        <v/>
      </c>
      <c r="AN800" s="2494" t="str">
        <f t="shared" si="18"/>
        <v/>
      </c>
      <c r="AO800" s="2494" t="str">
        <f t="shared" si="19"/>
        <v/>
      </c>
      <c r="AP800" s="2494" t="str">
        <f t="shared" si="20"/>
        <v/>
      </c>
      <c r="AQ800" s="2494" t="str">
        <f t="shared" si="21"/>
        <v/>
      </c>
      <c r="AR800" s="2494" t="str">
        <f t="shared" si="22"/>
        <v/>
      </c>
      <c r="AS800" s="2494" t="str">
        <f t="shared" si="23"/>
        <v/>
      </c>
      <c r="AT800" s="2494" t="str">
        <f t="shared" si="24"/>
        <v/>
      </c>
      <c r="AU800" s="2494" t="str">
        <f t="shared" si="25"/>
        <v/>
      </c>
      <c r="AV800" s="2494" t="str">
        <f t="shared" si="26"/>
        <v/>
      </c>
      <c r="AW800" s="2494" t="str">
        <f t="shared" si="27"/>
        <v/>
      </c>
      <c r="AX800" s="2494" t="str">
        <f t="shared" si="28"/>
        <v/>
      </c>
      <c r="AY800" s="2494" t="str">
        <f t="shared" si="29"/>
        <v/>
      </c>
      <c r="AZ800" s="2494" t="str">
        <f t="shared" si="30"/>
        <v/>
      </c>
      <c r="BA800" s="2494" t="str">
        <f t="shared" si="31"/>
        <v/>
      </c>
      <c r="BB800" s="2494" t="str">
        <f t="shared" si="32"/>
        <v/>
      </c>
      <c r="BC800" s="2494" t="str">
        <f t="shared" si="33"/>
        <v/>
      </c>
      <c r="BD800" s="2494" t="str">
        <f t="shared" si="34"/>
        <v/>
      </c>
      <c r="BE800" s="2494" t="str">
        <f t="shared" si="35"/>
        <v/>
      </c>
      <c r="BF800" s="2494" t="str">
        <f t="shared" si="36"/>
        <v/>
      </c>
      <c r="BG800" s="2494" t="str">
        <f t="shared" si="37"/>
        <v/>
      </c>
      <c r="BH800" s="2494" t="str">
        <f t="shared" si="38"/>
        <v/>
      </c>
      <c r="BI800" s="2494" t="str">
        <f t="shared" si="39"/>
        <v/>
      </c>
      <c r="BJ800" s="2494" t="str">
        <f t="shared" si="40"/>
        <v/>
      </c>
      <c r="BK800" s="2494" t="str">
        <f t="shared" si="41"/>
        <v/>
      </c>
      <c r="BL800" s="2494" t="str">
        <f t="shared" si="42"/>
        <v/>
      </c>
      <c r="BM800" s="2494" t="str">
        <f t="shared" si="43"/>
        <v/>
      </c>
      <c r="BN800" s="2494" t="str">
        <f t="shared" si="44"/>
        <v/>
      </c>
      <c r="BO800" s="2494" t="str">
        <f t="shared" si="45"/>
        <v/>
      </c>
      <c r="BP800" s="2494" t="str">
        <f t="shared" si="46"/>
        <v/>
      </c>
      <c r="BQ800" s="2494" t="str">
        <f t="shared" si="47"/>
        <v/>
      </c>
      <c r="BR800" s="2494" t="str">
        <f t="shared" si="48"/>
        <v/>
      </c>
      <c r="BS800" s="2494" t="str">
        <f t="shared" si="49"/>
        <v/>
      </c>
      <c r="BT800" s="2494" t="str">
        <f t="shared" si="50"/>
        <v/>
      </c>
      <c r="BU800" s="2494" t="str">
        <f t="shared" si="51"/>
        <v/>
      </c>
      <c r="BV800" s="2494" t="str">
        <f t="shared" si="52"/>
        <v/>
      </c>
      <c r="BW800" s="2494" t="str">
        <f t="shared" si="53"/>
        <v/>
      </c>
      <c r="BX800" s="2494" t="str">
        <f t="shared" si="54"/>
        <v/>
      </c>
      <c r="BY800" s="2494" t="str">
        <f t="shared" si="55"/>
        <v/>
      </c>
      <c r="BZ800" s="2494" t="str">
        <f t="shared" si="56"/>
        <v/>
      </c>
      <c r="CA800" s="2494" t="str">
        <f t="shared" si="57"/>
        <v/>
      </c>
      <c r="CB800" s="2494" t="str">
        <f t="shared" si="58"/>
        <v/>
      </c>
      <c r="CC800" s="2494" t="str">
        <f t="shared" si="59"/>
        <v/>
      </c>
      <c r="CD800" s="2494" t="str">
        <f t="shared" si="60"/>
        <v/>
      </c>
      <c r="CE800" s="2494" t="str">
        <f t="shared" si="61"/>
        <v/>
      </c>
      <c r="CF800" s="2494" t="str">
        <f t="shared" si="62"/>
        <v/>
      </c>
      <c r="CG800" s="2494" t="str">
        <f t="shared" si="63"/>
        <v/>
      </c>
      <c r="CH800" s="2494" t="str">
        <f t="shared" si="64"/>
        <v/>
      </c>
      <c r="CI800" s="2494" t="str">
        <f t="shared" si="65"/>
        <v/>
      </c>
      <c r="CJ800" s="2494" t="str">
        <f t="shared" si="66"/>
        <v/>
      </c>
      <c r="CK800" s="2494" t="str">
        <f t="shared" si="67"/>
        <v/>
      </c>
      <c r="CL800" s="2494" t="str">
        <f t="shared" si="68"/>
        <v/>
      </c>
      <c r="CM800" s="2494" t="str">
        <f t="shared" si="69"/>
        <v/>
      </c>
      <c r="CN800" s="2494" t="str">
        <f t="shared" si="70"/>
        <v/>
      </c>
      <c r="CO800" s="2494" t="str">
        <f t="shared" si="71"/>
        <v/>
      </c>
      <c r="CP800" s="2494" t="str">
        <f t="shared" si="72"/>
        <v/>
      </c>
      <c r="CQ800" s="2494" t="str">
        <f t="shared" si="73"/>
        <v/>
      </c>
      <c r="CR800" s="2494" t="str">
        <f t="shared" si="74"/>
        <v/>
      </c>
      <c r="CS800" s="2494" t="str">
        <f t="shared" si="75"/>
        <v/>
      </c>
      <c r="CT800" s="2494" t="str">
        <f t="shared" si="76"/>
        <v/>
      </c>
      <c r="CU800" s="2494" t="str">
        <f t="shared" si="77"/>
        <v/>
      </c>
      <c r="CV800" s="2494" t="str">
        <f t="shared" si="78"/>
        <v/>
      </c>
      <c r="CW800" s="2494" t="str">
        <f t="shared" si="79"/>
        <v/>
      </c>
      <c r="CX800" s="2494" t="str">
        <f t="shared" si="80"/>
        <v/>
      </c>
      <c r="CY800" s="2494" t="str">
        <f t="shared" si="81"/>
        <v/>
      </c>
      <c r="CZ800" s="2494" t="str">
        <f t="shared" si="82"/>
        <v/>
      </c>
      <c r="DA800" s="2494" t="str">
        <f t="shared" si="83"/>
        <v/>
      </c>
      <c r="DB800" s="2494" t="str">
        <f t="shared" si="84"/>
        <v/>
      </c>
      <c r="DC800" s="2494" t="str">
        <f t="shared" si="85"/>
        <v/>
      </c>
      <c r="DD800" s="2494" t="str">
        <f t="shared" si="86"/>
        <v/>
      </c>
      <c r="DE800" s="2494" t="str">
        <f t="shared" si="87"/>
        <v/>
      </c>
      <c r="DF800" s="2494" t="str">
        <f t="shared" si="88"/>
        <v/>
      </c>
      <c r="DG800" s="2494" t="str">
        <f t="shared" si="89"/>
        <v/>
      </c>
      <c r="DH800" s="2494" t="str">
        <f t="shared" si="90"/>
        <v/>
      </c>
      <c r="DI800" s="2494" t="str">
        <f t="shared" si="91"/>
        <v/>
      </c>
      <c r="DJ800" s="2494" t="str">
        <f t="shared" si="92"/>
        <v/>
      </c>
      <c r="DK800" s="2494" t="str">
        <f t="shared" si="93"/>
        <v/>
      </c>
      <c r="DL800" s="2494" t="str">
        <f t="shared" si="94"/>
        <v/>
      </c>
      <c r="DM800" s="2494" t="str">
        <f t="shared" si="95"/>
        <v/>
      </c>
      <c r="DN800" s="2494" t="str">
        <f t="shared" si="96"/>
        <v/>
      </c>
      <c r="DO800" s="2494" t="str">
        <f t="shared" si="97"/>
        <v/>
      </c>
      <c r="DP800" s="2494" t="str">
        <f t="shared" si="98"/>
        <v/>
      </c>
      <c r="DQ800" s="2494" t="str">
        <f t="shared" si="99"/>
        <v/>
      </c>
      <c r="DR800" s="2494" t="str">
        <f t="shared" si="100"/>
        <v/>
      </c>
      <c r="DS800" s="2494" t="str">
        <f t="shared" si="101"/>
        <v/>
      </c>
      <c r="DT800" s="2494" t="str">
        <f t="shared" si="102"/>
        <v/>
      </c>
      <c r="DU800" s="2494" t="str">
        <f t="shared" si="103"/>
        <v/>
      </c>
      <c r="DV800" s="2494" t="str">
        <f t="shared" si="104"/>
        <v/>
      </c>
      <c r="DW800" s="2494" t="str">
        <f t="shared" si="105"/>
        <v/>
      </c>
      <c r="DX800" s="2494" t="str">
        <f t="shared" si="106"/>
        <v/>
      </c>
      <c r="DY800" s="2494" t="str">
        <f t="shared" si="107"/>
        <v/>
      </c>
      <c r="DZ800" s="2494" t="str">
        <f t="shared" si="108"/>
        <v/>
      </c>
      <c r="EA800" s="2494" t="str">
        <f t="shared" si="109"/>
        <v/>
      </c>
      <c r="EB800" s="2494" t="str">
        <f t="shared" si="110"/>
        <v/>
      </c>
      <c r="EC800" s="2494" t="str">
        <f t="shared" si="111"/>
        <v/>
      </c>
      <c r="ED800" s="2494" t="str">
        <f t="shared" si="112"/>
        <v/>
      </c>
      <c r="EE800" s="2494" t="str">
        <f t="shared" si="113"/>
        <v/>
      </c>
      <c r="EF800" s="2494" t="str">
        <f t="shared" si="114"/>
        <v/>
      </c>
      <c r="EG800" s="2494" t="str">
        <f t="shared" si="115"/>
        <v/>
      </c>
      <c r="EH800" s="2494" t="str">
        <f t="shared" si="116"/>
        <v/>
      </c>
      <c r="EI800" s="2494" t="str">
        <f t="shared" si="117"/>
        <v/>
      </c>
      <c r="EJ800" s="2494" t="str">
        <f t="shared" si="118"/>
        <v/>
      </c>
      <c r="EK800" s="2494" t="str">
        <f t="shared" si="119"/>
        <v/>
      </c>
      <c r="EL800" s="2494" t="str">
        <f t="shared" si="120"/>
        <v/>
      </c>
      <c r="EM800" s="2494" t="str">
        <f t="shared" si="121"/>
        <v/>
      </c>
      <c r="EN800" s="2494" t="str">
        <f t="shared" si="122"/>
        <v/>
      </c>
      <c r="EO800" s="2494" t="str">
        <f t="shared" si="123"/>
        <v/>
      </c>
      <c r="EP800" s="2494" t="str">
        <f t="shared" si="124"/>
        <v/>
      </c>
      <c r="EQ800" s="2494" t="str">
        <f t="shared" si="125"/>
        <v/>
      </c>
      <c r="ER800" s="2494" t="str">
        <f t="shared" si="126"/>
        <v/>
      </c>
      <c r="ES800" s="2494" t="str">
        <f t="shared" si="127"/>
        <v/>
      </c>
      <c r="ET800" s="2494" t="str">
        <f t="shared" si="128"/>
        <v/>
      </c>
      <c r="EU800" s="2494" t="str">
        <f t="shared" si="129"/>
        <v/>
      </c>
      <c r="EV800" s="2494" t="str">
        <f t="shared" si="130"/>
        <v/>
      </c>
      <c r="EW800" s="2494" t="str">
        <f t="shared" si="131"/>
        <v/>
      </c>
      <c r="EX800" s="2494" t="str">
        <f t="shared" si="132"/>
        <v/>
      </c>
      <c r="EY800" s="2494" t="str">
        <f t="shared" si="133"/>
        <v/>
      </c>
      <c r="EZ800" s="2494" t="str">
        <f t="shared" si="134"/>
        <v/>
      </c>
      <c r="FA800" s="2494" t="str">
        <f t="shared" si="135"/>
        <v/>
      </c>
      <c r="FB800" s="2494" t="str">
        <f t="shared" si="136"/>
        <v/>
      </c>
      <c r="FC800" s="2494" t="str">
        <f t="shared" si="137"/>
        <v/>
      </c>
      <c r="FD800" s="2494" t="str">
        <f t="shared" si="138"/>
        <v/>
      </c>
      <c r="FE800" s="2494" t="str">
        <f t="shared" si="139"/>
        <v/>
      </c>
      <c r="FF800" s="2494" t="str">
        <f t="shared" si="140"/>
        <v/>
      </c>
      <c r="FG800" s="2494" t="str">
        <f t="shared" si="141"/>
        <v/>
      </c>
      <c r="FH800" s="2494" t="str">
        <f t="shared" si="142"/>
        <v/>
      </c>
      <c r="FI800" s="2494" t="str">
        <f t="shared" si="143"/>
        <v/>
      </c>
      <c r="FJ800" s="2494" t="str">
        <f t="shared" si="144"/>
        <v/>
      </c>
      <c r="FK800" s="2494" t="str">
        <f t="shared" si="145"/>
        <v/>
      </c>
      <c r="FL800" s="2494" t="str">
        <f t="shared" si="146"/>
        <v/>
      </c>
      <c r="FM800" s="2494" t="str">
        <f t="shared" si="147"/>
        <v/>
      </c>
      <c r="FN800" s="2494" t="str">
        <f t="shared" si="148"/>
        <v/>
      </c>
      <c r="FO800" s="2494" t="str">
        <f t="shared" si="149"/>
        <v/>
      </c>
      <c r="FP800" s="2494" t="str">
        <f t="shared" si="150"/>
        <v/>
      </c>
      <c r="FQ800" s="2494" t="str">
        <f t="shared" si="151"/>
        <v/>
      </c>
      <c r="FR800" s="2494" t="str">
        <f t="shared" si="152"/>
        <v/>
      </c>
      <c r="FS800" s="2494" t="str">
        <f t="shared" si="153"/>
        <v/>
      </c>
      <c r="FT800" s="2494" t="str">
        <f t="shared" si="154"/>
        <v/>
      </c>
      <c r="FU800" s="2494" t="str">
        <f t="shared" si="155"/>
        <v/>
      </c>
      <c r="FV800" s="2494" t="str">
        <f t="shared" si="156"/>
        <v/>
      </c>
      <c r="FW800" s="2494" t="str">
        <f t="shared" si="157"/>
        <v/>
      </c>
      <c r="FX800" s="2494" t="str">
        <f t="shared" si="158"/>
        <v/>
      </c>
      <c r="FY800" s="2494" t="str">
        <f t="shared" si="159"/>
        <v/>
      </c>
      <c r="FZ800" s="2494" t="str">
        <f t="shared" si="160"/>
        <v/>
      </c>
      <c r="GA800" s="2494" t="str">
        <f t="shared" si="161"/>
        <v/>
      </c>
      <c r="GB800" s="2494" t="str">
        <f t="shared" si="162"/>
        <v/>
      </c>
      <c r="GC800" s="2494" t="str">
        <f t="shared" si="163"/>
        <v/>
      </c>
      <c r="GD800" s="2494" t="str">
        <f t="shared" si="164"/>
        <v/>
      </c>
      <c r="GE800" s="2494" t="str">
        <f t="shared" si="165"/>
        <v/>
      </c>
      <c r="GF800" s="2494" t="str">
        <f t="shared" si="166"/>
        <v/>
      </c>
      <c r="GG800" s="2494" t="str">
        <f t="shared" si="167"/>
        <v/>
      </c>
      <c r="GH800" s="2494" t="str">
        <f t="shared" si="168"/>
        <v/>
      </c>
      <c r="GI800" s="2494" t="str">
        <f t="shared" si="169"/>
        <v/>
      </c>
      <c r="GJ800" s="2494" t="str">
        <f t="shared" si="170"/>
        <v/>
      </c>
      <c r="GK800" s="2494" t="str">
        <f t="shared" si="171"/>
        <v/>
      </c>
      <c r="GL800" s="2494" t="str">
        <f t="shared" si="172"/>
        <v/>
      </c>
      <c r="GM800" s="2494" t="str">
        <f t="shared" si="173"/>
        <v/>
      </c>
      <c r="GN800" s="2494" t="str">
        <f t="shared" si="174"/>
        <v/>
      </c>
      <c r="GO800" s="2494" t="str">
        <f t="shared" si="175"/>
        <v/>
      </c>
      <c r="GP800" s="2494" t="str">
        <f t="shared" si="176"/>
        <v/>
      </c>
      <c r="GQ800" s="2494" t="str">
        <f t="shared" si="177"/>
        <v/>
      </c>
      <c r="GR800" s="2494" t="str">
        <f t="shared" si="178"/>
        <v/>
      </c>
      <c r="GS800" s="2494" t="str">
        <f t="shared" si="179"/>
        <v/>
      </c>
      <c r="GT800" s="2494" t="str">
        <f t="shared" si="180"/>
        <v/>
      </c>
      <c r="GU800" s="2494" t="str">
        <f t="shared" si="181"/>
        <v/>
      </c>
      <c r="GV800" s="2494" t="str">
        <f t="shared" si="182"/>
        <v/>
      </c>
      <c r="GW800" s="2494" t="str">
        <f t="shared" si="183"/>
        <v/>
      </c>
      <c r="GX800" s="2494" t="str">
        <f t="shared" si="184"/>
        <v/>
      </c>
      <c r="GY800" s="2494" t="str">
        <f t="shared" si="185"/>
        <v/>
      </c>
      <c r="GZ800" s="2494" t="str">
        <f t="shared" si="186"/>
        <v/>
      </c>
      <c r="HA800" s="2494" t="str">
        <f t="shared" si="187"/>
        <v/>
      </c>
      <c r="HB800" s="2494" t="str">
        <f t="shared" si="188"/>
        <v/>
      </c>
      <c r="HC800" s="2494" t="str">
        <f t="shared" si="189"/>
        <v/>
      </c>
      <c r="HD800" s="2494" t="str">
        <f t="shared" si="190"/>
        <v/>
      </c>
      <c r="HE800" s="2494" t="str">
        <f t="shared" si="191"/>
        <v/>
      </c>
      <c r="HF800" s="2494" t="str">
        <f t="shared" si="192"/>
        <v/>
      </c>
      <c r="HG800" s="2494" t="str">
        <f t="shared" si="193"/>
        <v/>
      </c>
      <c r="HH800" s="2494" t="str">
        <f t="shared" si="194"/>
        <v/>
      </c>
      <c r="HI800" s="2494" t="str">
        <f t="shared" si="195"/>
        <v/>
      </c>
      <c r="HJ800" s="2494" t="str">
        <f t="shared" si="196"/>
        <v/>
      </c>
      <c r="HK800" s="2494" t="str">
        <f t="shared" si="197"/>
        <v/>
      </c>
      <c r="HL800" s="2494" t="str">
        <f t="shared" si="198"/>
        <v/>
      </c>
      <c r="HM800" s="2494" t="str">
        <f t="shared" si="199"/>
        <v/>
      </c>
      <c r="HN800" s="2494" t="str">
        <f t="shared" si="200"/>
        <v/>
      </c>
      <c r="HO800" s="2494" t="str">
        <f t="shared" si="201"/>
        <v/>
      </c>
      <c r="HP800" s="2494" t="str">
        <f t="shared" si="202"/>
        <v/>
      </c>
      <c r="HQ800" s="2494" t="str">
        <f t="shared" si="203"/>
        <v/>
      </c>
      <c r="HR800" s="2494" t="str">
        <f t="shared" si="204"/>
        <v/>
      </c>
      <c r="HS800" s="2494" t="str">
        <f t="shared" si="205"/>
        <v/>
      </c>
      <c r="HT800" s="2494" t="str">
        <f t="shared" si="206"/>
        <v/>
      </c>
      <c r="HU800" s="2494" t="str">
        <f t="shared" si="207"/>
        <v/>
      </c>
      <c r="HV800" s="2494" t="str">
        <f t="shared" si="208"/>
        <v/>
      </c>
      <c r="HW800" s="2494" t="str">
        <f t="shared" si="209"/>
        <v/>
      </c>
      <c r="HX800" s="2494" t="str">
        <f t="shared" si="210"/>
        <v/>
      </c>
      <c r="HY800" s="2494" t="str">
        <f t="shared" si="211"/>
        <v/>
      </c>
      <c r="HZ800" s="2672" t="str">
        <f t="shared" si="212"/>
        <v/>
      </c>
      <c r="IA800" s="2672" t="str">
        <f t="shared" si="213"/>
        <v/>
      </c>
      <c r="IB800" s="2672" t="str">
        <f t="shared" si="214"/>
        <v/>
      </c>
      <c r="IC800" s="2672" t="str">
        <f t="shared" si="215"/>
        <v/>
      </c>
      <c r="ID800" s="2672" t="str">
        <f t="shared" si="216"/>
        <v/>
      </c>
      <c r="IE800" s="2672" t="str">
        <f t="shared" si="217"/>
        <v/>
      </c>
      <c r="IF800" s="2672" t="str">
        <f t="shared" si="218"/>
        <v/>
      </c>
      <c r="IG800" s="2672" t="str">
        <f t="shared" si="219"/>
        <v/>
      </c>
      <c r="IH800" s="2672" t="str">
        <f t="shared" si="220"/>
        <v/>
      </c>
      <c r="II800" s="2672" t="str">
        <f t="shared" si="221"/>
        <v/>
      </c>
      <c r="IJ800" s="2672" t="str">
        <f t="shared" si="222"/>
        <v/>
      </c>
      <c r="IK800" s="2672" t="str">
        <f t="shared" si="223"/>
        <v/>
      </c>
      <c r="IL800" s="2672" t="str">
        <f t="shared" si="224"/>
        <v/>
      </c>
      <c r="IM800" s="2672" t="str">
        <f t="shared" si="225"/>
        <v/>
      </c>
      <c r="IN800" s="2672" t="str">
        <f t="shared" si="226"/>
        <v/>
      </c>
      <c r="IO800" s="2672" t="str">
        <f t="shared" si="227"/>
        <v/>
      </c>
      <c r="IP800" s="2672" t="str">
        <f t="shared" si="228"/>
        <v/>
      </c>
      <c r="IQ800" s="2672" t="str">
        <f t="shared" si="229"/>
        <v/>
      </c>
      <c r="IR800" s="2672" t="str">
        <f t="shared" si="230"/>
        <v/>
      </c>
      <c r="IS800" s="2672" t="str">
        <f t="shared" si="231"/>
        <v/>
      </c>
      <c r="IT800" s="2672" t="str">
        <f t="shared" si="232"/>
        <v/>
      </c>
      <c r="IU800" s="2672" t="str">
        <f t="shared" si="233"/>
        <v/>
      </c>
      <c r="IV800" s="2672" t="str">
        <f t="shared" si="234"/>
        <v/>
      </c>
      <c r="IW800" s="2672" t="str">
        <f t="shared" si="235"/>
        <v/>
      </c>
      <c r="IX800" s="2672" t="str">
        <f t="shared" si="236"/>
        <v/>
      </c>
      <c r="IY800" s="2672" t="str">
        <f t="shared" si="237"/>
        <v/>
      </c>
      <c r="IZ800" s="2672" t="str">
        <f t="shared" si="238"/>
        <v/>
      </c>
      <c r="JA800" s="2672" t="str">
        <f t="shared" si="239"/>
        <v/>
      </c>
      <c r="JB800" s="2672" t="str">
        <f t="shared" si="240"/>
        <v/>
      </c>
      <c r="JC800" s="2672" t="str">
        <f t="shared" si="241"/>
        <v/>
      </c>
      <c r="JD800" s="2672" t="str">
        <f t="shared" si="242"/>
        <v/>
      </c>
      <c r="JE800" s="2672" t="str">
        <f t="shared" si="243"/>
        <v/>
      </c>
      <c r="JF800" s="2672" t="str">
        <f t="shared" si="244"/>
        <v/>
      </c>
      <c r="JG800" s="2672" t="str">
        <f t="shared" si="245"/>
        <v/>
      </c>
      <c r="JH800" s="2672" t="str">
        <f t="shared" si="246"/>
        <v/>
      </c>
      <c r="JI800" s="2672" t="str">
        <f t="shared" si="247"/>
        <v/>
      </c>
      <c r="JJ800" s="2672" t="str">
        <f t="shared" si="248"/>
        <v/>
      </c>
      <c r="JK800" s="2672" t="str">
        <f t="shared" si="249"/>
        <v/>
      </c>
      <c r="JL800" s="2672" t="str">
        <f t="shared" si="250"/>
        <v/>
      </c>
      <c r="JM800" s="2672" t="str">
        <f t="shared" si="251"/>
        <v/>
      </c>
      <c r="JN800" s="2672" t="str">
        <f t="shared" si="252"/>
        <v/>
      </c>
      <c r="JO800" s="2672" t="str">
        <f t="shared" si="253"/>
        <v/>
      </c>
      <c r="JP800" s="2672" t="str">
        <f t="shared" si="254"/>
        <v/>
      </c>
      <c r="JQ800" s="2672" t="str">
        <f t="shared" si="255"/>
        <v/>
      </c>
      <c r="JR800" s="2672" t="str">
        <f t="shared" si="256"/>
        <v/>
      </c>
      <c r="JS800" s="2672" t="str">
        <f t="shared" si="257"/>
        <v/>
      </c>
      <c r="JT800" s="2672" t="str">
        <f t="shared" si="258"/>
        <v/>
      </c>
      <c r="JU800" s="2672" t="str">
        <f t="shared" si="259"/>
        <v/>
      </c>
      <c r="JV800" s="2672" t="str">
        <f t="shared" si="260"/>
        <v/>
      </c>
      <c r="JW800" s="2672" t="str">
        <f t="shared" si="261"/>
        <v/>
      </c>
      <c r="JX800" s="2672" t="str">
        <f t="shared" si="262"/>
        <v/>
      </c>
      <c r="JY800" s="2672" t="str">
        <f t="shared" si="263"/>
        <v/>
      </c>
      <c r="JZ800" s="2672" t="str">
        <f t="shared" si="264"/>
        <v/>
      </c>
      <c r="KA800" s="2672" t="str">
        <f t="shared" si="265"/>
        <v/>
      </c>
      <c r="KB800" s="2672" t="str">
        <f t="shared" si="266"/>
        <v/>
      </c>
      <c r="KC800" s="2672" t="str">
        <f t="shared" si="267"/>
        <v/>
      </c>
      <c r="KD800" s="2672" t="str">
        <f t="shared" si="268"/>
        <v/>
      </c>
      <c r="KE800" s="2672" t="str">
        <f t="shared" si="269"/>
        <v/>
      </c>
      <c r="KF800" s="2672" t="str">
        <f t="shared" si="270"/>
        <v/>
      </c>
      <c r="KG800" s="2672" t="str">
        <f t="shared" si="271"/>
        <v/>
      </c>
      <c r="KH800" s="2672" t="str">
        <f t="shared" si="272"/>
        <v/>
      </c>
      <c r="KI800" s="2672" t="str">
        <f t="shared" si="273"/>
        <v/>
      </c>
      <c r="KJ800" s="2672" t="str">
        <f t="shared" si="274"/>
        <v/>
      </c>
      <c r="KK800" s="2672" t="str">
        <f t="shared" si="275"/>
        <v/>
      </c>
      <c r="KL800" s="2672" t="str">
        <f t="shared" si="276"/>
        <v/>
      </c>
      <c r="KM800" s="2672" t="str">
        <f t="shared" si="277"/>
        <v/>
      </c>
      <c r="KN800" s="2672" t="str">
        <f t="shared" si="278"/>
        <v/>
      </c>
      <c r="KO800" s="2672" t="str">
        <f t="shared" si="279"/>
        <v/>
      </c>
      <c r="KP800" s="2672" t="str">
        <f t="shared" si="280"/>
        <v/>
      </c>
      <c r="KQ800" s="2672" t="str">
        <f t="shared" si="281"/>
        <v/>
      </c>
      <c r="KR800" s="2672" t="str">
        <f t="shared" si="282"/>
        <v/>
      </c>
      <c r="KS800" s="2672" t="str">
        <f t="shared" si="283"/>
        <v/>
      </c>
      <c r="KT800" s="2672" t="str">
        <f t="shared" si="284"/>
        <v/>
      </c>
      <c r="KU800" s="2672" t="str">
        <f t="shared" si="285"/>
        <v/>
      </c>
      <c r="KV800" s="2672" t="str">
        <f t="shared" si="286"/>
        <v/>
      </c>
      <c r="KW800" s="2672" t="str">
        <f t="shared" si="287"/>
        <v/>
      </c>
      <c r="KX800" s="2672" t="str">
        <f t="shared" si="288"/>
        <v/>
      </c>
      <c r="KY800" s="2672" t="str">
        <f t="shared" si="289"/>
        <v/>
      </c>
      <c r="KZ800" s="2672" t="str">
        <f t="shared" si="290"/>
        <v/>
      </c>
      <c r="LA800" s="2672" t="str">
        <f t="shared" si="291"/>
        <v/>
      </c>
      <c r="LB800" s="2672" t="str">
        <f t="shared" si="292"/>
        <v/>
      </c>
      <c r="LC800" s="2672" t="str">
        <f t="shared" si="293"/>
        <v/>
      </c>
      <c r="LD800" s="2672" t="str">
        <f t="shared" si="294"/>
        <v/>
      </c>
      <c r="LE800" s="2672" t="str">
        <f t="shared" si="295"/>
        <v/>
      </c>
      <c r="LF800" s="2672" t="str">
        <f t="shared" si="296"/>
        <v/>
      </c>
      <c r="LG800" s="2672" t="str">
        <f t="shared" si="297"/>
        <v/>
      </c>
      <c r="LH800" s="2672" t="str">
        <f t="shared" si="298"/>
        <v/>
      </c>
      <c r="LI800" s="2672" t="str">
        <f t="shared" si="299"/>
        <v/>
      </c>
      <c r="LJ800" s="2672" t="str">
        <f t="shared" si="300"/>
        <v/>
      </c>
      <c r="LK800" s="2672" t="str">
        <f t="shared" si="301"/>
        <v/>
      </c>
      <c r="LL800" s="2672" t="str">
        <f t="shared" si="302"/>
        <v/>
      </c>
      <c r="LM800" s="2672" t="str">
        <f t="shared" si="303"/>
        <v/>
      </c>
      <c r="LN800" s="2672" t="str">
        <f t="shared" si="304"/>
        <v/>
      </c>
      <c r="LO800" s="2672" t="str">
        <f t="shared" si="305"/>
        <v/>
      </c>
      <c r="LP800" s="2672" t="str">
        <f t="shared" si="306"/>
        <v/>
      </c>
      <c r="LQ800" s="2613" t="str">
        <f t="shared" si="307"/>
        <v/>
      </c>
      <c r="LR800" s="2613" t="str">
        <f t="shared" si="308"/>
        <v/>
      </c>
      <c r="LS800" s="2613" t="str">
        <f t="shared" si="309"/>
        <v/>
      </c>
      <c r="LT800" s="2613" t="str">
        <f t="shared" si="310"/>
        <v/>
      </c>
      <c r="LU800" s="2613" t="str">
        <f t="shared" si="311"/>
        <v/>
      </c>
      <c r="LV800" s="2494" t="str">
        <f t="shared" si="312"/>
        <v/>
      </c>
      <c r="LW800" s="2494" t="str">
        <f t="shared" si="313"/>
        <v/>
      </c>
      <c r="LX800" s="2494" t="str">
        <f t="shared" si="314"/>
        <v/>
      </c>
      <c r="LY800" s="2494" t="str">
        <f t="shared" si="315"/>
        <v/>
      </c>
      <c r="LZ800" s="2494" t="str">
        <f t="shared" si="316"/>
        <v/>
      </c>
      <c r="MA800" s="2494" t="str">
        <f t="shared" si="317"/>
        <v/>
      </c>
      <c r="MB800" s="2494" t="str">
        <f t="shared" si="318"/>
        <v/>
      </c>
      <c r="MC800" s="2494" t="str">
        <f t="shared" si="319"/>
        <v/>
      </c>
      <c r="MD800" s="2494" t="str">
        <f t="shared" si="320"/>
        <v/>
      </c>
      <c r="ME800" s="2494" t="str">
        <f t="shared" si="321"/>
        <v/>
      </c>
      <c r="MF800" s="2494" t="str">
        <f t="shared" si="322"/>
        <v/>
      </c>
      <c r="MG800" s="2494" t="str">
        <f t="shared" si="323"/>
        <v/>
      </c>
      <c r="MH800" s="2494" t="str">
        <f t="shared" si="324"/>
        <v/>
      </c>
      <c r="MI800" s="2494" t="str">
        <f t="shared" si="325"/>
        <v/>
      </c>
      <c r="MJ800" s="2494" t="str">
        <f t="shared" si="326"/>
        <v/>
      </c>
      <c r="MK800" s="2494" t="str">
        <f t="shared" si="327"/>
        <v/>
      </c>
      <c r="ML800" s="2494" t="str">
        <f t="shared" si="328"/>
        <v/>
      </c>
      <c r="MM800" s="2494" t="str">
        <f t="shared" si="329"/>
        <v/>
      </c>
      <c r="MN800" s="2494" t="str">
        <f t="shared" si="330"/>
        <v/>
      </c>
      <c r="MO800" s="2494" t="str">
        <f t="shared" si="331"/>
        <v/>
      </c>
      <c r="MP800" s="2613">
        <f t="shared" si="338"/>
        <v>0</v>
      </c>
      <c r="MQ800" s="2613">
        <f t="shared" si="339"/>
        <v>0</v>
      </c>
      <c r="MR800" s="2613">
        <f t="shared" si="340"/>
        <v>0</v>
      </c>
      <c r="MS800" s="2613">
        <f t="shared" si="341"/>
        <v>0</v>
      </c>
      <c r="MT800" s="2613">
        <f t="shared" si="342"/>
        <v>0</v>
      </c>
      <c r="MU800" s="2613">
        <f t="shared" si="343"/>
        <v>0</v>
      </c>
      <c r="MV800" s="2613">
        <f t="shared" si="344"/>
        <v>0</v>
      </c>
      <c r="MW800" s="2613">
        <f t="shared" si="345"/>
        <v>0</v>
      </c>
      <c r="MX800" s="2613">
        <f t="shared" si="346"/>
        <v>0</v>
      </c>
      <c r="MY800" s="2613">
        <f t="shared" si="347"/>
        <v>0</v>
      </c>
      <c r="MZ800" s="2613">
        <f t="shared" si="332"/>
        <v>0</v>
      </c>
      <c r="NA800" s="2613">
        <f t="shared" si="333"/>
        <v>0</v>
      </c>
      <c r="NB800" s="2613">
        <f t="shared" si="334"/>
        <v>0</v>
      </c>
      <c r="NC800" s="2613">
        <f t="shared" si="335"/>
        <v>0</v>
      </c>
      <c r="ND800" s="2613">
        <f t="shared" si="336"/>
        <v>0</v>
      </c>
    </row>
    <row r="801" spans="1:368" ht="13.8" customHeight="1">
      <c r="A801" s="2652" t="str">
        <f t="shared" si="337"/>
        <v/>
      </c>
      <c r="B801" s="2664">
        <f>'Part VI-Revenues &amp; Expenses'!B32</f>
        <v>0</v>
      </c>
      <c r="C801" s="2665">
        <f>'Part VI-Revenues &amp; Expenses'!C32</f>
        <v>0</v>
      </c>
      <c r="D801" s="2666">
        <f>'Part VI-Revenues &amp; Expenses'!D32</f>
        <v>0</v>
      </c>
      <c r="E801" s="2667">
        <f>'Part VI-Revenues &amp; Expenses'!E32</f>
        <v>0</v>
      </c>
      <c r="F801" s="2667">
        <f>'Part VI-Revenues &amp; Expenses'!F32</f>
        <v>0</v>
      </c>
      <c r="G801" s="2667">
        <f>'Part VI-Revenues &amp; Expenses'!G32</f>
        <v>0</v>
      </c>
      <c r="H801" s="2667">
        <f>'Part VI-Revenues &amp; Expenses'!H32</f>
        <v>0</v>
      </c>
      <c r="I801" s="2667">
        <f>'Part VI-Revenues &amp; Expenses'!I32</f>
        <v>0</v>
      </c>
      <c r="J801" s="2667">
        <f>'Part VI-Revenues &amp; Expenses'!J32</f>
        <v>0</v>
      </c>
      <c r="K801" s="2668">
        <f>'Part VI-Revenues &amp; Expenses'!K32</f>
        <v>0</v>
      </c>
      <c r="L801" s="2669">
        <f t="shared" si="0"/>
        <v>0</v>
      </c>
      <c r="M801" s="2669">
        <f t="shared" si="1"/>
        <v>0</v>
      </c>
      <c r="N801" s="2545">
        <f>'Part VI-Revenues &amp; Expenses'!N32</f>
        <v>0</v>
      </c>
      <c r="O801" s="2545">
        <f>'Part VI-Revenues &amp; Expenses'!O32</f>
        <v>0</v>
      </c>
      <c r="P801" s="2545">
        <f>'Part VI-Revenues &amp; Expenses'!P32</f>
        <v>0</v>
      </c>
      <c r="Q801" s="2251">
        <f>'Part VI-Revenues &amp; Expenses'!Q32</f>
        <v>0</v>
      </c>
      <c r="R801" s="2670"/>
      <c r="S801" s="2671"/>
      <c r="T801" s="2607"/>
      <c r="U801" s="2607"/>
      <c r="V801" s="2607"/>
      <c r="W801" s="2607"/>
      <c r="X801" s="2494" t="str">
        <f t="shared" si="2"/>
        <v/>
      </c>
      <c r="Y801" s="2494" t="str">
        <f t="shared" si="3"/>
        <v/>
      </c>
      <c r="Z801" s="2494" t="str">
        <f t="shared" si="4"/>
        <v/>
      </c>
      <c r="AA801" s="2494" t="str">
        <f t="shared" si="5"/>
        <v/>
      </c>
      <c r="AB801" s="2494" t="str">
        <f t="shared" si="6"/>
        <v/>
      </c>
      <c r="AC801" s="2494" t="str">
        <f t="shared" si="7"/>
        <v/>
      </c>
      <c r="AD801" s="2494" t="str">
        <f t="shared" si="8"/>
        <v/>
      </c>
      <c r="AE801" s="2494" t="str">
        <f t="shared" si="9"/>
        <v/>
      </c>
      <c r="AF801" s="2494" t="str">
        <f t="shared" si="10"/>
        <v/>
      </c>
      <c r="AG801" s="2494" t="str">
        <f t="shared" si="11"/>
        <v/>
      </c>
      <c r="AH801" s="2494" t="str">
        <f t="shared" si="12"/>
        <v/>
      </c>
      <c r="AI801" s="2494" t="str">
        <f t="shared" si="13"/>
        <v/>
      </c>
      <c r="AJ801" s="2494" t="str">
        <f t="shared" si="14"/>
        <v/>
      </c>
      <c r="AK801" s="2494" t="str">
        <f t="shared" si="15"/>
        <v/>
      </c>
      <c r="AL801" s="2494" t="str">
        <f t="shared" si="16"/>
        <v/>
      </c>
      <c r="AM801" s="2494" t="str">
        <f t="shared" si="17"/>
        <v/>
      </c>
      <c r="AN801" s="2494" t="str">
        <f t="shared" si="18"/>
        <v/>
      </c>
      <c r="AO801" s="2494" t="str">
        <f t="shared" si="19"/>
        <v/>
      </c>
      <c r="AP801" s="2494" t="str">
        <f t="shared" si="20"/>
        <v/>
      </c>
      <c r="AQ801" s="2494" t="str">
        <f t="shared" si="21"/>
        <v/>
      </c>
      <c r="AR801" s="2494" t="str">
        <f t="shared" si="22"/>
        <v/>
      </c>
      <c r="AS801" s="2494" t="str">
        <f t="shared" si="23"/>
        <v/>
      </c>
      <c r="AT801" s="2494" t="str">
        <f t="shared" si="24"/>
        <v/>
      </c>
      <c r="AU801" s="2494" t="str">
        <f t="shared" si="25"/>
        <v/>
      </c>
      <c r="AV801" s="2494" t="str">
        <f t="shared" si="26"/>
        <v/>
      </c>
      <c r="AW801" s="2494" t="str">
        <f t="shared" si="27"/>
        <v/>
      </c>
      <c r="AX801" s="2494" t="str">
        <f t="shared" si="28"/>
        <v/>
      </c>
      <c r="AY801" s="2494" t="str">
        <f t="shared" si="29"/>
        <v/>
      </c>
      <c r="AZ801" s="2494" t="str">
        <f t="shared" si="30"/>
        <v/>
      </c>
      <c r="BA801" s="2494" t="str">
        <f t="shared" si="31"/>
        <v/>
      </c>
      <c r="BB801" s="2494" t="str">
        <f t="shared" si="32"/>
        <v/>
      </c>
      <c r="BC801" s="2494" t="str">
        <f t="shared" si="33"/>
        <v/>
      </c>
      <c r="BD801" s="2494" t="str">
        <f t="shared" si="34"/>
        <v/>
      </c>
      <c r="BE801" s="2494" t="str">
        <f t="shared" si="35"/>
        <v/>
      </c>
      <c r="BF801" s="2494" t="str">
        <f t="shared" si="36"/>
        <v/>
      </c>
      <c r="BG801" s="2494" t="str">
        <f t="shared" si="37"/>
        <v/>
      </c>
      <c r="BH801" s="2494" t="str">
        <f t="shared" si="38"/>
        <v/>
      </c>
      <c r="BI801" s="2494" t="str">
        <f t="shared" si="39"/>
        <v/>
      </c>
      <c r="BJ801" s="2494" t="str">
        <f t="shared" si="40"/>
        <v/>
      </c>
      <c r="BK801" s="2494" t="str">
        <f t="shared" si="41"/>
        <v/>
      </c>
      <c r="BL801" s="2494" t="str">
        <f t="shared" si="42"/>
        <v/>
      </c>
      <c r="BM801" s="2494" t="str">
        <f t="shared" si="43"/>
        <v/>
      </c>
      <c r="BN801" s="2494" t="str">
        <f t="shared" si="44"/>
        <v/>
      </c>
      <c r="BO801" s="2494" t="str">
        <f t="shared" si="45"/>
        <v/>
      </c>
      <c r="BP801" s="2494" t="str">
        <f t="shared" si="46"/>
        <v/>
      </c>
      <c r="BQ801" s="2494" t="str">
        <f t="shared" si="47"/>
        <v/>
      </c>
      <c r="BR801" s="2494" t="str">
        <f t="shared" si="48"/>
        <v/>
      </c>
      <c r="BS801" s="2494" t="str">
        <f t="shared" si="49"/>
        <v/>
      </c>
      <c r="BT801" s="2494" t="str">
        <f t="shared" si="50"/>
        <v/>
      </c>
      <c r="BU801" s="2494" t="str">
        <f t="shared" si="51"/>
        <v/>
      </c>
      <c r="BV801" s="2494" t="str">
        <f t="shared" si="52"/>
        <v/>
      </c>
      <c r="BW801" s="2494" t="str">
        <f t="shared" si="53"/>
        <v/>
      </c>
      <c r="BX801" s="2494" t="str">
        <f t="shared" si="54"/>
        <v/>
      </c>
      <c r="BY801" s="2494" t="str">
        <f t="shared" si="55"/>
        <v/>
      </c>
      <c r="BZ801" s="2494" t="str">
        <f t="shared" si="56"/>
        <v/>
      </c>
      <c r="CA801" s="2494" t="str">
        <f t="shared" si="57"/>
        <v/>
      </c>
      <c r="CB801" s="2494" t="str">
        <f t="shared" si="58"/>
        <v/>
      </c>
      <c r="CC801" s="2494" t="str">
        <f t="shared" si="59"/>
        <v/>
      </c>
      <c r="CD801" s="2494" t="str">
        <f t="shared" si="60"/>
        <v/>
      </c>
      <c r="CE801" s="2494" t="str">
        <f t="shared" si="61"/>
        <v/>
      </c>
      <c r="CF801" s="2494" t="str">
        <f t="shared" si="62"/>
        <v/>
      </c>
      <c r="CG801" s="2494" t="str">
        <f t="shared" si="63"/>
        <v/>
      </c>
      <c r="CH801" s="2494" t="str">
        <f t="shared" si="64"/>
        <v/>
      </c>
      <c r="CI801" s="2494" t="str">
        <f t="shared" si="65"/>
        <v/>
      </c>
      <c r="CJ801" s="2494" t="str">
        <f t="shared" si="66"/>
        <v/>
      </c>
      <c r="CK801" s="2494" t="str">
        <f t="shared" si="67"/>
        <v/>
      </c>
      <c r="CL801" s="2494" t="str">
        <f t="shared" si="68"/>
        <v/>
      </c>
      <c r="CM801" s="2494" t="str">
        <f t="shared" si="69"/>
        <v/>
      </c>
      <c r="CN801" s="2494" t="str">
        <f t="shared" si="70"/>
        <v/>
      </c>
      <c r="CO801" s="2494" t="str">
        <f t="shared" si="71"/>
        <v/>
      </c>
      <c r="CP801" s="2494" t="str">
        <f t="shared" si="72"/>
        <v/>
      </c>
      <c r="CQ801" s="2494" t="str">
        <f t="shared" si="73"/>
        <v/>
      </c>
      <c r="CR801" s="2494" t="str">
        <f t="shared" si="74"/>
        <v/>
      </c>
      <c r="CS801" s="2494" t="str">
        <f t="shared" si="75"/>
        <v/>
      </c>
      <c r="CT801" s="2494" t="str">
        <f t="shared" si="76"/>
        <v/>
      </c>
      <c r="CU801" s="2494" t="str">
        <f t="shared" si="77"/>
        <v/>
      </c>
      <c r="CV801" s="2494" t="str">
        <f t="shared" si="78"/>
        <v/>
      </c>
      <c r="CW801" s="2494" t="str">
        <f t="shared" si="79"/>
        <v/>
      </c>
      <c r="CX801" s="2494" t="str">
        <f t="shared" si="80"/>
        <v/>
      </c>
      <c r="CY801" s="2494" t="str">
        <f t="shared" si="81"/>
        <v/>
      </c>
      <c r="CZ801" s="2494" t="str">
        <f t="shared" si="82"/>
        <v/>
      </c>
      <c r="DA801" s="2494" t="str">
        <f t="shared" si="83"/>
        <v/>
      </c>
      <c r="DB801" s="2494" t="str">
        <f t="shared" si="84"/>
        <v/>
      </c>
      <c r="DC801" s="2494" t="str">
        <f t="shared" si="85"/>
        <v/>
      </c>
      <c r="DD801" s="2494" t="str">
        <f t="shared" si="86"/>
        <v/>
      </c>
      <c r="DE801" s="2494" t="str">
        <f t="shared" si="87"/>
        <v/>
      </c>
      <c r="DF801" s="2494" t="str">
        <f t="shared" si="88"/>
        <v/>
      </c>
      <c r="DG801" s="2494" t="str">
        <f t="shared" si="89"/>
        <v/>
      </c>
      <c r="DH801" s="2494" t="str">
        <f t="shared" si="90"/>
        <v/>
      </c>
      <c r="DI801" s="2494" t="str">
        <f t="shared" si="91"/>
        <v/>
      </c>
      <c r="DJ801" s="2494" t="str">
        <f t="shared" si="92"/>
        <v/>
      </c>
      <c r="DK801" s="2494" t="str">
        <f t="shared" si="93"/>
        <v/>
      </c>
      <c r="DL801" s="2494" t="str">
        <f t="shared" si="94"/>
        <v/>
      </c>
      <c r="DM801" s="2494" t="str">
        <f t="shared" si="95"/>
        <v/>
      </c>
      <c r="DN801" s="2494" t="str">
        <f t="shared" si="96"/>
        <v/>
      </c>
      <c r="DO801" s="2494" t="str">
        <f t="shared" si="97"/>
        <v/>
      </c>
      <c r="DP801" s="2494" t="str">
        <f t="shared" si="98"/>
        <v/>
      </c>
      <c r="DQ801" s="2494" t="str">
        <f t="shared" si="99"/>
        <v/>
      </c>
      <c r="DR801" s="2494" t="str">
        <f t="shared" si="100"/>
        <v/>
      </c>
      <c r="DS801" s="2494" t="str">
        <f t="shared" si="101"/>
        <v/>
      </c>
      <c r="DT801" s="2494" t="str">
        <f t="shared" si="102"/>
        <v/>
      </c>
      <c r="DU801" s="2494" t="str">
        <f t="shared" si="103"/>
        <v/>
      </c>
      <c r="DV801" s="2494" t="str">
        <f t="shared" si="104"/>
        <v/>
      </c>
      <c r="DW801" s="2494" t="str">
        <f t="shared" si="105"/>
        <v/>
      </c>
      <c r="DX801" s="2494" t="str">
        <f t="shared" si="106"/>
        <v/>
      </c>
      <c r="DY801" s="2494" t="str">
        <f t="shared" si="107"/>
        <v/>
      </c>
      <c r="DZ801" s="2494" t="str">
        <f t="shared" si="108"/>
        <v/>
      </c>
      <c r="EA801" s="2494" t="str">
        <f t="shared" si="109"/>
        <v/>
      </c>
      <c r="EB801" s="2494" t="str">
        <f t="shared" si="110"/>
        <v/>
      </c>
      <c r="EC801" s="2494" t="str">
        <f t="shared" si="111"/>
        <v/>
      </c>
      <c r="ED801" s="2494" t="str">
        <f t="shared" si="112"/>
        <v/>
      </c>
      <c r="EE801" s="2494" t="str">
        <f t="shared" si="113"/>
        <v/>
      </c>
      <c r="EF801" s="2494" t="str">
        <f t="shared" si="114"/>
        <v/>
      </c>
      <c r="EG801" s="2494" t="str">
        <f t="shared" si="115"/>
        <v/>
      </c>
      <c r="EH801" s="2494" t="str">
        <f t="shared" si="116"/>
        <v/>
      </c>
      <c r="EI801" s="2494" t="str">
        <f t="shared" si="117"/>
        <v/>
      </c>
      <c r="EJ801" s="2494" t="str">
        <f t="shared" si="118"/>
        <v/>
      </c>
      <c r="EK801" s="2494" t="str">
        <f t="shared" si="119"/>
        <v/>
      </c>
      <c r="EL801" s="2494" t="str">
        <f t="shared" si="120"/>
        <v/>
      </c>
      <c r="EM801" s="2494" t="str">
        <f t="shared" si="121"/>
        <v/>
      </c>
      <c r="EN801" s="2494" t="str">
        <f t="shared" si="122"/>
        <v/>
      </c>
      <c r="EO801" s="2494" t="str">
        <f t="shared" si="123"/>
        <v/>
      </c>
      <c r="EP801" s="2494" t="str">
        <f t="shared" si="124"/>
        <v/>
      </c>
      <c r="EQ801" s="2494" t="str">
        <f t="shared" si="125"/>
        <v/>
      </c>
      <c r="ER801" s="2494" t="str">
        <f t="shared" si="126"/>
        <v/>
      </c>
      <c r="ES801" s="2494" t="str">
        <f t="shared" si="127"/>
        <v/>
      </c>
      <c r="ET801" s="2494" t="str">
        <f t="shared" si="128"/>
        <v/>
      </c>
      <c r="EU801" s="2494" t="str">
        <f t="shared" si="129"/>
        <v/>
      </c>
      <c r="EV801" s="2494" t="str">
        <f t="shared" si="130"/>
        <v/>
      </c>
      <c r="EW801" s="2494" t="str">
        <f t="shared" si="131"/>
        <v/>
      </c>
      <c r="EX801" s="2494" t="str">
        <f t="shared" si="132"/>
        <v/>
      </c>
      <c r="EY801" s="2494" t="str">
        <f t="shared" si="133"/>
        <v/>
      </c>
      <c r="EZ801" s="2494" t="str">
        <f t="shared" si="134"/>
        <v/>
      </c>
      <c r="FA801" s="2494" t="str">
        <f t="shared" si="135"/>
        <v/>
      </c>
      <c r="FB801" s="2494" t="str">
        <f t="shared" si="136"/>
        <v/>
      </c>
      <c r="FC801" s="2494" t="str">
        <f t="shared" si="137"/>
        <v/>
      </c>
      <c r="FD801" s="2494" t="str">
        <f t="shared" si="138"/>
        <v/>
      </c>
      <c r="FE801" s="2494" t="str">
        <f t="shared" si="139"/>
        <v/>
      </c>
      <c r="FF801" s="2494" t="str">
        <f t="shared" si="140"/>
        <v/>
      </c>
      <c r="FG801" s="2494" t="str">
        <f t="shared" si="141"/>
        <v/>
      </c>
      <c r="FH801" s="2494" t="str">
        <f t="shared" si="142"/>
        <v/>
      </c>
      <c r="FI801" s="2494" t="str">
        <f t="shared" si="143"/>
        <v/>
      </c>
      <c r="FJ801" s="2494" t="str">
        <f t="shared" si="144"/>
        <v/>
      </c>
      <c r="FK801" s="2494" t="str">
        <f t="shared" si="145"/>
        <v/>
      </c>
      <c r="FL801" s="2494" t="str">
        <f t="shared" si="146"/>
        <v/>
      </c>
      <c r="FM801" s="2494" t="str">
        <f t="shared" si="147"/>
        <v/>
      </c>
      <c r="FN801" s="2494" t="str">
        <f t="shared" si="148"/>
        <v/>
      </c>
      <c r="FO801" s="2494" t="str">
        <f t="shared" si="149"/>
        <v/>
      </c>
      <c r="FP801" s="2494" t="str">
        <f t="shared" si="150"/>
        <v/>
      </c>
      <c r="FQ801" s="2494" t="str">
        <f t="shared" si="151"/>
        <v/>
      </c>
      <c r="FR801" s="2494" t="str">
        <f t="shared" si="152"/>
        <v/>
      </c>
      <c r="FS801" s="2494" t="str">
        <f t="shared" si="153"/>
        <v/>
      </c>
      <c r="FT801" s="2494" t="str">
        <f t="shared" si="154"/>
        <v/>
      </c>
      <c r="FU801" s="2494" t="str">
        <f t="shared" si="155"/>
        <v/>
      </c>
      <c r="FV801" s="2494" t="str">
        <f t="shared" si="156"/>
        <v/>
      </c>
      <c r="FW801" s="2494" t="str">
        <f t="shared" si="157"/>
        <v/>
      </c>
      <c r="FX801" s="2494" t="str">
        <f t="shared" si="158"/>
        <v/>
      </c>
      <c r="FY801" s="2494" t="str">
        <f t="shared" si="159"/>
        <v/>
      </c>
      <c r="FZ801" s="2494" t="str">
        <f t="shared" si="160"/>
        <v/>
      </c>
      <c r="GA801" s="2494" t="str">
        <f t="shared" si="161"/>
        <v/>
      </c>
      <c r="GB801" s="2494" t="str">
        <f t="shared" si="162"/>
        <v/>
      </c>
      <c r="GC801" s="2494" t="str">
        <f t="shared" si="163"/>
        <v/>
      </c>
      <c r="GD801" s="2494" t="str">
        <f t="shared" si="164"/>
        <v/>
      </c>
      <c r="GE801" s="2494" t="str">
        <f t="shared" si="165"/>
        <v/>
      </c>
      <c r="GF801" s="2494" t="str">
        <f t="shared" si="166"/>
        <v/>
      </c>
      <c r="GG801" s="2494" t="str">
        <f t="shared" si="167"/>
        <v/>
      </c>
      <c r="GH801" s="2494" t="str">
        <f t="shared" si="168"/>
        <v/>
      </c>
      <c r="GI801" s="2494" t="str">
        <f t="shared" si="169"/>
        <v/>
      </c>
      <c r="GJ801" s="2494" t="str">
        <f t="shared" si="170"/>
        <v/>
      </c>
      <c r="GK801" s="2494" t="str">
        <f t="shared" si="171"/>
        <v/>
      </c>
      <c r="GL801" s="2494" t="str">
        <f t="shared" si="172"/>
        <v/>
      </c>
      <c r="GM801" s="2494" t="str">
        <f t="shared" si="173"/>
        <v/>
      </c>
      <c r="GN801" s="2494" t="str">
        <f t="shared" si="174"/>
        <v/>
      </c>
      <c r="GO801" s="2494" t="str">
        <f t="shared" si="175"/>
        <v/>
      </c>
      <c r="GP801" s="2494" t="str">
        <f t="shared" si="176"/>
        <v/>
      </c>
      <c r="GQ801" s="2494" t="str">
        <f t="shared" si="177"/>
        <v/>
      </c>
      <c r="GR801" s="2494" t="str">
        <f t="shared" si="178"/>
        <v/>
      </c>
      <c r="GS801" s="2494" t="str">
        <f t="shared" si="179"/>
        <v/>
      </c>
      <c r="GT801" s="2494" t="str">
        <f t="shared" si="180"/>
        <v/>
      </c>
      <c r="GU801" s="2494" t="str">
        <f t="shared" si="181"/>
        <v/>
      </c>
      <c r="GV801" s="2494" t="str">
        <f t="shared" si="182"/>
        <v/>
      </c>
      <c r="GW801" s="2494" t="str">
        <f t="shared" si="183"/>
        <v/>
      </c>
      <c r="GX801" s="2494" t="str">
        <f t="shared" si="184"/>
        <v/>
      </c>
      <c r="GY801" s="2494" t="str">
        <f t="shared" si="185"/>
        <v/>
      </c>
      <c r="GZ801" s="2494" t="str">
        <f t="shared" si="186"/>
        <v/>
      </c>
      <c r="HA801" s="2494" t="str">
        <f t="shared" si="187"/>
        <v/>
      </c>
      <c r="HB801" s="2494" t="str">
        <f t="shared" si="188"/>
        <v/>
      </c>
      <c r="HC801" s="2494" t="str">
        <f t="shared" si="189"/>
        <v/>
      </c>
      <c r="HD801" s="2494" t="str">
        <f t="shared" si="190"/>
        <v/>
      </c>
      <c r="HE801" s="2494" t="str">
        <f t="shared" si="191"/>
        <v/>
      </c>
      <c r="HF801" s="2494" t="str">
        <f t="shared" si="192"/>
        <v/>
      </c>
      <c r="HG801" s="2494" t="str">
        <f t="shared" si="193"/>
        <v/>
      </c>
      <c r="HH801" s="2494" t="str">
        <f t="shared" si="194"/>
        <v/>
      </c>
      <c r="HI801" s="2494" t="str">
        <f t="shared" si="195"/>
        <v/>
      </c>
      <c r="HJ801" s="2494" t="str">
        <f t="shared" si="196"/>
        <v/>
      </c>
      <c r="HK801" s="2494" t="str">
        <f t="shared" si="197"/>
        <v/>
      </c>
      <c r="HL801" s="2494" t="str">
        <f t="shared" si="198"/>
        <v/>
      </c>
      <c r="HM801" s="2494" t="str">
        <f t="shared" si="199"/>
        <v/>
      </c>
      <c r="HN801" s="2494" t="str">
        <f t="shared" si="200"/>
        <v/>
      </c>
      <c r="HO801" s="2494" t="str">
        <f t="shared" si="201"/>
        <v/>
      </c>
      <c r="HP801" s="2494" t="str">
        <f t="shared" si="202"/>
        <v/>
      </c>
      <c r="HQ801" s="2494" t="str">
        <f t="shared" si="203"/>
        <v/>
      </c>
      <c r="HR801" s="2494" t="str">
        <f t="shared" si="204"/>
        <v/>
      </c>
      <c r="HS801" s="2494" t="str">
        <f t="shared" si="205"/>
        <v/>
      </c>
      <c r="HT801" s="2494" t="str">
        <f t="shared" si="206"/>
        <v/>
      </c>
      <c r="HU801" s="2494" t="str">
        <f t="shared" si="207"/>
        <v/>
      </c>
      <c r="HV801" s="2494" t="str">
        <f t="shared" si="208"/>
        <v/>
      </c>
      <c r="HW801" s="2494" t="str">
        <f t="shared" si="209"/>
        <v/>
      </c>
      <c r="HX801" s="2494" t="str">
        <f t="shared" si="210"/>
        <v/>
      </c>
      <c r="HY801" s="2494" t="str">
        <f t="shared" si="211"/>
        <v/>
      </c>
      <c r="HZ801" s="2672" t="str">
        <f t="shared" si="212"/>
        <v/>
      </c>
      <c r="IA801" s="2672" t="str">
        <f t="shared" si="213"/>
        <v/>
      </c>
      <c r="IB801" s="2672" t="str">
        <f t="shared" si="214"/>
        <v/>
      </c>
      <c r="IC801" s="2672" t="str">
        <f t="shared" si="215"/>
        <v/>
      </c>
      <c r="ID801" s="2672" t="str">
        <f t="shared" si="216"/>
        <v/>
      </c>
      <c r="IE801" s="2672" t="str">
        <f t="shared" si="217"/>
        <v/>
      </c>
      <c r="IF801" s="2672" t="str">
        <f t="shared" si="218"/>
        <v/>
      </c>
      <c r="IG801" s="2672" t="str">
        <f t="shared" si="219"/>
        <v/>
      </c>
      <c r="IH801" s="2672" t="str">
        <f t="shared" si="220"/>
        <v/>
      </c>
      <c r="II801" s="2672" t="str">
        <f t="shared" si="221"/>
        <v/>
      </c>
      <c r="IJ801" s="2672" t="str">
        <f t="shared" si="222"/>
        <v/>
      </c>
      <c r="IK801" s="2672" t="str">
        <f t="shared" si="223"/>
        <v/>
      </c>
      <c r="IL801" s="2672" t="str">
        <f t="shared" si="224"/>
        <v/>
      </c>
      <c r="IM801" s="2672" t="str">
        <f t="shared" si="225"/>
        <v/>
      </c>
      <c r="IN801" s="2672" t="str">
        <f t="shared" si="226"/>
        <v/>
      </c>
      <c r="IO801" s="2672" t="str">
        <f t="shared" si="227"/>
        <v/>
      </c>
      <c r="IP801" s="2672" t="str">
        <f t="shared" si="228"/>
        <v/>
      </c>
      <c r="IQ801" s="2672" t="str">
        <f t="shared" si="229"/>
        <v/>
      </c>
      <c r="IR801" s="2672" t="str">
        <f t="shared" si="230"/>
        <v/>
      </c>
      <c r="IS801" s="2672" t="str">
        <f t="shared" si="231"/>
        <v/>
      </c>
      <c r="IT801" s="2672" t="str">
        <f t="shared" si="232"/>
        <v/>
      </c>
      <c r="IU801" s="2672" t="str">
        <f t="shared" si="233"/>
        <v/>
      </c>
      <c r="IV801" s="2672" t="str">
        <f t="shared" si="234"/>
        <v/>
      </c>
      <c r="IW801" s="2672" t="str">
        <f t="shared" si="235"/>
        <v/>
      </c>
      <c r="IX801" s="2672" t="str">
        <f t="shared" si="236"/>
        <v/>
      </c>
      <c r="IY801" s="2672" t="str">
        <f t="shared" si="237"/>
        <v/>
      </c>
      <c r="IZ801" s="2672" t="str">
        <f t="shared" si="238"/>
        <v/>
      </c>
      <c r="JA801" s="2672" t="str">
        <f t="shared" si="239"/>
        <v/>
      </c>
      <c r="JB801" s="2672" t="str">
        <f t="shared" si="240"/>
        <v/>
      </c>
      <c r="JC801" s="2672" t="str">
        <f t="shared" si="241"/>
        <v/>
      </c>
      <c r="JD801" s="2672" t="str">
        <f t="shared" si="242"/>
        <v/>
      </c>
      <c r="JE801" s="2672" t="str">
        <f t="shared" si="243"/>
        <v/>
      </c>
      <c r="JF801" s="2672" t="str">
        <f t="shared" si="244"/>
        <v/>
      </c>
      <c r="JG801" s="2672" t="str">
        <f t="shared" si="245"/>
        <v/>
      </c>
      <c r="JH801" s="2672" t="str">
        <f t="shared" si="246"/>
        <v/>
      </c>
      <c r="JI801" s="2672" t="str">
        <f t="shared" si="247"/>
        <v/>
      </c>
      <c r="JJ801" s="2672" t="str">
        <f t="shared" si="248"/>
        <v/>
      </c>
      <c r="JK801" s="2672" t="str">
        <f t="shared" si="249"/>
        <v/>
      </c>
      <c r="JL801" s="2672" t="str">
        <f t="shared" si="250"/>
        <v/>
      </c>
      <c r="JM801" s="2672" t="str">
        <f t="shared" si="251"/>
        <v/>
      </c>
      <c r="JN801" s="2672" t="str">
        <f t="shared" si="252"/>
        <v/>
      </c>
      <c r="JO801" s="2672" t="str">
        <f t="shared" si="253"/>
        <v/>
      </c>
      <c r="JP801" s="2672" t="str">
        <f t="shared" si="254"/>
        <v/>
      </c>
      <c r="JQ801" s="2672" t="str">
        <f t="shared" si="255"/>
        <v/>
      </c>
      <c r="JR801" s="2672" t="str">
        <f t="shared" si="256"/>
        <v/>
      </c>
      <c r="JS801" s="2672" t="str">
        <f t="shared" si="257"/>
        <v/>
      </c>
      <c r="JT801" s="2672" t="str">
        <f t="shared" si="258"/>
        <v/>
      </c>
      <c r="JU801" s="2672" t="str">
        <f t="shared" si="259"/>
        <v/>
      </c>
      <c r="JV801" s="2672" t="str">
        <f t="shared" si="260"/>
        <v/>
      </c>
      <c r="JW801" s="2672" t="str">
        <f t="shared" si="261"/>
        <v/>
      </c>
      <c r="JX801" s="2672" t="str">
        <f t="shared" si="262"/>
        <v/>
      </c>
      <c r="JY801" s="2672" t="str">
        <f t="shared" si="263"/>
        <v/>
      </c>
      <c r="JZ801" s="2672" t="str">
        <f t="shared" si="264"/>
        <v/>
      </c>
      <c r="KA801" s="2672" t="str">
        <f t="shared" si="265"/>
        <v/>
      </c>
      <c r="KB801" s="2672" t="str">
        <f t="shared" si="266"/>
        <v/>
      </c>
      <c r="KC801" s="2672" t="str">
        <f t="shared" si="267"/>
        <v/>
      </c>
      <c r="KD801" s="2672" t="str">
        <f t="shared" si="268"/>
        <v/>
      </c>
      <c r="KE801" s="2672" t="str">
        <f t="shared" si="269"/>
        <v/>
      </c>
      <c r="KF801" s="2672" t="str">
        <f t="shared" si="270"/>
        <v/>
      </c>
      <c r="KG801" s="2672" t="str">
        <f t="shared" si="271"/>
        <v/>
      </c>
      <c r="KH801" s="2672" t="str">
        <f t="shared" si="272"/>
        <v/>
      </c>
      <c r="KI801" s="2672" t="str">
        <f t="shared" si="273"/>
        <v/>
      </c>
      <c r="KJ801" s="2672" t="str">
        <f t="shared" si="274"/>
        <v/>
      </c>
      <c r="KK801" s="2672" t="str">
        <f t="shared" si="275"/>
        <v/>
      </c>
      <c r="KL801" s="2672" t="str">
        <f t="shared" si="276"/>
        <v/>
      </c>
      <c r="KM801" s="2672" t="str">
        <f t="shared" si="277"/>
        <v/>
      </c>
      <c r="KN801" s="2672" t="str">
        <f t="shared" si="278"/>
        <v/>
      </c>
      <c r="KO801" s="2672" t="str">
        <f t="shared" si="279"/>
        <v/>
      </c>
      <c r="KP801" s="2672" t="str">
        <f t="shared" si="280"/>
        <v/>
      </c>
      <c r="KQ801" s="2672" t="str">
        <f t="shared" si="281"/>
        <v/>
      </c>
      <c r="KR801" s="2672" t="str">
        <f t="shared" si="282"/>
        <v/>
      </c>
      <c r="KS801" s="2672" t="str">
        <f t="shared" si="283"/>
        <v/>
      </c>
      <c r="KT801" s="2672" t="str">
        <f t="shared" si="284"/>
        <v/>
      </c>
      <c r="KU801" s="2672" t="str">
        <f t="shared" si="285"/>
        <v/>
      </c>
      <c r="KV801" s="2672" t="str">
        <f t="shared" si="286"/>
        <v/>
      </c>
      <c r="KW801" s="2672" t="str">
        <f t="shared" si="287"/>
        <v/>
      </c>
      <c r="KX801" s="2672" t="str">
        <f t="shared" si="288"/>
        <v/>
      </c>
      <c r="KY801" s="2672" t="str">
        <f t="shared" si="289"/>
        <v/>
      </c>
      <c r="KZ801" s="2672" t="str">
        <f t="shared" si="290"/>
        <v/>
      </c>
      <c r="LA801" s="2672" t="str">
        <f t="shared" si="291"/>
        <v/>
      </c>
      <c r="LB801" s="2672" t="str">
        <f t="shared" si="292"/>
        <v/>
      </c>
      <c r="LC801" s="2672" t="str">
        <f t="shared" si="293"/>
        <v/>
      </c>
      <c r="LD801" s="2672" t="str">
        <f t="shared" si="294"/>
        <v/>
      </c>
      <c r="LE801" s="2672" t="str">
        <f t="shared" si="295"/>
        <v/>
      </c>
      <c r="LF801" s="2672" t="str">
        <f t="shared" si="296"/>
        <v/>
      </c>
      <c r="LG801" s="2672" t="str">
        <f t="shared" si="297"/>
        <v/>
      </c>
      <c r="LH801" s="2672" t="str">
        <f t="shared" si="298"/>
        <v/>
      </c>
      <c r="LI801" s="2672" t="str">
        <f t="shared" si="299"/>
        <v/>
      </c>
      <c r="LJ801" s="2672" t="str">
        <f t="shared" si="300"/>
        <v/>
      </c>
      <c r="LK801" s="2672" t="str">
        <f t="shared" si="301"/>
        <v/>
      </c>
      <c r="LL801" s="2672" t="str">
        <f t="shared" si="302"/>
        <v/>
      </c>
      <c r="LM801" s="2672" t="str">
        <f t="shared" si="303"/>
        <v/>
      </c>
      <c r="LN801" s="2672" t="str">
        <f t="shared" si="304"/>
        <v/>
      </c>
      <c r="LO801" s="2672" t="str">
        <f t="shared" si="305"/>
        <v/>
      </c>
      <c r="LP801" s="2672" t="str">
        <f t="shared" si="306"/>
        <v/>
      </c>
      <c r="LQ801" s="2613" t="str">
        <f t="shared" si="307"/>
        <v/>
      </c>
      <c r="LR801" s="2613" t="str">
        <f t="shared" si="308"/>
        <v/>
      </c>
      <c r="LS801" s="2613" t="str">
        <f t="shared" si="309"/>
        <v/>
      </c>
      <c r="LT801" s="2613" t="str">
        <f t="shared" si="310"/>
        <v/>
      </c>
      <c r="LU801" s="2613" t="str">
        <f t="shared" si="311"/>
        <v/>
      </c>
      <c r="LV801" s="2494" t="str">
        <f t="shared" si="312"/>
        <v/>
      </c>
      <c r="LW801" s="2494" t="str">
        <f t="shared" si="313"/>
        <v/>
      </c>
      <c r="LX801" s="2494" t="str">
        <f t="shared" si="314"/>
        <v/>
      </c>
      <c r="LY801" s="2494" t="str">
        <f t="shared" si="315"/>
        <v/>
      </c>
      <c r="LZ801" s="2494" t="str">
        <f t="shared" si="316"/>
        <v/>
      </c>
      <c r="MA801" s="2494" t="str">
        <f t="shared" si="317"/>
        <v/>
      </c>
      <c r="MB801" s="2494" t="str">
        <f t="shared" si="318"/>
        <v/>
      </c>
      <c r="MC801" s="2494" t="str">
        <f t="shared" si="319"/>
        <v/>
      </c>
      <c r="MD801" s="2494" t="str">
        <f t="shared" si="320"/>
        <v/>
      </c>
      <c r="ME801" s="2494" t="str">
        <f t="shared" si="321"/>
        <v/>
      </c>
      <c r="MF801" s="2494" t="str">
        <f t="shared" si="322"/>
        <v/>
      </c>
      <c r="MG801" s="2494" t="str">
        <f t="shared" si="323"/>
        <v/>
      </c>
      <c r="MH801" s="2494" t="str">
        <f t="shared" si="324"/>
        <v/>
      </c>
      <c r="MI801" s="2494" t="str">
        <f t="shared" si="325"/>
        <v/>
      </c>
      <c r="MJ801" s="2494" t="str">
        <f t="shared" si="326"/>
        <v/>
      </c>
      <c r="MK801" s="2494" t="str">
        <f t="shared" si="327"/>
        <v/>
      </c>
      <c r="ML801" s="2494" t="str">
        <f t="shared" si="328"/>
        <v/>
      </c>
      <c r="MM801" s="2494" t="str">
        <f t="shared" si="329"/>
        <v/>
      </c>
      <c r="MN801" s="2494" t="str">
        <f t="shared" si="330"/>
        <v/>
      </c>
      <c r="MO801" s="2494" t="str">
        <f t="shared" si="331"/>
        <v/>
      </c>
      <c r="MP801" s="2613">
        <f t="shared" si="338"/>
        <v>0</v>
      </c>
      <c r="MQ801" s="2613">
        <f t="shared" si="339"/>
        <v>0</v>
      </c>
      <c r="MR801" s="2613">
        <f t="shared" si="340"/>
        <v>0</v>
      </c>
      <c r="MS801" s="2613">
        <f t="shared" si="341"/>
        <v>0</v>
      </c>
      <c r="MT801" s="2613">
        <f t="shared" si="342"/>
        <v>0</v>
      </c>
      <c r="MU801" s="2613">
        <f t="shared" si="343"/>
        <v>0</v>
      </c>
      <c r="MV801" s="2613">
        <f t="shared" si="344"/>
        <v>0</v>
      </c>
      <c r="MW801" s="2613">
        <f t="shared" si="345"/>
        <v>0</v>
      </c>
      <c r="MX801" s="2613">
        <f t="shared" si="346"/>
        <v>0</v>
      </c>
      <c r="MY801" s="2613">
        <f t="shared" si="347"/>
        <v>0</v>
      </c>
      <c r="MZ801" s="2613">
        <f t="shared" si="332"/>
        <v>0</v>
      </c>
      <c r="NA801" s="2613">
        <f t="shared" si="333"/>
        <v>0</v>
      </c>
      <c r="NB801" s="2613">
        <f t="shared" si="334"/>
        <v>0</v>
      </c>
      <c r="NC801" s="2613">
        <f t="shared" si="335"/>
        <v>0</v>
      </c>
      <c r="ND801" s="2613">
        <f t="shared" si="336"/>
        <v>0</v>
      </c>
    </row>
    <row r="802" spans="1:368" ht="13.8" customHeight="1">
      <c r="A802" s="2652" t="str">
        <f t="shared" si="337"/>
        <v/>
      </c>
      <c r="B802" s="2664">
        <f>'Part VI-Revenues &amp; Expenses'!B33</f>
        <v>0</v>
      </c>
      <c r="C802" s="2665">
        <f>'Part VI-Revenues &amp; Expenses'!C33</f>
        <v>0</v>
      </c>
      <c r="D802" s="2666">
        <f>'Part VI-Revenues &amp; Expenses'!D33</f>
        <v>0</v>
      </c>
      <c r="E802" s="2667">
        <f>'Part VI-Revenues &amp; Expenses'!E33</f>
        <v>0</v>
      </c>
      <c r="F802" s="2667">
        <f>'Part VI-Revenues &amp; Expenses'!F33</f>
        <v>0</v>
      </c>
      <c r="G802" s="2667">
        <f>'Part VI-Revenues &amp; Expenses'!G33</f>
        <v>0</v>
      </c>
      <c r="H802" s="2667">
        <f>'Part VI-Revenues &amp; Expenses'!H33</f>
        <v>0</v>
      </c>
      <c r="I802" s="2667">
        <f>'Part VI-Revenues &amp; Expenses'!I33</f>
        <v>0</v>
      </c>
      <c r="J802" s="2667">
        <f>'Part VI-Revenues &amp; Expenses'!J33</f>
        <v>0</v>
      </c>
      <c r="K802" s="2668">
        <f>'Part VI-Revenues &amp; Expenses'!K33</f>
        <v>0</v>
      </c>
      <c r="L802" s="2669">
        <f t="shared" si="0"/>
        <v>0</v>
      </c>
      <c r="M802" s="2669">
        <f t="shared" si="1"/>
        <v>0</v>
      </c>
      <c r="N802" s="2545">
        <f>'Part VI-Revenues &amp; Expenses'!N33</f>
        <v>0</v>
      </c>
      <c r="O802" s="2545">
        <f>'Part VI-Revenues &amp; Expenses'!O33</f>
        <v>0</v>
      </c>
      <c r="P802" s="2545">
        <f>'Part VI-Revenues &amp; Expenses'!P33</f>
        <v>0</v>
      </c>
      <c r="Q802" s="2251">
        <f>'Part VI-Revenues &amp; Expenses'!Q33</f>
        <v>0</v>
      </c>
      <c r="R802" s="2670"/>
      <c r="S802" s="2671"/>
      <c r="T802" s="2607"/>
      <c r="U802" s="2607"/>
      <c r="V802" s="2607"/>
      <c r="W802" s="2607"/>
      <c r="X802" s="2494" t="str">
        <f t="shared" si="2"/>
        <v/>
      </c>
      <c r="Y802" s="2494" t="str">
        <f t="shared" si="3"/>
        <v/>
      </c>
      <c r="Z802" s="2494" t="str">
        <f t="shared" si="4"/>
        <v/>
      </c>
      <c r="AA802" s="2494" t="str">
        <f t="shared" si="5"/>
        <v/>
      </c>
      <c r="AB802" s="2494" t="str">
        <f t="shared" si="6"/>
        <v/>
      </c>
      <c r="AC802" s="2494" t="str">
        <f t="shared" si="7"/>
        <v/>
      </c>
      <c r="AD802" s="2494" t="str">
        <f t="shared" si="8"/>
        <v/>
      </c>
      <c r="AE802" s="2494" t="str">
        <f t="shared" si="9"/>
        <v/>
      </c>
      <c r="AF802" s="2494" t="str">
        <f t="shared" si="10"/>
        <v/>
      </c>
      <c r="AG802" s="2494" t="str">
        <f t="shared" si="11"/>
        <v/>
      </c>
      <c r="AH802" s="2494" t="str">
        <f t="shared" si="12"/>
        <v/>
      </c>
      <c r="AI802" s="2494" t="str">
        <f t="shared" si="13"/>
        <v/>
      </c>
      <c r="AJ802" s="2494" t="str">
        <f t="shared" si="14"/>
        <v/>
      </c>
      <c r="AK802" s="2494" t="str">
        <f t="shared" si="15"/>
        <v/>
      </c>
      <c r="AL802" s="2494" t="str">
        <f t="shared" si="16"/>
        <v/>
      </c>
      <c r="AM802" s="2494" t="str">
        <f t="shared" si="17"/>
        <v/>
      </c>
      <c r="AN802" s="2494" t="str">
        <f t="shared" si="18"/>
        <v/>
      </c>
      <c r="AO802" s="2494" t="str">
        <f t="shared" si="19"/>
        <v/>
      </c>
      <c r="AP802" s="2494" t="str">
        <f t="shared" si="20"/>
        <v/>
      </c>
      <c r="AQ802" s="2494" t="str">
        <f t="shared" si="21"/>
        <v/>
      </c>
      <c r="AR802" s="2494" t="str">
        <f t="shared" si="22"/>
        <v/>
      </c>
      <c r="AS802" s="2494" t="str">
        <f t="shared" si="23"/>
        <v/>
      </c>
      <c r="AT802" s="2494" t="str">
        <f t="shared" si="24"/>
        <v/>
      </c>
      <c r="AU802" s="2494" t="str">
        <f t="shared" si="25"/>
        <v/>
      </c>
      <c r="AV802" s="2494" t="str">
        <f t="shared" si="26"/>
        <v/>
      </c>
      <c r="AW802" s="2494" t="str">
        <f t="shared" si="27"/>
        <v/>
      </c>
      <c r="AX802" s="2494" t="str">
        <f t="shared" si="28"/>
        <v/>
      </c>
      <c r="AY802" s="2494" t="str">
        <f t="shared" si="29"/>
        <v/>
      </c>
      <c r="AZ802" s="2494" t="str">
        <f t="shared" si="30"/>
        <v/>
      </c>
      <c r="BA802" s="2494" t="str">
        <f t="shared" si="31"/>
        <v/>
      </c>
      <c r="BB802" s="2494" t="str">
        <f t="shared" si="32"/>
        <v/>
      </c>
      <c r="BC802" s="2494" t="str">
        <f t="shared" si="33"/>
        <v/>
      </c>
      <c r="BD802" s="2494" t="str">
        <f t="shared" si="34"/>
        <v/>
      </c>
      <c r="BE802" s="2494" t="str">
        <f t="shared" si="35"/>
        <v/>
      </c>
      <c r="BF802" s="2494" t="str">
        <f t="shared" si="36"/>
        <v/>
      </c>
      <c r="BG802" s="2494" t="str">
        <f t="shared" si="37"/>
        <v/>
      </c>
      <c r="BH802" s="2494" t="str">
        <f t="shared" si="38"/>
        <v/>
      </c>
      <c r="BI802" s="2494" t="str">
        <f t="shared" si="39"/>
        <v/>
      </c>
      <c r="BJ802" s="2494" t="str">
        <f t="shared" si="40"/>
        <v/>
      </c>
      <c r="BK802" s="2494" t="str">
        <f t="shared" si="41"/>
        <v/>
      </c>
      <c r="BL802" s="2494" t="str">
        <f t="shared" si="42"/>
        <v/>
      </c>
      <c r="BM802" s="2494" t="str">
        <f t="shared" si="43"/>
        <v/>
      </c>
      <c r="BN802" s="2494" t="str">
        <f t="shared" si="44"/>
        <v/>
      </c>
      <c r="BO802" s="2494" t="str">
        <f t="shared" si="45"/>
        <v/>
      </c>
      <c r="BP802" s="2494" t="str">
        <f t="shared" si="46"/>
        <v/>
      </c>
      <c r="BQ802" s="2494" t="str">
        <f t="shared" si="47"/>
        <v/>
      </c>
      <c r="BR802" s="2494" t="str">
        <f t="shared" si="48"/>
        <v/>
      </c>
      <c r="BS802" s="2494" t="str">
        <f t="shared" si="49"/>
        <v/>
      </c>
      <c r="BT802" s="2494" t="str">
        <f t="shared" si="50"/>
        <v/>
      </c>
      <c r="BU802" s="2494" t="str">
        <f t="shared" si="51"/>
        <v/>
      </c>
      <c r="BV802" s="2494" t="str">
        <f t="shared" si="52"/>
        <v/>
      </c>
      <c r="BW802" s="2494" t="str">
        <f t="shared" si="53"/>
        <v/>
      </c>
      <c r="BX802" s="2494" t="str">
        <f t="shared" si="54"/>
        <v/>
      </c>
      <c r="BY802" s="2494" t="str">
        <f t="shared" si="55"/>
        <v/>
      </c>
      <c r="BZ802" s="2494" t="str">
        <f t="shared" si="56"/>
        <v/>
      </c>
      <c r="CA802" s="2494" t="str">
        <f t="shared" si="57"/>
        <v/>
      </c>
      <c r="CB802" s="2494" t="str">
        <f t="shared" si="58"/>
        <v/>
      </c>
      <c r="CC802" s="2494" t="str">
        <f t="shared" si="59"/>
        <v/>
      </c>
      <c r="CD802" s="2494" t="str">
        <f t="shared" si="60"/>
        <v/>
      </c>
      <c r="CE802" s="2494" t="str">
        <f t="shared" si="61"/>
        <v/>
      </c>
      <c r="CF802" s="2494" t="str">
        <f t="shared" si="62"/>
        <v/>
      </c>
      <c r="CG802" s="2494" t="str">
        <f t="shared" si="63"/>
        <v/>
      </c>
      <c r="CH802" s="2494" t="str">
        <f t="shared" si="64"/>
        <v/>
      </c>
      <c r="CI802" s="2494" t="str">
        <f t="shared" si="65"/>
        <v/>
      </c>
      <c r="CJ802" s="2494" t="str">
        <f t="shared" si="66"/>
        <v/>
      </c>
      <c r="CK802" s="2494" t="str">
        <f t="shared" si="67"/>
        <v/>
      </c>
      <c r="CL802" s="2494" t="str">
        <f t="shared" si="68"/>
        <v/>
      </c>
      <c r="CM802" s="2494" t="str">
        <f t="shared" si="69"/>
        <v/>
      </c>
      <c r="CN802" s="2494" t="str">
        <f t="shared" si="70"/>
        <v/>
      </c>
      <c r="CO802" s="2494" t="str">
        <f t="shared" si="71"/>
        <v/>
      </c>
      <c r="CP802" s="2494" t="str">
        <f t="shared" si="72"/>
        <v/>
      </c>
      <c r="CQ802" s="2494" t="str">
        <f t="shared" si="73"/>
        <v/>
      </c>
      <c r="CR802" s="2494" t="str">
        <f t="shared" si="74"/>
        <v/>
      </c>
      <c r="CS802" s="2494" t="str">
        <f t="shared" si="75"/>
        <v/>
      </c>
      <c r="CT802" s="2494" t="str">
        <f t="shared" si="76"/>
        <v/>
      </c>
      <c r="CU802" s="2494" t="str">
        <f t="shared" si="77"/>
        <v/>
      </c>
      <c r="CV802" s="2494" t="str">
        <f t="shared" si="78"/>
        <v/>
      </c>
      <c r="CW802" s="2494" t="str">
        <f t="shared" si="79"/>
        <v/>
      </c>
      <c r="CX802" s="2494" t="str">
        <f t="shared" si="80"/>
        <v/>
      </c>
      <c r="CY802" s="2494" t="str">
        <f t="shared" si="81"/>
        <v/>
      </c>
      <c r="CZ802" s="2494" t="str">
        <f t="shared" si="82"/>
        <v/>
      </c>
      <c r="DA802" s="2494" t="str">
        <f t="shared" si="83"/>
        <v/>
      </c>
      <c r="DB802" s="2494" t="str">
        <f t="shared" si="84"/>
        <v/>
      </c>
      <c r="DC802" s="2494" t="str">
        <f t="shared" si="85"/>
        <v/>
      </c>
      <c r="DD802" s="2494" t="str">
        <f t="shared" si="86"/>
        <v/>
      </c>
      <c r="DE802" s="2494" t="str">
        <f t="shared" si="87"/>
        <v/>
      </c>
      <c r="DF802" s="2494" t="str">
        <f t="shared" si="88"/>
        <v/>
      </c>
      <c r="DG802" s="2494" t="str">
        <f t="shared" si="89"/>
        <v/>
      </c>
      <c r="DH802" s="2494" t="str">
        <f t="shared" si="90"/>
        <v/>
      </c>
      <c r="DI802" s="2494" t="str">
        <f t="shared" si="91"/>
        <v/>
      </c>
      <c r="DJ802" s="2494" t="str">
        <f t="shared" si="92"/>
        <v/>
      </c>
      <c r="DK802" s="2494" t="str">
        <f t="shared" si="93"/>
        <v/>
      </c>
      <c r="DL802" s="2494" t="str">
        <f t="shared" si="94"/>
        <v/>
      </c>
      <c r="DM802" s="2494" t="str">
        <f t="shared" si="95"/>
        <v/>
      </c>
      <c r="DN802" s="2494" t="str">
        <f t="shared" si="96"/>
        <v/>
      </c>
      <c r="DO802" s="2494" t="str">
        <f t="shared" si="97"/>
        <v/>
      </c>
      <c r="DP802" s="2494" t="str">
        <f t="shared" si="98"/>
        <v/>
      </c>
      <c r="DQ802" s="2494" t="str">
        <f t="shared" si="99"/>
        <v/>
      </c>
      <c r="DR802" s="2494" t="str">
        <f t="shared" si="100"/>
        <v/>
      </c>
      <c r="DS802" s="2494" t="str">
        <f t="shared" si="101"/>
        <v/>
      </c>
      <c r="DT802" s="2494" t="str">
        <f t="shared" si="102"/>
        <v/>
      </c>
      <c r="DU802" s="2494" t="str">
        <f t="shared" si="103"/>
        <v/>
      </c>
      <c r="DV802" s="2494" t="str">
        <f t="shared" si="104"/>
        <v/>
      </c>
      <c r="DW802" s="2494" t="str">
        <f t="shared" si="105"/>
        <v/>
      </c>
      <c r="DX802" s="2494" t="str">
        <f t="shared" si="106"/>
        <v/>
      </c>
      <c r="DY802" s="2494" t="str">
        <f t="shared" si="107"/>
        <v/>
      </c>
      <c r="DZ802" s="2494" t="str">
        <f t="shared" si="108"/>
        <v/>
      </c>
      <c r="EA802" s="2494" t="str">
        <f t="shared" si="109"/>
        <v/>
      </c>
      <c r="EB802" s="2494" t="str">
        <f t="shared" si="110"/>
        <v/>
      </c>
      <c r="EC802" s="2494" t="str">
        <f t="shared" si="111"/>
        <v/>
      </c>
      <c r="ED802" s="2494" t="str">
        <f t="shared" si="112"/>
        <v/>
      </c>
      <c r="EE802" s="2494" t="str">
        <f t="shared" si="113"/>
        <v/>
      </c>
      <c r="EF802" s="2494" t="str">
        <f t="shared" si="114"/>
        <v/>
      </c>
      <c r="EG802" s="2494" t="str">
        <f t="shared" si="115"/>
        <v/>
      </c>
      <c r="EH802" s="2494" t="str">
        <f t="shared" si="116"/>
        <v/>
      </c>
      <c r="EI802" s="2494" t="str">
        <f t="shared" si="117"/>
        <v/>
      </c>
      <c r="EJ802" s="2494" t="str">
        <f t="shared" si="118"/>
        <v/>
      </c>
      <c r="EK802" s="2494" t="str">
        <f t="shared" si="119"/>
        <v/>
      </c>
      <c r="EL802" s="2494" t="str">
        <f t="shared" si="120"/>
        <v/>
      </c>
      <c r="EM802" s="2494" t="str">
        <f t="shared" si="121"/>
        <v/>
      </c>
      <c r="EN802" s="2494" t="str">
        <f t="shared" si="122"/>
        <v/>
      </c>
      <c r="EO802" s="2494" t="str">
        <f t="shared" si="123"/>
        <v/>
      </c>
      <c r="EP802" s="2494" t="str">
        <f t="shared" si="124"/>
        <v/>
      </c>
      <c r="EQ802" s="2494" t="str">
        <f t="shared" si="125"/>
        <v/>
      </c>
      <c r="ER802" s="2494" t="str">
        <f t="shared" si="126"/>
        <v/>
      </c>
      <c r="ES802" s="2494" t="str">
        <f t="shared" si="127"/>
        <v/>
      </c>
      <c r="ET802" s="2494" t="str">
        <f t="shared" si="128"/>
        <v/>
      </c>
      <c r="EU802" s="2494" t="str">
        <f t="shared" si="129"/>
        <v/>
      </c>
      <c r="EV802" s="2494" t="str">
        <f t="shared" si="130"/>
        <v/>
      </c>
      <c r="EW802" s="2494" t="str">
        <f t="shared" si="131"/>
        <v/>
      </c>
      <c r="EX802" s="2494" t="str">
        <f t="shared" si="132"/>
        <v/>
      </c>
      <c r="EY802" s="2494" t="str">
        <f t="shared" si="133"/>
        <v/>
      </c>
      <c r="EZ802" s="2494" t="str">
        <f t="shared" si="134"/>
        <v/>
      </c>
      <c r="FA802" s="2494" t="str">
        <f t="shared" si="135"/>
        <v/>
      </c>
      <c r="FB802" s="2494" t="str">
        <f t="shared" si="136"/>
        <v/>
      </c>
      <c r="FC802" s="2494" t="str">
        <f t="shared" si="137"/>
        <v/>
      </c>
      <c r="FD802" s="2494" t="str">
        <f t="shared" si="138"/>
        <v/>
      </c>
      <c r="FE802" s="2494" t="str">
        <f t="shared" si="139"/>
        <v/>
      </c>
      <c r="FF802" s="2494" t="str">
        <f t="shared" si="140"/>
        <v/>
      </c>
      <c r="FG802" s="2494" t="str">
        <f t="shared" si="141"/>
        <v/>
      </c>
      <c r="FH802" s="2494" t="str">
        <f t="shared" si="142"/>
        <v/>
      </c>
      <c r="FI802" s="2494" t="str">
        <f t="shared" si="143"/>
        <v/>
      </c>
      <c r="FJ802" s="2494" t="str">
        <f t="shared" si="144"/>
        <v/>
      </c>
      <c r="FK802" s="2494" t="str">
        <f t="shared" si="145"/>
        <v/>
      </c>
      <c r="FL802" s="2494" t="str">
        <f t="shared" si="146"/>
        <v/>
      </c>
      <c r="FM802" s="2494" t="str">
        <f t="shared" si="147"/>
        <v/>
      </c>
      <c r="FN802" s="2494" t="str">
        <f t="shared" si="148"/>
        <v/>
      </c>
      <c r="FO802" s="2494" t="str">
        <f t="shared" si="149"/>
        <v/>
      </c>
      <c r="FP802" s="2494" t="str">
        <f t="shared" si="150"/>
        <v/>
      </c>
      <c r="FQ802" s="2494" t="str">
        <f t="shared" si="151"/>
        <v/>
      </c>
      <c r="FR802" s="2494" t="str">
        <f t="shared" si="152"/>
        <v/>
      </c>
      <c r="FS802" s="2494" t="str">
        <f t="shared" si="153"/>
        <v/>
      </c>
      <c r="FT802" s="2494" t="str">
        <f t="shared" si="154"/>
        <v/>
      </c>
      <c r="FU802" s="2494" t="str">
        <f t="shared" si="155"/>
        <v/>
      </c>
      <c r="FV802" s="2494" t="str">
        <f t="shared" si="156"/>
        <v/>
      </c>
      <c r="FW802" s="2494" t="str">
        <f t="shared" si="157"/>
        <v/>
      </c>
      <c r="FX802" s="2494" t="str">
        <f t="shared" si="158"/>
        <v/>
      </c>
      <c r="FY802" s="2494" t="str">
        <f t="shared" si="159"/>
        <v/>
      </c>
      <c r="FZ802" s="2494" t="str">
        <f t="shared" si="160"/>
        <v/>
      </c>
      <c r="GA802" s="2494" t="str">
        <f t="shared" si="161"/>
        <v/>
      </c>
      <c r="GB802" s="2494" t="str">
        <f t="shared" si="162"/>
        <v/>
      </c>
      <c r="GC802" s="2494" t="str">
        <f t="shared" si="163"/>
        <v/>
      </c>
      <c r="GD802" s="2494" t="str">
        <f t="shared" si="164"/>
        <v/>
      </c>
      <c r="GE802" s="2494" t="str">
        <f t="shared" si="165"/>
        <v/>
      </c>
      <c r="GF802" s="2494" t="str">
        <f t="shared" si="166"/>
        <v/>
      </c>
      <c r="GG802" s="2494" t="str">
        <f t="shared" si="167"/>
        <v/>
      </c>
      <c r="GH802" s="2494" t="str">
        <f t="shared" si="168"/>
        <v/>
      </c>
      <c r="GI802" s="2494" t="str">
        <f t="shared" si="169"/>
        <v/>
      </c>
      <c r="GJ802" s="2494" t="str">
        <f t="shared" si="170"/>
        <v/>
      </c>
      <c r="GK802" s="2494" t="str">
        <f t="shared" si="171"/>
        <v/>
      </c>
      <c r="GL802" s="2494" t="str">
        <f t="shared" si="172"/>
        <v/>
      </c>
      <c r="GM802" s="2494" t="str">
        <f t="shared" si="173"/>
        <v/>
      </c>
      <c r="GN802" s="2494" t="str">
        <f t="shared" si="174"/>
        <v/>
      </c>
      <c r="GO802" s="2494" t="str">
        <f t="shared" si="175"/>
        <v/>
      </c>
      <c r="GP802" s="2494" t="str">
        <f t="shared" si="176"/>
        <v/>
      </c>
      <c r="GQ802" s="2494" t="str">
        <f t="shared" si="177"/>
        <v/>
      </c>
      <c r="GR802" s="2494" t="str">
        <f t="shared" si="178"/>
        <v/>
      </c>
      <c r="GS802" s="2494" t="str">
        <f t="shared" si="179"/>
        <v/>
      </c>
      <c r="GT802" s="2494" t="str">
        <f t="shared" si="180"/>
        <v/>
      </c>
      <c r="GU802" s="2494" t="str">
        <f t="shared" si="181"/>
        <v/>
      </c>
      <c r="GV802" s="2494" t="str">
        <f t="shared" si="182"/>
        <v/>
      </c>
      <c r="GW802" s="2494" t="str">
        <f t="shared" si="183"/>
        <v/>
      </c>
      <c r="GX802" s="2494" t="str">
        <f t="shared" si="184"/>
        <v/>
      </c>
      <c r="GY802" s="2494" t="str">
        <f t="shared" si="185"/>
        <v/>
      </c>
      <c r="GZ802" s="2494" t="str">
        <f t="shared" si="186"/>
        <v/>
      </c>
      <c r="HA802" s="2494" t="str">
        <f t="shared" si="187"/>
        <v/>
      </c>
      <c r="HB802" s="2494" t="str">
        <f t="shared" si="188"/>
        <v/>
      </c>
      <c r="HC802" s="2494" t="str">
        <f t="shared" si="189"/>
        <v/>
      </c>
      <c r="HD802" s="2494" t="str">
        <f t="shared" si="190"/>
        <v/>
      </c>
      <c r="HE802" s="2494" t="str">
        <f t="shared" si="191"/>
        <v/>
      </c>
      <c r="HF802" s="2494" t="str">
        <f t="shared" si="192"/>
        <v/>
      </c>
      <c r="HG802" s="2494" t="str">
        <f t="shared" si="193"/>
        <v/>
      </c>
      <c r="HH802" s="2494" t="str">
        <f t="shared" si="194"/>
        <v/>
      </c>
      <c r="HI802" s="2494" t="str">
        <f t="shared" si="195"/>
        <v/>
      </c>
      <c r="HJ802" s="2494" t="str">
        <f t="shared" si="196"/>
        <v/>
      </c>
      <c r="HK802" s="2494" t="str">
        <f t="shared" si="197"/>
        <v/>
      </c>
      <c r="HL802" s="2494" t="str">
        <f t="shared" si="198"/>
        <v/>
      </c>
      <c r="HM802" s="2494" t="str">
        <f t="shared" si="199"/>
        <v/>
      </c>
      <c r="HN802" s="2494" t="str">
        <f t="shared" si="200"/>
        <v/>
      </c>
      <c r="HO802" s="2494" t="str">
        <f t="shared" si="201"/>
        <v/>
      </c>
      <c r="HP802" s="2494" t="str">
        <f t="shared" si="202"/>
        <v/>
      </c>
      <c r="HQ802" s="2494" t="str">
        <f t="shared" si="203"/>
        <v/>
      </c>
      <c r="HR802" s="2494" t="str">
        <f t="shared" si="204"/>
        <v/>
      </c>
      <c r="HS802" s="2494" t="str">
        <f t="shared" si="205"/>
        <v/>
      </c>
      <c r="HT802" s="2494" t="str">
        <f t="shared" si="206"/>
        <v/>
      </c>
      <c r="HU802" s="2494" t="str">
        <f t="shared" si="207"/>
        <v/>
      </c>
      <c r="HV802" s="2494" t="str">
        <f t="shared" si="208"/>
        <v/>
      </c>
      <c r="HW802" s="2494" t="str">
        <f t="shared" si="209"/>
        <v/>
      </c>
      <c r="HX802" s="2494" t="str">
        <f t="shared" si="210"/>
        <v/>
      </c>
      <c r="HY802" s="2494" t="str">
        <f t="shared" si="211"/>
        <v/>
      </c>
      <c r="HZ802" s="2672" t="str">
        <f t="shared" si="212"/>
        <v/>
      </c>
      <c r="IA802" s="2672" t="str">
        <f t="shared" si="213"/>
        <v/>
      </c>
      <c r="IB802" s="2672" t="str">
        <f t="shared" si="214"/>
        <v/>
      </c>
      <c r="IC802" s="2672" t="str">
        <f t="shared" si="215"/>
        <v/>
      </c>
      <c r="ID802" s="2672" t="str">
        <f t="shared" si="216"/>
        <v/>
      </c>
      <c r="IE802" s="2672" t="str">
        <f t="shared" si="217"/>
        <v/>
      </c>
      <c r="IF802" s="2672" t="str">
        <f t="shared" si="218"/>
        <v/>
      </c>
      <c r="IG802" s="2672" t="str">
        <f t="shared" si="219"/>
        <v/>
      </c>
      <c r="IH802" s="2672" t="str">
        <f t="shared" si="220"/>
        <v/>
      </c>
      <c r="II802" s="2672" t="str">
        <f t="shared" si="221"/>
        <v/>
      </c>
      <c r="IJ802" s="2672" t="str">
        <f t="shared" si="222"/>
        <v/>
      </c>
      <c r="IK802" s="2672" t="str">
        <f t="shared" si="223"/>
        <v/>
      </c>
      <c r="IL802" s="2672" t="str">
        <f t="shared" si="224"/>
        <v/>
      </c>
      <c r="IM802" s="2672" t="str">
        <f t="shared" si="225"/>
        <v/>
      </c>
      <c r="IN802" s="2672" t="str">
        <f t="shared" si="226"/>
        <v/>
      </c>
      <c r="IO802" s="2672" t="str">
        <f t="shared" si="227"/>
        <v/>
      </c>
      <c r="IP802" s="2672" t="str">
        <f t="shared" si="228"/>
        <v/>
      </c>
      <c r="IQ802" s="2672" t="str">
        <f t="shared" si="229"/>
        <v/>
      </c>
      <c r="IR802" s="2672" t="str">
        <f t="shared" si="230"/>
        <v/>
      </c>
      <c r="IS802" s="2672" t="str">
        <f t="shared" si="231"/>
        <v/>
      </c>
      <c r="IT802" s="2672" t="str">
        <f t="shared" si="232"/>
        <v/>
      </c>
      <c r="IU802" s="2672" t="str">
        <f t="shared" si="233"/>
        <v/>
      </c>
      <c r="IV802" s="2672" t="str">
        <f t="shared" si="234"/>
        <v/>
      </c>
      <c r="IW802" s="2672" t="str">
        <f t="shared" si="235"/>
        <v/>
      </c>
      <c r="IX802" s="2672" t="str">
        <f t="shared" si="236"/>
        <v/>
      </c>
      <c r="IY802" s="2672" t="str">
        <f t="shared" si="237"/>
        <v/>
      </c>
      <c r="IZ802" s="2672" t="str">
        <f t="shared" si="238"/>
        <v/>
      </c>
      <c r="JA802" s="2672" t="str">
        <f t="shared" si="239"/>
        <v/>
      </c>
      <c r="JB802" s="2672" t="str">
        <f t="shared" si="240"/>
        <v/>
      </c>
      <c r="JC802" s="2672" t="str">
        <f t="shared" si="241"/>
        <v/>
      </c>
      <c r="JD802" s="2672" t="str">
        <f t="shared" si="242"/>
        <v/>
      </c>
      <c r="JE802" s="2672" t="str">
        <f t="shared" si="243"/>
        <v/>
      </c>
      <c r="JF802" s="2672" t="str">
        <f t="shared" si="244"/>
        <v/>
      </c>
      <c r="JG802" s="2672" t="str">
        <f t="shared" si="245"/>
        <v/>
      </c>
      <c r="JH802" s="2672" t="str">
        <f t="shared" si="246"/>
        <v/>
      </c>
      <c r="JI802" s="2672" t="str">
        <f t="shared" si="247"/>
        <v/>
      </c>
      <c r="JJ802" s="2672" t="str">
        <f t="shared" si="248"/>
        <v/>
      </c>
      <c r="JK802" s="2672" t="str">
        <f t="shared" si="249"/>
        <v/>
      </c>
      <c r="JL802" s="2672" t="str">
        <f t="shared" si="250"/>
        <v/>
      </c>
      <c r="JM802" s="2672" t="str">
        <f t="shared" si="251"/>
        <v/>
      </c>
      <c r="JN802" s="2672" t="str">
        <f t="shared" si="252"/>
        <v/>
      </c>
      <c r="JO802" s="2672" t="str">
        <f t="shared" si="253"/>
        <v/>
      </c>
      <c r="JP802" s="2672" t="str">
        <f t="shared" si="254"/>
        <v/>
      </c>
      <c r="JQ802" s="2672" t="str">
        <f t="shared" si="255"/>
        <v/>
      </c>
      <c r="JR802" s="2672" t="str">
        <f t="shared" si="256"/>
        <v/>
      </c>
      <c r="JS802" s="2672" t="str">
        <f t="shared" si="257"/>
        <v/>
      </c>
      <c r="JT802" s="2672" t="str">
        <f t="shared" si="258"/>
        <v/>
      </c>
      <c r="JU802" s="2672" t="str">
        <f t="shared" si="259"/>
        <v/>
      </c>
      <c r="JV802" s="2672" t="str">
        <f t="shared" si="260"/>
        <v/>
      </c>
      <c r="JW802" s="2672" t="str">
        <f t="shared" si="261"/>
        <v/>
      </c>
      <c r="JX802" s="2672" t="str">
        <f t="shared" si="262"/>
        <v/>
      </c>
      <c r="JY802" s="2672" t="str">
        <f t="shared" si="263"/>
        <v/>
      </c>
      <c r="JZ802" s="2672" t="str">
        <f t="shared" si="264"/>
        <v/>
      </c>
      <c r="KA802" s="2672" t="str">
        <f t="shared" si="265"/>
        <v/>
      </c>
      <c r="KB802" s="2672" t="str">
        <f t="shared" si="266"/>
        <v/>
      </c>
      <c r="KC802" s="2672" t="str">
        <f t="shared" si="267"/>
        <v/>
      </c>
      <c r="KD802" s="2672" t="str">
        <f t="shared" si="268"/>
        <v/>
      </c>
      <c r="KE802" s="2672" t="str">
        <f t="shared" si="269"/>
        <v/>
      </c>
      <c r="KF802" s="2672" t="str">
        <f t="shared" si="270"/>
        <v/>
      </c>
      <c r="KG802" s="2672" t="str">
        <f t="shared" si="271"/>
        <v/>
      </c>
      <c r="KH802" s="2672" t="str">
        <f t="shared" si="272"/>
        <v/>
      </c>
      <c r="KI802" s="2672" t="str">
        <f t="shared" si="273"/>
        <v/>
      </c>
      <c r="KJ802" s="2672" t="str">
        <f t="shared" si="274"/>
        <v/>
      </c>
      <c r="KK802" s="2672" t="str">
        <f t="shared" si="275"/>
        <v/>
      </c>
      <c r="KL802" s="2672" t="str">
        <f t="shared" si="276"/>
        <v/>
      </c>
      <c r="KM802" s="2672" t="str">
        <f t="shared" si="277"/>
        <v/>
      </c>
      <c r="KN802" s="2672" t="str">
        <f t="shared" si="278"/>
        <v/>
      </c>
      <c r="KO802" s="2672" t="str">
        <f t="shared" si="279"/>
        <v/>
      </c>
      <c r="KP802" s="2672" t="str">
        <f t="shared" si="280"/>
        <v/>
      </c>
      <c r="KQ802" s="2672" t="str">
        <f t="shared" si="281"/>
        <v/>
      </c>
      <c r="KR802" s="2672" t="str">
        <f t="shared" si="282"/>
        <v/>
      </c>
      <c r="KS802" s="2672" t="str">
        <f t="shared" si="283"/>
        <v/>
      </c>
      <c r="KT802" s="2672" t="str">
        <f t="shared" si="284"/>
        <v/>
      </c>
      <c r="KU802" s="2672" t="str">
        <f t="shared" si="285"/>
        <v/>
      </c>
      <c r="KV802" s="2672" t="str">
        <f t="shared" si="286"/>
        <v/>
      </c>
      <c r="KW802" s="2672" t="str">
        <f t="shared" si="287"/>
        <v/>
      </c>
      <c r="KX802" s="2672" t="str">
        <f t="shared" si="288"/>
        <v/>
      </c>
      <c r="KY802" s="2672" t="str">
        <f t="shared" si="289"/>
        <v/>
      </c>
      <c r="KZ802" s="2672" t="str">
        <f t="shared" si="290"/>
        <v/>
      </c>
      <c r="LA802" s="2672" t="str">
        <f t="shared" si="291"/>
        <v/>
      </c>
      <c r="LB802" s="2672" t="str">
        <f t="shared" si="292"/>
        <v/>
      </c>
      <c r="LC802" s="2672" t="str">
        <f t="shared" si="293"/>
        <v/>
      </c>
      <c r="LD802" s="2672" t="str">
        <f t="shared" si="294"/>
        <v/>
      </c>
      <c r="LE802" s="2672" t="str">
        <f t="shared" si="295"/>
        <v/>
      </c>
      <c r="LF802" s="2672" t="str">
        <f t="shared" si="296"/>
        <v/>
      </c>
      <c r="LG802" s="2672" t="str">
        <f t="shared" si="297"/>
        <v/>
      </c>
      <c r="LH802" s="2672" t="str">
        <f t="shared" si="298"/>
        <v/>
      </c>
      <c r="LI802" s="2672" t="str">
        <f t="shared" si="299"/>
        <v/>
      </c>
      <c r="LJ802" s="2672" t="str">
        <f t="shared" si="300"/>
        <v/>
      </c>
      <c r="LK802" s="2672" t="str">
        <f t="shared" si="301"/>
        <v/>
      </c>
      <c r="LL802" s="2672" t="str">
        <f t="shared" si="302"/>
        <v/>
      </c>
      <c r="LM802" s="2672" t="str">
        <f t="shared" si="303"/>
        <v/>
      </c>
      <c r="LN802" s="2672" t="str">
        <f t="shared" si="304"/>
        <v/>
      </c>
      <c r="LO802" s="2672" t="str">
        <f t="shared" si="305"/>
        <v/>
      </c>
      <c r="LP802" s="2672" t="str">
        <f t="shared" si="306"/>
        <v/>
      </c>
      <c r="LQ802" s="2613" t="str">
        <f t="shared" si="307"/>
        <v/>
      </c>
      <c r="LR802" s="2613" t="str">
        <f t="shared" si="308"/>
        <v/>
      </c>
      <c r="LS802" s="2613" t="str">
        <f t="shared" si="309"/>
        <v/>
      </c>
      <c r="LT802" s="2613" t="str">
        <f t="shared" si="310"/>
        <v/>
      </c>
      <c r="LU802" s="2613" t="str">
        <f t="shared" si="311"/>
        <v/>
      </c>
      <c r="LV802" s="2494" t="str">
        <f t="shared" si="312"/>
        <v/>
      </c>
      <c r="LW802" s="2494" t="str">
        <f t="shared" si="313"/>
        <v/>
      </c>
      <c r="LX802" s="2494" t="str">
        <f t="shared" si="314"/>
        <v/>
      </c>
      <c r="LY802" s="2494" t="str">
        <f t="shared" si="315"/>
        <v/>
      </c>
      <c r="LZ802" s="2494" t="str">
        <f t="shared" si="316"/>
        <v/>
      </c>
      <c r="MA802" s="2494" t="str">
        <f t="shared" si="317"/>
        <v/>
      </c>
      <c r="MB802" s="2494" t="str">
        <f t="shared" si="318"/>
        <v/>
      </c>
      <c r="MC802" s="2494" t="str">
        <f t="shared" si="319"/>
        <v/>
      </c>
      <c r="MD802" s="2494" t="str">
        <f t="shared" si="320"/>
        <v/>
      </c>
      <c r="ME802" s="2494" t="str">
        <f t="shared" si="321"/>
        <v/>
      </c>
      <c r="MF802" s="2494" t="str">
        <f t="shared" si="322"/>
        <v/>
      </c>
      <c r="MG802" s="2494" t="str">
        <f t="shared" si="323"/>
        <v/>
      </c>
      <c r="MH802" s="2494" t="str">
        <f t="shared" si="324"/>
        <v/>
      </c>
      <c r="MI802" s="2494" t="str">
        <f t="shared" si="325"/>
        <v/>
      </c>
      <c r="MJ802" s="2494" t="str">
        <f t="shared" si="326"/>
        <v/>
      </c>
      <c r="MK802" s="2494" t="str">
        <f t="shared" si="327"/>
        <v/>
      </c>
      <c r="ML802" s="2494" t="str">
        <f t="shared" si="328"/>
        <v/>
      </c>
      <c r="MM802" s="2494" t="str">
        <f t="shared" si="329"/>
        <v/>
      </c>
      <c r="MN802" s="2494" t="str">
        <f t="shared" si="330"/>
        <v/>
      </c>
      <c r="MO802" s="2494" t="str">
        <f t="shared" si="331"/>
        <v/>
      </c>
      <c r="MP802" s="2613">
        <f t="shared" si="338"/>
        <v>0</v>
      </c>
      <c r="MQ802" s="2613">
        <f t="shared" si="339"/>
        <v>0</v>
      </c>
      <c r="MR802" s="2613">
        <f t="shared" si="340"/>
        <v>0</v>
      </c>
      <c r="MS802" s="2613">
        <f t="shared" si="341"/>
        <v>0</v>
      </c>
      <c r="MT802" s="2613">
        <f t="shared" si="342"/>
        <v>0</v>
      </c>
      <c r="MU802" s="2613">
        <f t="shared" si="343"/>
        <v>0</v>
      </c>
      <c r="MV802" s="2613">
        <f t="shared" si="344"/>
        <v>0</v>
      </c>
      <c r="MW802" s="2613">
        <f t="shared" si="345"/>
        <v>0</v>
      </c>
      <c r="MX802" s="2613">
        <f t="shared" si="346"/>
        <v>0</v>
      </c>
      <c r="MY802" s="2613">
        <f t="shared" si="347"/>
        <v>0</v>
      </c>
      <c r="MZ802" s="2613">
        <f t="shared" si="332"/>
        <v>0</v>
      </c>
      <c r="NA802" s="2613">
        <f t="shared" si="333"/>
        <v>0</v>
      </c>
      <c r="NB802" s="2613">
        <f t="shared" si="334"/>
        <v>0</v>
      </c>
      <c r="NC802" s="2613">
        <f t="shared" si="335"/>
        <v>0</v>
      </c>
      <c r="ND802" s="2613">
        <f t="shared" si="336"/>
        <v>0</v>
      </c>
    </row>
    <row r="803" spans="1:368" ht="13.8" customHeight="1">
      <c r="A803" s="2652" t="str">
        <f t="shared" si="337"/>
        <v/>
      </c>
      <c r="B803" s="2664">
        <f>'Part VI-Revenues &amp; Expenses'!B34</f>
        <v>0</v>
      </c>
      <c r="C803" s="2665">
        <f>'Part VI-Revenues &amp; Expenses'!C34</f>
        <v>0</v>
      </c>
      <c r="D803" s="2666">
        <f>'Part VI-Revenues &amp; Expenses'!D34</f>
        <v>0</v>
      </c>
      <c r="E803" s="2667">
        <f>'Part VI-Revenues &amp; Expenses'!E34</f>
        <v>0</v>
      </c>
      <c r="F803" s="2667">
        <f>'Part VI-Revenues &amp; Expenses'!F34</f>
        <v>0</v>
      </c>
      <c r="G803" s="2667">
        <f>'Part VI-Revenues &amp; Expenses'!G34</f>
        <v>0</v>
      </c>
      <c r="H803" s="2667">
        <f>'Part VI-Revenues &amp; Expenses'!H34</f>
        <v>0</v>
      </c>
      <c r="I803" s="2667">
        <f>'Part VI-Revenues &amp; Expenses'!I34</f>
        <v>0</v>
      </c>
      <c r="J803" s="2667">
        <f>'Part VI-Revenues &amp; Expenses'!J34</f>
        <v>0</v>
      </c>
      <c r="K803" s="2668">
        <f>'Part VI-Revenues &amp; Expenses'!K34</f>
        <v>0</v>
      </c>
      <c r="L803" s="2669">
        <f t="shared" si="0"/>
        <v>0</v>
      </c>
      <c r="M803" s="2669">
        <f t="shared" si="1"/>
        <v>0</v>
      </c>
      <c r="N803" s="2545">
        <f>'Part VI-Revenues &amp; Expenses'!N34</f>
        <v>0</v>
      </c>
      <c r="O803" s="2545">
        <f>'Part VI-Revenues &amp; Expenses'!O34</f>
        <v>0</v>
      </c>
      <c r="P803" s="2545">
        <f>'Part VI-Revenues &amp; Expenses'!P34</f>
        <v>0</v>
      </c>
      <c r="Q803" s="2251">
        <f>'Part VI-Revenues &amp; Expenses'!Q34</f>
        <v>0</v>
      </c>
      <c r="R803" s="2670"/>
      <c r="S803" s="2671"/>
      <c r="T803" s="2607"/>
      <c r="U803" s="2607"/>
      <c r="V803" s="2607"/>
      <c r="W803" s="2607"/>
      <c r="X803" s="2494" t="str">
        <f t="shared" si="2"/>
        <v/>
      </c>
      <c r="Y803" s="2494" t="str">
        <f t="shared" si="3"/>
        <v/>
      </c>
      <c r="Z803" s="2494" t="str">
        <f t="shared" si="4"/>
        <v/>
      </c>
      <c r="AA803" s="2494" t="str">
        <f t="shared" si="5"/>
        <v/>
      </c>
      <c r="AB803" s="2494" t="str">
        <f t="shared" si="6"/>
        <v/>
      </c>
      <c r="AC803" s="2494" t="str">
        <f t="shared" si="7"/>
        <v/>
      </c>
      <c r="AD803" s="2494" t="str">
        <f t="shared" si="8"/>
        <v/>
      </c>
      <c r="AE803" s="2494" t="str">
        <f t="shared" si="9"/>
        <v/>
      </c>
      <c r="AF803" s="2494" t="str">
        <f t="shared" si="10"/>
        <v/>
      </c>
      <c r="AG803" s="2494" t="str">
        <f t="shared" si="11"/>
        <v/>
      </c>
      <c r="AH803" s="2494" t="str">
        <f t="shared" si="12"/>
        <v/>
      </c>
      <c r="AI803" s="2494" t="str">
        <f t="shared" si="13"/>
        <v/>
      </c>
      <c r="AJ803" s="2494" t="str">
        <f t="shared" si="14"/>
        <v/>
      </c>
      <c r="AK803" s="2494" t="str">
        <f t="shared" si="15"/>
        <v/>
      </c>
      <c r="AL803" s="2494" t="str">
        <f t="shared" si="16"/>
        <v/>
      </c>
      <c r="AM803" s="2494" t="str">
        <f t="shared" si="17"/>
        <v/>
      </c>
      <c r="AN803" s="2494" t="str">
        <f t="shared" si="18"/>
        <v/>
      </c>
      <c r="AO803" s="2494" t="str">
        <f t="shared" si="19"/>
        <v/>
      </c>
      <c r="AP803" s="2494" t="str">
        <f t="shared" si="20"/>
        <v/>
      </c>
      <c r="AQ803" s="2494" t="str">
        <f t="shared" si="21"/>
        <v/>
      </c>
      <c r="AR803" s="2494" t="str">
        <f t="shared" si="22"/>
        <v/>
      </c>
      <c r="AS803" s="2494" t="str">
        <f t="shared" si="23"/>
        <v/>
      </c>
      <c r="AT803" s="2494" t="str">
        <f t="shared" si="24"/>
        <v/>
      </c>
      <c r="AU803" s="2494" t="str">
        <f t="shared" si="25"/>
        <v/>
      </c>
      <c r="AV803" s="2494" t="str">
        <f t="shared" si="26"/>
        <v/>
      </c>
      <c r="AW803" s="2494" t="str">
        <f t="shared" si="27"/>
        <v/>
      </c>
      <c r="AX803" s="2494" t="str">
        <f t="shared" si="28"/>
        <v/>
      </c>
      <c r="AY803" s="2494" t="str">
        <f t="shared" si="29"/>
        <v/>
      </c>
      <c r="AZ803" s="2494" t="str">
        <f t="shared" si="30"/>
        <v/>
      </c>
      <c r="BA803" s="2494" t="str">
        <f t="shared" si="31"/>
        <v/>
      </c>
      <c r="BB803" s="2494" t="str">
        <f t="shared" si="32"/>
        <v/>
      </c>
      <c r="BC803" s="2494" t="str">
        <f t="shared" si="33"/>
        <v/>
      </c>
      <c r="BD803" s="2494" t="str">
        <f t="shared" si="34"/>
        <v/>
      </c>
      <c r="BE803" s="2494" t="str">
        <f t="shared" si="35"/>
        <v/>
      </c>
      <c r="BF803" s="2494" t="str">
        <f t="shared" si="36"/>
        <v/>
      </c>
      <c r="BG803" s="2494" t="str">
        <f t="shared" si="37"/>
        <v/>
      </c>
      <c r="BH803" s="2494" t="str">
        <f t="shared" si="38"/>
        <v/>
      </c>
      <c r="BI803" s="2494" t="str">
        <f t="shared" si="39"/>
        <v/>
      </c>
      <c r="BJ803" s="2494" t="str">
        <f t="shared" si="40"/>
        <v/>
      </c>
      <c r="BK803" s="2494" t="str">
        <f t="shared" si="41"/>
        <v/>
      </c>
      <c r="BL803" s="2494" t="str">
        <f t="shared" si="42"/>
        <v/>
      </c>
      <c r="BM803" s="2494" t="str">
        <f t="shared" si="43"/>
        <v/>
      </c>
      <c r="BN803" s="2494" t="str">
        <f t="shared" si="44"/>
        <v/>
      </c>
      <c r="BO803" s="2494" t="str">
        <f t="shared" si="45"/>
        <v/>
      </c>
      <c r="BP803" s="2494" t="str">
        <f t="shared" si="46"/>
        <v/>
      </c>
      <c r="BQ803" s="2494" t="str">
        <f t="shared" si="47"/>
        <v/>
      </c>
      <c r="BR803" s="2494" t="str">
        <f t="shared" si="48"/>
        <v/>
      </c>
      <c r="BS803" s="2494" t="str">
        <f t="shared" si="49"/>
        <v/>
      </c>
      <c r="BT803" s="2494" t="str">
        <f t="shared" si="50"/>
        <v/>
      </c>
      <c r="BU803" s="2494" t="str">
        <f t="shared" si="51"/>
        <v/>
      </c>
      <c r="BV803" s="2494" t="str">
        <f t="shared" si="52"/>
        <v/>
      </c>
      <c r="BW803" s="2494" t="str">
        <f t="shared" si="53"/>
        <v/>
      </c>
      <c r="BX803" s="2494" t="str">
        <f t="shared" si="54"/>
        <v/>
      </c>
      <c r="BY803" s="2494" t="str">
        <f t="shared" si="55"/>
        <v/>
      </c>
      <c r="BZ803" s="2494" t="str">
        <f t="shared" si="56"/>
        <v/>
      </c>
      <c r="CA803" s="2494" t="str">
        <f t="shared" si="57"/>
        <v/>
      </c>
      <c r="CB803" s="2494" t="str">
        <f t="shared" si="58"/>
        <v/>
      </c>
      <c r="CC803" s="2494" t="str">
        <f t="shared" si="59"/>
        <v/>
      </c>
      <c r="CD803" s="2494" t="str">
        <f t="shared" si="60"/>
        <v/>
      </c>
      <c r="CE803" s="2494" t="str">
        <f t="shared" si="61"/>
        <v/>
      </c>
      <c r="CF803" s="2494" t="str">
        <f t="shared" si="62"/>
        <v/>
      </c>
      <c r="CG803" s="2494" t="str">
        <f t="shared" si="63"/>
        <v/>
      </c>
      <c r="CH803" s="2494" t="str">
        <f t="shared" si="64"/>
        <v/>
      </c>
      <c r="CI803" s="2494" t="str">
        <f t="shared" si="65"/>
        <v/>
      </c>
      <c r="CJ803" s="2494" t="str">
        <f t="shared" si="66"/>
        <v/>
      </c>
      <c r="CK803" s="2494" t="str">
        <f t="shared" si="67"/>
        <v/>
      </c>
      <c r="CL803" s="2494" t="str">
        <f t="shared" si="68"/>
        <v/>
      </c>
      <c r="CM803" s="2494" t="str">
        <f t="shared" si="69"/>
        <v/>
      </c>
      <c r="CN803" s="2494" t="str">
        <f t="shared" si="70"/>
        <v/>
      </c>
      <c r="CO803" s="2494" t="str">
        <f t="shared" si="71"/>
        <v/>
      </c>
      <c r="CP803" s="2494" t="str">
        <f t="shared" si="72"/>
        <v/>
      </c>
      <c r="CQ803" s="2494" t="str">
        <f t="shared" si="73"/>
        <v/>
      </c>
      <c r="CR803" s="2494" t="str">
        <f t="shared" si="74"/>
        <v/>
      </c>
      <c r="CS803" s="2494" t="str">
        <f t="shared" si="75"/>
        <v/>
      </c>
      <c r="CT803" s="2494" t="str">
        <f t="shared" si="76"/>
        <v/>
      </c>
      <c r="CU803" s="2494" t="str">
        <f t="shared" si="77"/>
        <v/>
      </c>
      <c r="CV803" s="2494" t="str">
        <f t="shared" si="78"/>
        <v/>
      </c>
      <c r="CW803" s="2494" t="str">
        <f t="shared" si="79"/>
        <v/>
      </c>
      <c r="CX803" s="2494" t="str">
        <f t="shared" si="80"/>
        <v/>
      </c>
      <c r="CY803" s="2494" t="str">
        <f t="shared" si="81"/>
        <v/>
      </c>
      <c r="CZ803" s="2494" t="str">
        <f t="shared" si="82"/>
        <v/>
      </c>
      <c r="DA803" s="2494" t="str">
        <f t="shared" si="83"/>
        <v/>
      </c>
      <c r="DB803" s="2494" t="str">
        <f t="shared" si="84"/>
        <v/>
      </c>
      <c r="DC803" s="2494" t="str">
        <f t="shared" si="85"/>
        <v/>
      </c>
      <c r="DD803" s="2494" t="str">
        <f t="shared" si="86"/>
        <v/>
      </c>
      <c r="DE803" s="2494" t="str">
        <f t="shared" si="87"/>
        <v/>
      </c>
      <c r="DF803" s="2494" t="str">
        <f t="shared" si="88"/>
        <v/>
      </c>
      <c r="DG803" s="2494" t="str">
        <f t="shared" si="89"/>
        <v/>
      </c>
      <c r="DH803" s="2494" t="str">
        <f t="shared" si="90"/>
        <v/>
      </c>
      <c r="DI803" s="2494" t="str">
        <f t="shared" si="91"/>
        <v/>
      </c>
      <c r="DJ803" s="2494" t="str">
        <f t="shared" si="92"/>
        <v/>
      </c>
      <c r="DK803" s="2494" t="str">
        <f t="shared" si="93"/>
        <v/>
      </c>
      <c r="DL803" s="2494" t="str">
        <f t="shared" si="94"/>
        <v/>
      </c>
      <c r="DM803" s="2494" t="str">
        <f t="shared" si="95"/>
        <v/>
      </c>
      <c r="DN803" s="2494" t="str">
        <f t="shared" si="96"/>
        <v/>
      </c>
      <c r="DO803" s="2494" t="str">
        <f t="shared" si="97"/>
        <v/>
      </c>
      <c r="DP803" s="2494" t="str">
        <f t="shared" si="98"/>
        <v/>
      </c>
      <c r="DQ803" s="2494" t="str">
        <f t="shared" si="99"/>
        <v/>
      </c>
      <c r="DR803" s="2494" t="str">
        <f t="shared" si="100"/>
        <v/>
      </c>
      <c r="DS803" s="2494" t="str">
        <f t="shared" si="101"/>
        <v/>
      </c>
      <c r="DT803" s="2494" t="str">
        <f t="shared" si="102"/>
        <v/>
      </c>
      <c r="DU803" s="2494" t="str">
        <f t="shared" si="103"/>
        <v/>
      </c>
      <c r="DV803" s="2494" t="str">
        <f t="shared" si="104"/>
        <v/>
      </c>
      <c r="DW803" s="2494" t="str">
        <f t="shared" si="105"/>
        <v/>
      </c>
      <c r="DX803" s="2494" t="str">
        <f t="shared" si="106"/>
        <v/>
      </c>
      <c r="DY803" s="2494" t="str">
        <f t="shared" si="107"/>
        <v/>
      </c>
      <c r="DZ803" s="2494" t="str">
        <f t="shared" si="108"/>
        <v/>
      </c>
      <c r="EA803" s="2494" t="str">
        <f t="shared" si="109"/>
        <v/>
      </c>
      <c r="EB803" s="2494" t="str">
        <f t="shared" si="110"/>
        <v/>
      </c>
      <c r="EC803" s="2494" t="str">
        <f t="shared" si="111"/>
        <v/>
      </c>
      <c r="ED803" s="2494" t="str">
        <f t="shared" si="112"/>
        <v/>
      </c>
      <c r="EE803" s="2494" t="str">
        <f t="shared" si="113"/>
        <v/>
      </c>
      <c r="EF803" s="2494" t="str">
        <f t="shared" si="114"/>
        <v/>
      </c>
      <c r="EG803" s="2494" t="str">
        <f t="shared" si="115"/>
        <v/>
      </c>
      <c r="EH803" s="2494" t="str">
        <f t="shared" si="116"/>
        <v/>
      </c>
      <c r="EI803" s="2494" t="str">
        <f t="shared" si="117"/>
        <v/>
      </c>
      <c r="EJ803" s="2494" t="str">
        <f t="shared" si="118"/>
        <v/>
      </c>
      <c r="EK803" s="2494" t="str">
        <f t="shared" si="119"/>
        <v/>
      </c>
      <c r="EL803" s="2494" t="str">
        <f t="shared" si="120"/>
        <v/>
      </c>
      <c r="EM803" s="2494" t="str">
        <f t="shared" si="121"/>
        <v/>
      </c>
      <c r="EN803" s="2494" t="str">
        <f t="shared" si="122"/>
        <v/>
      </c>
      <c r="EO803" s="2494" t="str">
        <f t="shared" si="123"/>
        <v/>
      </c>
      <c r="EP803" s="2494" t="str">
        <f t="shared" si="124"/>
        <v/>
      </c>
      <c r="EQ803" s="2494" t="str">
        <f t="shared" si="125"/>
        <v/>
      </c>
      <c r="ER803" s="2494" t="str">
        <f t="shared" si="126"/>
        <v/>
      </c>
      <c r="ES803" s="2494" t="str">
        <f t="shared" si="127"/>
        <v/>
      </c>
      <c r="ET803" s="2494" t="str">
        <f t="shared" si="128"/>
        <v/>
      </c>
      <c r="EU803" s="2494" t="str">
        <f t="shared" si="129"/>
        <v/>
      </c>
      <c r="EV803" s="2494" t="str">
        <f t="shared" si="130"/>
        <v/>
      </c>
      <c r="EW803" s="2494" t="str">
        <f t="shared" si="131"/>
        <v/>
      </c>
      <c r="EX803" s="2494" t="str">
        <f t="shared" si="132"/>
        <v/>
      </c>
      <c r="EY803" s="2494" t="str">
        <f t="shared" si="133"/>
        <v/>
      </c>
      <c r="EZ803" s="2494" t="str">
        <f t="shared" si="134"/>
        <v/>
      </c>
      <c r="FA803" s="2494" t="str">
        <f t="shared" si="135"/>
        <v/>
      </c>
      <c r="FB803" s="2494" t="str">
        <f t="shared" si="136"/>
        <v/>
      </c>
      <c r="FC803" s="2494" t="str">
        <f t="shared" si="137"/>
        <v/>
      </c>
      <c r="FD803" s="2494" t="str">
        <f t="shared" si="138"/>
        <v/>
      </c>
      <c r="FE803" s="2494" t="str">
        <f t="shared" si="139"/>
        <v/>
      </c>
      <c r="FF803" s="2494" t="str">
        <f t="shared" si="140"/>
        <v/>
      </c>
      <c r="FG803" s="2494" t="str">
        <f t="shared" si="141"/>
        <v/>
      </c>
      <c r="FH803" s="2494" t="str">
        <f t="shared" si="142"/>
        <v/>
      </c>
      <c r="FI803" s="2494" t="str">
        <f t="shared" si="143"/>
        <v/>
      </c>
      <c r="FJ803" s="2494" t="str">
        <f t="shared" si="144"/>
        <v/>
      </c>
      <c r="FK803" s="2494" t="str">
        <f t="shared" si="145"/>
        <v/>
      </c>
      <c r="FL803" s="2494" t="str">
        <f t="shared" si="146"/>
        <v/>
      </c>
      <c r="FM803" s="2494" t="str">
        <f t="shared" si="147"/>
        <v/>
      </c>
      <c r="FN803" s="2494" t="str">
        <f t="shared" si="148"/>
        <v/>
      </c>
      <c r="FO803" s="2494" t="str">
        <f t="shared" si="149"/>
        <v/>
      </c>
      <c r="FP803" s="2494" t="str">
        <f t="shared" si="150"/>
        <v/>
      </c>
      <c r="FQ803" s="2494" t="str">
        <f t="shared" si="151"/>
        <v/>
      </c>
      <c r="FR803" s="2494" t="str">
        <f t="shared" si="152"/>
        <v/>
      </c>
      <c r="FS803" s="2494" t="str">
        <f t="shared" si="153"/>
        <v/>
      </c>
      <c r="FT803" s="2494" t="str">
        <f t="shared" si="154"/>
        <v/>
      </c>
      <c r="FU803" s="2494" t="str">
        <f t="shared" si="155"/>
        <v/>
      </c>
      <c r="FV803" s="2494" t="str">
        <f t="shared" si="156"/>
        <v/>
      </c>
      <c r="FW803" s="2494" t="str">
        <f t="shared" si="157"/>
        <v/>
      </c>
      <c r="FX803" s="2494" t="str">
        <f t="shared" si="158"/>
        <v/>
      </c>
      <c r="FY803" s="2494" t="str">
        <f t="shared" si="159"/>
        <v/>
      </c>
      <c r="FZ803" s="2494" t="str">
        <f t="shared" si="160"/>
        <v/>
      </c>
      <c r="GA803" s="2494" t="str">
        <f t="shared" si="161"/>
        <v/>
      </c>
      <c r="GB803" s="2494" t="str">
        <f t="shared" si="162"/>
        <v/>
      </c>
      <c r="GC803" s="2494" t="str">
        <f t="shared" si="163"/>
        <v/>
      </c>
      <c r="GD803" s="2494" t="str">
        <f t="shared" si="164"/>
        <v/>
      </c>
      <c r="GE803" s="2494" t="str">
        <f t="shared" si="165"/>
        <v/>
      </c>
      <c r="GF803" s="2494" t="str">
        <f t="shared" si="166"/>
        <v/>
      </c>
      <c r="GG803" s="2494" t="str">
        <f t="shared" si="167"/>
        <v/>
      </c>
      <c r="GH803" s="2494" t="str">
        <f t="shared" si="168"/>
        <v/>
      </c>
      <c r="GI803" s="2494" t="str">
        <f t="shared" si="169"/>
        <v/>
      </c>
      <c r="GJ803" s="2494" t="str">
        <f t="shared" si="170"/>
        <v/>
      </c>
      <c r="GK803" s="2494" t="str">
        <f t="shared" si="171"/>
        <v/>
      </c>
      <c r="GL803" s="2494" t="str">
        <f t="shared" si="172"/>
        <v/>
      </c>
      <c r="GM803" s="2494" t="str">
        <f t="shared" si="173"/>
        <v/>
      </c>
      <c r="GN803" s="2494" t="str">
        <f t="shared" si="174"/>
        <v/>
      </c>
      <c r="GO803" s="2494" t="str">
        <f t="shared" si="175"/>
        <v/>
      </c>
      <c r="GP803" s="2494" t="str">
        <f t="shared" si="176"/>
        <v/>
      </c>
      <c r="GQ803" s="2494" t="str">
        <f t="shared" si="177"/>
        <v/>
      </c>
      <c r="GR803" s="2494" t="str">
        <f t="shared" si="178"/>
        <v/>
      </c>
      <c r="GS803" s="2494" t="str">
        <f t="shared" si="179"/>
        <v/>
      </c>
      <c r="GT803" s="2494" t="str">
        <f t="shared" si="180"/>
        <v/>
      </c>
      <c r="GU803" s="2494" t="str">
        <f t="shared" si="181"/>
        <v/>
      </c>
      <c r="GV803" s="2494" t="str">
        <f t="shared" si="182"/>
        <v/>
      </c>
      <c r="GW803" s="2494" t="str">
        <f t="shared" si="183"/>
        <v/>
      </c>
      <c r="GX803" s="2494" t="str">
        <f t="shared" si="184"/>
        <v/>
      </c>
      <c r="GY803" s="2494" t="str">
        <f t="shared" si="185"/>
        <v/>
      </c>
      <c r="GZ803" s="2494" t="str">
        <f t="shared" si="186"/>
        <v/>
      </c>
      <c r="HA803" s="2494" t="str">
        <f t="shared" si="187"/>
        <v/>
      </c>
      <c r="HB803" s="2494" t="str">
        <f t="shared" si="188"/>
        <v/>
      </c>
      <c r="HC803" s="2494" t="str">
        <f t="shared" si="189"/>
        <v/>
      </c>
      <c r="HD803" s="2494" t="str">
        <f t="shared" si="190"/>
        <v/>
      </c>
      <c r="HE803" s="2494" t="str">
        <f t="shared" si="191"/>
        <v/>
      </c>
      <c r="HF803" s="2494" t="str">
        <f t="shared" si="192"/>
        <v/>
      </c>
      <c r="HG803" s="2494" t="str">
        <f t="shared" si="193"/>
        <v/>
      </c>
      <c r="HH803" s="2494" t="str">
        <f t="shared" si="194"/>
        <v/>
      </c>
      <c r="HI803" s="2494" t="str">
        <f t="shared" si="195"/>
        <v/>
      </c>
      <c r="HJ803" s="2494" t="str">
        <f t="shared" si="196"/>
        <v/>
      </c>
      <c r="HK803" s="2494" t="str">
        <f t="shared" si="197"/>
        <v/>
      </c>
      <c r="HL803" s="2494" t="str">
        <f t="shared" si="198"/>
        <v/>
      </c>
      <c r="HM803" s="2494" t="str">
        <f t="shared" si="199"/>
        <v/>
      </c>
      <c r="HN803" s="2494" t="str">
        <f t="shared" si="200"/>
        <v/>
      </c>
      <c r="HO803" s="2494" t="str">
        <f t="shared" si="201"/>
        <v/>
      </c>
      <c r="HP803" s="2494" t="str">
        <f t="shared" si="202"/>
        <v/>
      </c>
      <c r="HQ803" s="2494" t="str">
        <f t="shared" si="203"/>
        <v/>
      </c>
      <c r="HR803" s="2494" t="str">
        <f t="shared" si="204"/>
        <v/>
      </c>
      <c r="HS803" s="2494" t="str">
        <f t="shared" si="205"/>
        <v/>
      </c>
      <c r="HT803" s="2494" t="str">
        <f t="shared" si="206"/>
        <v/>
      </c>
      <c r="HU803" s="2494" t="str">
        <f t="shared" si="207"/>
        <v/>
      </c>
      <c r="HV803" s="2494" t="str">
        <f t="shared" si="208"/>
        <v/>
      </c>
      <c r="HW803" s="2494" t="str">
        <f t="shared" si="209"/>
        <v/>
      </c>
      <c r="HX803" s="2494" t="str">
        <f t="shared" si="210"/>
        <v/>
      </c>
      <c r="HY803" s="2494" t="str">
        <f t="shared" si="211"/>
        <v/>
      </c>
      <c r="HZ803" s="2672" t="str">
        <f t="shared" si="212"/>
        <v/>
      </c>
      <c r="IA803" s="2672" t="str">
        <f t="shared" si="213"/>
        <v/>
      </c>
      <c r="IB803" s="2672" t="str">
        <f t="shared" si="214"/>
        <v/>
      </c>
      <c r="IC803" s="2672" t="str">
        <f t="shared" si="215"/>
        <v/>
      </c>
      <c r="ID803" s="2672" t="str">
        <f t="shared" si="216"/>
        <v/>
      </c>
      <c r="IE803" s="2672" t="str">
        <f t="shared" si="217"/>
        <v/>
      </c>
      <c r="IF803" s="2672" t="str">
        <f t="shared" si="218"/>
        <v/>
      </c>
      <c r="IG803" s="2672" t="str">
        <f t="shared" si="219"/>
        <v/>
      </c>
      <c r="IH803" s="2672" t="str">
        <f t="shared" si="220"/>
        <v/>
      </c>
      <c r="II803" s="2672" t="str">
        <f t="shared" si="221"/>
        <v/>
      </c>
      <c r="IJ803" s="2672" t="str">
        <f t="shared" si="222"/>
        <v/>
      </c>
      <c r="IK803" s="2672" t="str">
        <f t="shared" si="223"/>
        <v/>
      </c>
      <c r="IL803" s="2672" t="str">
        <f t="shared" si="224"/>
        <v/>
      </c>
      <c r="IM803" s="2672" t="str">
        <f t="shared" si="225"/>
        <v/>
      </c>
      <c r="IN803" s="2672" t="str">
        <f t="shared" si="226"/>
        <v/>
      </c>
      <c r="IO803" s="2672" t="str">
        <f t="shared" si="227"/>
        <v/>
      </c>
      <c r="IP803" s="2672" t="str">
        <f t="shared" si="228"/>
        <v/>
      </c>
      <c r="IQ803" s="2672" t="str">
        <f t="shared" si="229"/>
        <v/>
      </c>
      <c r="IR803" s="2672" t="str">
        <f t="shared" si="230"/>
        <v/>
      </c>
      <c r="IS803" s="2672" t="str">
        <f t="shared" si="231"/>
        <v/>
      </c>
      <c r="IT803" s="2672" t="str">
        <f t="shared" si="232"/>
        <v/>
      </c>
      <c r="IU803" s="2672" t="str">
        <f t="shared" si="233"/>
        <v/>
      </c>
      <c r="IV803" s="2672" t="str">
        <f t="shared" si="234"/>
        <v/>
      </c>
      <c r="IW803" s="2672" t="str">
        <f t="shared" si="235"/>
        <v/>
      </c>
      <c r="IX803" s="2672" t="str">
        <f t="shared" si="236"/>
        <v/>
      </c>
      <c r="IY803" s="2672" t="str">
        <f t="shared" si="237"/>
        <v/>
      </c>
      <c r="IZ803" s="2672" t="str">
        <f t="shared" si="238"/>
        <v/>
      </c>
      <c r="JA803" s="2672" t="str">
        <f t="shared" si="239"/>
        <v/>
      </c>
      <c r="JB803" s="2672" t="str">
        <f t="shared" si="240"/>
        <v/>
      </c>
      <c r="JC803" s="2672" t="str">
        <f t="shared" si="241"/>
        <v/>
      </c>
      <c r="JD803" s="2672" t="str">
        <f t="shared" si="242"/>
        <v/>
      </c>
      <c r="JE803" s="2672" t="str">
        <f t="shared" si="243"/>
        <v/>
      </c>
      <c r="JF803" s="2672" t="str">
        <f t="shared" si="244"/>
        <v/>
      </c>
      <c r="JG803" s="2672" t="str">
        <f t="shared" si="245"/>
        <v/>
      </c>
      <c r="JH803" s="2672" t="str">
        <f t="shared" si="246"/>
        <v/>
      </c>
      <c r="JI803" s="2672" t="str">
        <f t="shared" si="247"/>
        <v/>
      </c>
      <c r="JJ803" s="2672" t="str">
        <f t="shared" si="248"/>
        <v/>
      </c>
      <c r="JK803" s="2672" t="str">
        <f t="shared" si="249"/>
        <v/>
      </c>
      <c r="JL803" s="2672" t="str">
        <f t="shared" si="250"/>
        <v/>
      </c>
      <c r="JM803" s="2672" t="str">
        <f t="shared" si="251"/>
        <v/>
      </c>
      <c r="JN803" s="2672" t="str">
        <f t="shared" si="252"/>
        <v/>
      </c>
      <c r="JO803" s="2672" t="str">
        <f t="shared" si="253"/>
        <v/>
      </c>
      <c r="JP803" s="2672" t="str">
        <f t="shared" si="254"/>
        <v/>
      </c>
      <c r="JQ803" s="2672" t="str">
        <f t="shared" si="255"/>
        <v/>
      </c>
      <c r="JR803" s="2672" t="str">
        <f t="shared" si="256"/>
        <v/>
      </c>
      <c r="JS803" s="2672" t="str">
        <f t="shared" si="257"/>
        <v/>
      </c>
      <c r="JT803" s="2672" t="str">
        <f t="shared" si="258"/>
        <v/>
      </c>
      <c r="JU803" s="2672" t="str">
        <f t="shared" si="259"/>
        <v/>
      </c>
      <c r="JV803" s="2672" t="str">
        <f t="shared" si="260"/>
        <v/>
      </c>
      <c r="JW803" s="2672" t="str">
        <f t="shared" si="261"/>
        <v/>
      </c>
      <c r="JX803" s="2672" t="str">
        <f t="shared" si="262"/>
        <v/>
      </c>
      <c r="JY803" s="2672" t="str">
        <f t="shared" si="263"/>
        <v/>
      </c>
      <c r="JZ803" s="2672" t="str">
        <f t="shared" si="264"/>
        <v/>
      </c>
      <c r="KA803" s="2672" t="str">
        <f t="shared" si="265"/>
        <v/>
      </c>
      <c r="KB803" s="2672" t="str">
        <f t="shared" si="266"/>
        <v/>
      </c>
      <c r="KC803" s="2672" t="str">
        <f t="shared" si="267"/>
        <v/>
      </c>
      <c r="KD803" s="2672" t="str">
        <f t="shared" si="268"/>
        <v/>
      </c>
      <c r="KE803" s="2672" t="str">
        <f t="shared" si="269"/>
        <v/>
      </c>
      <c r="KF803" s="2672" t="str">
        <f t="shared" si="270"/>
        <v/>
      </c>
      <c r="KG803" s="2672" t="str">
        <f t="shared" si="271"/>
        <v/>
      </c>
      <c r="KH803" s="2672" t="str">
        <f t="shared" si="272"/>
        <v/>
      </c>
      <c r="KI803" s="2672" t="str">
        <f t="shared" si="273"/>
        <v/>
      </c>
      <c r="KJ803" s="2672" t="str">
        <f t="shared" si="274"/>
        <v/>
      </c>
      <c r="KK803" s="2672" t="str">
        <f t="shared" si="275"/>
        <v/>
      </c>
      <c r="KL803" s="2672" t="str">
        <f t="shared" si="276"/>
        <v/>
      </c>
      <c r="KM803" s="2672" t="str">
        <f t="shared" si="277"/>
        <v/>
      </c>
      <c r="KN803" s="2672" t="str">
        <f t="shared" si="278"/>
        <v/>
      </c>
      <c r="KO803" s="2672" t="str">
        <f t="shared" si="279"/>
        <v/>
      </c>
      <c r="KP803" s="2672" t="str">
        <f t="shared" si="280"/>
        <v/>
      </c>
      <c r="KQ803" s="2672" t="str">
        <f t="shared" si="281"/>
        <v/>
      </c>
      <c r="KR803" s="2672" t="str">
        <f t="shared" si="282"/>
        <v/>
      </c>
      <c r="KS803" s="2672" t="str">
        <f t="shared" si="283"/>
        <v/>
      </c>
      <c r="KT803" s="2672" t="str">
        <f t="shared" si="284"/>
        <v/>
      </c>
      <c r="KU803" s="2672" t="str">
        <f t="shared" si="285"/>
        <v/>
      </c>
      <c r="KV803" s="2672" t="str">
        <f t="shared" si="286"/>
        <v/>
      </c>
      <c r="KW803" s="2672" t="str">
        <f t="shared" si="287"/>
        <v/>
      </c>
      <c r="KX803" s="2672" t="str">
        <f t="shared" si="288"/>
        <v/>
      </c>
      <c r="KY803" s="2672" t="str">
        <f t="shared" si="289"/>
        <v/>
      </c>
      <c r="KZ803" s="2672" t="str">
        <f t="shared" si="290"/>
        <v/>
      </c>
      <c r="LA803" s="2672" t="str">
        <f t="shared" si="291"/>
        <v/>
      </c>
      <c r="LB803" s="2672" t="str">
        <f t="shared" si="292"/>
        <v/>
      </c>
      <c r="LC803" s="2672" t="str">
        <f t="shared" si="293"/>
        <v/>
      </c>
      <c r="LD803" s="2672" t="str">
        <f t="shared" si="294"/>
        <v/>
      </c>
      <c r="LE803" s="2672" t="str">
        <f t="shared" si="295"/>
        <v/>
      </c>
      <c r="LF803" s="2672" t="str">
        <f t="shared" si="296"/>
        <v/>
      </c>
      <c r="LG803" s="2672" t="str">
        <f t="shared" si="297"/>
        <v/>
      </c>
      <c r="LH803" s="2672" t="str">
        <f t="shared" si="298"/>
        <v/>
      </c>
      <c r="LI803" s="2672" t="str">
        <f t="shared" si="299"/>
        <v/>
      </c>
      <c r="LJ803" s="2672" t="str">
        <f t="shared" si="300"/>
        <v/>
      </c>
      <c r="LK803" s="2672" t="str">
        <f t="shared" si="301"/>
        <v/>
      </c>
      <c r="LL803" s="2672" t="str">
        <f t="shared" si="302"/>
        <v/>
      </c>
      <c r="LM803" s="2672" t="str">
        <f t="shared" si="303"/>
        <v/>
      </c>
      <c r="LN803" s="2672" t="str">
        <f t="shared" si="304"/>
        <v/>
      </c>
      <c r="LO803" s="2672" t="str">
        <f t="shared" si="305"/>
        <v/>
      </c>
      <c r="LP803" s="2672" t="str">
        <f t="shared" si="306"/>
        <v/>
      </c>
      <c r="LQ803" s="2613" t="str">
        <f t="shared" si="307"/>
        <v/>
      </c>
      <c r="LR803" s="2613" t="str">
        <f t="shared" si="308"/>
        <v/>
      </c>
      <c r="LS803" s="2613" t="str">
        <f t="shared" si="309"/>
        <v/>
      </c>
      <c r="LT803" s="2613" t="str">
        <f t="shared" si="310"/>
        <v/>
      </c>
      <c r="LU803" s="2613" t="str">
        <f t="shared" si="311"/>
        <v/>
      </c>
      <c r="LV803" s="2494" t="str">
        <f t="shared" si="312"/>
        <v/>
      </c>
      <c r="LW803" s="2494" t="str">
        <f t="shared" si="313"/>
        <v/>
      </c>
      <c r="LX803" s="2494" t="str">
        <f t="shared" si="314"/>
        <v/>
      </c>
      <c r="LY803" s="2494" t="str">
        <f t="shared" si="315"/>
        <v/>
      </c>
      <c r="LZ803" s="2494" t="str">
        <f t="shared" si="316"/>
        <v/>
      </c>
      <c r="MA803" s="2494" t="str">
        <f t="shared" si="317"/>
        <v/>
      </c>
      <c r="MB803" s="2494" t="str">
        <f t="shared" si="318"/>
        <v/>
      </c>
      <c r="MC803" s="2494" t="str">
        <f t="shared" si="319"/>
        <v/>
      </c>
      <c r="MD803" s="2494" t="str">
        <f t="shared" si="320"/>
        <v/>
      </c>
      <c r="ME803" s="2494" t="str">
        <f t="shared" si="321"/>
        <v/>
      </c>
      <c r="MF803" s="2494" t="str">
        <f t="shared" si="322"/>
        <v/>
      </c>
      <c r="MG803" s="2494" t="str">
        <f t="shared" si="323"/>
        <v/>
      </c>
      <c r="MH803" s="2494" t="str">
        <f t="shared" si="324"/>
        <v/>
      </c>
      <c r="MI803" s="2494" t="str">
        <f t="shared" si="325"/>
        <v/>
      </c>
      <c r="MJ803" s="2494" t="str">
        <f t="shared" si="326"/>
        <v/>
      </c>
      <c r="MK803" s="2494" t="str">
        <f t="shared" si="327"/>
        <v/>
      </c>
      <c r="ML803" s="2494" t="str">
        <f t="shared" si="328"/>
        <v/>
      </c>
      <c r="MM803" s="2494" t="str">
        <f t="shared" si="329"/>
        <v/>
      </c>
      <c r="MN803" s="2494" t="str">
        <f t="shared" si="330"/>
        <v/>
      </c>
      <c r="MO803" s="2494" t="str">
        <f t="shared" si="331"/>
        <v/>
      </c>
      <c r="MP803" s="2613">
        <f t="shared" si="338"/>
        <v>0</v>
      </c>
      <c r="MQ803" s="2613">
        <f t="shared" si="339"/>
        <v>0</v>
      </c>
      <c r="MR803" s="2613">
        <f t="shared" si="340"/>
        <v>0</v>
      </c>
      <c r="MS803" s="2613">
        <f t="shared" si="341"/>
        <v>0</v>
      </c>
      <c r="MT803" s="2613">
        <f t="shared" si="342"/>
        <v>0</v>
      </c>
      <c r="MU803" s="2613">
        <f t="shared" si="343"/>
        <v>0</v>
      </c>
      <c r="MV803" s="2613">
        <f t="shared" si="344"/>
        <v>0</v>
      </c>
      <c r="MW803" s="2613">
        <f t="shared" si="345"/>
        <v>0</v>
      </c>
      <c r="MX803" s="2613">
        <f t="shared" si="346"/>
        <v>0</v>
      </c>
      <c r="MY803" s="2613">
        <f t="shared" si="347"/>
        <v>0</v>
      </c>
      <c r="MZ803" s="2613">
        <f t="shared" si="332"/>
        <v>0</v>
      </c>
      <c r="NA803" s="2613">
        <f t="shared" si="333"/>
        <v>0</v>
      </c>
      <c r="NB803" s="2613">
        <f t="shared" si="334"/>
        <v>0</v>
      </c>
      <c r="NC803" s="2613">
        <f t="shared" si="335"/>
        <v>0</v>
      </c>
      <c r="ND803" s="2613">
        <f t="shared" si="336"/>
        <v>0</v>
      </c>
    </row>
    <row r="804" spans="1:368" ht="13.8" customHeight="1">
      <c r="A804" s="2652" t="str">
        <f t="shared" si="337"/>
        <v/>
      </c>
      <c r="B804" s="2664">
        <f>'Part VI-Revenues &amp; Expenses'!B35</f>
        <v>0</v>
      </c>
      <c r="C804" s="2665">
        <f>'Part VI-Revenues &amp; Expenses'!C35</f>
        <v>0</v>
      </c>
      <c r="D804" s="2666">
        <f>'Part VI-Revenues &amp; Expenses'!D35</f>
        <v>0</v>
      </c>
      <c r="E804" s="2667">
        <f>'Part VI-Revenues &amp; Expenses'!E35</f>
        <v>0</v>
      </c>
      <c r="F804" s="2667">
        <f>'Part VI-Revenues &amp; Expenses'!F35</f>
        <v>0</v>
      </c>
      <c r="G804" s="2667">
        <f>'Part VI-Revenues &amp; Expenses'!G35</f>
        <v>0</v>
      </c>
      <c r="H804" s="2667">
        <f>'Part VI-Revenues &amp; Expenses'!H35</f>
        <v>0</v>
      </c>
      <c r="I804" s="2667">
        <f>'Part VI-Revenues &amp; Expenses'!I35</f>
        <v>0</v>
      </c>
      <c r="J804" s="2667">
        <f>'Part VI-Revenues &amp; Expenses'!J35</f>
        <v>0</v>
      </c>
      <c r="K804" s="2668">
        <f>'Part VI-Revenues &amp; Expenses'!K35</f>
        <v>0</v>
      </c>
      <c r="L804" s="2669">
        <f t="shared" si="0"/>
        <v>0</v>
      </c>
      <c r="M804" s="2669">
        <f t="shared" si="1"/>
        <v>0</v>
      </c>
      <c r="N804" s="2545">
        <f>'Part VI-Revenues &amp; Expenses'!N35</f>
        <v>0</v>
      </c>
      <c r="O804" s="2545">
        <f>'Part VI-Revenues &amp; Expenses'!O35</f>
        <v>0</v>
      </c>
      <c r="P804" s="2545">
        <f>'Part VI-Revenues &amp; Expenses'!P35</f>
        <v>0</v>
      </c>
      <c r="Q804" s="2251">
        <f>'Part VI-Revenues &amp; Expenses'!Q35</f>
        <v>0</v>
      </c>
      <c r="R804" s="2670"/>
      <c r="S804" s="2671"/>
      <c r="T804" s="2607"/>
      <c r="U804" s="2607"/>
      <c r="V804" s="2607"/>
      <c r="W804" s="2607"/>
      <c r="X804" s="2494" t="str">
        <f t="shared" si="2"/>
        <v/>
      </c>
      <c r="Y804" s="2494" t="str">
        <f t="shared" si="3"/>
        <v/>
      </c>
      <c r="Z804" s="2494" t="str">
        <f t="shared" si="4"/>
        <v/>
      </c>
      <c r="AA804" s="2494" t="str">
        <f t="shared" si="5"/>
        <v/>
      </c>
      <c r="AB804" s="2494" t="str">
        <f t="shared" si="6"/>
        <v/>
      </c>
      <c r="AC804" s="2494" t="str">
        <f t="shared" si="7"/>
        <v/>
      </c>
      <c r="AD804" s="2494" t="str">
        <f t="shared" si="8"/>
        <v/>
      </c>
      <c r="AE804" s="2494" t="str">
        <f t="shared" si="9"/>
        <v/>
      </c>
      <c r="AF804" s="2494" t="str">
        <f t="shared" si="10"/>
        <v/>
      </c>
      <c r="AG804" s="2494" t="str">
        <f t="shared" si="11"/>
        <v/>
      </c>
      <c r="AH804" s="2494" t="str">
        <f t="shared" si="12"/>
        <v/>
      </c>
      <c r="AI804" s="2494" t="str">
        <f t="shared" si="13"/>
        <v/>
      </c>
      <c r="AJ804" s="2494" t="str">
        <f t="shared" si="14"/>
        <v/>
      </c>
      <c r="AK804" s="2494" t="str">
        <f t="shared" si="15"/>
        <v/>
      </c>
      <c r="AL804" s="2494" t="str">
        <f t="shared" si="16"/>
        <v/>
      </c>
      <c r="AM804" s="2494" t="str">
        <f t="shared" si="17"/>
        <v/>
      </c>
      <c r="AN804" s="2494" t="str">
        <f t="shared" si="18"/>
        <v/>
      </c>
      <c r="AO804" s="2494" t="str">
        <f t="shared" si="19"/>
        <v/>
      </c>
      <c r="AP804" s="2494" t="str">
        <f t="shared" si="20"/>
        <v/>
      </c>
      <c r="AQ804" s="2494" t="str">
        <f t="shared" si="21"/>
        <v/>
      </c>
      <c r="AR804" s="2494" t="str">
        <f t="shared" si="22"/>
        <v/>
      </c>
      <c r="AS804" s="2494" t="str">
        <f t="shared" si="23"/>
        <v/>
      </c>
      <c r="AT804" s="2494" t="str">
        <f t="shared" si="24"/>
        <v/>
      </c>
      <c r="AU804" s="2494" t="str">
        <f t="shared" si="25"/>
        <v/>
      </c>
      <c r="AV804" s="2494" t="str">
        <f t="shared" si="26"/>
        <v/>
      </c>
      <c r="AW804" s="2494" t="str">
        <f t="shared" si="27"/>
        <v/>
      </c>
      <c r="AX804" s="2494" t="str">
        <f t="shared" si="28"/>
        <v/>
      </c>
      <c r="AY804" s="2494" t="str">
        <f t="shared" si="29"/>
        <v/>
      </c>
      <c r="AZ804" s="2494" t="str">
        <f t="shared" si="30"/>
        <v/>
      </c>
      <c r="BA804" s="2494" t="str">
        <f t="shared" si="31"/>
        <v/>
      </c>
      <c r="BB804" s="2494" t="str">
        <f t="shared" si="32"/>
        <v/>
      </c>
      <c r="BC804" s="2494" t="str">
        <f t="shared" si="33"/>
        <v/>
      </c>
      <c r="BD804" s="2494" t="str">
        <f t="shared" si="34"/>
        <v/>
      </c>
      <c r="BE804" s="2494" t="str">
        <f t="shared" si="35"/>
        <v/>
      </c>
      <c r="BF804" s="2494" t="str">
        <f t="shared" si="36"/>
        <v/>
      </c>
      <c r="BG804" s="2494" t="str">
        <f t="shared" si="37"/>
        <v/>
      </c>
      <c r="BH804" s="2494" t="str">
        <f t="shared" si="38"/>
        <v/>
      </c>
      <c r="BI804" s="2494" t="str">
        <f t="shared" si="39"/>
        <v/>
      </c>
      <c r="BJ804" s="2494" t="str">
        <f t="shared" si="40"/>
        <v/>
      </c>
      <c r="BK804" s="2494" t="str">
        <f t="shared" si="41"/>
        <v/>
      </c>
      <c r="BL804" s="2494" t="str">
        <f t="shared" si="42"/>
        <v/>
      </c>
      <c r="BM804" s="2494" t="str">
        <f t="shared" si="43"/>
        <v/>
      </c>
      <c r="BN804" s="2494" t="str">
        <f t="shared" si="44"/>
        <v/>
      </c>
      <c r="BO804" s="2494" t="str">
        <f t="shared" si="45"/>
        <v/>
      </c>
      <c r="BP804" s="2494" t="str">
        <f t="shared" si="46"/>
        <v/>
      </c>
      <c r="BQ804" s="2494" t="str">
        <f t="shared" si="47"/>
        <v/>
      </c>
      <c r="BR804" s="2494" t="str">
        <f t="shared" si="48"/>
        <v/>
      </c>
      <c r="BS804" s="2494" t="str">
        <f t="shared" si="49"/>
        <v/>
      </c>
      <c r="BT804" s="2494" t="str">
        <f t="shared" si="50"/>
        <v/>
      </c>
      <c r="BU804" s="2494" t="str">
        <f t="shared" si="51"/>
        <v/>
      </c>
      <c r="BV804" s="2494" t="str">
        <f t="shared" si="52"/>
        <v/>
      </c>
      <c r="BW804" s="2494" t="str">
        <f t="shared" si="53"/>
        <v/>
      </c>
      <c r="BX804" s="2494" t="str">
        <f t="shared" si="54"/>
        <v/>
      </c>
      <c r="BY804" s="2494" t="str">
        <f t="shared" si="55"/>
        <v/>
      </c>
      <c r="BZ804" s="2494" t="str">
        <f t="shared" si="56"/>
        <v/>
      </c>
      <c r="CA804" s="2494" t="str">
        <f t="shared" si="57"/>
        <v/>
      </c>
      <c r="CB804" s="2494" t="str">
        <f t="shared" si="58"/>
        <v/>
      </c>
      <c r="CC804" s="2494" t="str">
        <f t="shared" si="59"/>
        <v/>
      </c>
      <c r="CD804" s="2494" t="str">
        <f t="shared" si="60"/>
        <v/>
      </c>
      <c r="CE804" s="2494" t="str">
        <f t="shared" si="61"/>
        <v/>
      </c>
      <c r="CF804" s="2494" t="str">
        <f t="shared" si="62"/>
        <v/>
      </c>
      <c r="CG804" s="2494" t="str">
        <f t="shared" si="63"/>
        <v/>
      </c>
      <c r="CH804" s="2494" t="str">
        <f t="shared" si="64"/>
        <v/>
      </c>
      <c r="CI804" s="2494" t="str">
        <f t="shared" si="65"/>
        <v/>
      </c>
      <c r="CJ804" s="2494" t="str">
        <f t="shared" si="66"/>
        <v/>
      </c>
      <c r="CK804" s="2494" t="str">
        <f t="shared" si="67"/>
        <v/>
      </c>
      <c r="CL804" s="2494" t="str">
        <f t="shared" si="68"/>
        <v/>
      </c>
      <c r="CM804" s="2494" t="str">
        <f t="shared" si="69"/>
        <v/>
      </c>
      <c r="CN804" s="2494" t="str">
        <f t="shared" si="70"/>
        <v/>
      </c>
      <c r="CO804" s="2494" t="str">
        <f t="shared" si="71"/>
        <v/>
      </c>
      <c r="CP804" s="2494" t="str">
        <f t="shared" si="72"/>
        <v/>
      </c>
      <c r="CQ804" s="2494" t="str">
        <f t="shared" si="73"/>
        <v/>
      </c>
      <c r="CR804" s="2494" t="str">
        <f t="shared" si="74"/>
        <v/>
      </c>
      <c r="CS804" s="2494" t="str">
        <f t="shared" si="75"/>
        <v/>
      </c>
      <c r="CT804" s="2494" t="str">
        <f t="shared" si="76"/>
        <v/>
      </c>
      <c r="CU804" s="2494" t="str">
        <f t="shared" si="77"/>
        <v/>
      </c>
      <c r="CV804" s="2494" t="str">
        <f t="shared" si="78"/>
        <v/>
      </c>
      <c r="CW804" s="2494" t="str">
        <f t="shared" si="79"/>
        <v/>
      </c>
      <c r="CX804" s="2494" t="str">
        <f t="shared" si="80"/>
        <v/>
      </c>
      <c r="CY804" s="2494" t="str">
        <f t="shared" si="81"/>
        <v/>
      </c>
      <c r="CZ804" s="2494" t="str">
        <f t="shared" si="82"/>
        <v/>
      </c>
      <c r="DA804" s="2494" t="str">
        <f t="shared" si="83"/>
        <v/>
      </c>
      <c r="DB804" s="2494" t="str">
        <f t="shared" si="84"/>
        <v/>
      </c>
      <c r="DC804" s="2494" t="str">
        <f t="shared" si="85"/>
        <v/>
      </c>
      <c r="DD804" s="2494" t="str">
        <f t="shared" si="86"/>
        <v/>
      </c>
      <c r="DE804" s="2494" t="str">
        <f t="shared" si="87"/>
        <v/>
      </c>
      <c r="DF804" s="2494" t="str">
        <f t="shared" si="88"/>
        <v/>
      </c>
      <c r="DG804" s="2494" t="str">
        <f t="shared" si="89"/>
        <v/>
      </c>
      <c r="DH804" s="2494" t="str">
        <f t="shared" si="90"/>
        <v/>
      </c>
      <c r="DI804" s="2494" t="str">
        <f t="shared" si="91"/>
        <v/>
      </c>
      <c r="DJ804" s="2494" t="str">
        <f t="shared" si="92"/>
        <v/>
      </c>
      <c r="DK804" s="2494" t="str">
        <f t="shared" si="93"/>
        <v/>
      </c>
      <c r="DL804" s="2494" t="str">
        <f t="shared" si="94"/>
        <v/>
      </c>
      <c r="DM804" s="2494" t="str">
        <f t="shared" si="95"/>
        <v/>
      </c>
      <c r="DN804" s="2494" t="str">
        <f t="shared" si="96"/>
        <v/>
      </c>
      <c r="DO804" s="2494" t="str">
        <f t="shared" si="97"/>
        <v/>
      </c>
      <c r="DP804" s="2494" t="str">
        <f t="shared" si="98"/>
        <v/>
      </c>
      <c r="DQ804" s="2494" t="str">
        <f t="shared" si="99"/>
        <v/>
      </c>
      <c r="DR804" s="2494" t="str">
        <f t="shared" si="100"/>
        <v/>
      </c>
      <c r="DS804" s="2494" t="str">
        <f t="shared" si="101"/>
        <v/>
      </c>
      <c r="DT804" s="2494" t="str">
        <f t="shared" si="102"/>
        <v/>
      </c>
      <c r="DU804" s="2494" t="str">
        <f t="shared" si="103"/>
        <v/>
      </c>
      <c r="DV804" s="2494" t="str">
        <f t="shared" si="104"/>
        <v/>
      </c>
      <c r="DW804" s="2494" t="str">
        <f t="shared" si="105"/>
        <v/>
      </c>
      <c r="DX804" s="2494" t="str">
        <f t="shared" si="106"/>
        <v/>
      </c>
      <c r="DY804" s="2494" t="str">
        <f t="shared" si="107"/>
        <v/>
      </c>
      <c r="DZ804" s="2494" t="str">
        <f t="shared" si="108"/>
        <v/>
      </c>
      <c r="EA804" s="2494" t="str">
        <f t="shared" si="109"/>
        <v/>
      </c>
      <c r="EB804" s="2494" t="str">
        <f t="shared" si="110"/>
        <v/>
      </c>
      <c r="EC804" s="2494" t="str">
        <f t="shared" si="111"/>
        <v/>
      </c>
      <c r="ED804" s="2494" t="str">
        <f t="shared" si="112"/>
        <v/>
      </c>
      <c r="EE804" s="2494" t="str">
        <f t="shared" si="113"/>
        <v/>
      </c>
      <c r="EF804" s="2494" t="str">
        <f t="shared" si="114"/>
        <v/>
      </c>
      <c r="EG804" s="2494" t="str">
        <f t="shared" si="115"/>
        <v/>
      </c>
      <c r="EH804" s="2494" t="str">
        <f t="shared" si="116"/>
        <v/>
      </c>
      <c r="EI804" s="2494" t="str">
        <f t="shared" si="117"/>
        <v/>
      </c>
      <c r="EJ804" s="2494" t="str">
        <f t="shared" si="118"/>
        <v/>
      </c>
      <c r="EK804" s="2494" t="str">
        <f t="shared" si="119"/>
        <v/>
      </c>
      <c r="EL804" s="2494" t="str">
        <f t="shared" si="120"/>
        <v/>
      </c>
      <c r="EM804" s="2494" t="str">
        <f t="shared" si="121"/>
        <v/>
      </c>
      <c r="EN804" s="2494" t="str">
        <f t="shared" si="122"/>
        <v/>
      </c>
      <c r="EO804" s="2494" t="str">
        <f t="shared" si="123"/>
        <v/>
      </c>
      <c r="EP804" s="2494" t="str">
        <f t="shared" si="124"/>
        <v/>
      </c>
      <c r="EQ804" s="2494" t="str">
        <f t="shared" si="125"/>
        <v/>
      </c>
      <c r="ER804" s="2494" t="str">
        <f t="shared" si="126"/>
        <v/>
      </c>
      <c r="ES804" s="2494" t="str">
        <f t="shared" si="127"/>
        <v/>
      </c>
      <c r="ET804" s="2494" t="str">
        <f t="shared" si="128"/>
        <v/>
      </c>
      <c r="EU804" s="2494" t="str">
        <f t="shared" si="129"/>
        <v/>
      </c>
      <c r="EV804" s="2494" t="str">
        <f t="shared" si="130"/>
        <v/>
      </c>
      <c r="EW804" s="2494" t="str">
        <f t="shared" si="131"/>
        <v/>
      </c>
      <c r="EX804" s="2494" t="str">
        <f t="shared" si="132"/>
        <v/>
      </c>
      <c r="EY804" s="2494" t="str">
        <f t="shared" si="133"/>
        <v/>
      </c>
      <c r="EZ804" s="2494" t="str">
        <f t="shared" si="134"/>
        <v/>
      </c>
      <c r="FA804" s="2494" t="str">
        <f t="shared" si="135"/>
        <v/>
      </c>
      <c r="FB804" s="2494" t="str">
        <f t="shared" si="136"/>
        <v/>
      </c>
      <c r="FC804" s="2494" t="str">
        <f t="shared" si="137"/>
        <v/>
      </c>
      <c r="FD804" s="2494" t="str">
        <f t="shared" si="138"/>
        <v/>
      </c>
      <c r="FE804" s="2494" t="str">
        <f t="shared" si="139"/>
        <v/>
      </c>
      <c r="FF804" s="2494" t="str">
        <f t="shared" si="140"/>
        <v/>
      </c>
      <c r="FG804" s="2494" t="str">
        <f t="shared" si="141"/>
        <v/>
      </c>
      <c r="FH804" s="2494" t="str">
        <f t="shared" si="142"/>
        <v/>
      </c>
      <c r="FI804" s="2494" t="str">
        <f t="shared" si="143"/>
        <v/>
      </c>
      <c r="FJ804" s="2494" t="str">
        <f t="shared" si="144"/>
        <v/>
      </c>
      <c r="FK804" s="2494" t="str">
        <f t="shared" si="145"/>
        <v/>
      </c>
      <c r="FL804" s="2494" t="str">
        <f t="shared" si="146"/>
        <v/>
      </c>
      <c r="FM804" s="2494" t="str">
        <f t="shared" si="147"/>
        <v/>
      </c>
      <c r="FN804" s="2494" t="str">
        <f t="shared" si="148"/>
        <v/>
      </c>
      <c r="FO804" s="2494" t="str">
        <f t="shared" si="149"/>
        <v/>
      </c>
      <c r="FP804" s="2494" t="str">
        <f t="shared" si="150"/>
        <v/>
      </c>
      <c r="FQ804" s="2494" t="str">
        <f t="shared" si="151"/>
        <v/>
      </c>
      <c r="FR804" s="2494" t="str">
        <f t="shared" si="152"/>
        <v/>
      </c>
      <c r="FS804" s="2494" t="str">
        <f t="shared" si="153"/>
        <v/>
      </c>
      <c r="FT804" s="2494" t="str">
        <f t="shared" si="154"/>
        <v/>
      </c>
      <c r="FU804" s="2494" t="str">
        <f t="shared" si="155"/>
        <v/>
      </c>
      <c r="FV804" s="2494" t="str">
        <f t="shared" si="156"/>
        <v/>
      </c>
      <c r="FW804" s="2494" t="str">
        <f t="shared" si="157"/>
        <v/>
      </c>
      <c r="FX804" s="2494" t="str">
        <f t="shared" si="158"/>
        <v/>
      </c>
      <c r="FY804" s="2494" t="str">
        <f t="shared" si="159"/>
        <v/>
      </c>
      <c r="FZ804" s="2494" t="str">
        <f t="shared" si="160"/>
        <v/>
      </c>
      <c r="GA804" s="2494" t="str">
        <f t="shared" si="161"/>
        <v/>
      </c>
      <c r="GB804" s="2494" t="str">
        <f t="shared" si="162"/>
        <v/>
      </c>
      <c r="GC804" s="2494" t="str">
        <f t="shared" si="163"/>
        <v/>
      </c>
      <c r="GD804" s="2494" t="str">
        <f t="shared" si="164"/>
        <v/>
      </c>
      <c r="GE804" s="2494" t="str">
        <f t="shared" si="165"/>
        <v/>
      </c>
      <c r="GF804" s="2494" t="str">
        <f t="shared" si="166"/>
        <v/>
      </c>
      <c r="GG804" s="2494" t="str">
        <f t="shared" si="167"/>
        <v/>
      </c>
      <c r="GH804" s="2494" t="str">
        <f t="shared" si="168"/>
        <v/>
      </c>
      <c r="GI804" s="2494" t="str">
        <f t="shared" si="169"/>
        <v/>
      </c>
      <c r="GJ804" s="2494" t="str">
        <f t="shared" si="170"/>
        <v/>
      </c>
      <c r="GK804" s="2494" t="str">
        <f t="shared" si="171"/>
        <v/>
      </c>
      <c r="GL804" s="2494" t="str">
        <f t="shared" si="172"/>
        <v/>
      </c>
      <c r="GM804" s="2494" t="str">
        <f t="shared" si="173"/>
        <v/>
      </c>
      <c r="GN804" s="2494" t="str">
        <f t="shared" si="174"/>
        <v/>
      </c>
      <c r="GO804" s="2494" t="str">
        <f t="shared" si="175"/>
        <v/>
      </c>
      <c r="GP804" s="2494" t="str">
        <f t="shared" si="176"/>
        <v/>
      </c>
      <c r="GQ804" s="2494" t="str">
        <f t="shared" si="177"/>
        <v/>
      </c>
      <c r="GR804" s="2494" t="str">
        <f t="shared" si="178"/>
        <v/>
      </c>
      <c r="GS804" s="2494" t="str">
        <f t="shared" si="179"/>
        <v/>
      </c>
      <c r="GT804" s="2494" t="str">
        <f t="shared" si="180"/>
        <v/>
      </c>
      <c r="GU804" s="2494" t="str">
        <f t="shared" si="181"/>
        <v/>
      </c>
      <c r="GV804" s="2494" t="str">
        <f t="shared" si="182"/>
        <v/>
      </c>
      <c r="GW804" s="2494" t="str">
        <f t="shared" si="183"/>
        <v/>
      </c>
      <c r="GX804" s="2494" t="str">
        <f t="shared" si="184"/>
        <v/>
      </c>
      <c r="GY804" s="2494" t="str">
        <f t="shared" si="185"/>
        <v/>
      </c>
      <c r="GZ804" s="2494" t="str">
        <f t="shared" si="186"/>
        <v/>
      </c>
      <c r="HA804" s="2494" t="str">
        <f t="shared" si="187"/>
        <v/>
      </c>
      <c r="HB804" s="2494" t="str">
        <f t="shared" si="188"/>
        <v/>
      </c>
      <c r="HC804" s="2494" t="str">
        <f t="shared" si="189"/>
        <v/>
      </c>
      <c r="HD804" s="2494" t="str">
        <f t="shared" si="190"/>
        <v/>
      </c>
      <c r="HE804" s="2494" t="str">
        <f t="shared" si="191"/>
        <v/>
      </c>
      <c r="HF804" s="2494" t="str">
        <f t="shared" si="192"/>
        <v/>
      </c>
      <c r="HG804" s="2494" t="str">
        <f t="shared" si="193"/>
        <v/>
      </c>
      <c r="HH804" s="2494" t="str">
        <f t="shared" si="194"/>
        <v/>
      </c>
      <c r="HI804" s="2494" t="str">
        <f t="shared" si="195"/>
        <v/>
      </c>
      <c r="HJ804" s="2494" t="str">
        <f t="shared" si="196"/>
        <v/>
      </c>
      <c r="HK804" s="2494" t="str">
        <f t="shared" si="197"/>
        <v/>
      </c>
      <c r="HL804" s="2494" t="str">
        <f t="shared" si="198"/>
        <v/>
      </c>
      <c r="HM804" s="2494" t="str">
        <f t="shared" si="199"/>
        <v/>
      </c>
      <c r="HN804" s="2494" t="str">
        <f t="shared" si="200"/>
        <v/>
      </c>
      <c r="HO804" s="2494" t="str">
        <f t="shared" si="201"/>
        <v/>
      </c>
      <c r="HP804" s="2494" t="str">
        <f t="shared" si="202"/>
        <v/>
      </c>
      <c r="HQ804" s="2494" t="str">
        <f t="shared" si="203"/>
        <v/>
      </c>
      <c r="HR804" s="2494" t="str">
        <f t="shared" si="204"/>
        <v/>
      </c>
      <c r="HS804" s="2494" t="str">
        <f t="shared" si="205"/>
        <v/>
      </c>
      <c r="HT804" s="2494" t="str">
        <f t="shared" si="206"/>
        <v/>
      </c>
      <c r="HU804" s="2494" t="str">
        <f t="shared" si="207"/>
        <v/>
      </c>
      <c r="HV804" s="2494" t="str">
        <f t="shared" si="208"/>
        <v/>
      </c>
      <c r="HW804" s="2494" t="str">
        <f t="shared" si="209"/>
        <v/>
      </c>
      <c r="HX804" s="2494" t="str">
        <f t="shared" si="210"/>
        <v/>
      </c>
      <c r="HY804" s="2494" t="str">
        <f t="shared" si="211"/>
        <v/>
      </c>
      <c r="HZ804" s="2672" t="str">
        <f t="shared" si="212"/>
        <v/>
      </c>
      <c r="IA804" s="2672" t="str">
        <f t="shared" si="213"/>
        <v/>
      </c>
      <c r="IB804" s="2672" t="str">
        <f t="shared" si="214"/>
        <v/>
      </c>
      <c r="IC804" s="2672" t="str">
        <f t="shared" si="215"/>
        <v/>
      </c>
      <c r="ID804" s="2672" t="str">
        <f t="shared" si="216"/>
        <v/>
      </c>
      <c r="IE804" s="2672" t="str">
        <f t="shared" si="217"/>
        <v/>
      </c>
      <c r="IF804" s="2672" t="str">
        <f t="shared" si="218"/>
        <v/>
      </c>
      <c r="IG804" s="2672" t="str">
        <f t="shared" si="219"/>
        <v/>
      </c>
      <c r="IH804" s="2672" t="str">
        <f t="shared" si="220"/>
        <v/>
      </c>
      <c r="II804" s="2672" t="str">
        <f t="shared" si="221"/>
        <v/>
      </c>
      <c r="IJ804" s="2672" t="str">
        <f t="shared" si="222"/>
        <v/>
      </c>
      <c r="IK804" s="2672" t="str">
        <f t="shared" si="223"/>
        <v/>
      </c>
      <c r="IL804" s="2672" t="str">
        <f t="shared" si="224"/>
        <v/>
      </c>
      <c r="IM804" s="2672" t="str">
        <f t="shared" si="225"/>
        <v/>
      </c>
      <c r="IN804" s="2672" t="str">
        <f t="shared" si="226"/>
        <v/>
      </c>
      <c r="IO804" s="2672" t="str">
        <f t="shared" si="227"/>
        <v/>
      </c>
      <c r="IP804" s="2672" t="str">
        <f t="shared" si="228"/>
        <v/>
      </c>
      <c r="IQ804" s="2672" t="str">
        <f t="shared" si="229"/>
        <v/>
      </c>
      <c r="IR804" s="2672" t="str">
        <f t="shared" si="230"/>
        <v/>
      </c>
      <c r="IS804" s="2672" t="str">
        <f t="shared" si="231"/>
        <v/>
      </c>
      <c r="IT804" s="2672" t="str">
        <f t="shared" si="232"/>
        <v/>
      </c>
      <c r="IU804" s="2672" t="str">
        <f t="shared" si="233"/>
        <v/>
      </c>
      <c r="IV804" s="2672" t="str">
        <f t="shared" si="234"/>
        <v/>
      </c>
      <c r="IW804" s="2672" t="str">
        <f t="shared" si="235"/>
        <v/>
      </c>
      <c r="IX804" s="2672" t="str">
        <f t="shared" si="236"/>
        <v/>
      </c>
      <c r="IY804" s="2672" t="str">
        <f t="shared" si="237"/>
        <v/>
      </c>
      <c r="IZ804" s="2672" t="str">
        <f t="shared" si="238"/>
        <v/>
      </c>
      <c r="JA804" s="2672" t="str">
        <f t="shared" si="239"/>
        <v/>
      </c>
      <c r="JB804" s="2672" t="str">
        <f t="shared" si="240"/>
        <v/>
      </c>
      <c r="JC804" s="2672" t="str">
        <f t="shared" si="241"/>
        <v/>
      </c>
      <c r="JD804" s="2672" t="str">
        <f t="shared" si="242"/>
        <v/>
      </c>
      <c r="JE804" s="2672" t="str">
        <f t="shared" si="243"/>
        <v/>
      </c>
      <c r="JF804" s="2672" t="str">
        <f t="shared" si="244"/>
        <v/>
      </c>
      <c r="JG804" s="2672" t="str">
        <f t="shared" si="245"/>
        <v/>
      </c>
      <c r="JH804" s="2672" t="str">
        <f t="shared" si="246"/>
        <v/>
      </c>
      <c r="JI804" s="2672" t="str">
        <f t="shared" si="247"/>
        <v/>
      </c>
      <c r="JJ804" s="2672" t="str">
        <f t="shared" si="248"/>
        <v/>
      </c>
      <c r="JK804" s="2672" t="str">
        <f t="shared" si="249"/>
        <v/>
      </c>
      <c r="JL804" s="2672" t="str">
        <f t="shared" si="250"/>
        <v/>
      </c>
      <c r="JM804" s="2672" t="str">
        <f t="shared" si="251"/>
        <v/>
      </c>
      <c r="JN804" s="2672" t="str">
        <f t="shared" si="252"/>
        <v/>
      </c>
      <c r="JO804" s="2672" t="str">
        <f t="shared" si="253"/>
        <v/>
      </c>
      <c r="JP804" s="2672" t="str">
        <f t="shared" si="254"/>
        <v/>
      </c>
      <c r="JQ804" s="2672" t="str">
        <f t="shared" si="255"/>
        <v/>
      </c>
      <c r="JR804" s="2672" t="str">
        <f t="shared" si="256"/>
        <v/>
      </c>
      <c r="JS804" s="2672" t="str">
        <f t="shared" si="257"/>
        <v/>
      </c>
      <c r="JT804" s="2672" t="str">
        <f t="shared" si="258"/>
        <v/>
      </c>
      <c r="JU804" s="2672" t="str">
        <f t="shared" si="259"/>
        <v/>
      </c>
      <c r="JV804" s="2672" t="str">
        <f t="shared" si="260"/>
        <v/>
      </c>
      <c r="JW804" s="2672" t="str">
        <f t="shared" si="261"/>
        <v/>
      </c>
      <c r="JX804" s="2672" t="str">
        <f t="shared" si="262"/>
        <v/>
      </c>
      <c r="JY804" s="2672" t="str">
        <f t="shared" si="263"/>
        <v/>
      </c>
      <c r="JZ804" s="2672" t="str">
        <f t="shared" si="264"/>
        <v/>
      </c>
      <c r="KA804" s="2672" t="str">
        <f t="shared" si="265"/>
        <v/>
      </c>
      <c r="KB804" s="2672" t="str">
        <f t="shared" si="266"/>
        <v/>
      </c>
      <c r="KC804" s="2672" t="str">
        <f t="shared" si="267"/>
        <v/>
      </c>
      <c r="KD804" s="2672" t="str">
        <f t="shared" si="268"/>
        <v/>
      </c>
      <c r="KE804" s="2672" t="str">
        <f t="shared" si="269"/>
        <v/>
      </c>
      <c r="KF804" s="2672" t="str">
        <f t="shared" si="270"/>
        <v/>
      </c>
      <c r="KG804" s="2672" t="str">
        <f t="shared" si="271"/>
        <v/>
      </c>
      <c r="KH804" s="2672" t="str">
        <f t="shared" si="272"/>
        <v/>
      </c>
      <c r="KI804" s="2672" t="str">
        <f t="shared" si="273"/>
        <v/>
      </c>
      <c r="KJ804" s="2672" t="str">
        <f t="shared" si="274"/>
        <v/>
      </c>
      <c r="KK804" s="2672" t="str">
        <f t="shared" si="275"/>
        <v/>
      </c>
      <c r="KL804" s="2672" t="str">
        <f t="shared" si="276"/>
        <v/>
      </c>
      <c r="KM804" s="2672" t="str">
        <f t="shared" si="277"/>
        <v/>
      </c>
      <c r="KN804" s="2672" t="str">
        <f t="shared" si="278"/>
        <v/>
      </c>
      <c r="KO804" s="2672" t="str">
        <f t="shared" si="279"/>
        <v/>
      </c>
      <c r="KP804" s="2672" t="str">
        <f t="shared" si="280"/>
        <v/>
      </c>
      <c r="KQ804" s="2672" t="str">
        <f t="shared" si="281"/>
        <v/>
      </c>
      <c r="KR804" s="2672" t="str">
        <f t="shared" si="282"/>
        <v/>
      </c>
      <c r="KS804" s="2672" t="str">
        <f t="shared" si="283"/>
        <v/>
      </c>
      <c r="KT804" s="2672" t="str">
        <f t="shared" si="284"/>
        <v/>
      </c>
      <c r="KU804" s="2672" t="str">
        <f t="shared" si="285"/>
        <v/>
      </c>
      <c r="KV804" s="2672" t="str">
        <f t="shared" si="286"/>
        <v/>
      </c>
      <c r="KW804" s="2672" t="str">
        <f t="shared" si="287"/>
        <v/>
      </c>
      <c r="KX804" s="2672" t="str">
        <f t="shared" si="288"/>
        <v/>
      </c>
      <c r="KY804" s="2672" t="str">
        <f t="shared" si="289"/>
        <v/>
      </c>
      <c r="KZ804" s="2672" t="str">
        <f t="shared" si="290"/>
        <v/>
      </c>
      <c r="LA804" s="2672" t="str">
        <f t="shared" si="291"/>
        <v/>
      </c>
      <c r="LB804" s="2672" t="str">
        <f t="shared" si="292"/>
        <v/>
      </c>
      <c r="LC804" s="2672" t="str">
        <f t="shared" si="293"/>
        <v/>
      </c>
      <c r="LD804" s="2672" t="str">
        <f t="shared" si="294"/>
        <v/>
      </c>
      <c r="LE804" s="2672" t="str">
        <f t="shared" si="295"/>
        <v/>
      </c>
      <c r="LF804" s="2672" t="str">
        <f t="shared" si="296"/>
        <v/>
      </c>
      <c r="LG804" s="2672" t="str">
        <f t="shared" si="297"/>
        <v/>
      </c>
      <c r="LH804" s="2672" t="str">
        <f t="shared" si="298"/>
        <v/>
      </c>
      <c r="LI804" s="2672" t="str">
        <f t="shared" si="299"/>
        <v/>
      </c>
      <c r="LJ804" s="2672" t="str">
        <f t="shared" si="300"/>
        <v/>
      </c>
      <c r="LK804" s="2672" t="str">
        <f t="shared" si="301"/>
        <v/>
      </c>
      <c r="LL804" s="2672" t="str">
        <f t="shared" si="302"/>
        <v/>
      </c>
      <c r="LM804" s="2672" t="str">
        <f t="shared" si="303"/>
        <v/>
      </c>
      <c r="LN804" s="2672" t="str">
        <f t="shared" si="304"/>
        <v/>
      </c>
      <c r="LO804" s="2672" t="str">
        <f t="shared" si="305"/>
        <v/>
      </c>
      <c r="LP804" s="2672" t="str">
        <f t="shared" si="306"/>
        <v/>
      </c>
      <c r="LQ804" s="2613" t="str">
        <f t="shared" si="307"/>
        <v/>
      </c>
      <c r="LR804" s="2613" t="str">
        <f t="shared" si="308"/>
        <v/>
      </c>
      <c r="LS804" s="2613" t="str">
        <f t="shared" si="309"/>
        <v/>
      </c>
      <c r="LT804" s="2613" t="str">
        <f t="shared" si="310"/>
        <v/>
      </c>
      <c r="LU804" s="2613" t="str">
        <f t="shared" si="311"/>
        <v/>
      </c>
      <c r="LV804" s="2494" t="str">
        <f t="shared" si="312"/>
        <v/>
      </c>
      <c r="LW804" s="2494" t="str">
        <f t="shared" si="313"/>
        <v/>
      </c>
      <c r="LX804" s="2494" t="str">
        <f t="shared" si="314"/>
        <v/>
      </c>
      <c r="LY804" s="2494" t="str">
        <f t="shared" si="315"/>
        <v/>
      </c>
      <c r="LZ804" s="2494" t="str">
        <f t="shared" si="316"/>
        <v/>
      </c>
      <c r="MA804" s="2494" t="str">
        <f t="shared" si="317"/>
        <v/>
      </c>
      <c r="MB804" s="2494" t="str">
        <f t="shared" si="318"/>
        <v/>
      </c>
      <c r="MC804" s="2494" t="str">
        <f t="shared" si="319"/>
        <v/>
      </c>
      <c r="MD804" s="2494" t="str">
        <f t="shared" si="320"/>
        <v/>
      </c>
      <c r="ME804" s="2494" t="str">
        <f t="shared" si="321"/>
        <v/>
      </c>
      <c r="MF804" s="2494" t="str">
        <f t="shared" si="322"/>
        <v/>
      </c>
      <c r="MG804" s="2494" t="str">
        <f t="shared" si="323"/>
        <v/>
      </c>
      <c r="MH804" s="2494" t="str">
        <f t="shared" si="324"/>
        <v/>
      </c>
      <c r="MI804" s="2494" t="str">
        <f t="shared" si="325"/>
        <v/>
      </c>
      <c r="MJ804" s="2494" t="str">
        <f t="shared" si="326"/>
        <v/>
      </c>
      <c r="MK804" s="2494" t="str">
        <f t="shared" si="327"/>
        <v/>
      </c>
      <c r="ML804" s="2494" t="str">
        <f t="shared" si="328"/>
        <v/>
      </c>
      <c r="MM804" s="2494" t="str">
        <f t="shared" si="329"/>
        <v/>
      </c>
      <c r="MN804" s="2494" t="str">
        <f t="shared" si="330"/>
        <v/>
      </c>
      <c r="MO804" s="2494" t="str">
        <f t="shared" si="331"/>
        <v/>
      </c>
      <c r="MP804" s="2613">
        <f t="shared" si="338"/>
        <v>0</v>
      </c>
      <c r="MQ804" s="2613">
        <f t="shared" si="339"/>
        <v>0</v>
      </c>
      <c r="MR804" s="2613">
        <f t="shared" si="340"/>
        <v>0</v>
      </c>
      <c r="MS804" s="2613">
        <f t="shared" si="341"/>
        <v>0</v>
      </c>
      <c r="MT804" s="2613">
        <f t="shared" si="342"/>
        <v>0</v>
      </c>
      <c r="MU804" s="2613">
        <f t="shared" si="343"/>
        <v>0</v>
      </c>
      <c r="MV804" s="2613">
        <f t="shared" si="344"/>
        <v>0</v>
      </c>
      <c r="MW804" s="2613">
        <f t="shared" si="345"/>
        <v>0</v>
      </c>
      <c r="MX804" s="2613">
        <f t="shared" si="346"/>
        <v>0</v>
      </c>
      <c r="MY804" s="2613">
        <f t="shared" si="347"/>
        <v>0</v>
      </c>
      <c r="MZ804" s="2613">
        <f t="shared" si="332"/>
        <v>0</v>
      </c>
      <c r="NA804" s="2613">
        <f t="shared" si="333"/>
        <v>0</v>
      </c>
      <c r="NB804" s="2613">
        <f t="shared" si="334"/>
        <v>0</v>
      </c>
      <c r="NC804" s="2613">
        <f t="shared" si="335"/>
        <v>0</v>
      </c>
      <c r="ND804" s="2613">
        <f t="shared" si="336"/>
        <v>0</v>
      </c>
    </row>
    <row r="805" spans="1:368" ht="13.8" customHeight="1">
      <c r="A805" s="2652" t="str">
        <f t="shared" si="337"/>
        <v/>
      </c>
      <c r="B805" s="2664">
        <f>'Part VI-Revenues &amp; Expenses'!B36</f>
        <v>0</v>
      </c>
      <c r="C805" s="2665">
        <f>'Part VI-Revenues &amp; Expenses'!C36</f>
        <v>0</v>
      </c>
      <c r="D805" s="2666">
        <f>'Part VI-Revenues &amp; Expenses'!D36</f>
        <v>0</v>
      </c>
      <c r="E805" s="2667">
        <f>'Part VI-Revenues &amp; Expenses'!E36</f>
        <v>0</v>
      </c>
      <c r="F805" s="2667">
        <f>'Part VI-Revenues &amp; Expenses'!F36</f>
        <v>0</v>
      </c>
      <c r="G805" s="2667">
        <f>'Part VI-Revenues &amp; Expenses'!G36</f>
        <v>0</v>
      </c>
      <c r="H805" s="2667">
        <f>'Part VI-Revenues &amp; Expenses'!H36</f>
        <v>0</v>
      </c>
      <c r="I805" s="2667">
        <f>'Part VI-Revenues &amp; Expenses'!I36</f>
        <v>0</v>
      </c>
      <c r="J805" s="2667">
        <f>'Part VI-Revenues &amp; Expenses'!J36</f>
        <v>0</v>
      </c>
      <c r="K805" s="2668">
        <f>'Part VI-Revenues &amp; Expenses'!K36</f>
        <v>0</v>
      </c>
      <c r="L805" s="2669">
        <f t="shared" si="0"/>
        <v>0</v>
      </c>
      <c r="M805" s="2669">
        <f t="shared" si="1"/>
        <v>0</v>
      </c>
      <c r="N805" s="2545">
        <f>'Part VI-Revenues &amp; Expenses'!N36</f>
        <v>0</v>
      </c>
      <c r="O805" s="2545">
        <f>'Part VI-Revenues &amp; Expenses'!O36</f>
        <v>0</v>
      </c>
      <c r="P805" s="2545">
        <f>'Part VI-Revenues &amp; Expenses'!P36</f>
        <v>0</v>
      </c>
      <c r="Q805" s="2251">
        <f>'Part VI-Revenues &amp; Expenses'!Q36</f>
        <v>0</v>
      </c>
      <c r="R805" s="2670"/>
      <c r="S805" s="2671"/>
      <c r="T805" s="2607"/>
      <c r="U805" s="2607"/>
      <c r="V805" s="2607"/>
      <c r="W805" s="2607"/>
      <c r="X805" s="2494" t="str">
        <f t="shared" si="2"/>
        <v/>
      </c>
      <c r="Y805" s="2494" t="str">
        <f t="shared" si="3"/>
        <v/>
      </c>
      <c r="Z805" s="2494" t="str">
        <f t="shared" si="4"/>
        <v/>
      </c>
      <c r="AA805" s="2494" t="str">
        <f t="shared" si="5"/>
        <v/>
      </c>
      <c r="AB805" s="2494" t="str">
        <f t="shared" si="6"/>
        <v/>
      </c>
      <c r="AC805" s="2494" t="str">
        <f t="shared" si="7"/>
        <v/>
      </c>
      <c r="AD805" s="2494" t="str">
        <f t="shared" si="8"/>
        <v/>
      </c>
      <c r="AE805" s="2494" t="str">
        <f t="shared" si="9"/>
        <v/>
      </c>
      <c r="AF805" s="2494" t="str">
        <f t="shared" si="10"/>
        <v/>
      </c>
      <c r="AG805" s="2494" t="str">
        <f t="shared" si="11"/>
        <v/>
      </c>
      <c r="AH805" s="2494" t="str">
        <f t="shared" si="12"/>
        <v/>
      </c>
      <c r="AI805" s="2494" t="str">
        <f t="shared" si="13"/>
        <v/>
      </c>
      <c r="AJ805" s="2494" t="str">
        <f t="shared" si="14"/>
        <v/>
      </c>
      <c r="AK805" s="2494" t="str">
        <f t="shared" si="15"/>
        <v/>
      </c>
      <c r="AL805" s="2494" t="str">
        <f t="shared" si="16"/>
        <v/>
      </c>
      <c r="AM805" s="2494" t="str">
        <f t="shared" si="17"/>
        <v/>
      </c>
      <c r="AN805" s="2494" t="str">
        <f t="shared" si="18"/>
        <v/>
      </c>
      <c r="AO805" s="2494" t="str">
        <f t="shared" si="19"/>
        <v/>
      </c>
      <c r="AP805" s="2494" t="str">
        <f t="shared" si="20"/>
        <v/>
      </c>
      <c r="AQ805" s="2494" t="str">
        <f t="shared" si="21"/>
        <v/>
      </c>
      <c r="AR805" s="2494" t="str">
        <f t="shared" si="22"/>
        <v/>
      </c>
      <c r="AS805" s="2494" t="str">
        <f t="shared" si="23"/>
        <v/>
      </c>
      <c r="AT805" s="2494" t="str">
        <f t="shared" si="24"/>
        <v/>
      </c>
      <c r="AU805" s="2494" t="str">
        <f t="shared" si="25"/>
        <v/>
      </c>
      <c r="AV805" s="2494" t="str">
        <f t="shared" si="26"/>
        <v/>
      </c>
      <c r="AW805" s="2494" t="str">
        <f t="shared" si="27"/>
        <v/>
      </c>
      <c r="AX805" s="2494" t="str">
        <f t="shared" si="28"/>
        <v/>
      </c>
      <c r="AY805" s="2494" t="str">
        <f t="shared" si="29"/>
        <v/>
      </c>
      <c r="AZ805" s="2494" t="str">
        <f t="shared" si="30"/>
        <v/>
      </c>
      <c r="BA805" s="2494" t="str">
        <f t="shared" si="31"/>
        <v/>
      </c>
      <c r="BB805" s="2494" t="str">
        <f t="shared" si="32"/>
        <v/>
      </c>
      <c r="BC805" s="2494" t="str">
        <f t="shared" si="33"/>
        <v/>
      </c>
      <c r="BD805" s="2494" t="str">
        <f t="shared" si="34"/>
        <v/>
      </c>
      <c r="BE805" s="2494" t="str">
        <f t="shared" si="35"/>
        <v/>
      </c>
      <c r="BF805" s="2494" t="str">
        <f t="shared" si="36"/>
        <v/>
      </c>
      <c r="BG805" s="2494" t="str">
        <f t="shared" si="37"/>
        <v/>
      </c>
      <c r="BH805" s="2494" t="str">
        <f t="shared" si="38"/>
        <v/>
      </c>
      <c r="BI805" s="2494" t="str">
        <f t="shared" si="39"/>
        <v/>
      </c>
      <c r="BJ805" s="2494" t="str">
        <f t="shared" si="40"/>
        <v/>
      </c>
      <c r="BK805" s="2494" t="str">
        <f t="shared" si="41"/>
        <v/>
      </c>
      <c r="BL805" s="2494" t="str">
        <f t="shared" si="42"/>
        <v/>
      </c>
      <c r="BM805" s="2494" t="str">
        <f t="shared" si="43"/>
        <v/>
      </c>
      <c r="BN805" s="2494" t="str">
        <f t="shared" si="44"/>
        <v/>
      </c>
      <c r="BO805" s="2494" t="str">
        <f t="shared" si="45"/>
        <v/>
      </c>
      <c r="BP805" s="2494" t="str">
        <f t="shared" si="46"/>
        <v/>
      </c>
      <c r="BQ805" s="2494" t="str">
        <f t="shared" si="47"/>
        <v/>
      </c>
      <c r="BR805" s="2494" t="str">
        <f t="shared" si="48"/>
        <v/>
      </c>
      <c r="BS805" s="2494" t="str">
        <f t="shared" si="49"/>
        <v/>
      </c>
      <c r="BT805" s="2494" t="str">
        <f t="shared" si="50"/>
        <v/>
      </c>
      <c r="BU805" s="2494" t="str">
        <f t="shared" si="51"/>
        <v/>
      </c>
      <c r="BV805" s="2494" t="str">
        <f t="shared" si="52"/>
        <v/>
      </c>
      <c r="BW805" s="2494" t="str">
        <f t="shared" si="53"/>
        <v/>
      </c>
      <c r="BX805" s="2494" t="str">
        <f t="shared" si="54"/>
        <v/>
      </c>
      <c r="BY805" s="2494" t="str">
        <f t="shared" si="55"/>
        <v/>
      </c>
      <c r="BZ805" s="2494" t="str">
        <f t="shared" si="56"/>
        <v/>
      </c>
      <c r="CA805" s="2494" t="str">
        <f t="shared" si="57"/>
        <v/>
      </c>
      <c r="CB805" s="2494" t="str">
        <f t="shared" si="58"/>
        <v/>
      </c>
      <c r="CC805" s="2494" t="str">
        <f t="shared" si="59"/>
        <v/>
      </c>
      <c r="CD805" s="2494" t="str">
        <f t="shared" si="60"/>
        <v/>
      </c>
      <c r="CE805" s="2494" t="str">
        <f t="shared" si="61"/>
        <v/>
      </c>
      <c r="CF805" s="2494" t="str">
        <f t="shared" si="62"/>
        <v/>
      </c>
      <c r="CG805" s="2494" t="str">
        <f t="shared" si="63"/>
        <v/>
      </c>
      <c r="CH805" s="2494" t="str">
        <f t="shared" si="64"/>
        <v/>
      </c>
      <c r="CI805" s="2494" t="str">
        <f t="shared" si="65"/>
        <v/>
      </c>
      <c r="CJ805" s="2494" t="str">
        <f t="shared" si="66"/>
        <v/>
      </c>
      <c r="CK805" s="2494" t="str">
        <f t="shared" si="67"/>
        <v/>
      </c>
      <c r="CL805" s="2494" t="str">
        <f t="shared" si="68"/>
        <v/>
      </c>
      <c r="CM805" s="2494" t="str">
        <f t="shared" si="69"/>
        <v/>
      </c>
      <c r="CN805" s="2494" t="str">
        <f t="shared" si="70"/>
        <v/>
      </c>
      <c r="CO805" s="2494" t="str">
        <f t="shared" si="71"/>
        <v/>
      </c>
      <c r="CP805" s="2494" t="str">
        <f t="shared" si="72"/>
        <v/>
      </c>
      <c r="CQ805" s="2494" t="str">
        <f t="shared" si="73"/>
        <v/>
      </c>
      <c r="CR805" s="2494" t="str">
        <f t="shared" si="74"/>
        <v/>
      </c>
      <c r="CS805" s="2494" t="str">
        <f t="shared" si="75"/>
        <v/>
      </c>
      <c r="CT805" s="2494" t="str">
        <f t="shared" si="76"/>
        <v/>
      </c>
      <c r="CU805" s="2494" t="str">
        <f t="shared" si="77"/>
        <v/>
      </c>
      <c r="CV805" s="2494" t="str">
        <f t="shared" si="78"/>
        <v/>
      </c>
      <c r="CW805" s="2494" t="str">
        <f t="shared" si="79"/>
        <v/>
      </c>
      <c r="CX805" s="2494" t="str">
        <f t="shared" si="80"/>
        <v/>
      </c>
      <c r="CY805" s="2494" t="str">
        <f t="shared" si="81"/>
        <v/>
      </c>
      <c r="CZ805" s="2494" t="str">
        <f t="shared" si="82"/>
        <v/>
      </c>
      <c r="DA805" s="2494" t="str">
        <f t="shared" si="83"/>
        <v/>
      </c>
      <c r="DB805" s="2494" t="str">
        <f t="shared" si="84"/>
        <v/>
      </c>
      <c r="DC805" s="2494" t="str">
        <f t="shared" si="85"/>
        <v/>
      </c>
      <c r="DD805" s="2494" t="str">
        <f t="shared" si="86"/>
        <v/>
      </c>
      <c r="DE805" s="2494" t="str">
        <f t="shared" si="87"/>
        <v/>
      </c>
      <c r="DF805" s="2494" t="str">
        <f t="shared" si="88"/>
        <v/>
      </c>
      <c r="DG805" s="2494" t="str">
        <f t="shared" si="89"/>
        <v/>
      </c>
      <c r="DH805" s="2494" t="str">
        <f t="shared" si="90"/>
        <v/>
      </c>
      <c r="DI805" s="2494" t="str">
        <f t="shared" si="91"/>
        <v/>
      </c>
      <c r="DJ805" s="2494" t="str">
        <f t="shared" si="92"/>
        <v/>
      </c>
      <c r="DK805" s="2494" t="str">
        <f t="shared" si="93"/>
        <v/>
      </c>
      <c r="DL805" s="2494" t="str">
        <f t="shared" si="94"/>
        <v/>
      </c>
      <c r="DM805" s="2494" t="str">
        <f t="shared" si="95"/>
        <v/>
      </c>
      <c r="DN805" s="2494" t="str">
        <f t="shared" si="96"/>
        <v/>
      </c>
      <c r="DO805" s="2494" t="str">
        <f t="shared" si="97"/>
        <v/>
      </c>
      <c r="DP805" s="2494" t="str">
        <f t="shared" si="98"/>
        <v/>
      </c>
      <c r="DQ805" s="2494" t="str">
        <f t="shared" si="99"/>
        <v/>
      </c>
      <c r="DR805" s="2494" t="str">
        <f t="shared" si="100"/>
        <v/>
      </c>
      <c r="DS805" s="2494" t="str">
        <f t="shared" si="101"/>
        <v/>
      </c>
      <c r="DT805" s="2494" t="str">
        <f t="shared" si="102"/>
        <v/>
      </c>
      <c r="DU805" s="2494" t="str">
        <f t="shared" si="103"/>
        <v/>
      </c>
      <c r="DV805" s="2494" t="str">
        <f t="shared" si="104"/>
        <v/>
      </c>
      <c r="DW805" s="2494" t="str">
        <f t="shared" si="105"/>
        <v/>
      </c>
      <c r="DX805" s="2494" t="str">
        <f t="shared" si="106"/>
        <v/>
      </c>
      <c r="DY805" s="2494" t="str">
        <f t="shared" si="107"/>
        <v/>
      </c>
      <c r="DZ805" s="2494" t="str">
        <f t="shared" si="108"/>
        <v/>
      </c>
      <c r="EA805" s="2494" t="str">
        <f t="shared" si="109"/>
        <v/>
      </c>
      <c r="EB805" s="2494" t="str">
        <f t="shared" si="110"/>
        <v/>
      </c>
      <c r="EC805" s="2494" t="str">
        <f t="shared" si="111"/>
        <v/>
      </c>
      <c r="ED805" s="2494" t="str">
        <f t="shared" si="112"/>
        <v/>
      </c>
      <c r="EE805" s="2494" t="str">
        <f t="shared" si="113"/>
        <v/>
      </c>
      <c r="EF805" s="2494" t="str">
        <f t="shared" si="114"/>
        <v/>
      </c>
      <c r="EG805" s="2494" t="str">
        <f t="shared" si="115"/>
        <v/>
      </c>
      <c r="EH805" s="2494" t="str">
        <f t="shared" si="116"/>
        <v/>
      </c>
      <c r="EI805" s="2494" t="str">
        <f t="shared" si="117"/>
        <v/>
      </c>
      <c r="EJ805" s="2494" t="str">
        <f t="shared" si="118"/>
        <v/>
      </c>
      <c r="EK805" s="2494" t="str">
        <f t="shared" si="119"/>
        <v/>
      </c>
      <c r="EL805" s="2494" t="str">
        <f t="shared" si="120"/>
        <v/>
      </c>
      <c r="EM805" s="2494" t="str">
        <f t="shared" si="121"/>
        <v/>
      </c>
      <c r="EN805" s="2494" t="str">
        <f t="shared" si="122"/>
        <v/>
      </c>
      <c r="EO805" s="2494" t="str">
        <f t="shared" si="123"/>
        <v/>
      </c>
      <c r="EP805" s="2494" t="str">
        <f t="shared" si="124"/>
        <v/>
      </c>
      <c r="EQ805" s="2494" t="str">
        <f t="shared" si="125"/>
        <v/>
      </c>
      <c r="ER805" s="2494" t="str">
        <f t="shared" si="126"/>
        <v/>
      </c>
      <c r="ES805" s="2494" t="str">
        <f t="shared" si="127"/>
        <v/>
      </c>
      <c r="ET805" s="2494" t="str">
        <f t="shared" si="128"/>
        <v/>
      </c>
      <c r="EU805" s="2494" t="str">
        <f t="shared" si="129"/>
        <v/>
      </c>
      <c r="EV805" s="2494" t="str">
        <f t="shared" si="130"/>
        <v/>
      </c>
      <c r="EW805" s="2494" t="str">
        <f t="shared" si="131"/>
        <v/>
      </c>
      <c r="EX805" s="2494" t="str">
        <f t="shared" si="132"/>
        <v/>
      </c>
      <c r="EY805" s="2494" t="str">
        <f t="shared" si="133"/>
        <v/>
      </c>
      <c r="EZ805" s="2494" t="str">
        <f t="shared" si="134"/>
        <v/>
      </c>
      <c r="FA805" s="2494" t="str">
        <f t="shared" si="135"/>
        <v/>
      </c>
      <c r="FB805" s="2494" t="str">
        <f t="shared" si="136"/>
        <v/>
      </c>
      <c r="FC805" s="2494" t="str">
        <f t="shared" si="137"/>
        <v/>
      </c>
      <c r="FD805" s="2494" t="str">
        <f t="shared" si="138"/>
        <v/>
      </c>
      <c r="FE805" s="2494" t="str">
        <f t="shared" si="139"/>
        <v/>
      </c>
      <c r="FF805" s="2494" t="str">
        <f t="shared" si="140"/>
        <v/>
      </c>
      <c r="FG805" s="2494" t="str">
        <f t="shared" si="141"/>
        <v/>
      </c>
      <c r="FH805" s="2494" t="str">
        <f t="shared" si="142"/>
        <v/>
      </c>
      <c r="FI805" s="2494" t="str">
        <f t="shared" si="143"/>
        <v/>
      </c>
      <c r="FJ805" s="2494" t="str">
        <f t="shared" si="144"/>
        <v/>
      </c>
      <c r="FK805" s="2494" t="str">
        <f t="shared" si="145"/>
        <v/>
      </c>
      <c r="FL805" s="2494" t="str">
        <f t="shared" si="146"/>
        <v/>
      </c>
      <c r="FM805" s="2494" t="str">
        <f t="shared" si="147"/>
        <v/>
      </c>
      <c r="FN805" s="2494" t="str">
        <f t="shared" si="148"/>
        <v/>
      </c>
      <c r="FO805" s="2494" t="str">
        <f t="shared" si="149"/>
        <v/>
      </c>
      <c r="FP805" s="2494" t="str">
        <f t="shared" si="150"/>
        <v/>
      </c>
      <c r="FQ805" s="2494" t="str">
        <f t="shared" si="151"/>
        <v/>
      </c>
      <c r="FR805" s="2494" t="str">
        <f t="shared" si="152"/>
        <v/>
      </c>
      <c r="FS805" s="2494" t="str">
        <f t="shared" si="153"/>
        <v/>
      </c>
      <c r="FT805" s="2494" t="str">
        <f t="shared" si="154"/>
        <v/>
      </c>
      <c r="FU805" s="2494" t="str">
        <f t="shared" si="155"/>
        <v/>
      </c>
      <c r="FV805" s="2494" t="str">
        <f t="shared" si="156"/>
        <v/>
      </c>
      <c r="FW805" s="2494" t="str">
        <f t="shared" si="157"/>
        <v/>
      </c>
      <c r="FX805" s="2494" t="str">
        <f t="shared" si="158"/>
        <v/>
      </c>
      <c r="FY805" s="2494" t="str">
        <f t="shared" si="159"/>
        <v/>
      </c>
      <c r="FZ805" s="2494" t="str">
        <f t="shared" si="160"/>
        <v/>
      </c>
      <c r="GA805" s="2494" t="str">
        <f t="shared" si="161"/>
        <v/>
      </c>
      <c r="GB805" s="2494" t="str">
        <f t="shared" si="162"/>
        <v/>
      </c>
      <c r="GC805" s="2494" t="str">
        <f t="shared" si="163"/>
        <v/>
      </c>
      <c r="GD805" s="2494" t="str">
        <f t="shared" si="164"/>
        <v/>
      </c>
      <c r="GE805" s="2494" t="str">
        <f t="shared" si="165"/>
        <v/>
      </c>
      <c r="GF805" s="2494" t="str">
        <f t="shared" si="166"/>
        <v/>
      </c>
      <c r="GG805" s="2494" t="str">
        <f t="shared" si="167"/>
        <v/>
      </c>
      <c r="GH805" s="2494" t="str">
        <f t="shared" si="168"/>
        <v/>
      </c>
      <c r="GI805" s="2494" t="str">
        <f t="shared" si="169"/>
        <v/>
      </c>
      <c r="GJ805" s="2494" t="str">
        <f t="shared" si="170"/>
        <v/>
      </c>
      <c r="GK805" s="2494" t="str">
        <f t="shared" si="171"/>
        <v/>
      </c>
      <c r="GL805" s="2494" t="str">
        <f t="shared" si="172"/>
        <v/>
      </c>
      <c r="GM805" s="2494" t="str">
        <f t="shared" si="173"/>
        <v/>
      </c>
      <c r="GN805" s="2494" t="str">
        <f t="shared" si="174"/>
        <v/>
      </c>
      <c r="GO805" s="2494" t="str">
        <f t="shared" si="175"/>
        <v/>
      </c>
      <c r="GP805" s="2494" t="str">
        <f t="shared" si="176"/>
        <v/>
      </c>
      <c r="GQ805" s="2494" t="str">
        <f t="shared" si="177"/>
        <v/>
      </c>
      <c r="GR805" s="2494" t="str">
        <f t="shared" si="178"/>
        <v/>
      </c>
      <c r="GS805" s="2494" t="str">
        <f t="shared" si="179"/>
        <v/>
      </c>
      <c r="GT805" s="2494" t="str">
        <f t="shared" si="180"/>
        <v/>
      </c>
      <c r="GU805" s="2494" t="str">
        <f t="shared" si="181"/>
        <v/>
      </c>
      <c r="GV805" s="2494" t="str">
        <f t="shared" si="182"/>
        <v/>
      </c>
      <c r="GW805" s="2494" t="str">
        <f t="shared" si="183"/>
        <v/>
      </c>
      <c r="GX805" s="2494" t="str">
        <f t="shared" si="184"/>
        <v/>
      </c>
      <c r="GY805" s="2494" t="str">
        <f t="shared" si="185"/>
        <v/>
      </c>
      <c r="GZ805" s="2494" t="str">
        <f t="shared" si="186"/>
        <v/>
      </c>
      <c r="HA805" s="2494" t="str">
        <f t="shared" si="187"/>
        <v/>
      </c>
      <c r="HB805" s="2494" t="str">
        <f t="shared" si="188"/>
        <v/>
      </c>
      <c r="HC805" s="2494" t="str">
        <f t="shared" si="189"/>
        <v/>
      </c>
      <c r="HD805" s="2494" t="str">
        <f t="shared" si="190"/>
        <v/>
      </c>
      <c r="HE805" s="2494" t="str">
        <f t="shared" si="191"/>
        <v/>
      </c>
      <c r="HF805" s="2494" t="str">
        <f t="shared" si="192"/>
        <v/>
      </c>
      <c r="HG805" s="2494" t="str">
        <f t="shared" si="193"/>
        <v/>
      </c>
      <c r="HH805" s="2494" t="str">
        <f t="shared" si="194"/>
        <v/>
      </c>
      <c r="HI805" s="2494" t="str">
        <f t="shared" si="195"/>
        <v/>
      </c>
      <c r="HJ805" s="2494" t="str">
        <f t="shared" si="196"/>
        <v/>
      </c>
      <c r="HK805" s="2494" t="str">
        <f t="shared" si="197"/>
        <v/>
      </c>
      <c r="HL805" s="2494" t="str">
        <f t="shared" si="198"/>
        <v/>
      </c>
      <c r="HM805" s="2494" t="str">
        <f t="shared" si="199"/>
        <v/>
      </c>
      <c r="HN805" s="2494" t="str">
        <f t="shared" si="200"/>
        <v/>
      </c>
      <c r="HO805" s="2494" t="str">
        <f t="shared" si="201"/>
        <v/>
      </c>
      <c r="HP805" s="2494" t="str">
        <f t="shared" si="202"/>
        <v/>
      </c>
      <c r="HQ805" s="2494" t="str">
        <f t="shared" si="203"/>
        <v/>
      </c>
      <c r="HR805" s="2494" t="str">
        <f t="shared" si="204"/>
        <v/>
      </c>
      <c r="HS805" s="2494" t="str">
        <f t="shared" si="205"/>
        <v/>
      </c>
      <c r="HT805" s="2494" t="str">
        <f t="shared" si="206"/>
        <v/>
      </c>
      <c r="HU805" s="2494" t="str">
        <f t="shared" si="207"/>
        <v/>
      </c>
      <c r="HV805" s="2494" t="str">
        <f t="shared" si="208"/>
        <v/>
      </c>
      <c r="HW805" s="2494" t="str">
        <f t="shared" si="209"/>
        <v/>
      </c>
      <c r="HX805" s="2494" t="str">
        <f t="shared" si="210"/>
        <v/>
      </c>
      <c r="HY805" s="2494" t="str">
        <f t="shared" si="211"/>
        <v/>
      </c>
      <c r="HZ805" s="2672" t="str">
        <f t="shared" si="212"/>
        <v/>
      </c>
      <c r="IA805" s="2672" t="str">
        <f t="shared" si="213"/>
        <v/>
      </c>
      <c r="IB805" s="2672" t="str">
        <f t="shared" si="214"/>
        <v/>
      </c>
      <c r="IC805" s="2672" t="str">
        <f t="shared" si="215"/>
        <v/>
      </c>
      <c r="ID805" s="2672" t="str">
        <f t="shared" si="216"/>
        <v/>
      </c>
      <c r="IE805" s="2672" t="str">
        <f t="shared" si="217"/>
        <v/>
      </c>
      <c r="IF805" s="2672" t="str">
        <f t="shared" si="218"/>
        <v/>
      </c>
      <c r="IG805" s="2672" t="str">
        <f t="shared" si="219"/>
        <v/>
      </c>
      <c r="IH805" s="2672" t="str">
        <f t="shared" si="220"/>
        <v/>
      </c>
      <c r="II805" s="2672" t="str">
        <f t="shared" si="221"/>
        <v/>
      </c>
      <c r="IJ805" s="2672" t="str">
        <f t="shared" si="222"/>
        <v/>
      </c>
      <c r="IK805" s="2672" t="str">
        <f t="shared" si="223"/>
        <v/>
      </c>
      <c r="IL805" s="2672" t="str">
        <f t="shared" si="224"/>
        <v/>
      </c>
      <c r="IM805" s="2672" t="str">
        <f t="shared" si="225"/>
        <v/>
      </c>
      <c r="IN805" s="2672" t="str">
        <f t="shared" si="226"/>
        <v/>
      </c>
      <c r="IO805" s="2672" t="str">
        <f t="shared" si="227"/>
        <v/>
      </c>
      <c r="IP805" s="2672" t="str">
        <f t="shared" si="228"/>
        <v/>
      </c>
      <c r="IQ805" s="2672" t="str">
        <f t="shared" si="229"/>
        <v/>
      </c>
      <c r="IR805" s="2672" t="str">
        <f t="shared" si="230"/>
        <v/>
      </c>
      <c r="IS805" s="2672" t="str">
        <f t="shared" si="231"/>
        <v/>
      </c>
      <c r="IT805" s="2672" t="str">
        <f t="shared" si="232"/>
        <v/>
      </c>
      <c r="IU805" s="2672" t="str">
        <f t="shared" si="233"/>
        <v/>
      </c>
      <c r="IV805" s="2672" t="str">
        <f t="shared" si="234"/>
        <v/>
      </c>
      <c r="IW805" s="2672" t="str">
        <f t="shared" si="235"/>
        <v/>
      </c>
      <c r="IX805" s="2672" t="str">
        <f t="shared" si="236"/>
        <v/>
      </c>
      <c r="IY805" s="2672" t="str">
        <f t="shared" si="237"/>
        <v/>
      </c>
      <c r="IZ805" s="2672" t="str">
        <f t="shared" si="238"/>
        <v/>
      </c>
      <c r="JA805" s="2672" t="str">
        <f t="shared" si="239"/>
        <v/>
      </c>
      <c r="JB805" s="2672" t="str">
        <f t="shared" si="240"/>
        <v/>
      </c>
      <c r="JC805" s="2672" t="str">
        <f t="shared" si="241"/>
        <v/>
      </c>
      <c r="JD805" s="2672" t="str">
        <f t="shared" si="242"/>
        <v/>
      </c>
      <c r="JE805" s="2672" t="str">
        <f t="shared" si="243"/>
        <v/>
      </c>
      <c r="JF805" s="2672" t="str">
        <f t="shared" si="244"/>
        <v/>
      </c>
      <c r="JG805" s="2672" t="str">
        <f t="shared" si="245"/>
        <v/>
      </c>
      <c r="JH805" s="2672" t="str">
        <f t="shared" si="246"/>
        <v/>
      </c>
      <c r="JI805" s="2672" t="str">
        <f t="shared" si="247"/>
        <v/>
      </c>
      <c r="JJ805" s="2672" t="str">
        <f t="shared" si="248"/>
        <v/>
      </c>
      <c r="JK805" s="2672" t="str">
        <f t="shared" si="249"/>
        <v/>
      </c>
      <c r="JL805" s="2672" t="str">
        <f t="shared" si="250"/>
        <v/>
      </c>
      <c r="JM805" s="2672" t="str">
        <f t="shared" si="251"/>
        <v/>
      </c>
      <c r="JN805" s="2672" t="str">
        <f t="shared" si="252"/>
        <v/>
      </c>
      <c r="JO805" s="2672" t="str">
        <f t="shared" si="253"/>
        <v/>
      </c>
      <c r="JP805" s="2672" t="str">
        <f t="shared" si="254"/>
        <v/>
      </c>
      <c r="JQ805" s="2672" t="str">
        <f t="shared" si="255"/>
        <v/>
      </c>
      <c r="JR805" s="2672" t="str">
        <f t="shared" si="256"/>
        <v/>
      </c>
      <c r="JS805" s="2672" t="str">
        <f t="shared" si="257"/>
        <v/>
      </c>
      <c r="JT805" s="2672" t="str">
        <f t="shared" si="258"/>
        <v/>
      </c>
      <c r="JU805" s="2672" t="str">
        <f t="shared" si="259"/>
        <v/>
      </c>
      <c r="JV805" s="2672" t="str">
        <f t="shared" si="260"/>
        <v/>
      </c>
      <c r="JW805" s="2672" t="str">
        <f t="shared" si="261"/>
        <v/>
      </c>
      <c r="JX805" s="2672" t="str">
        <f t="shared" si="262"/>
        <v/>
      </c>
      <c r="JY805" s="2672" t="str">
        <f t="shared" si="263"/>
        <v/>
      </c>
      <c r="JZ805" s="2672" t="str">
        <f t="shared" si="264"/>
        <v/>
      </c>
      <c r="KA805" s="2672" t="str">
        <f t="shared" si="265"/>
        <v/>
      </c>
      <c r="KB805" s="2672" t="str">
        <f t="shared" si="266"/>
        <v/>
      </c>
      <c r="KC805" s="2672" t="str">
        <f t="shared" si="267"/>
        <v/>
      </c>
      <c r="KD805" s="2672" t="str">
        <f t="shared" si="268"/>
        <v/>
      </c>
      <c r="KE805" s="2672" t="str">
        <f t="shared" si="269"/>
        <v/>
      </c>
      <c r="KF805" s="2672" t="str">
        <f t="shared" si="270"/>
        <v/>
      </c>
      <c r="KG805" s="2672" t="str">
        <f t="shared" si="271"/>
        <v/>
      </c>
      <c r="KH805" s="2672" t="str">
        <f t="shared" si="272"/>
        <v/>
      </c>
      <c r="KI805" s="2672" t="str">
        <f t="shared" si="273"/>
        <v/>
      </c>
      <c r="KJ805" s="2672" t="str">
        <f t="shared" si="274"/>
        <v/>
      </c>
      <c r="KK805" s="2672" t="str">
        <f t="shared" si="275"/>
        <v/>
      </c>
      <c r="KL805" s="2672" t="str">
        <f t="shared" si="276"/>
        <v/>
      </c>
      <c r="KM805" s="2672" t="str">
        <f t="shared" si="277"/>
        <v/>
      </c>
      <c r="KN805" s="2672" t="str">
        <f t="shared" si="278"/>
        <v/>
      </c>
      <c r="KO805" s="2672" t="str">
        <f t="shared" si="279"/>
        <v/>
      </c>
      <c r="KP805" s="2672" t="str">
        <f t="shared" si="280"/>
        <v/>
      </c>
      <c r="KQ805" s="2672" t="str">
        <f t="shared" si="281"/>
        <v/>
      </c>
      <c r="KR805" s="2672" t="str">
        <f t="shared" si="282"/>
        <v/>
      </c>
      <c r="KS805" s="2672" t="str">
        <f t="shared" si="283"/>
        <v/>
      </c>
      <c r="KT805" s="2672" t="str">
        <f t="shared" si="284"/>
        <v/>
      </c>
      <c r="KU805" s="2672" t="str">
        <f t="shared" si="285"/>
        <v/>
      </c>
      <c r="KV805" s="2672" t="str">
        <f t="shared" si="286"/>
        <v/>
      </c>
      <c r="KW805" s="2672" t="str">
        <f t="shared" si="287"/>
        <v/>
      </c>
      <c r="KX805" s="2672" t="str">
        <f t="shared" si="288"/>
        <v/>
      </c>
      <c r="KY805" s="2672" t="str">
        <f t="shared" si="289"/>
        <v/>
      </c>
      <c r="KZ805" s="2672" t="str">
        <f t="shared" si="290"/>
        <v/>
      </c>
      <c r="LA805" s="2672" t="str">
        <f t="shared" si="291"/>
        <v/>
      </c>
      <c r="LB805" s="2672" t="str">
        <f t="shared" si="292"/>
        <v/>
      </c>
      <c r="LC805" s="2672" t="str">
        <f t="shared" si="293"/>
        <v/>
      </c>
      <c r="LD805" s="2672" t="str">
        <f t="shared" si="294"/>
        <v/>
      </c>
      <c r="LE805" s="2672" t="str">
        <f t="shared" si="295"/>
        <v/>
      </c>
      <c r="LF805" s="2672" t="str">
        <f t="shared" si="296"/>
        <v/>
      </c>
      <c r="LG805" s="2672" t="str">
        <f t="shared" si="297"/>
        <v/>
      </c>
      <c r="LH805" s="2672" t="str">
        <f t="shared" si="298"/>
        <v/>
      </c>
      <c r="LI805" s="2672" t="str">
        <f t="shared" si="299"/>
        <v/>
      </c>
      <c r="LJ805" s="2672" t="str">
        <f t="shared" si="300"/>
        <v/>
      </c>
      <c r="LK805" s="2672" t="str">
        <f t="shared" si="301"/>
        <v/>
      </c>
      <c r="LL805" s="2672" t="str">
        <f t="shared" si="302"/>
        <v/>
      </c>
      <c r="LM805" s="2672" t="str">
        <f t="shared" si="303"/>
        <v/>
      </c>
      <c r="LN805" s="2672" t="str">
        <f t="shared" si="304"/>
        <v/>
      </c>
      <c r="LO805" s="2672" t="str">
        <f t="shared" si="305"/>
        <v/>
      </c>
      <c r="LP805" s="2672" t="str">
        <f t="shared" si="306"/>
        <v/>
      </c>
      <c r="LQ805" s="2613" t="str">
        <f t="shared" si="307"/>
        <v/>
      </c>
      <c r="LR805" s="2613" t="str">
        <f t="shared" si="308"/>
        <v/>
      </c>
      <c r="LS805" s="2613" t="str">
        <f t="shared" si="309"/>
        <v/>
      </c>
      <c r="LT805" s="2613" t="str">
        <f t="shared" si="310"/>
        <v/>
      </c>
      <c r="LU805" s="2613" t="str">
        <f t="shared" si="311"/>
        <v/>
      </c>
      <c r="LV805" s="2494" t="str">
        <f t="shared" si="312"/>
        <v/>
      </c>
      <c r="LW805" s="2494" t="str">
        <f t="shared" si="313"/>
        <v/>
      </c>
      <c r="LX805" s="2494" t="str">
        <f t="shared" si="314"/>
        <v/>
      </c>
      <c r="LY805" s="2494" t="str">
        <f t="shared" si="315"/>
        <v/>
      </c>
      <c r="LZ805" s="2494" t="str">
        <f t="shared" si="316"/>
        <v/>
      </c>
      <c r="MA805" s="2494" t="str">
        <f t="shared" si="317"/>
        <v/>
      </c>
      <c r="MB805" s="2494" t="str">
        <f t="shared" si="318"/>
        <v/>
      </c>
      <c r="MC805" s="2494" t="str">
        <f t="shared" si="319"/>
        <v/>
      </c>
      <c r="MD805" s="2494" t="str">
        <f t="shared" si="320"/>
        <v/>
      </c>
      <c r="ME805" s="2494" t="str">
        <f t="shared" si="321"/>
        <v/>
      </c>
      <c r="MF805" s="2494" t="str">
        <f t="shared" si="322"/>
        <v/>
      </c>
      <c r="MG805" s="2494" t="str">
        <f t="shared" si="323"/>
        <v/>
      </c>
      <c r="MH805" s="2494" t="str">
        <f t="shared" si="324"/>
        <v/>
      </c>
      <c r="MI805" s="2494" t="str">
        <f t="shared" si="325"/>
        <v/>
      </c>
      <c r="MJ805" s="2494" t="str">
        <f t="shared" si="326"/>
        <v/>
      </c>
      <c r="MK805" s="2494" t="str">
        <f t="shared" si="327"/>
        <v/>
      </c>
      <c r="ML805" s="2494" t="str">
        <f t="shared" si="328"/>
        <v/>
      </c>
      <c r="MM805" s="2494" t="str">
        <f t="shared" si="329"/>
        <v/>
      </c>
      <c r="MN805" s="2494" t="str">
        <f t="shared" si="330"/>
        <v/>
      </c>
      <c r="MO805" s="2494" t="str">
        <f t="shared" si="331"/>
        <v/>
      </c>
      <c r="MP805" s="2613">
        <f t="shared" si="338"/>
        <v>0</v>
      </c>
      <c r="MQ805" s="2613">
        <f t="shared" si="339"/>
        <v>0</v>
      </c>
      <c r="MR805" s="2613">
        <f t="shared" si="340"/>
        <v>0</v>
      </c>
      <c r="MS805" s="2613">
        <f t="shared" si="341"/>
        <v>0</v>
      </c>
      <c r="MT805" s="2613">
        <f t="shared" si="342"/>
        <v>0</v>
      </c>
      <c r="MU805" s="2613">
        <f t="shared" si="343"/>
        <v>0</v>
      </c>
      <c r="MV805" s="2613">
        <f t="shared" si="344"/>
        <v>0</v>
      </c>
      <c r="MW805" s="2613">
        <f t="shared" si="345"/>
        <v>0</v>
      </c>
      <c r="MX805" s="2613">
        <f t="shared" si="346"/>
        <v>0</v>
      </c>
      <c r="MY805" s="2613">
        <f t="shared" si="347"/>
        <v>0</v>
      </c>
      <c r="MZ805" s="2613">
        <f t="shared" si="332"/>
        <v>0</v>
      </c>
      <c r="NA805" s="2613">
        <f t="shared" si="333"/>
        <v>0</v>
      </c>
      <c r="NB805" s="2613">
        <f t="shared" si="334"/>
        <v>0</v>
      </c>
      <c r="NC805" s="2613">
        <f t="shared" si="335"/>
        <v>0</v>
      </c>
      <c r="ND805" s="2613">
        <f t="shared" si="336"/>
        <v>0</v>
      </c>
    </row>
    <row r="806" spans="1:368" ht="13.8" customHeight="1">
      <c r="A806" s="2652" t="str">
        <f t="shared" si="337"/>
        <v/>
      </c>
      <c r="B806" s="2664">
        <f>'Part VI-Revenues &amp; Expenses'!B37</f>
        <v>0</v>
      </c>
      <c r="C806" s="2665">
        <f>'Part VI-Revenues &amp; Expenses'!C37</f>
        <v>0</v>
      </c>
      <c r="D806" s="2666">
        <f>'Part VI-Revenues &amp; Expenses'!D37</f>
        <v>0</v>
      </c>
      <c r="E806" s="2667">
        <f>'Part VI-Revenues &amp; Expenses'!E37</f>
        <v>0</v>
      </c>
      <c r="F806" s="2667">
        <f>'Part VI-Revenues &amp; Expenses'!F37</f>
        <v>0</v>
      </c>
      <c r="G806" s="2667">
        <f>'Part VI-Revenues &amp; Expenses'!G37</f>
        <v>0</v>
      </c>
      <c r="H806" s="2667">
        <f>'Part VI-Revenues &amp; Expenses'!H37</f>
        <v>0</v>
      </c>
      <c r="I806" s="2667">
        <f>'Part VI-Revenues &amp; Expenses'!I37</f>
        <v>0</v>
      </c>
      <c r="J806" s="2667">
        <f>'Part VI-Revenues &amp; Expenses'!J37</f>
        <v>0</v>
      </c>
      <c r="K806" s="2668">
        <f>'Part VI-Revenues &amp; Expenses'!K37</f>
        <v>0</v>
      </c>
      <c r="L806" s="2669">
        <f t="shared" si="0"/>
        <v>0</v>
      </c>
      <c r="M806" s="2669">
        <f t="shared" si="1"/>
        <v>0</v>
      </c>
      <c r="N806" s="2545">
        <f>'Part VI-Revenues &amp; Expenses'!N37</f>
        <v>0</v>
      </c>
      <c r="O806" s="2545">
        <f>'Part VI-Revenues &amp; Expenses'!O37</f>
        <v>0</v>
      </c>
      <c r="P806" s="2545">
        <f>'Part VI-Revenues &amp; Expenses'!P37</f>
        <v>0</v>
      </c>
      <c r="Q806" s="2251">
        <f>'Part VI-Revenues &amp; Expenses'!Q37</f>
        <v>0</v>
      </c>
      <c r="R806" s="2670"/>
      <c r="S806" s="2671"/>
      <c r="T806" s="2607"/>
      <c r="U806" s="2607"/>
      <c r="V806" s="2607"/>
      <c r="W806" s="2607"/>
      <c r="X806" s="2494" t="str">
        <f t="shared" si="2"/>
        <v/>
      </c>
      <c r="Y806" s="2494" t="str">
        <f t="shared" si="3"/>
        <v/>
      </c>
      <c r="Z806" s="2494" t="str">
        <f t="shared" si="4"/>
        <v/>
      </c>
      <c r="AA806" s="2494" t="str">
        <f t="shared" si="5"/>
        <v/>
      </c>
      <c r="AB806" s="2494" t="str">
        <f t="shared" si="6"/>
        <v/>
      </c>
      <c r="AC806" s="2494" t="str">
        <f t="shared" si="7"/>
        <v/>
      </c>
      <c r="AD806" s="2494" t="str">
        <f t="shared" si="8"/>
        <v/>
      </c>
      <c r="AE806" s="2494" t="str">
        <f t="shared" si="9"/>
        <v/>
      </c>
      <c r="AF806" s="2494" t="str">
        <f t="shared" si="10"/>
        <v/>
      </c>
      <c r="AG806" s="2494" t="str">
        <f t="shared" si="11"/>
        <v/>
      </c>
      <c r="AH806" s="2494" t="str">
        <f t="shared" si="12"/>
        <v/>
      </c>
      <c r="AI806" s="2494" t="str">
        <f t="shared" si="13"/>
        <v/>
      </c>
      <c r="AJ806" s="2494" t="str">
        <f t="shared" si="14"/>
        <v/>
      </c>
      <c r="AK806" s="2494" t="str">
        <f t="shared" si="15"/>
        <v/>
      </c>
      <c r="AL806" s="2494" t="str">
        <f t="shared" si="16"/>
        <v/>
      </c>
      <c r="AM806" s="2494" t="str">
        <f t="shared" si="17"/>
        <v/>
      </c>
      <c r="AN806" s="2494" t="str">
        <f t="shared" si="18"/>
        <v/>
      </c>
      <c r="AO806" s="2494" t="str">
        <f t="shared" si="19"/>
        <v/>
      </c>
      <c r="AP806" s="2494" t="str">
        <f t="shared" si="20"/>
        <v/>
      </c>
      <c r="AQ806" s="2494" t="str">
        <f t="shared" si="21"/>
        <v/>
      </c>
      <c r="AR806" s="2494" t="str">
        <f t="shared" si="22"/>
        <v/>
      </c>
      <c r="AS806" s="2494" t="str">
        <f t="shared" si="23"/>
        <v/>
      </c>
      <c r="AT806" s="2494" t="str">
        <f t="shared" si="24"/>
        <v/>
      </c>
      <c r="AU806" s="2494" t="str">
        <f t="shared" si="25"/>
        <v/>
      </c>
      <c r="AV806" s="2494" t="str">
        <f t="shared" si="26"/>
        <v/>
      </c>
      <c r="AW806" s="2494" t="str">
        <f t="shared" si="27"/>
        <v/>
      </c>
      <c r="AX806" s="2494" t="str">
        <f t="shared" si="28"/>
        <v/>
      </c>
      <c r="AY806" s="2494" t="str">
        <f t="shared" si="29"/>
        <v/>
      </c>
      <c r="AZ806" s="2494" t="str">
        <f t="shared" si="30"/>
        <v/>
      </c>
      <c r="BA806" s="2494" t="str">
        <f t="shared" si="31"/>
        <v/>
      </c>
      <c r="BB806" s="2494" t="str">
        <f t="shared" si="32"/>
        <v/>
      </c>
      <c r="BC806" s="2494" t="str">
        <f t="shared" si="33"/>
        <v/>
      </c>
      <c r="BD806" s="2494" t="str">
        <f t="shared" si="34"/>
        <v/>
      </c>
      <c r="BE806" s="2494" t="str">
        <f t="shared" si="35"/>
        <v/>
      </c>
      <c r="BF806" s="2494" t="str">
        <f t="shared" si="36"/>
        <v/>
      </c>
      <c r="BG806" s="2494" t="str">
        <f t="shared" si="37"/>
        <v/>
      </c>
      <c r="BH806" s="2494" t="str">
        <f t="shared" si="38"/>
        <v/>
      </c>
      <c r="BI806" s="2494" t="str">
        <f t="shared" si="39"/>
        <v/>
      </c>
      <c r="BJ806" s="2494" t="str">
        <f t="shared" si="40"/>
        <v/>
      </c>
      <c r="BK806" s="2494" t="str">
        <f t="shared" si="41"/>
        <v/>
      </c>
      <c r="BL806" s="2494" t="str">
        <f t="shared" si="42"/>
        <v/>
      </c>
      <c r="BM806" s="2494" t="str">
        <f t="shared" si="43"/>
        <v/>
      </c>
      <c r="BN806" s="2494" t="str">
        <f t="shared" si="44"/>
        <v/>
      </c>
      <c r="BO806" s="2494" t="str">
        <f t="shared" si="45"/>
        <v/>
      </c>
      <c r="BP806" s="2494" t="str">
        <f t="shared" si="46"/>
        <v/>
      </c>
      <c r="BQ806" s="2494" t="str">
        <f t="shared" si="47"/>
        <v/>
      </c>
      <c r="BR806" s="2494" t="str">
        <f t="shared" si="48"/>
        <v/>
      </c>
      <c r="BS806" s="2494" t="str">
        <f t="shared" si="49"/>
        <v/>
      </c>
      <c r="BT806" s="2494" t="str">
        <f t="shared" si="50"/>
        <v/>
      </c>
      <c r="BU806" s="2494" t="str">
        <f t="shared" si="51"/>
        <v/>
      </c>
      <c r="BV806" s="2494" t="str">
        <f t="shared" si="52"/>
        <v/>
      </c>
      <c r="BW806" s="2494" t="str">
        <f t="shared" si="53"/>
        <v/>
      </c>
      <c r="BX806" s="2494" t="str">
        <f t="shared" si="54"/>
        <v/>
      </c>
      <c r="BY806" s="2494" t="str">
        <f t="shared" si="55"/>
        <v/>
      </c>
      <c r="BZ806" s="2494" t="str">
        <f t="shared" si="56"/>
        <v/>
      </c>
      <c r="CA806" s="2494" t="str">
        <f t="shared" si="57"/>
        <v/>
      </c>
      <c r="CB806" s="2494" t="str">
        <f t="shared" si="58"/>
        <v/>
      </c>
      <c r="CC806" s="2494" t="str">
        <f t="shared" si="59"/>
        <v/>
      </c>
      <c r="CD806" s="2494" t="str">
        <f t="shared" si="60"/>
        <v/>
      </c>
      <c r="CE806" s="2494" t="str">
        <f t="shared" si="61"/>
        <v/>
      </c>
      <c r="CF806" s="2494" t="str">
        <f t="shared" si="62"/>
        <v/>
      </c>
      <c r="CG806" s="2494" t="str">
        <f t="shared" si="63"/>
        <v/>
      </c>
      <c r="CH806" s="2494" t="str">
        <f t="shared" si="64"/>
        <v/>
      </c>
      <c r="CI806" s="2494" t="str">
        <f t="shared" si="65"/>
        <v/>
      </c>
      <c r="CJ806" s="2494" t="str">
        <f t="shared" si="66"/>
        <v/>
      </c>
      <c r="CK806" s="2494" t="str">
        <f t="shared" si="67"/>
        <v/>
      </c>
      <c r="CL806" s="2494" t="str">
        <f t="shared" si="68"/>
        <v/>
      </c>
      <c r="CM806" s="2494" t="str">
        <f t="shared" si="69"/>
        <v/>
      </c>
      <c r="CN806" s="2494" t="str">
        <f t="shared" si="70"/>
        <v/>
      </c>
      <c r="CO806" s="2494" t="str">
        <f t="shared" si="71"/>
        <v/>
      </c>
      <c r="CP806" s="2494" t="str">
        <f t="shared" si="72"/>
        <v/>
      </c>
      <c r="CQ806" s="2494" t="str">
        <f t="shared" si="73"/>
        <v/>
      </c>
      <c r="CR806" s="2494" t="str">
        <f t="shared" si="74"/>
        <v/>
      </c>
      <c r="CS806" s="2494" t="str">
        <f t="shared" si="75"/>
        <v/>
      </c>
      <c r="CT806" s="2494" t="str">
        <f t="shared" si="76"/>
        <v/>
      </c>
      <c r="CU806" s="2494" t="str">
        <f t="shared" si="77"/>
        <v/>
      </c>
      <c r="CV806" s="2494" t="str">
        <f t="shared" si="78"/>
        <v/>
      </c>
      <c r="CW806" s="2494" t="str">
        <f t="shared" si="79"/>
        <v/>
      </c>
      <c r="CX806" s="2494" t="str">
        <f t="shared" si="80"/>
        <v/>
      </c>
      <c r="CY806" s="2494" t="str">
        <f t="shared" si="81"/>
        <v/>
      </c>
      <c r="CZ806" s="2494" t="str">
        <f t="shared" si="82"/>
        <v/>
      </c>
      <c r="DA806" s="2494" t="str">
        <f t="shared" si="83"/>
        <v/>
      </c>
      <c r="DB806" s="2494" t="str">
        <f t="shared" si="84"/>
        <v/>
      </c>
      <c r="DC806" s="2494" t="str">
        <f t="shared" si="85"/>
        <v/>
      </c>
      <c r="DD806" s="2494" t="str">
        <f t="shared" si="86"/>
        <v/>
      </c>
      <c r="DE806" s="2494" t="str">
        <f t="shared" si="87"/>
        <v/>
      </c>
      <c r="DF806" s="2494" t="str">
        <f t="shared" si="88"/>
        <v/>
      </c>
      <c r="DG806" s="2494" t="str">
        <f t="shared" si="89"/>
        <v/>
      </c>
      <c r="DH806" s="2494" t="str">
        <f t="shared" si="90"/>
        <v/>
      </c>
      <c r="DI806" s="2494" t="str">
        <f t="shared" si="91"/>
        <v/>
      </c>
      <c r="DJ806" s="2494" t="str">
        <f t="shared" si="92"/>
        <v/>
      </c>
      <c r="DK806" s="2494" t="str">
        <f t="shared" si="93"/>
        <v/>
      </c>
      <c r="DL806" s="2494" t="str">
        <f t="shared" si="94"/>
        <v/>
      </c>
      <c r="DM806" s="2494" t="str">
        <f t="shared" si="95"/>
        <v/>
      </c>
      <c r="DN806" s="2494" t="str">
        <f t="shared" si="96"/>
        <v/>
      </c>
      <c r="DO806" s="2494" t="str">
        <f t="shared" si="97"/>
        <v/>
      </c>
      <c r="DP806" s="2494" t="str">
        <f t="shared" si="98"/>
        <v/>
      </c>
      <c r="DQ806" s="2494" t="str">
        <f t="shared" si="99"/>
        <v/>
      </c>
      <c r="DR806" s="2494" t="str">
        <f t="shared" si="100"/>
        <v/>
      </c>
      <c r="DS806" s="2494" t="str">
        <f t="shared" si="101"/>
        <v/>
      </c>
      <c r="DT806" s="2494" t="str">
        <f t="shared" si="102"/>
        <v/>
      </c>
      <c r="DU806" s="2494" t="str">
        <f t="shared" si="103"/>
        <v/>
      </c>
      <c r="DV806" s="2494" t="str">
        <f t="shared" si="104"/>
        <v/>
      </c>
      <c r="DW806" s="2494" t="str">
        <f t="shared" si="105"/>
        <v/>
      </c>
      <c r="DX806" s="2494" t="str">
        <f t="shared" si="106"/>
        <v/>
      </c>
      <c r="DY806" s="2494" t="str">
        <f t="shared" si="107"/>
        <v/>
      </c>
      <c r="DZ806" s="2494" t="str">
        <f t="shared" si="108"/>
        <v/>
      </c>
      <c r="EA806" s="2494" t="str">
        <f t="shared" si="109"/>
        <v/>
      </c>
      <c r="EB806" s="2494" t="str">
        <f t="shared" si="110"/>
        <v/>
      </c>
      <c r="EC806" s="2494" t="str">
        <f t="shared" si="111"/>
        <v/>
      </c>
      <c r="ED806" s="2494" t="str">
        <f t="shared" si="112"/>
        <v/>
      </c>
      <c r="EE806" s="2494" t="str">
        <f t="shared" si="113"/>
        <v/>
      </c>
      <c r="EF806" s="2494" t="str">
        <f t="shared" si="114"/>
        <v/>
      </c>
      <c r="EG806" s="2494" t="str">
        <f t="shared" si="115"/>
        <v/>
      </c>
      <c r="EH806" s="2494" t="str">
        <f t="shared" si="116"/>
        <v/>
      </c>
      <c r="EI806" s="2494" t="str">
        <f t="shared" si="117"/>
        <v/>
      </c>
      <c r="EJ806" s="2494" t="str">
        <f t="shared" si="118"/>
        <v/>
      </c>
      <c r="EK806" s="2494" t="str">
        <f t="shared" si="119"/>
        <v/>
      </c>
      <c r="EL806" s="2494" t="str">
        <f t="shared" si="120"/>
        <v/>
      </c>
      <c r="EM806" s="2494" t="str">
        <f t="shared" si="121"/>
        <v/>
      </c>
      <c r="EN806" s="2494" t="str">
        <f t="shared" si="122"/>
        <v/>
      </c>
      <c r="EO806" s="2494" t="str">
        <f t="shared" si="123"/>
        <v/>
      </c>
      <c r="EP806" s="2494" t="str">
        <f t="shared" si="124"/>
        <v/>
      </c>
      <c r="EQ806" s="2494" t="str">
        <f t="shared" si="125"/>
        <v/>
      </c>
      <c r="ER806" s="2494" t="str">
        <f t="shared" si="126"/>
        <v/>
      </c>
      <c r="ES806" s="2494" t="str">
        <f t="shared" si="127"/>
        <v/>
      </c>
      <c r="ET806" s="2494" t="str">
        <f t="shared" si="128"/>
        <v/>
      </c>
      <c r="EU806" s="2494" t="str">
        <f t="shared" si="129"/>
        <v/>
      </c>
      <c r="EV806" s="2494" t="str">
        <f t="shared" si="130"/>
        <v/>
      </c>
      <c r="EW806" s="2494" t="str">
        <f t="shared" si="131"/>
        <v/>
      </c>
      <c r="EX806" s="2494" t="str">
        <f t="shared" si="132"/>
        <v/>
      </c>
      <c r="EY806" s="2494" t="str">
        <f t="shared" si="133"/>
        <v/>
      </c>
      <c r="EZ806" s="2494" t="str">
        <f t="shared" si="134"/>
        <v/>
      </c>
      <c r="FA806" s="2494" t="str">
        <f t="shared" si="135"/>
        <v/>
      </c>
      <c r="FB806" s="2494" t="str">
        <f t="shared" si="136"/>
        <v/>
      </c>
      <c r="FC806" s="2494" t="str">
        <f t="shared" si="137"/>
        <v/>
      </c>
      <c r="FD806" s="2494" t="str">
        <f t="shared" si="138"/>
        <v/>
      </c>
      <c r="FE806" s="2494" t="str">
        <f t="shared" si="139"/>
        <v/>
      </c>
      <c r="FF806" s="2494" t="str">
        <f t="shared" si="140"/>
        <v/>
      </c>
      <c r="FG806" s="2494" t="str">
        <f t="shared" si="141"/>
        <v/>
      </c>
      <c r="FH806" s="2494" t="str">
        <f t="shared" si="142"/>
        <v/>
      </c>
      <c r="FI806" s="2494" t="str">
        <f t="shared" si="143"/>
        <v/>
      </c>
      <c r="FJ806" s="2494" t="str">
        <f t="shared" si="144"/>
        <v/>
      </c>
      <c r="FK806" s="2494" t="str">
        <f t="shared" si="145"/>
        <v/>
      </c>
      <c r="FL806" s="2494" t="str">
        <f t="shared" si="146"/>
        <v/>
      </c>
      <c r="FM806" s="2494" t="str">
        <f t="shared" si="147"/>
        <v/>
      </c>
      <c r="FN806" s="2494" t="str">
        <f t="shared" si="148"/>
        <v/>
      </c>
      <c r="FO806" s="2494" t="str">
        <f t="shared" si="149"/>
        <v/>
      </c>
      <c r="FP806" s="2494" t="str">
        <f t="shared" si="150"/>
        <v/>
      </c>
      <c r="FQ806" s="2494" t="str">
        <f t="shared" si="151"/>
        <v/>
      </c>
      <c r="FR806" s="2494" t="str">
        <f t="shared" si="152"/>
        <v/>
      </c>
      <c r="FS806" s="2494" t="str">
        <f t="shared" si="153"/>
        <v/>
      </c>
      <c r="FT806" s="2494" t="str">
        <f t="shared" si="154"/>
        <v/>
      </c>
      <c r="FU806" s="2494" t="str">
        <f t="shared" si="155"/>
        <v/>
      </c>
      <c r="FV806" s="2494" t="str">
        <f t="shared" si="156"/>
        <v/>
      </c>
      <c r="FW806" s="2494" t="str">
        <f t="shared" si="157"/>
        <v/>
      </c>
      <c r="FX806" s="2494" t="str">
        <f t="shared" si="158"/>
        <v/>
      </c>
      <c r="FY806" s="2494" t="str">
        <f t="shared" si="159"/>
        <v/>
      </c>
      <c r="FZ806" s="2494" t="str">
        <f t="shared" si="160"/>
        <v/>
      </c>
      <c r="GA806" s="2494" t="str">
        <f t="shared" si="161"/>
        <v/>
      </c>
      <c r="GB806" s="2494" t="str">
        <f t="shared" si="162"/>
        <v/>
      </c>
      <c r="GC806" s="2494" t="str">
        <f t="shared" si="163"/>
        <v/>
      </c>
      <c r="GD806" s="2494" t="str">
        <f t="shared" si="164"/>
        <v/>
      </c>
      <c r="GE806" s="2494" t="str">
        <f t="shared" si="165"/>
        <v/>
      </c>
      <c r="GF806" s="2494" t="str">
        <f t="shared" si="166"/>
        <v/>
      </c>
      <c r="GG806" s="2494" t="str">
        <f t="shared" si="167"/>
        <v/>
      </c>
      <c r="GH806" s="2494" t="str">
        <f t="shared" si="168"/>
        <v/>
      </c>
      <c r="GI806" s="2494" t="str">
        <f t="shared" si="169"/>
        <v/>
      </c>
      <c r="GJ806" s="2494" t="str">
        <f t="shared" si="170"/>
        <v/>
      </c>
      <c r="GK806" s="2494" t="str">
        <f t="shared" si="171"/>
        <v/>
      </c>
      <c r="GL806" s="2494" t="str">
        <f t="shared" si="172"/>
        <v/>
      </c>
      <c r="GM806" s="2494" t="str">
        <f t="shared" si="173"/>
        <v/>
      </c>
      <c r="GN806" s="2494" t="str">
        <f t="shared" si="174"/>
        <v/>
      </c>
      <c r="GO806" s="2494" t="str">
        <f t="shared" si="175"/>
        <v/>
      </c>
      <c r="GP806" s="2494" t="str">
        <f t="shared" si="176"/>
        <v/>
      </c>
      <c r="GQ806" s="2494" t="str">
        <f t="shared" si="177"/>
        <v/>
      </c>
      <c r="GR806" s="2494" t="str">
        <f t="shared" si="178"/>
        <v/>
      </c>
      <c r="GS806" s="2494" t="str">
        <f t="shared" si="179"/>
        <v/>
      </c>
      <c r="GT806" s="2494" t="str">
        <f t="shared" si="180"/>
        <v/>
      </c>
      <c r="GU806" s="2494" t="str">
        <f t="shared" si="181"/>
        <v/>
      </c>
      <c r="GV806" s="2494" t="str">
        <f t="shared" si="182"/>
        <v/>
      </c>
      <c r="GW806" s="2494" t="str">
        <f t="shared" si="183"/>
        <v/>
      </c>
      <c r="GX806" s="2494" t="str">
        <f t="shared" si="184"/>
        <v/>
      </c>
      <c r="GY806" s="2494" t="str">
        <f t="shared" si="185"/>
        <v/>
      </c>
      <c r="GZ806" s="2494" t="str">
        <f t="shared" si="186"/>
        <v/>
      </c>
      <c r="HA806" s="2494" t="str">
        <f t="shared" si="187"/>
        <v/>
      </c>
      <c r="HB806" s="2494" t="str">
        <f t="shared" si="188"/>
        <v/>
      </c>
      <c r="HC806" s="2494" t="str">
        <f t="shared" si="189"/>
        <v/>
      </c>
      <c r="HD806" s="2494" t="str">
        <f t="shared" si="190"/>
        <v/>
      </c>
      <c r="HE806" s="2494" t="str">
        <f t="shared" si="191"/>
        <v/>
      </c>
      <c r="HF806" s="2494" t="str">
        <f t="shared" si="192"/>
        <v/>
      </c>
      <c r="HG806" s="2494" t="str">
        <f t="shared" si="193"/>
        <v/>
      </c>
      <c r="HH806" s="2494" t="str">
        <f t="shared" si="194"/>
        <v/>
      </c>
      <c r="HI806" s="2494" t="str">
        <f t="shared" si="195"/>
        <v/>
      </c>
      <c r="HJ806" s="2494" t="str">
        <f t="shared" si="196"/>
        <v/>
      </c>
      <c r="HK806" s="2494" t="str">
        <f t="shared" si="197"/>
        <v/>
      </c>
      <c r="HL806" s="2494" t="str">
        <f t="shared" si="198"/>
        <v/>
      </c>
      <c r="HM806" s="2494" t="str">
        <f t="shared" si="199"/>
        <v/>
      </c>
      <c r="HN806" s="2494" t="str">
        <f t="shared" si="200"/>
        <v/>
      </c>
      <c r="HO806" s="2494" t="str">
        <f t="shared" si="201"/>
        <v/>
      </c>
      <c r="HP806" s="2494" t="str">
        <f t="shared" si="202"/>
        <v/>
      </c>
      <c r="HQ806" s="2494" t="str">
        <f t="shared" si="203"/>
        <v/>
      </c>
      <c r="HR806" s="2494" t="str">
        <f t="shared" si="204"/>
        <v/>
      </c>
      <c r="HS806" s="2494" t="str">
        <f t="shared" si="205"/>
        <v/>
      </c>
      <c r="HT806" s="2494" t="str">
        <f t="shared" si="206"/>
        <v/>
      </c>
      <c r="HU806" s="2494" t="str">
        <f t="shared" si="207"/>
        <v/>
      </c>
      <c r="HV806" s="2494" t="str">
        <f t="shared" si="208"/>
        <v/>
      </c>
      <c r="HW806" s="2494" t="str">
        <f t="shared" si="209"/>
        <v/>
      </c>
      <c r="HX806" s="2494" t="str">
        <f t="shared" si="210"/>
        <v/>
      </c>
      <c r="HY806" s="2494" t="str">
        <f t="shared" si="211"/>
        <v/>
      </c>
      <c r="HZ806" s="2672" t="str">
        <f t="shared" si="212"/>
        <v/>
      </c>
      <c r="IA806" s="2672" t="str">
        <f t="shared" si="213"/>
        <v/>
      </c>
      <c r="IB806" s="2672" t="str">
        <f t="shared" si="214"/>
        <v/>
      </c>
      <c r="IC806" s="2672" t="str">
        <f t="shared" si="215"/>
        <v/>
      </c>
      <c r="ID806" s="2672" t="str">
        <f t="shared" si="216"/>
        <v/>
      </c>
      <c r="IE806" s="2672" t="str">
        <f t="shared" si="217"/>
        <v/>
      </c>
      <c r="IF806" s="2672" t="str">
        <f t="shared" si="218"/>
        <v/>
      </c>
      <c r="IG806" s="2672" t="str">
        <f t="shared" si="219"/>
        <v/>
      </c>
      <c r="IH806" s="2672" t="str">
        <f t="shared" si="220"/>
        <v/>
      </c>
      <c r="II806" s="2672" t="str">
        <f t="shared" si="221"/>
        <v/>
      </c>
      <c r="IJ806" s="2672" t="str">
        <f t="shared" si="222"/>
        <v/>
      </c>
      <c r="IK806" s="2672" t="str">
        <f t="shared" si="223"/>
        <v/>
      </c>
      <c r="IL806" s="2672" t="str">
        <f t="shared" si="224"/>
        <v/>
      </c>
      <c r="IM806" s="2672" t="str">
        <f t="shared" si="225"/>
        <v/>
      </c>
      <c r="IN806" s="2672" t="str">
        <f t="shared" si="226"/>
        <v/>
      </c>
      <c r="IO806" s="2672" t="str">
        <f t="shared" si="227"/>
        <v/>
      </c>
      <c r="IP806" s="2672" t="str">
        <f t="shared" si="228"/>
        <v/>
      </c>
      <c r="IQ806" s="2672" t="str">
        <f t="shared" si="229"/>
        <v/>
      </c>
      <c r="IR806" s="2672" t="str">
        <f t="shared" si="230"/>
        <v/>
      </c>
      <c r="IS806" s="2672" t="str">
        <f t="shared" si="231"/>
        <v/>
      </c>
      <c r="IT806" s="2672" t="str">
        <f t="shared" si="232"/>
        <v/>
      </c>
      <c r="IU806" s="2672" t="str">
        <f t="shared" si="233"/>
        <v/>
      </c>
      <c r="IV806" s="2672" t="str">
        <f t="shared" si="234"/>
        <v/>
      </c>
      <c r="IW806" s="2672" t="str">
        <f t="shared" si="235"/>
        <v/>
      </c>
      <c r="IX806" s="2672" t="str">
        <f t="shared" si="236"/>
        <v/>
      </c>
      <c r="IY806" s="2672" t="str">
        <f t="shared" si="237"/>
        <v/>
      </c>
      <c r="IZ806" s="2672" t="str">
        <f t="shared" si="238"/>
        <v/>
      </c>
      <c r="JA806" s="2672" t="str">
        <f t="shared" si="239"/>
        <v/>
      </c>
      <c r="JB806" s="2672" t="str">
        <f t="shared" si="240"/>
        <v/>
      </c>
      <c r="JC806" s="2672" t="str">
        <f t="shared" si="241"/>
        <v/>
      </c>
      <c r="JD806" s="2672" t="str">
        <f t="shared" si="242"/>
        <v/>
      </c>
      <c r="JE806" s="2672" t="str">
        <f t="shared" si="243"/>
        <v/>
      </c>
      <c r="JF806" s="2672" t="str">
        <f t="shared" si="244"/>
        <v/>
      </c>
      <c r="JG806" s="2672" t="str">
        <f t="shared" si="245"/>
        <v/>
      </c>
      <c r="JH806" s="2672" t="str">
        <f t="shared" si="246"/>
        <v/>
      </c>
      <c r="JI806" s="2672" t="str">
        <f t="shared" si="247"/>
        <v/>
      </c>
      <c r="JJ806" s="2672" t="str">
        <f t="shared" si="248"/>
        <v/>
      </c>
      <c r="JK806" s="2672" t="str">
        <f t="shared" si="249"/>
        <v/>
      </c>
      <c r="JL806" s="2672" t="str">
        <f t="shared" si="250"/>
        <v/>
      </c>
      <c r="JM806" s="2672" t="str">
        <f t="shared" si="251"/>
        <v/>
      </c>
      <c r="JN806" s="2672" t="str">
        <f t="shared" si="252"/>
        <v/>
      </c>
      <c r="JO806" s="2672" t="str">
        <f t="shared" si="253"/>
        <v/>
      </c>
      <c r="JP806" s="2672" t="str">
        <f t="shared" si="254"/>
        <v/>
      </c>
      <c r="JQ806" s="2672" t="str">
        <f t="shared" si="255"/>
        <v/>
      </c>
      <c r="JR806" s="2672" t="str">
        <f t="shared" si="256"/>
        <v/>
      </c>
      <c r="JS806" s="2672" t="str">
        <f t="shared" si="257"/>
        <v/>
      </c>
      <c r="JT806" s="2672" t="str">
        <f t="shared" si="258"/>
        <v/>
      </c>
      <c r="JU806" s="2672" t="str">
        <f t="shared" si="259"/>
        <v/>
      </c>
      <c r="JV806" s="2672" t="str">
        <f t="shared" si="260"/>
        <v/>
      </c>
      <c r="JW806" s="2672" t="str">
        <f t="shared" si="261"/>
        <v/>
      </c>
      <c r="JX806" s="2672" t="str">
        <f t="shared" si="262"/>
        <v/>
      </c>
      <c r="JY806" s="2672" t="str">
        <f t="shared" si="263"/>
        <v/>
      </c>
      <c r="JZ806" s="2672" t="str">
        <f t="shared" si="264"/>
        <v/>
      </c>
      <c r="KA806" s="2672" t="str">
        <f t="shared" si="265"/>
        <v/>
      </c>
      <c r="KB806" s="2672" t="str">
        <f t="shared" si="266"/>
        <v/>
      </c>
      <c r="KC806" s="2672" t="str">
        <f t="shared" si="267"/>
        <v/>
      </c>
      <c r="KD806" s="2672" t="str">
        <f t="shared" si="268"/>
        <v/>
      </c>
      <c r="KE806" s="2672" t="str">
        <f t="shared" si="269"/>
        <v/>
      </c>
      <c r="KF806" s="2672" t="str">
        <f t="shared" si="270"/>
        <v/>
      </c>
      <c r="KG806" s="2672" t="str">
        <f t="shared" si="271"/>
        <v/>
      </c>
      <c r="KH806" s="2672" t="str">
        <f t="shared" si="272"/>
        <v/>
      </c>
      <c r="KI806" s="2672" t="str">
        <f t="shared" si="273"/>
        <v/>
      </c>
      <c r="KJ806" s="2672" t="str">
        <f t="shared" si="274"/>
        <v/>
      </c>
      <c r="KK806" s="2672" t="str">
        <f t="shared" si="275"/>
        <v/>
      </c>
      <c r="KL806" s="2672" t="str">
        <f t="shared" si="276"/>
        <v/>
      </c>
      <c r="KM806" s="2672" t="str">
        <f t="shared" si="277"/>
        <v/>
      </c>
      <c r="KN806" s="2672" t="str">
        <f t="shared" si="278"/>
        <v/>
      </c>
      <c r="KO806" s="2672" t="str">
        <f t="shared" si="279"/>
        <v/>
      </c>
      <c r="KP806" s="2672" t="str">
        <f t="shared" si="280"/>
        <v/>
      </c>
      <c r="KQ806" s="2672" t="str">
        <f t="shared" si="281"/>
        <v/>
      </c>
      <c r="KR806" s="2672" t="str">
        <f t="shared" si="282"/>
        <v/>
      </c>
      <c r="KS806" s="2672" t="str">
        <f t="shared" si="283"/>
        <v/>
      </c>
      <c r="KT806" s="2672" t="str">
        <f t="shared" si="284"/>
        <v/>
      </c>
      <c r="KU806" s="2672" t="str">
        <f t="shared" si="285"/>
        <v/>
      </c>
      <c r="KV806" s="2672" t="str">
        <f t="shared" si="286"/>
        <v/>
      </c>
      <c r="KW806" s="2672" t="str">
        <f t="shared" si="287"/>
        <v/>
      </c>
      <c r="KX806" s="2672" t="str">
        <f t="shared" si="288"/>
        <v/>
      </c>
      <c r="KY806" s="2672" t="str">
        <f t="shared" si="289"/>
        <v/>
      </c>
      <c r="KZ806" s="2672" t="str">
        <f t="shared" si="290"/>
        <v/>
      </c>
      <c r="LA806" s="2672" t="str">
        <f t="shared" si="291"/>
        <v/>
      </c>
      <c r="LB806" s="2672" t="str">
        <f t="shared" si="292"/>
        <v/>
      </c>
      <c r="LC806" s="2672" t="str">
        <f t="shared" si="293"/>
        <v/>
      </c>
      <c r="LD806" s="2672" t="str">
        <f t="shared" si="294"/>
        <v/>
      </c>
      <c r="LE806" s="2672" t="str">
        <f t="shared" si="295"/>
        <v/>
      </c>
      <c r="LF806" s="2672" t="str">
        <f t="shared" si="296"/>
        <v/>
      </c>
      <c r="LG806" s="2672" t="str">
        <f t="shared" si="297"/>
        <v/>
      </c>
      <c r="LH806" s="2672" t="str">
        <f t="shared" si="298"/>
        <v/>
      </c>
      <c r="LI806" s="2672" t="str">
        <f t="shared" si="299"/>
        <v/>
      </c>
      <c r="LJ806" s="2672" t="str">
        <f t="shared" si="300"/>
        <v/>
      </c>
      <c r="LK806" s="2672" t="str">
        <f t="shared" si="301"/>
        <v/>
      </c>
      <c r="LL806" s="2672" t="str">
        <f t="shared" si="302"/>
        <v/>
      </c>
      <c r="LM806" s="2672" t="str">
        <f t="shared" si="303"/>
        <v/>
      </c>
      <c r="LN806" s="2672" t="str">
        <f t="shared" si="304"/>
        <v/>
      </c>
      <c r="LO806" s="2672" t="str">
        <f t="shared" si="305"/>
        <v/>
      </c>
      <c r="LP806" s="2672" t="str">
        <f t="shared" si="306"/>
        <v/>
      </c>
      <c r="LQ806" s="2613" t="str">
        <f t="shared" si="307"/>
        <v/>
      </c>
      <c r="LR806" s="2613" t="str">
        <f t="shared" si="308"/>
        <v/>
      </c>
      <c r="LS806" s="2613" t="str">
        <f t="shared" si="309"/>
        <v/>
      </c>
      <c r="LT806" s="2613" t="str">
        <f t="shared" si="310"/>
        <v/>
      </c>
      <c r="LU806" s="2613" t="str">
        <f t="shared" si="311"/>
        <v/>
      </c>
      <c r="LV806" s="2494" t="str">
        <f t="shared" si="312"/>
        <v/>
      </c>
      <c r="LW806" s="2494" t="str">
        <f t="shared" si="313"/>
        <v/>
      </c>
      <c r="LX806" s="2494" t="str">
        <f t="shared" si="314"/>
        <v/>
      </c>
      <c r="LY806" s="2494" t="str">
        <f t="shared" si="315"/>
        <v/>
      </c>
      <c r="LZ806" s="2494" t="str">
        <f t="shared" si="316"/>
        <v/>
      </c>
      <c r="MA806" s="2494" t="str">
        <f t="shared" si="317"/>
        <v/>
      </c>
      <c r="MB806" s="2494" t="str">
        <f t="shared" si="318"/>
        <v/>
      </c>
      <c r="MC806" s="2494" t="str">
        <f t="shared" si="319"/>
        <v/>
      </c>
      <c r="MD806" s="2494" t="str">
        <f t="shared" si="320"/>
        <v/>
      </c>
      <c r="ME806" s="2494" t="str">
        <f t="shared" si="321"/>
        <v/>
      </c>
      <c r="MF806" s="2494" t="str">
        <f t="shared" si="322"/>
        <v/>
      </c>
      <c r="MG806" s="2494" t="str">
        <f t="shared" si="323"/>
        <v/>
      </c>
      <c r="MH806" s="2494" t="str">
        <f t="shared" si="324"/>
        <v/>
      </c>
      <c r="MI806" s="2494" t="str">
        <f t="shared" si="325"/>
        <v/>
      </c>
      <c r="MJ806" s="2494" t="str">
        <f t="shared" si="326"/>
        <v/>
      </c>
      <c r="MK806" s="2494" t="str">
        <f t="shared" si="327"/>
        <v/>
      </c>
      <c r="ML806" s="2494" t="str">
        <f t="shared" si="328"/>
        <v/>
      </c>
      <c r="MM806" s="2494" t="str">
        <f t="shared" si="329"/>
        <v/>
      </c>
      <c r="MN806" s="2494" t="str">
        <f t="shared" si="330"/>
        <v/>
      </c>
      <c r="MO806" s="2494" t="str">
        <f t="shared" si="331"/>
        <v/>
      </c>
      <c r="MP806" s="2613">
        <f t="shared" si="338"/>
        <v>0</v>
      </c>
      <c r="MQ806" s="2613">
        <f t="shared" si="339"/>
        <v>0</v>
      </c>
      <c r="MR806" s="2613">
        <f t="shared" si="340"/>
        <v>0</v>
      </c>
      <c r="MS806" s="2613">
        <f t="shared" si="341"/>
        <v>0</v>
      </c>
      <c r="MT806" s="2613">
        <f t="shared" si="342"/>
        <v>0</v>
      </c>
      <c r="MU806" s="2613">
        <f t="shared" si="343"/>
        <v>0</v>
      </c>
      <c r="MV806" s="2613">
        <f t="shared" si="344"/>
        <v>0</v>
      </c>
      <c r="MW806" s="2613">
        <f t="shared" si="345"/>
        <v>0</v>
      </c>
      <c r="MX806" s="2613">
        <f t="shared" si="346"/>
        <v>0</v>
      </c>
      <c r="MY806" s="2613">
        <f t="shared" si="347"/>
        <v>0</v>
      </c>
      <c r="MZ806" s="2613">
        <f t="shared" si="332"/>
        <v>0</v>
      </c>
      <c r="NA806" s="2613">
        <f t="shared" si="333"/>
        <v>0</v>
      </c>
      <c r="NB806" s="2613">
        <f t="shared" si="334"/>
        <v>0</v>
      </c>
      <c r="NC806" s="2613">
        <f t="shared" si="335"/>
        <v>0</v>
      </c>
      <c r="ND806" s="2613">
        <f t="shared" si="336"/>
        <v>0</v>
      </c>
    </row>
    <row r="807" spans="1:368" ht="13.8" customHeight="1">
      <c r="A807" s="2652" t="str">
        <f t="shared" si="337"/>
        <v/>
      </c>
      <c r="B807" s="2664">
        <f>'Part VI-Revenues &amp; Expenses'!B38</f>
        <v>0</v>
      </c>
      <c r="C807" s="2665">
        <f>'Part VI-Revenues &amp; Expenses'!C38</f>
        <v>0</v>
      </c>
      <c r="D807" s="2666">
        <f>'Part VI-Revenues &amp; Expenses'!D38</f>
        <v>0</v>
      </c>
      <c r="E807" s="2667">
        <f>'Part VI-Revenues &amp; Expenses'!E38</f>
        <v>0</v>
      </c>
      <c r="F807" s="2667">
        <f>'Part VI-Revenues &amp; Expenses'!F38</f>
        <v>0</v>
      </c>
      <c r="G807" s="2667">
        <f>'Part VI-Revenues &amp; Expenses'!G38</f>
        <v>0</v>
      </c>
      <c r="H807" s="2667">
        <f>'Part VI-Revenues &amp; Expenses'!H38</f>
        <v>0</v>
      </c>
      <c r="I807" s="2667">
        <f>'Part VI-Revenues &amp; Expenses'!I38</f>
        <v>0</v>
      </c>
      <c r="J807" s="2667">
        <f>'Part VI-Revenues &amp; Expenses'!J38</f>
        <v>0</v>
      </c>
      <c r="K807" s="2668">
        <f>'Part VI-Revenues &amp; Expenses'!K38</f>
        <v>0</v>
      </c>
      <c r="L807" s="2669">
        <f t="shared" si="0"/>
        <v>0</v>
      </c>
      <c r="M807" s="2669">
        <f t="shared" si="1"/>
        <v>0</v>
      </c>
      <c r="N807" s="2545">
        <f>'Part VI-Revenues &amp; Expenses'!N38</f>
        <v>0</v>
      </c>
      <c r="O807" s="2545">
        <f>'Part VI-Revenues &amp; Expenses'!O38</f>
        <v>0</v>
      </c>
      <c r="P807" s="2545">
        <f>'Part VI-Revenues &amp; Expenses'!P38</f>
        <v>0</v>
      </c>
      <c r="Q807" s="2251">
        <f>'Part VI-Revenues &amp; Expenses'!Q38</f>
        <v>0</v>
      </c>
      <c r="R807" s="2670"/>
      <c r="S807" s="2671"/>
      <c r="T807" s="2607"/>
      <c r="U807" s="2607"/>
      <c r="V807" s="2607"/>
      <c r="W807" s="2607"/>
      <c r="X807" s="2494" t="str">
        <f t="shared" si="2"/>
        <v/>
      </c>
      <c r="Y807" s="2494" t="str">
        <f t="shared" si="3"/>
        <v/>
      </c>
      <c r="Z807" s="2494" t="str">
        <f t="shared" si="4"/>
        <v/>
      </c>
      <c r="AA807" s="2494" t="str">
        <f t="shared" si="5"/>
        <v/>
      </c>
      <c r="AB807" s="2494" t="str">
        <f t="shared" si="6"/>
        <v/>
      </c>
      <c r="AC807" s="2494" t="str">
        <f t="shared" si="7"/>
        <v/>
      </c>
      <c r="AD807" s="2494" t="str">
        <f t="shared" si="8"/>
        <v/>
      </c>
      <c r="AE807" s="2494" t="str">
        <f t="shared" si="9"/>
        <v/>
      </c>
      <c r="AF807" s="2494" t="str">
        <f t="shared" si="10"/>
        <v/>
      </c>
      <c r="AG807" s="2494" t="str">
        <f t="shared" si="11"/>
        <v/>
      </c>
      <c r="AH807" s="2494" t="str">
        <f t="shared" si="12"/>
        <v/>
      </c>
      <c r="AI807" s="2494" t="str">
        <f t="shared" si="13"/>
        <v/>
      </c>
      <c r="AJ807" s="2494" t="str">
        <f t="shared" si="14"/>
        <v/>
      </c>
      <c r="AK807" s="2494" t="str">
        <f t="shared" si="15"/>
        <v/>
      </c>
      <c r="AL807" s="2494" t="str">
        <f t="shared" si="16"/>
        <v/>
      </c>
      <c r="AM807" s="2494" t="str">
        <f t="shared" si="17"/>
        <v/>
      </c>
      <c r="AN807" s="2494" t="str">
        <f t="shared" si="18"/>
        <v/>
      </c>
      <c r="AO807" s="2494" t="str">
        <f t="shared" si="19"/>
        <v/>
      </c>
      <c r="AP807" s="2494" t="str">
        <f t="shared" si="20"/>
        <v/>
      </c>
      <c r="AQ807" s="2494" t="str">
        <f t="shared" si="21"/>
        <v/>
      </c>
      <c r="AR807" s="2494" t="str">
        <f t="shared" si="22"/>
        <v/>
      </c>
      <c r="AS807" s="2494" t="str">
        <f t="shared" si="23"/>
        <v/>
      </c>
      <c r="AT807" s="2494" t="str">
        <f t="shared" si="24"/>
        <v/>
      </c>
      <c r="AU807" s="2494" t="str">
        <f t="shared" si="25"/>
        <v/>
      </c>
      <c r="AV807" s="2494" t="str">
        <f t="shared" si="26"/>
        <v/>
      </c>
      <c r="AW807" s="2494" t="str">
        <f t="shared" si="27"/>
        <v/>
      </c>
      <c r="AX807" s="2494" t="str">
        <f t="shared" si="28"/>
        <v/>
      </c>
      <c r="AY807" s="2494" t="str">
        <f t="shared" si="29"/>
        <v/>
      </c>
      <c r="AZ807" s="2494" t="str">
        <f t="shared" si="30"/>
        <v/>
      </c>
      <c r="BA807" s="2494" t="str">
        <f t="shared" si="31"/>
        <v/>
      </c>
      <c r="BB807" s="2494" t="str">
        <f t="shared" si="32"/>
        <v/>
      </c>
      <c r="BC807" s="2494" t="str">
        <f t="shared" si="33"/>
        <v/>
      </c>
      <c r="BD807" s="2494" t="str">
        <f t="shared" si="34"/>
        <v/>
      </c>
      <c r="BE807" s="2494" t="str">
        <f t="shared" si="35"/>
        <v/>
      </c>
      <c r="BF807" s="2494" t="str">
        <f t="shared" si="36"/>
        <v/>
      </c>
      <c r="BG807" s="2494" t="str">
        <f t="shared" si="37"/>
        <v/>
      </c>
      <c r="BH807" s="2494" t="str">
        <f t="shared" si="38"/>
        <v/>
      </c>
      <c r="BI807" s="2494" t="str">
        <f t="shared" si="39"/>
        <v/>
      </c>
      <c r="BJ807" s="2494" t="str">
        <f t="shared" si="40"/>
        <v/>
      </c>
      <c r="BK807" s="2494" t="str">
        <f t="shared" si="41"/>
        <v/>
      </c>
      <c r="BL807" s="2494" t="str">
        <f t="shared" si="42"/>
        <v/>
      </c>
      <c r="BM807" s="2494" t="str">
        <f t="shared" si="43"/>
        <v/>
      </c>
      <c r="BN807" s="2494" t="str">
        <f t="shared" si="44"/>
        <v/>
      </c>
      <c r="BO807" s="2494" t="str">
        <f t="shared" si="45"/>
        <v/>
      </c>
      <c r="BP807" s="2494" t="str">
        <f t="shared" si="46"/>
        <v/>
      </c>
      <c r="BQ807" s="2494" t="str">
        <f t="shared" si="47"/>
        <v/>
      </c>
      <c r="BR807" s="2494" t="str">
        <f t="shared" si="48"/>
        <v/>
      </c>
      <c r="BS807" s="2494" t="str">
        <f t="shared" si="49"/>
        <v/>
      </c>
      <c r="BT807" s="2494" t="str">
        <f t="shared" si="50"/>
        <v/>
      </c>
      <c r="BU807" s="2494" t="str">
        <f t="shared" si="51"/>
        <v/>
      </c>
      <c r="BV807" s="2494" t="str">
        <f t="shared" si="52"/>
        <v/>
      </c>
      <c r="BW807" s="2494" t="str">
        <f t="shared" si="53"/>
        <v/>
      </c>
      <c r="BX807" s="2494" t="str">
        <f t="shared" si="54"/>
        <v/>
      </c>
      <c r="BY807" s="2494" t="str">
        <f t="shared" si="55"/>
        <v/>
      </c>
      <c r="BZ807" s="2494" t="str">
        <f t="shared" si="56"/>
        <v/>
      </c>
      <c r="CA807" s="2494" t="str">
        <f t="shared" si="57"/>
        <v/>
      </c>
      <c r="CB807" s="2494" t="str">
        <f t="shared" si="58"/>
        <v/>
      </c>
      <c r="CC807" s="2494" t="str">
        <f t="shared" si="59"/>
        <v/>
      </c>
      <c r="CD807" s="2494" t="str">
        <f t="shared" si="60"/>
        <v/>
      </c>
      <c r="CE807" s="2494" t="str">
        <f t="shared" si="61"/>
        <v/>
      </c>
      <c r="CF807" s="2494" t="str">
        <f t="shared" si="62"/>
        <v/>
      </c>
      <c r="CG807" s="2494" t="str">
        <f t="shared" si="63"/>
        <v/>
      </c>
      <c r="CH807" s="2494" t="str">
        <f t="shared" si="64"/>
        <v/>
      </c>
      <c r="CI807" s="2494" t="str">
        <f t="shared" si="65"/>
        <v/>
      </c>
      <c r="CJ807" s="2494" t="str">
        <f t="shared" si="66"/>
        <v/>
      </c>
      <c r="CK807" s="2494" t="str">
        <f t="shared" si="67"/>
        <v/>
      </c>
      <c r="CL807" s="2494" t="str">
        <f t="shared" si="68"/>
        <v/>
      </c>
      <c r="CM807" s="2494" t="str">
        <f t="shared" si="69"/>
        <v/>
      </c>
      <c r="CN807" s="2494" t="str">
        <f t="shared" si="70"/>
        <v/>
      </c>
      <c r="CO807" s="2494" t="str">
        <f t="shared" si="71"/>
        <v/>
      </c>
      <c r="CP807" s="2494" t="str">
        <f t="shared" si="72"/>
        <v/>
      </c>
      <c r="CQ807" s="2494" t="str">
        <f t="shared" si="73"/>
        <v/>
      </c>
      <c r="CR807" s="2494" t="str">
        <f t="shared" si="74"/>
        <v/>
      </c>
      <c r="CS807" s="2494" t="str">
        <f t="shared" si="75"/>
        <v/>
      </c>
      <c r="CT807" s="2494" t="str">
        <f t="shared" si="76"/>
        <v/>
      </c>
      <c r="CU807" s="2494" t="str">
        <f t="shared" si="77"/>
        <v/>
      </c>
      <c r="CV807" s="2494" t="str">
        <f t="shared" si="78"/>
        <v/>
      </c>
      <c r="CW807" s="2494" t="str">
        <f t="shared" si="79"/>
        <v/>
      </c>
      <c r="CX807" s="2494" t="str">
        <f t="shared" si="80"/>
        <v/>
      </c>
      <c r="CY807" s="2494" t="str">
        <f t="shared" si="81"/>
        <v/>
      </c>
      <c r="CZ807" s="2494" t="str">
        <f t="shared" si="82"/>
        <v/>
      </c>
      <c r="DA807" s="2494" t="str">
        <f t="shared" si="83"/>
        <v/>
      </c>
      <c r="DB807" s="2494" t="str">
        <f t="shared" si="84"/>
        <v/>
      </c>
      <c r="DC807" s="2494" t="str">
        <f t="shared" si="85"/>
        <v/>
      </c>
      <c r="DD807" s="2494" t="str">
        <f t="shared" si="86"/>
        <v/>
      </c>
      <c r="DE807" s="2494" t="str">
        <f t="shared" si="87"/>
        <v/>
      </c>
      <c r="DF807" s="2494" t="str">
        <f t="shared" si="88"/>
        <v/>
      </c>
      <c r="DG807" s="2494" t="str">
        <f t="shared" si="89"/>
        <v/>
      </c>
      <c r="DH807" s="2494" t="str">
        <f t="shared" si="90"/>
        <v/>
      </c>
      <c r="DI807" s="2494" t="str">
        <f t="shared" si="91"/>
        <v/>
      </c>
      <c r="DJ807" s="2494" t="str">
        <f t="shared" si="92"/>
        <v/>
      </c>
      <c r="DK807" s="2494" t="str">
        <f t="shared" si="93"/>
        <v/>
      </c>
      <c r="DL807" s="2494" t="str">
        <f t="shared" si="94"/>
        <v/>
      </c>
      <c r="DM807" s="2494" t="str">
        <f t="shared" si="95"/>
        <v/>
      </c>
      <c r="DN807" s="2494" t="str">
        <f t="shared" si="96"/>
        <v/>
      </c>
      <c r="DO807" s="2494" t="str">
        <f t="shared" si="97"/>
        <v/>
      </c>
      <c r="DP807" s="2494" t="str">
        <f t="shared" si="98"/>
        <v/>
      </c>
      <c r="DQ807" s="2494" t="str">
        <f t="shared" si="99"/>
        <v/>
      </c>
      <c r="DR807" s="2494" t="str">
        <f t="shared" si="100"/>
        <v/>
      </c>
      <c r="DS807" s="2494" t="str">
        <f t="shared" si="101"/>
        <v/>
      </c>
      <c r="DT807" s="2494" t="str">
        <f t="shared" si="102"/>
        <v/>
      </c>
      <c r="DU807" s="2494" t="str">
        <f t="shared" si="103"/>
        <v/>
      </c>
      <c r="DV807" s="2494" t="str">
        <f t="shared" si="104"/>
        <v/>
      </c>
      <c r="DW807" s="2494" t="str">
        <f t="shared" si="105"/>
        <v/>
      </c>
      <c r="DX807" s="2494" t="str">
        <f t="shared" si="106"/>
        <v/>
      </c>
      <c r="DY807" s="2494" t="str">
        <f t="shared" si="107"/>
        <v/>
      </c>
      <c r="DZ807" s="2494" t="str">
        <f t="shared" si="108"/>
        <v/>
      </c>
      <c r="EA807" s="2494" t="str">
        <f t="shared" si="109"/>
        <v/>
      </c>
      <c r="EB807" s="2494" t="str">
        <f t="shared" si="110"/>
        <v/>
      </c>
      <c r="EC807" s="2494" t="str">
        <f t="shared" si="111"/>
        <v/>
      </c>
      <c r="ED807" s="2494" t="str">
        <f t="shared" si="112"/>
        <v/>
      </c>
      <c r="EE807" s="2494" t="str">
        <f t="shared" si="113"/>
        <v/>
      </c>
      <c r="EF807" s="2494" t="str">
        <f t="shared" si="114"/>
        <v/>
      </c>
      <c r="EG807" s="2494" t="str">
        <f t="shared" si="115"/>
        <v/>
      </c>
      <c r="EH807" s="2494" t="str">
        <f t="shared" si="116"/>
        <v/>
      </c>
      <c r="EI807" s="2494" t="str">
        <f t="shared" si="117"/>
        <v/>
      </c>
      <c r="EJ807" s="2494" t="str">
        <f t="shared" si="118"/>
        <v/>
      </c>
      <c r="EK807" s="2494" t="str">
        <f t="shared" si="119"/>
        <v/>
      </c>
      <c r="EL807" s="2494" t="str">
        <f t="shared" si="120"/>
        <v/>
      </c>
      <c r="EM807" s="2494" t="str">
        <f t="shared" si="121"/>
        <v/>
      </c>
      <c r="EN807" s="2494" t="str">
        <f t="shared" si="122"/>
        <v/>
      </c>
      <c r="EO807" s="2494" t="str">
        <f t="shared" si="123"/>
        <v/>
      </c>
      <c r="EP807" s="2494" t="str">
        <f t="shared" si="124"/>
        <v/>
      </c>
      <c r="EQ807" s="2494" t="str">
        <f t="shared" si="125"/>
        <v/>
      </c>
      <c r="ER807" s="2494" t="str">
        <f t="shared" si="126"/>
        <v/>
      </c>
      <c r="ES807" s="2494" t="str">
        <f t="shared" si="127"/>
        <v/>
      </c>
      <c r="ET807" s="2494" t="str">
        <f t="shared" si="128"/>
        <v/>
      </c>
      <c r="EU807" s="2494" t="str">
        <f t="shared" si="129"/>
        <v/>
      </c>
      <c r="EV807" s="2494" t="str">
        <f t="shared" si="130"/>
        <v/>
      </c>
      <c r="EW807" s="2494" t="str">
        <f t="shared" si="131"/>
        <v/>
      </c>
      <c r="EX807" s="2494" t="str">
        <f t="shared" si="132"/>
        <v/>
      </c>
      <c r="EY807" s="2494" t="str">
        <f t="shared" si="133"/>
        <v/>
      </c>
      <c r="EZ807" s="2494" t="str">
        <f t="shared" si="134"/>
        <v/>
      </c>
      <c r="FA807" s="2494" t="str">
        <f t="shared" si="135"/>
        <v/>
      </c>
      <c r="FB807" s="2494" t="str">
        <f t="shared" si="136"/>
        <v/>
      </c>
      <c r="FC807" s="2494" t="str">
        <f t="shared" si="137"/>
        <v/>
      </c>
      <c r="FD807" s="2494" t="str">
        <f t="shared" si="138"/>
        <v/>
      </c>
      <c r="FE807" s="2494" t="str">
        <f t="shared" si="139"/>
        <v/>
      </c>
      <c r="FF807" s="2494" t="str">
        <f t="shared" si="140"/>
        <v/>
      </c>
      <c r="FG807" s="2494" t="str">
        <f t="shared" si="141"/>
        <v/>
      </c>
      <c r="FH807" s="2494" t="str">
        <f t="shared" si="142"/>
        <v/>
      </c>
      <c r="FI807" s="2494" t="str">
        <f t="shared" si="143"/>
        <v/>
      </c>
      <c r="FJ807" s="2494" t="str">
        <f t="shared" si="144"/>
        <v/>
      </c>
      <c r="FK807" s="2494" t="str">
        <f t="shared" si="145"/>
        <v/>
      </c>
      <c r="FL807" s="2494" t="str">
        <f t="shared" si="146"/>
        <v/>
      </c>
      <c r="FM807" s="2494" t="str">
        <f t="shared" si="147"/>
        <v/>
      </c>
      <c r="FN807" s="2494" t="str">
        <f t="shared" si="148"/>
        <v/>
      </c>
      <c r="FO807" s="2494" t="str">
        <f t="shared" si="149"/>
        <v/>
      </c>
      <c r="FP807" s="2494" t="str">
        <f t="shared" si="150"/>
        <v/>
      </c>
      <c r="FQ807" s="2494" t="str">
        <f t="shared" si="151"/>
        <v/>
      </c>
      <c r="FR807" s="2494" t="str">
        <f t="shared" si="152"/>
        <v/>
      </c>
      <c r="FS807" s="2494" t="str">
        <f t="shared" si="153"/>
        <v/>
      </c>
      <c r="FT807" s="2494" t="str">
        <f t="shared" si="154"/>
        <v/>
      </c>
      <c r="FU807" s="2494" t="str">
        <f t="shared" si="155"/>
        <v/>
      </c>
      <c r="FV807" s="2494" t="str">
        <f t="shared" si="156"/>
        <v/>
      </c>
      <c r="FW807" s="2494" t="str">
        <f t="shared" si="157"/>
        <v/>
      </c>
      <c r="FX807" s="2494" t="str">
        <f t="shared" si="158"/>
        <v/>
      </c>
      <c r="FY807" s="2494" t="str">
        <f t="shared" si="159"/>
        <v/>
      </c>
      <c r="FZ807" s="2494" t="str">
        <f t="shared" si="160"/>
        <v/>
      </c>
      <c r="GA807" s="2494" t="str">
        <f t="shared" si="161"/>
        <v/>
      </c>
      <c r="GB807" s="2494" t="str">
        <f t="shared" si="162"/>
        <v/>
      </c>
      <c r="GC807" s="2494" t="str">
        <f t="shared" si="163"/>
        <v/>
      </c>
      <c r="GD807" s="2494" t="str">
        <f t="shared" si="164"/>
        <v/>
      </c>
      <c r="GE807" s="2494" t="str">
        <f t="shared" si="165"/>
        <v/>
      </c>
      <c r="GF807" s="2494" t="str">
        <f t="shared" si="166"/>
        <v/>
      </c>
      <c r="GG807" s="2494" t="str">
        <f t="shared" si="167"/>
        <v/>
      </c>
      <c r="GH807" s="2494" t="str">
        <f t="shared" si="168"/>
        <v/>
      </c>
      <c r="GI807" s="2494" t="str">
        <f t="shared" si="169"/>
        <v/>
      </c>
      <c r="GJ807" s="2494" t="str">
        <f t="shared" si="170"/>
        <v/>
      </c>
      <c r="GK807" s="2494" t="str">
        <f t="shared" si="171"/>
        <v/>
      </c>
      <c r="GL807" s="2494" t="str">
        <f t="shared" si="172"/>
        <v/>
      </c>
      <c r="GM807" s="2494" t="str">
        <f t="shared" si="173"/>
        <v/>
      </c>
      <c r="GN807" s="2494" t="str">
        <f t="shared" si="174"/>
        <v/>
      </c>
      <c r="GO807" s="2494" t="str">
        <f t="shared" si="175"/>
        <v/>
      </c>
      <c r="GP807" s="2494" t="str">
        <f t="shared" si="176"/>
        <v/>
      </c>
      <c r="GQ807" s="2494" t="str">
        <f t="shared" si="177"/>
        <v/>
      </c>
      <c r="GR807" s="2494" t="str">
        <f t="shared" si="178"/>
        <v/>
      </c>
      <c r="GS807" s="2494" t="str">
        <f t="shared" si="179"/>
        <v/>
      </c>
      <c r="GT807" s="2494" t="str">
        <f t="shared" si="180"/>
        <v/>
      </c>
      <c r="GU807" s="2494" t="str">
        <f t="shared" si="181"/>
        <v/>
      </c>
      <c r="GV807" s="2494" t="str">
        <f t="shared" si="182"/>
        <v/>
      </c>
      <c r="GW807" s="2494" t="str">
        <f t="shared" si="183"/>
        <v/>
      </c>
      <c r="GX807" s="2494" t="str">
        <f t="shared" si="184"/>
        <v/>
      </c>
      <c r="GY807" s="2494" t="str">
        <f t="shared" si="185"/>
        <v/>
      </c>
      <c r="GZ807" s="2494" t="str">
        <f t="shared" si="186"/>
        <v/>
      </c>
      <c r="HA807" s="2494" t="str">
        <f t="shared" si="187"/>
        <v/>
      </c>
      <c r="HB807" s="2494" t="str">
        <f t="shared" si="188"/>
        <v/>
      </c>
      <c r="HC807" s="2494" t="str">
        <f t="shared" si="189"/>
        <v/>
      </c>
      <c r="HD807" s="2494" t="str">
        <f t="shared" si="190"/>
        <v/>
      </c>
      <c r="HE807" s="2494" t="str">
        <f t="shared" si="191"/>
        <v/>
      </c>
      <c r="HF807" s="2494" t="str">
        <f t="shared" si="192"/>
        <v/>
      </c>
      <c r="HG807" s="2494" t="str">
        <f t="shared" si="193"/>
        <v/>
      </c>
      <c r="HH807" s="2494" t="str">
        <f t="shared" si="194"/>
        <v/>
      </c>
      <c r="HI807" s="2494" t="str">
        <f t="shared" si="195"/>
        <v/>
      </c>
      <c r="HJ807" s="2494" t="str">
        <f t="shared" si="196"/>
        <v/>
      </c>
      <c r="HK807" s="2494" t="str">
        <f t="shared" si="197"/>
        <v/>
      </c>
      <c r="HL807" s="2494" t="str">
        <f t="shared" si="198"/>
        <v/>
      </c>
      <c r="HM807" s="2494" t="str">
        <f t="shared" si="199"/>
        <v/>
      </c>
      <c r="HN807" s="2494" t="str">
        <f t="shared" si="200"/>
        <v/>
      </c>
      <c r="HO807" s="2494" t="str">
        <f t="shared" si="201"/>
        <v/>
      </c>
      <c r="HP807" s="2494" t="str">
        <f t="shared" si="202"/>
        <v/>
      </c>
      <c r="HQ807" s="2494" t="str">
        <f t="shared" si="203"/>
        <v/>
      </c>
      <c r="HR807" s="2494" t="str">
        <f t="shared" si="204"/>
        <v/>
      </c>
      <c r="HS807" s="2494" t="str">
        <f t="shared" si="205"/>
        <v/>
      </c>
      <c r="HT807" s="2494" t="str">
        <f t="shared" si="206"/>
        <v/>
      </c>
      <c r="HU807" s="2494" t="str">
        <f t="shared" si="207"/>
        <v/>
      </c>
      <c r="HV807" s="2494" t="str">
        <f t="shared" si="208"/>
        <v/>
      </c>
      <c r="HW807" s="2494" t="str">
        <f t="shared" si="209"/>
        <v/>
      </c>
      <c r="HX807" s="2494" t="str">
        <f t="shared" si="210"/>
        <v/>
      </c>
      <c r="HY807" s="2494" t="str">
        <f t="shared" si="211"/>
        <v/>
      </c>
      <c r="HZ807" s="2672" t="str">
        <f t="shared" si="212"/>
        <v/>
      </c>
      <c r="IA807" s="2672" t="str">
        <f t="shared" si="213"/>
        <v/>
      </c>
      <c r="IB807" s="2672" t="str">
        <f t="shared" si="214"/>
        <v/>
      </c>
      <c r="IC807" s="2672" t="str">
        <f t="shared" si="215"/>
        <v/>
      </c>
      <c r="ID807" s="2672" t="str">
        <f t="shared" si="216"/>
        <v/>
      </c>
      <c r="IE807" s="2672" t="str">
        <f t="shared" si="217"/>
        <v/>
      </c>
      <c r="IF807" s="2672" t="str">
        <f t="shared" si="218"/>
        <v/>
      </c>
      <c r="IG807" s="2672" t="str">
        <f t="shared" si="219"/>
        <v/>
      </c>
      <c r="IH807" s="2672" t="str">
        <f t="shared" si="220"/>
        <v/>
      </c>
      <c r="II807" s="2672" t="str">
        <f t="shared" si="221"/>
        <v/>
      </c>
      <c r="IJ807" s="2672" t="str">
        <f t="shared" si="222"/>
        <v/>
      </c>
      <c r="IK807" s="2672" t="str">
        <f t="shared" si="223"/>
        <v/>
      </c>
      <c r="IL807" s="2672" t="str">
        <f t="shared" si="224"/>
        <v/>
      </c>
      <c r="IM807" s="2672" t="str">
        <f t="shared" si="225"/>
        <v/>
      </c>
      <c r="IN807" s="2672" t="str">
        <f t="shared" si="226"/>
        <v/>
      </c>
      <c r="IO807" s="2672" t="str">
        <f t="shared" si="227"/>
        <v/>
      </c>
      <c r="IP807" s="2672" t="str">
        <f t="shared" si="228"/>
        <v/>
      </c>
      <c r="IQ807" s="2672" t="str">
        <f t="shared" si="229"/>
        <v/>
      </c>
      <c r="IR807" s="2672" t="str">
        <f t="shared" si="230"/>
        <v/>
      </c>
      <c r="IS807" s="2672" t="str">
        <f t="shared" si="231"/>
        <v/>
      </c>
      <c r="IT807" s="2672" t="str">
        <f t="shared" si="232"/>
        <v/>
      </c>
      <c r="IU807" s="2672" t="str">
        <f t="shared" si="233"/>
        <v/>
      </c>
      <c r="IV807" s="2672" t="str">
        <f t="shared" si="234"/>
        <v/>
      </c>
      <c r="IW807" s="2672" t="str">
        <f t="shared" si="235"/>
        <v/>
      </c>
      <c r="IX807" s="2672" t="str">
        <f t="shared" si="236"/>
        <v/>
      </c>
      <c r="IY807" s="2672" t="str">
        <f t="shared" si="237"/>
        <v/>
      </c>
      <c r="IZ807" s="2672" t="str">
        <f t="shared" si="238"/>
        <v/>
      </c>
      <c r="JA807" s="2672" t="str">
        <f t="shared" si="239"/>
        <v/>
      </c>
      <c r="JB807" s="2672" t="str">
        <f t="shared" si="240"/>
        <v/>
      </c>
      <c r="JC807" s="2672" t="str">
        <f t="shared" si="241"/>
        <v/>
      </c>
      <c r="JD807" s="2672" t="str">
        <f t="shared" si="242"/>
        <v/>
      </c>
      <c r="JE807" s="2672" t="str">
        <f t="shared" si="243"/>
        <v/>
      </c>
      <c r="JF807" s="2672" t="str">
        <f t="shared" si="244"/>
        <v/>
      </c>
      <c r="JG807" s="2672" t="str">
        <f t="shared" si="245"/>
        <v/>
      </c>
      <c r="JH807" s="2672" t="str">
        <f t="shared" si="246"/>
        <v/>
      </c>
      <c r="JI807" s="2672" t="str">
        <f t="shared" si="247"/>
        <v/>
      </c>
      <c r="JJ807" s="2672" t="str">
        <f t="shared" si="248"/>
        <v/>
      </c>
      <c r="JK807" s="2672" t="str">
        <f t="shared" si="249"/>
        <v/>
      </c>
      <c r="JL807" s="2672" t="str">
        <f t="shared" si="250"/>
        <v/>
      </c>
      <c r="JM807" s="2672" t="str">
        <f t="shared" si="251"/>
        <v/>
      </c>
      <c r="JN807" s="2672" t="str">
        <f t="shared" si="252"/>
        <v/>
      </c>
      <c r="JO807" s="2672" t="str">
        <f t="shared" si="253"/>
        <v/>
      </c>
      <c r="JP807" s="2672" t="str">
        <f t="shared" si="254"/>
        <v/>
      </c>
      <c r="JQ807" s="2672" t="str">
        <f t="shared" si="255"/>
        <v/>
      </c>
      <c r="JR807" s="2672" t="str">
        <f t="shared" si="256"/>
        <v/>
      </c>
      <c r="JS807" s="2672" t="str">
        <f t="shared" si="257"/>
        <v/>
      </c>
      <c r="JT807" s="2672" t="str">
        <f t="shared" si="258"/>
        <v/>
      </c>
      <c r="JU807" s="2672" t="str">
        <f t="shared" si="259"/>
        <v/>
      </c>
      <c r="JV807" s="2672" t="str">
        <f t="shared" si="260"/>
        <v/>
      </c>
      <c r="JW807" s="2672" t="str">
        <f t="shared" si="261"/>
        <v/>
      </c>
      <c r="JX807" s="2672" t="str">
        <f t="shared" si="262"/>
        <v/>
      </c>
      <c r="JY807" s="2672" t="str">
        <f t="shared" si="263"/>
        <v/>
      </c>
      <c r="JZ807" s="2672" t="str">
        <f t="shared" si="264"/>
        <v/>
      </c>
      <c r="KA807" s="2672" t="str">
        <f t="shared" si="265"/>
        <v/>
      </c>
      <c r="KB807" s="2672" t="str">
        <f t="shared" si="266"/>
        <v/>
      </c>
      <c r="KC807" s="2672" t="str">
        <f t="shared" si="267"/>
        <v/>
      </c>
      <c r="KD807" s="2672" t="str">
        <f t="shared" si="268"/>
        <v/>
      </c>
      <c r="KE807" s="2672" t="str">
        <f t="shared" si="269"/>
        <v/>
      </c>
      <c r="KF807" s="2672" t="str">
        <f t="shared" si="270"/>
        <v/>
      </c>
      <c r="KG807" s="2672" t="str">
        <f t="shared" si="271"/>
        <v/>
      </c>
      <c r="KH807" s="2672" t="str">
        <f t="shared" si="272"/>
        <v/>
      </c>
      <c r="KI807" s="2672" t="str">
        <f t="shared" si="273"/>
        <v/>
      </c>
      <c r="KJ807" s="2672" t="str">
        <f t="shared" si="274"/>
        <v/>
      </c>
      <c r="KK807" s="2672" t="str">
        <f t="shared" si="275"/>
        <v/>
      </c>
      <c r="KL807" s="2672" t="str">
        <f t="shared" si="276"/>
        <v/>
      </c>
      <c r="KM807" s="2672" t="str">
        <f t="shared" si="277"/>
        <v/>
      </c>
      <c r="KN807" s="2672" t="str">
        <f t="shared" si="278"/>
        <v/>
      </c>
      <c r="KO807" s="2672" t="str">
        <f t="shared" si="279"/>
        <v/>
      </c>
      <c r="KP807" s="2672" t="str">
        <f t="shared" si="280"/>
        <v/>
      </c>
      <c r="KQ807" s="2672" t="str">
        <f t="shared" si="281"/>
        <v/>
      </c>
      <c r="KR807" s="2672" t="str">
        <f t="shared" si="282"/>
        <v/>
      </c>
      <c r="KS807" s="2672" t="str">
        <f t="shared" si="283"/>
        <v/>
      </c>
      <c r="KT807" s="2672" t="str">
        <f t="shared" si="284"/>
        <v/>
      </c>
      <c r="KU807" s="2672" t="str">
        <f t="shared" si="285"/>
        <v/>
      </c>
      <c r="KV807" s="2672" t="str">
        <f t="shared" si="286"/>
        <v/>
      </c>
      <c r="KW807" s="2672" t="str">
        <f t="shared" si="287"/>
        <v/>
      </c>
      <c r="KX807" s="2672" t="str">
        <f t="shared" si="288"/>
        <v/>
      </c>
      <c r="KY807" s="2672" t="str">
        <f t="shared" si="289"/>
        <v/>
      </c>
      <c r="KZ807" s="2672" t="str">
        <f t="shared" si="290"/>
        <v/>
      </c>
      <c r="LA807" s="2672" t="str">
        <f t="shared" si="291"/>
        <v/>
      </c>
      <c r="LB807" s="2672" t="str">
        <f t="shared" si="292"/>
        <v/>
      </c>
      <c r="LC807" s="2672" t="str">
        <f t="shared" si="293"/>
        <v/>
      </c>
      <c r="LD807" s="2672" t="str">
        <f t="shared" si="294"/>
        <v/>
      </c>
      <c r="LE807" s="2672" t="str">
        <f t="shared" si="295"/>
        <v/>
      </c>
      <c r="LF807" s="2672" t="str">
        <f t="shared" si="296"/>
        <v/>
      </c>
      <c r="LG807" s="2672" t="str">
        <f t="shared" si="297"/>
        <v/>
      </c>
      <c r="LH807" s="2672" t="str">
        <f t="shared" si="298"/>
        <v/>
      </c>
      <c r="LI807" s="2672" t="str">
        <f t="shared" si="299"/>
        <v/>
      </c>
      <c r="LJ807" s="2672" t="str">
        <f t="shared" si="300"/>
        <v/>
      </c>
      <c r="LK807" s="2672" t="str">
        <f t="shared" si="301"/>
        <v/>
      </c>
      <c r="LL807" s="2672" t="str">
        <f t="shared" si="302"/>
        <v/>
      </c>
      <c r="LM807" s="2672" t="str">
        <f t="shared" si="303"/>
        <v/>
      </c>
      <c r="LN807" s="2672" t="str">
        <f t="shared" si="304"/>
        <v/>
      </c>
      <c r="LO807" s="2672" t="str">
        <f t="shared" si="305"/>
        <v/>
      </c>
      <c r="LP807" s="2672" t="str">
        <f t="shared" si="306"/>
        <v/>
      </c>
      <c r="LQ807" s="2613" t="str">
        <f t="shared" si="307"/>
        <v/>
      </c>
      <c r="LR807" s="2613" t="str">
        <f t="shared" si="308"/>
        <v/>
      </c>
      <c r="LS807" s="2613" t="str">
        <f t="shared" si="309"/>
        <v/>
      </c>
      <c r="LT807" s="2613" t="str">
        <f t="shared" si="310"/>
        <v/>
      </c>
      <c r="LU807" s="2613" t="str">
        <f t="shared" si="311"/>
        <v/>
      </c>
      <c r="LV807" s="2494" t="str">
        <f t="shared" si="312"/>
        <v/>
      </c>
      <c r="LW807" s="2494" t="str">
        <f t="shared" si="313"/>
        <v/>
      </c>
      <c r="LX807" s="2494" t="str">
        <f t="shared" si="314"/>
        <v/>
      </c>
      <c r="LY807" s="2494" t="str">
        <f t="shared" si="315"/>
        <v/>
      </c>
      <c r="LZ807" s="2494" t="str">
        <f t="shared" si="316"/>
        <v/>
      </c>
      <c r="MA807" s="2494" t="str">
        <f t="shared" si="317"/>
        <v/>
      </c>
      <c r="MB807" s="2494" t="str">
        <f t="shared" si="318"/>
        <v/>
      </c>
      <c r="MC807" s="2494" t="str">
        <f t="shared" si="319"/>
        <v/>
      </c>
      <c r="MD807" s="2494" t="str">
        <f t="shared" si="320"/>
        <v/>
      </c>
      <c r="ME807" s="2494" t="str">
        <f t="shared" si="321"/>
        <v/>
      </c>
      <c r="MF807" s="2494" t="str">
        <f t="shared" si="322"/>
        <v/>
      </c>
      <c r="MG807" s="2494" t="str">
        <f t="shared" si="323"/>
        <v/>
      </c>
      <c r="MH807" s="2494" t="str">
        <f t="shared" si="324"/>
        <v/>
      </c>
      <c r="MI807" s="2494" t="str">
        <f t="shared" si="325"/>
        <v/>
      </c>
      <c r="MJ807" s="2494" t="str">
        <f t="shared" si="326"/>
        <v/>
      </c>
      <c r="MK807" s="2494" t="str">
        <f t="shared" si="327"/>
        <v/>
      </c>
      <c r="ML807" s="2494" t="str">
        <f t="shared" si="328"/>
        <v/>
      </c>
      <c r="MM807" s="2494" t="str">
        <f t="shared" si="329"/>
        <v/>
      </c>
      <c r="MN807" s="2494" t="str">
        <f t="shared" si="330"/>
        <v/>
      </c>
      <c r="MO807" s="2494" t="str">
        <f t="shared" si="331"/>
        <v/>
      </c>
      <c r="MP807" s="2613">
        <f t="shared" si="338"/>
        <v>0</v>
      </c>
      <c r="MQ807" s="2613">
        <f t="shared" si="339"/>
        <v>0</v>
      </c>
      <c r="MR807" s="2613">
        <f t="shared" si="340"/>
        <v>0</v>
      </c>
      <c r="MS807" s="2613">
        <f t="shared" si="341"/>
        <v>0</v>
      </c>
      <c r="MT807" s="2613">
        <f t="shared" si="342"/>
        <v>0</v>
      </c>
      <c r="MU807" s="2613">
        <f t="shared" si="343"/>
        <v>0</v>
      </c>
      <c r="MV807" s="2613">
        <f t="shared" si="344"/>
        <v>0</v>
      </c>
      <c r="MW807" s="2613">
        <f t="shared" si="345"/>
        <v>0</v>
      </c>
      <c r="MX807" s="2613">
        <f t="shared" si="346"/>
        <v>0</v>
      </c>
      <c r="MY807" s="2613">
        <f t="shared" si="347"/>
        <v>0</v>
      </c>
      <c r="MZ807" s="2613">
        <f t="shared" si="332"/>
        <v>0</v>
      </c>
      <c r="NA807" s="2613">
        <f t="shared" si="333"/>
        <v>0</v>
      </c>
      <c r="NB807" s="2613">
        <f t="shared" si="334"/>
        <v>0</v>
      </c>
      <c r="NC807" s="2613">
        <f t="shared" si="335"/>
        <v>0</v>
      </c>
      <c r="ND807" s="2613">
        <f t="shared" si="336"/>
        <v>0</v>
      </c>
    </row>
    <row r="808" spans="1:368" ht="13.8" customHeight="1">
      <c r="A808" s="2652" t="str">
        <f t="shared" si="337"/>
        <v/>
      </c>
      <c r="B808" s="2664">
        <f>'Part VI-Revenues &amp; Expenses'!B39</f>
        <v>0</v>
      </c>
      <c r="C808" s="2665">
        <f>'Part VI-Revenues &amp; Expenses'!C39</f>
        <v>0</v>
      </c>
      <c r="D808" s="2666">
        <f>'Part VI-Revenues &amp; Expenses'!D39</f>
        <v>0</v>
      </c>
      <c r="E808" s="2667">
        <f>'Part VI-Revenues &amp; Expenses'!E39</f>
        <v>0</v>
      </c>
      <c r="F808" s="2667">
        <f>'Part VI-Revenues &amp; Expenses'!F39</f>
        <v>0</v>
      </c>
      <c r="G808" s="2667">
        <f>'Part VI-Revenues &amp; Expenses'!G39</f>
        <v>0</v>
      </c>
      <c r="H808" s="2667">
        <f>'Part VI-Revenues &amp; Expenses'!H39</f>
        <v>0</v>
      </c>
      <c r="I808" s="2667">
        <f>'Part VI-Revenues &amp; Expenses'!I39</f>
        <v>0</v>
      </c>
      <c r="J808" s="2667">
        <f>'Part VI-Revenues &amp; Expenses'!J39</f>
        <v>0</v>
      </c>
      <c r="K808" s="2668">
        <f>'Part VI-Revenues &amp; Expenses'!K39</f>
        <v>0</v>
      </c>
      <c r="L808" s="2669">
        <f t="shared" si="0"/>
        <v>0</v>
      </c>
      <c r="M808" s="2669">
        <f t="shared" si="1"/>
        <v>0</v>
      </c>
      <c r="N808" s="2545">
        <f>'Part VI-Revenues &amp; Expenses'!N39</f>
        <v>0</v>
      </c>
      <c r="O808" s="2545">
        <f>'Part VI-Revenues &amp; Expenses'!O39</f>
        <v>0</v>
      </c>
      <c r="P808" s="2545">
        <f>'Part VI-Revenues &amp; Expenses'!P39</f>
        <v>0</v>
      </c>
      <c r="Q808" s="2251">
        <f>'Part VI-Revenues &amp; Expenses'!Q39</f>
        <v>0</v>
      </c>
      <c r="R808" s="2670"/>
      <c r="S808" s="2671"/>
      <c r="T808" s="2607"/>
      <c r="U808" s="2607"/>
      <c r="V808" s="2607"/>
      <c r="W808" s="2607"/>
      <c r="X808" s="2494" t="str">
        <f t="shared" si="2"/>
        <v/>
      </c>
      <c r="Y808" s="2494" t="str">
        <f t="shared" si="3"/>
        <v/>
      </c>
      <c r="Z808" s="2494" t="str">
        <f t="shared" si="4"/>
        <v/>
      </c>
      <c r="AA808" s="2494" t="str">
        <f t="shared" si="5"/>
        <v/>
      </c>
      <c r="AB808" s="2494" t="str">
        <f t="shared" si="6"/>
        <v/>
      </c>
      <c r="AC808" s="2494" t="str">
        <f t="shared" si="7"/>
        <v/>
      </c>
      <c r="AD808" s="2494" t="str">
        <f t="shared" si="8"/>
        <v/>
      </c>
      <c r="AE808" s="2494" t="str">
        <f t="shared" si="9"/>
        <v/>
      </c>
      <c r="AF808" s="2494" t="str">
        <f t="shared" si="10"/>
        <v/>
      </c>
      <c r="AG808" s="2494" t="str">
        <f t="shared" si="11"/>
        <v/>
      </c>
      <c r="AH808" s="2494" t="str">
        <f t="shared" si="12"/>
        <v/>
      </c>
      <c r="AI808" s="2494" t="str">
        <f t="shared" si="13"/>
        <v/>
      </c>
      <c r="AJ808" s="2494" t="str">
        <f t="shared" si="14"/>
        <v/>
      </c>
      <c r="AK808" s="2494" t="str">
        <f t="shared" si="15"/>
        <v/>
      </c>
      <c r="AL808" s="2494" t="str">
        <f t="shared" si="16"/>
        <v/>
      </c>
      <c r="AM808" s="2494" t="str">
        <f t="shared" si="17"/>
        <v/>
      </c>
      <c r="AN808" s="2494" t="str">
        <f t="shared" si="18"/>
        <v/>
      </c>
      <c r="AO808" s="2494" t="str">
        <f t="shared" si="19"/>
        <v/>
      </c>
      <c r="AP808" s="2494" t="str">
        <f t="shared" si="20"/>
        <v/>
      </c>
      <c r="AQ808" s="2494" t="str">
        <f t="shared" si="21"/>
        <v/>
      </c>
      <c r="AR808" s="2494" t="str">
        <f t="shared" si="22"/>
        <v/>
      </c>
      <c r="AS808" s="2494" t="str">
        <f t="shared" si="23"/>
        <v/>
      </c>
      <c r="AT808" s="2494" t="str">
        <f t="shared" si="24"/>
        <v/>
      </c>
      <c r="AU808" s="2494" t="str">
        <f t="shared" si="25"/>
        <v/>
      </c>
      <c r="AV808" s="2494" t="str">
        <f t="shared" si="26"/>
        <v/>
      </c>
      <c r="AW808" s="2494" t="str">
        <f t="shared" si="27"/>
        <v/>
      </c>
      <c r="AX808" s="2494" t="str">
        <f t="shared" si="28"/>
        <v/>
      </c>
      <c r="AY808" s="2494" t="str">
        <f t="shared" si="29"/>
        <v/>
      </c>
      <c r="AZ808" s="2494" t="str">
        <f t="shared" si="30"/>
        <v/>
      </c>
      <c r="BA808" s="2494" t="str">
        <f t="shared" si="31"/>
        <v/>
      </c>
      <c r="BB808" s="2494" t="str">
        <f t="shared" si="32"/>
        <v/>
      </c>
      <c r="BC808" s="2494" t="str">
        <f t="shared" si="33"/>
        <v/>
      </c>
      <c r="BD808" s="2494" t="str">
        <f t="shared" si="34"/>
        <v/>
      </c>
      <c r="BE808" s="2494" t="str">
        <f t="shared" si="35"/>
        <v/>
      </c>
      <c r="BF808" s="2494" t="str">
        <f t="shared" si="36"/>
        <v/>
      </c>
      <c r="BG808" s="2494" t="str">
        <f t="shared" si="37"/>
        <v/>
      </c>
      <c r="BH808" s="2494" t="str">
        <f t="shared" si="38"/>
        <v/>
      </c>
      <c r="BI808" s="2494" t="str">
        <f t="shared" si="39"/>
        <v/>
      </c>
      <c r="BJ808" s="2494" t="str">
        <f t="shared" si="40"/>
        <v/>
      </c>
      <c r="BK808" s="2494" t="str">
        <f t="shared" si="41"/>
        <v/>
      </c>
      <c r="BL808" s="2494" t="str">
        <f t="shared" si="42"/>
        <v/>
      </c>
      <c r="BM808" s="2494" t="str">
        <f t="shared" si="43"/>
        <v/>
      </c>
      <c r="BN808" s="2494" t="str">
        <f t="shared" si="44"/>
        <v/>
      </c>
      <c r="BO808" s="2494" t="str">
        <f t="shared" si="45"/>
        <v/>
      </c>
      <c r="BP808" s="2494" t="str">
        <f t="shared" si="46"/>
        <v/>
      </c>
      <c r="BQ808" s="2494" t="str">
        <f t="shared" si="47"/>
        <v/>
      </c>
      <c r="BR808" s="2494" t="str">
        <f t="shared" si="48"/>
        <v/>
      </c>
      <c r="BS808" s="2494" t="str">
        <f t="shared" si="49"/>
        <v/>
      </c>
      <c r="BT808" s="2494" t="str">
        <f t="shared" si="50"/>
        <v/>
      </c>
      <c r="BU808" s="2494" t="str">
        <f t="shared" si="51"/>
        <v/>
      </c>
      <c r="BV808" s="2494" t="str">
        <f t="shared" si="52"/>
        <v/>
      </c>
      <c r="BW808" s="2494" t="str">
        <f t="shared" si="53"/>
        <v/>
      </c>
      <c r="BX808" s="2494" t="str">
        <f t="shared" si="54"/>
        <v/>
      </c>
      <c r="BY808" s="2494" t="str">
        <f t="shared" si="55"/>
        <v/>
      </c>
      <c r="BZ808" s="2494" t="str">
        <f t="shared" si="56"/>
        <v/>
      </c>
      <c r="CA808" s="2494" t="str">
        <f t="shared" si="57"/>
        <v/>
      </c>
      <c r="CB808" s="2494" t="str">
        <f t="shared" si="58"/>
        <v/>
      </c>
      <c r="CC808" s="2494" t="str">
        <f t="shared" si="59"/>
        <v/>
      </c>
      <c r="CD808" s="2494" t="str">
        <f t="shared" si="60"/>
        <v/>
      </c>
      <c r="CE808" s="2494" t="str">
        <f t="shared" si="61"/>
        <v/>
      </c>
      <c r="CF808" s="2494" t="str">
        <f t="shared" si="62"/>
        <v/>
      </c>
      <c r="CG808" s="2494" t="str">
        <f t="shared" si="63"/>
        <v/>
      </c>
      <c r="CH808" s="2494" t="str">
        <f t="shared" si="64"/>
        <v/>
      </c>
      <c r="CI808" s="2494" t="str">
        <f t="shared" si="65"/>
        <v/>
      </c>
      <c r="CJ808" s="2494" t="str">
        <f t="shared" si="66"/>
        <v/>
      </c>
      <c r="CK808" s="2494" t="str">
        <f t="shared" si="67"/>
        <v/>
      </c>
      <c r="CL808" s="2494" t="str">
        <f t="shared" si="68"/>
        <v/>
      </c>
      <c r="CM808" s="2494" t="str">
        <f t="shared" si="69"/>
        <v/>
      </c>
      <c r="CN808" s="2494" t="str">
        <f t="shared" si="70"/>
        <v/>
      </c>
      <c r="CO808" s="2494" t="str">
        <f t="shared" si="71"/>
        <v/>
      </c>
      <c r="CP808" s="2494" t="str">
        <f t="shared" si="72"/>
        <v/>
      </c>
      <c r="CQ808" s="2494" t="str">
        <f t="shared" si="73"/>
        <v/>
      </c>
      <c r="CR808" s="2494" t="str">
        <f t="shared" si="74"/>
        <v/>
      </c>
      <c r="CS808" s="2494" t="str">
        <f t="shared" si="75"/>
        <v/>
      </c>
      <c r="CT808" s="2494" t="str">
        <f t="shared" si="76"/>
        <v/>
      </c>
      <c r="CU808" s="2494" t="str">
        <f t="shared" si="77"/>
        <v/>
      </c>
      <c r="CV808" s="2494" t="str">
        <f t="shared" si="78"/>
        <v/>
      </c>
      <c r="CW808" s="2494" t="str">
        <f t="shared" si="79"/>
        <v/>
      </c>
      <c r="CX808" s="2494" t="str">
        <f t="shared" si="80"/>
        <v/>
      </c>
      <c r="CY808" s="2494" t="str">
        <f t="shared" si="81"/>
        <v/>
      </c>
      <c r="CZ808" s="2494" t="str">
        <f t="shared" si="82"/>
        <v/>
      </c>
      <c r="DA808" s="2494" t="str">
        <f t="shared" si="83"/>
        <v/>
      </c>
      <c r="DB808" s="2494" t="str">
        <f t="shared" si="84"/>
        <v/>
      </c>
      <c r="DC808" s="2494" t="str">
        <f t="shared" si="85"/>
        <v/>
      </c>
      <c r="DD808" s="2494" t="str">
        <f t="shared" si="86"/>
        <v/>
      </c>
      <c r="DE808" s="2494" t="str">
        <f t="shared" si="87"/>
        <v/>
      </c>
      <c r="DF808" s="2494" t="str">
        <f t="shared" si="88"/>
        <v/>
      </c>
      <c r="DG808" s="2494" t="str">
        <f t="shared" si="89"/>
        <v/>
      </c>
      <c r="DH808" s="2494" t="str">
        <f t="shared" si="90"/>
        <v/>
      </c>
      <c r="DI808" s="2494" t="str">
        <f t="shared" si="91"/>
        <v/>
      </c>
      <c r="DJ808" s="2494" t="str">
        <f t="shared" si="92"/>
        <v/>
      </c>
      <c r="DK808" s="2494" t="str">
        <f t="shared" si="93"/>
        <v/>
      </c>
      <c r="DL808" s="2494" t="str">
        <f t="shared" si="94"/>
        <v/>
      </c>
      <c r="DM808" s="2494" t="str">
        <f t="shared" si="95"/>
        <v/>
      </c>
      <c r="DN808" s="2494" t="str">
        <f t="shared" si="96"/>
        <v/>
      </c>
      <c r="DO808" s="2494" t="str">
        <f t="shared" si="97"/>
        <v/>
      </c>
      <c r="DP808" s="2494" t="str">
        <f t="shared" si="98"/>
        <v/>
      </c>
      <c r="DQ808" s="2494" t="str">
        <f t="shared" si="99"/>
        <v/>
      </c>
      <c r="DR808" s="2494" t="str">
        <f t="shared" si="100"/>
        <v/>
      </c>
      <c r="DS808" s="2494" t="str">
        <f t="shared" si="101"/>
        <v/>
      </c>
      <c r="DT808" s="2494" t="str">
        <f t="shared" si="102"/>
        <v/>
      </c>
      <c r="DU808" s="2494" t="str">
        <f t="shared" si="103"/>
        <v/>
      </c>
      <c r="DV808" s="2494" t="str">
        <f t="shared" si="104"/>
        <v/>
      </c>
      <c r="DW808" s="2494" t="str">
        <f t="shared" si="105"/>
        <v/>
      </c>
      <c r="DX808" s="2494" t="str">
        <f t="shared" si="106"/>
        <v/>
      </c>
      <c r="DY808" s="2494" t="str">
        <f t="shared" si="107"/>
        <v/>
      </c>
      <c r="DZ808" s="2494" t="str">
        <f t="shared" si="108"/>
        <v/>
      </c>
      <c r="EA808" s="2494" t="str">
        <f t="shared" si="109"/>
        <v/>
      </c>
      <c r="EB808" s="2494" t="str">
        <f t="shared" si="110"/>
        <v/>
      </c>
      <c r="EC808" s="2494" t="str">
        <f t="shared" si="111"/>
        <v/>
      </c>
      <c r="ED808" s="2494" t="str">
        <f t="shared" si="112"/>
        <v/>
      </c>
      <c r="EE808" s="2494" t="str">
        <f t="shared" si="113"/>
        <v/>
      </c>
      <c r="EF808" s="2494" t="str">
        <f t="shared" si="114"/>
        <v/>
      </c>
      <c r="EG808" s="2494" t="str">
        <f t="shared" si="115"/>
        <v/>
      </c>
      <c r="EH808" s="2494" t="str">
        <f t="shared" si="116"/>
        <v/>
      </c>
      <c r="EI808" s="2494" t="str">
        <f t="shared" si="117"/>
        <v/>
      </c>
      <c r="EJ808" s="2494" t="str">
        <f t="shared" si="118"/>
        <v/>
      </c>
      <c r="EK808" s="2494" t="str">
        <f t="shared" si="119"/>
        <v/>
      </c>
      <c r="EL808" s="2494" t="str">
        <f t="shared" si="120"/>
        <v/>
      </c>
      <c r="EM808" s="2494" t="str">
        <f t="shared" si="121"/>
        <v/>
      </c>
      <c r="EN808" s="2494" t="str">
        <f t="shared" si="122"/>
        <v/>
      </c>
      <c r="EO808" s="2494" t="str">
        <f t="shared" si="123"/>
        <v/>
      </c>
      <c r="EP808" s="2494" t="str">
        <f t="shared" si="124"/>
        <v/>
      </c>
      <c r="EQ808" s="2494" t="str">
        <f t="shared" si="125"/>
        <v/>
      </c>
      <c r="ER808" s="2494" t="str">
        <f t="shared" si="126"/>
        <v/>
      </c>
      <c r="ES808" s="2494" t="str">
        <f t="shared" si="127"/>
        <v/>
      </c>
      <c r="ET808" s="2494" t="str">
        <f t="shared" si="128"/>
        <v/>
      </c>
      <c r="EU808" s="2494" t="str">
        <f t="shared" si="129"/>
        <v/>
      </c>
      <c r="EV808" s="2494" t="str">
        <f t="shared" si="130"/>
        <v/>
      </c>
      <c r="EW808" s="2494" t="str">
        <f t="shared" si="131"/>
        <v/>
      </c>
      <c r="EX808" s="2494" t="str">
        <f t="shared" si="132"/>
        <v/>
      </c>
      <c r="EY808" s="2494" t="str">
        <f t="shared" si="133"/>
        <v/>
      </c>
      <c r="EZ808" s="2494" t="str">
        <f t="shared" si="134"/>
        <v/>
      </c>
      <c r="FA808" s="2494" t="str">
        <f t="shared" si="135"/>
        <v/>
      </c>
      <c r="FB808" s="2494" t="str">
        <f t="shared" si="136"/>
        <v/>
      </c>
      <c r="FC808" s="2494" t="str">
        <f t="shared" si="137"/>
        <v/>
      </c>
      <c r="FD808" s="2494" t="str">
        <f t="shared" si="138"/>
        <v/>
      </c>
      <c r="FE808" s="2494" t="str">
        <f t="shared" si="139"/>
        <v/>
      </c>
      <c r="FF808" s="2494" t="str">
        <f t="shared" si="140"/>
        <v/>
      </c>
      <c r="FG808" s="2494" t="str">
        <f t="shared" si="141"/>
        <v/>
      </c>
      <c r="FH808" s="2494" t="str">
        <f t="shared" si="142"/>
        <v/>
      </c>
      <c r="FI808" s="2494" t="str">
        <f t="shared" si="143"/>
        <v/>
      </c>
      <c r="FJ808" s="2494" t="str">
        <f t="shared" si="144"/>
        <v/>
      </c>
      <c r="FK808" s="2494" t="str">
        <f t="shared" si="145"/>
        <v/>
      </c>
      <c r="FL808" s="2494" t="str">
        <f t="shared" si="146"/>
        <v/>
      </c>
      <c r="FM808" s="2494" t="str">
        <f t="shared" si="147"/>
        <v/>
      </c>
      <c r="FN808" s="2494" t="str">
        <f t="shared" si="148"/>
        <v/>
      </c>
      <c r="FO808" s="2494" t="str">
        <f t="shared" si="149"/>
        <v/>
      </c>
      <c r="FP808" s="2494" t="str">
        <f t="shared" si="150"/>
        <v/>
      </c>
      <c r="FQ808" s="2494" t="str">
        <f t="shared" si="151"/>
        <v/>
      </c>
      <c r="FR808" s="2494" t="str">
        <f t="shared" si="152"/>
        <v/>
      </c>
      <c r="FS808" s="2494" t="str">
        <f t="shared" si="153"/>
        <v/>
      </c>
      <c r="FT808" s="2494" t="str">
        <f t="shared" si="154"/>
        <v/>
      </c>
      <c r="FU808" s="2494" t="str">
        <f t="shared" si="155"/>
        <v/>
      </c>
      <c r="FV808" s="2494" t="str">
        <f t="shared" si="156"/>
        <v/>
      </c>
      <c r="FW808" s="2494" t="str">
        <f t="shared" si="157"/>
        <v/>
      </c>
      <c r="FX808" s="2494" t="str">
        <f t="shared" si="158"/>
        <v/>
      </c>
      <c r="FY808" s="2494" t="str">
        <f t="shared" si="159"/>
        <v/>
      </c>
      <c r="FZ808" s="2494" t="str">
        <f t="shared" si="160"/>
        <v/>
      </c>
      <c r="GA808" s="2494" t="str">
        <f t="shared" si="161"/>
        <v/>
      </c>
      <c r="GB808" s="2494" t="str">
        <f t="shared" si="162"/>
        <v/>
      </c>
      <c r="GC808" s="2494" t="str">
        <f t="shared" si="163"/>
        <v/>
      </c>
      <c r="GD808" s="2494" t="str">
        <f t="shared" si="164"/>
        <v/>
      </c>
      <c r="GE808" s="2494" t="str">
        <f t="shared" si="165"/>
        <v/>
      </c>
      <c r="GF808" s="2494" t="str">
        <f t="shared" si="166"/>
        <v/>
      </c>
      <c r="GG808" s="2494" t="str">
        <f t="shared" si="167"/>
        <v/>
      </c>
      <c r="GH808" s="2494" t="str">
        <f t="shared" si="168"/>
        <v/>
      </c>
      <c r="GI808" s="2494" t="str">
        <f t="shared" si="169"/>
        <v/>
      </c>
      <c r="GJ808" s="2494" t="str">
        <f t="shared" si="170"/>
        <v/>
      </c>
      <c r="GK808" s="2494" t="str">
        <f t="shared" si="171"/>
        <v/>
      </c>
      <c r="GL808" s="2494" t="str">
        <f t="shared" si="172"/>
        <v/>
      </c>
      <c r="GM808" s="2494" t="str">
        <f t="shared" si="173"/>
        <v/>
      </c>
      <c r="GN808" s="2494" t="str">
        <f t="shared" si="174"/>
        <v/>
      </c>
      <c r="GO808" s="2494" t="str">
        <f t="shared" si="175"/>
        <v/>
      </c>
      <c r="GP808" s="2494" t="str">
        <f t="shared" si="176"/>
        <v/>
      </c>
      <c r="GQ808" s="2494" t="str">
        <f t="shared" si="177"/>
        <v/>
      </c>
      <c r="GR808" s="2494" t="str">
        <f t="shared" si="178"/>
        <v/>
      </c>
      <c r="GS808" s="2494" t="str">
        <f t="shared" si="179"/>
        <v/>
      </c>
      <c r="GT808" s="2494" t="str">
        <f t="shared" si="180"/>
        <v/>
      </c>
      <c r="GU808" s="2494" t="str">
        <f t="shared" si="181"/>
        <v/>
      </c>
      <c r="GV808" s="2494" t="str">
        <f t="shared" si="182"/>
        <v/>
      </c>
      <c r="GW808" s="2494" t="str">
        <f t="shared" si="183"/>
        <v/>
      </c>
      <c r="GX808" s="2494" t="str">
        <f t="shared" si="184"/>
        <v/>
      </c>
      <c r="GY808" s="2494" t="str">
        <f t="shared" si="185"/>
        <v/>
      </c>
      <c r="GZ808" s="2494" t="str">
        <f t="shared" si="186"/>
        <v/>
      </c>
      <c r="HA808" s="2494" t="str">
        <f t="shared" si="187"/>
        <v/>
      </c>
      <c r="HB808" s="2494" t="str">
        <f t="shared" si="188"/>
        <v/>
      </c>
      <c r="HC808" s="2494" t="str">
        <f t="shared" si="189"/>
        <v/>
      </c>
      <c r="HD808" s="2494" t="str">
        <f t="shared" si="190"/>
        <v/>
      </c>
      <c r="HE808" s="2494" t="str">
        <f t="shared" si="191"/>
        <v/>
      </c>
      <c r="HF808" s="2494" t="str">
        <f t="shared" si="192"/>
        <v/>
      </c>
      <c r="HG808" s="2494" t="str">
        <f t="shared" si="193"/>
        <v/>
      </c>
      <c r="HH808" s="2494" t="str">
        <f t="shared" si="194"/>
        <v/>
      </c>
      <c r="HI808" s="2494" t="str">
        <f t="shared" si="195"/>
        <v/>
      </c>
      <c r="HJ808" s="2494" t="str">
        <f t="shared" si="196"/>
        <v/>
      </c>
      <c r="HK808" s="2494" t="str">
        <f t="shared" si="197"/>
        <v/>
      </c>
      <c r="HL808" s="2494" t="str">
        <f t="shared" si="198"/>
        <v/>
      </c>
      <c r="HM808" s="2494" t="str">
        <f t="shared" si="199"/>
        <v/>
      </c>
      <c r="HN808" s="2494" t="str">
        <f t="shared" si="200"/>
        <v/>
      </c>
      <c r="HO808" s="2494" t="str">
        <f t="shared" si="201"/>
        <v/>
      </c>
      <c r="HP808" s="2494" t="str">
        <f t="shared" si="202"/>
        <v/>
      </c>
      <c r="HQ808" s="2494" t="str">
        <f t="shared" si="203"/>
        <v/>
      </c>
      <c r="HR808" s="2494" t="str">
        <f t="shared" si="204"/>
        <v/>
      </c>
      <c r="HS808" s="2494" t="str">
        <f t="shared" si="205"/>
        <v/>
      </c>
      <c r="HT808" s="2494" t="str">
        <f t="shared" si="206"/>
        <v/>
      </c>
      <c r="HU808" s="2494" t="str">
        <f t="shared" si="207"/>
        <v/>
      </c>
      <c r="HV808" s="2494" t="str">
        <f t="shared" si="208"/>
        <v/>
      </c>
      <c r="HW808" s="2494" t="str">
        <f t="shared" si="209"/>
        <v/>
      </c>
      <c r="HX808" s="2494" t="str">
        <f t="shared" si="210"/>
        <v/>
      </c>
      <c r="HY808" s="2494" t="str">
        <f t="shared" si="211"/>
        <v/>
      </c>
      <c r="HZ808" s="2672" t="str">
        <f t="shared" si="212"/>
        <v/>
      </c>
      <c r="IA808" s="2672" t="str">
        <f t="shared" si="213"/>
        <v/>
      </c>
      <c r="IB808" s="2672" t="str">
        <f t="shared" si="214"/>
        <v/>
      </c>
      <c r="IC808" s="2672" t="str">
        <f t="shared" si="215"/>
        <v/>
      </c>
      <c r="ID808" s="2672" t="str">
        <f t="shared" si="216"/>
        <v/>
      </c>
      <c r="IE808" s="2672" t="str">
        <f t="shared" si="217"/>
        <v/>
      </c>
      <c r="IF808" s="2672" t="str">
        <f t="shared" si="218"/>
        <v/>
      </c>
      <c r="IG808" s="2672" t="str">
        <f t="shared" si="219"/>
        <v/>
      </c>
      <c r="IH808" s="2672" t="str">
        <f t="shared" si="220"/>
        <v/>
      </c>
      <c r="II808" s="2672" t="str">
        <f t="shared" si="221"/>
        <v/>
      </c>
      <c r="IJ808" s="2672" t="str">
        <f t="shared" si="222"/>
        <v/>
      </c>
      <c r="IK808" s="2672" t="str">
        <f t="shared" si="223"/>
        <v/>
      </c>
      <c r="IL808" s="2672" t="str">
        <f t="shared" si="224"/>
        <v/>
      </c>
      <c r="IM808" s="2672" t="str">
        <f t="shared" si="225"/>
        <v/>
      </c>
      <c r="IN808" s="2672" t="str">
        <f t="shared" si="226"/>
        <v/>
      </c>
      <c r="IO808" s="2672" t="str">
        <f t="shared" si="227"/>
        <v/>
      </c>
      <c r="IP808" s="2672" t="str">
        <f t="shared" si="228"/>
        <v/>
      </c>
      <c r="IQ808" s="2672" t="str">
        <f t="shared" si="229"/>
        <v/>
      </c>
      <c r="IR808" s="2672" t="str">
        <f t="shared" si="230"/>
        <v/>
      </c>
      <c r="IS808" s="2672" t="str">
        <f t="shared" si="231"/>
        <v/>
      </c>
      <c r="IT808" s="2672" t="str">
        <f t="shared" si="232"/>
        <v/>
      </c>
      <c r="IU808" s="2672" t="str">
        <f t="shared" si="233"/>
        <v/>
      </c>
      <c r="IV808" s="2672" t="str">
        <f t="shared" si="234"/>
        <v/>
      </c>
      <c r="IW808" s="2672" t="str">
        <f t="shared" si="235"/>
        <v/>
      </c>
      <c r="IX808" s="2672" t="str">
        <f t="shared" si="236"/>
        <v/>
      </c>
      <c r="IY808" s="2672" t="str">
        <f t="shared" si="237"/>
        <v/>
      </c>
      <c r="IZ808" s="2672" t="str">
        <f t="shared" si="238"/>
        <v/>
      </c>
      <c r="JA808" s="2672" t="str">
        <f t="shared" si="239"/>
        <v/>
      </c>
      <c r="JB808" s="2672" t="str">
        <f t="shared" si="240"/>
        <v/>
      </c>
      <c r="JC808" s="2672" t="str">
        <f t="shared" si="241"/>
        <v/>
      </c>
      <c r="JD808" s="2672" t="str">
        <f t="shared" si="242"/>
        <v/>
      </c>
      <c r="JE808" s="2672" t="str">
        <f t="shared" si="243"/>
        <v/>
      </c>
      <c r="JF808" s="2672" t="str">
        <f t="shared" si="244"/>
        <v/>
      </c>
      <c r="JG808" s="2672" t="str">
        <f t="shared" si="245"/>
        <v/>
      </c>
      <c r="JH808" s="2672" t="str">
        <f t="shared" si="246"/>
        <v/>
      </c>
      <c r="JI808" s="2672" t="str">
        <f t="shared" si="247"/>
        <v/>
      </c>
      <c r="JJ808" s="2672" t="str">
        <f t="shared" si="248"/>
        <v/>
      </c>
      <c r="JK808" s="2672" t="str">
        <f t="shared" si="249"/>
        <v/>
      </c>
      <c r="JL808" s="2672" t="str">
        <f t="shared" si="250"/>
        <v/>
      </c>
      <c r="JM808" s="2672" t="str">
        <f t="shared" si="251"/>
        <v/>
      </c>
      <c r="JN808" s="2672" t="str">
        <f t="shared" si="252"/>
        <v/>
      </c>
      <c r="JO808" s="2672" t="str">
        <f t="shared" si="253"/>
        <v/>
      </c>
      <c r="JP808" s="2672" t="str">
        <f t="shared" si="254"/>
        <v/>
      </c>
      <c r="JQ808" s="2672" t="str">
        <f t="shared" si="255"/>
        <v/>
      </c>
      <c r="JR808" s="2672" t="str">
        <f t="shared" si="256"/>
        <v/>
      </c>
      <c r="JS808" s="2672" t="str">
        <f t="shared" si="257"/>
        <v/>
      </c>
      <c r="JT808" s="2672" t="str">
        <f t="shared" si="258"/>
        <v/>
      </c>
      <c r="JU808" s="2672" t="str">
        <f t="shared" si="259"/>
        <v/>
      </c>
      <c r="JV808" s="2672" t="str">
        <f t="shared" si="260"/>
        <v/>
      </c>
      <c r="JW808" s="2672" t="str">
        <f t="shared" si="261"/>
        <v/>
      </c>
      <c r="JX808" s="2672" t="str">
        <f t="shared" si="262"/>
        <v/>
      </c>
      <c r="JY808" s="2672" t="str">
        <f t="shared" si="263"/>
        <v/>
      </c>
      <c r="JZ808" s="2672" t="str">
        <f t="shared" si="264"/>
        <v/>
      </c>
      <c r="KA808" s="2672" t="str">
        <f t="shared" si="265"/>
        <v/>
      </c>
      <c r="KB808" s="2672" t="str">
        <f t="shared" si="266"/>
        <v/>
      </c>
      <c r="KC808" s="2672" t="str">
        <f t="shared" si="267"/>
        <v/>
      </c>
      <c r="KD808" s="2672" t="str">
        <f t="shared" si="268"/>
        <v/>
      </c>
      <c r="KE808" s="2672" t="str">
        <f t="shared" si="269"/>
        <v/>
      </c>
      <c r="KF808" s="2672" t="str">
        <f t="shared" si="270"/>
        <v/>
      </c>
      <c r="KG808" s="2672" t="str">
        <f t="shared" si="271"/>
        <v/>
      </c>
      <c r="KH808" s="2672" t="str">
        <f t="shared" si="272"/>
        <v/>
      </c>
      <c r="KI808" s="2672" t="str">
        <f t="shared" si="273"/>
        <v/>
      </c>
      <c r="KJ808" s="2672" t="str">
        <f t="shared" si="274"/>
        <v/>
      </c>
      <c r="KK808" s="2672" t="str">
        <f t="shared" si="275"/>
        <v/>
      </c>
      <c r="KL808" s="2672" t="str">
        <f t="shared" si="276"/>
        <v/>
      </c>
      <c r="KM808" s="2672" t="str">
        <f t="shared" si="277"/>
        <v/>
      </c>
      <c r="KN808" s="2672" t="str">
        <f t="shared" si="278"/>
        <v/>
      </c>
      <c r="KO808" s="2672" t="str">
        <f t="shared" si="279"/>
        <v/>
      </c>
      <c r="KP808" s="2672" t="str">
        <f t="shared" si="280"/>
        <v/>
      </c>
      <c r="KQ808" s="2672" t="str">
        <f t="shared" si="281"/>
        <v/>
      </c>
      <c r="KR808" s="2672" t="str">
        <f t="shared" si="282"/>
        <v/>
      </c>
      <c r="KS808" s="2672" t="str">
        <f t="shared" si="283"/>
        <v/>
      </c>
      <c r="KT808" s="2672" t="str">
        <f t="shared" si="284"/>
        <v/>
      </c>
      <c r="KU808" s="2672" t="str">
        <f t="shared" si="285"/>
        <v/>
      </c>
      <c r="KV808" s="2672" t="str">
        <f t="shared" si="286"/>
        <v/>
      </c>
      <c r="KW808" s="2672" t="str">
        <f t="shared" si="287"/>
        <v/>
      </c>
      <c r="KX808" s="2672" t="str">
        <f t="shared" si="288"/>
        <v/>
      </c>
      <c r="KY808" s="2672" t="str">
        <f t="shared" si="289"/>
        <v/>
      </c>
      <c r="KZ808" s="2672" t="str">
        <f t="shared" si="290"/>
        <v/>
      </c>
      <c r="LA808" s="2672" t="str">
        <f t="shared" si="291"/>
        <v/>
      </c>
      <c r="LB808" s="2672" t="str">
        <f t="shared" si="292"/>
        <v/>
      </c>
      <c r="LC808" s="2672" t="str">
        <f t="shared" si="293"/>
        <v/>
      </c>
      <c r="LD808" s="2672" t="str">
        <f t="shared" si="294"/>
        <v/>
      </c>
      <c r="LE808" s="2672" t="str">
        <f t="shared" si="295"/>
        <v/>
      </c>
      <c r="LF808" s="2672" t="str">
        <f t="shared" si="296"/>
        <v/>
      </c>
      <c r="LG808" s="2672" t="str">
        <f t="shared" si="297"/>
        <v/>
      </c>
      <c r="LH808" s="2672" t="str">
        <f t="shared" si="298"/>
        <v/>
      </c>
      <c r="LI808" s="2672" t="str">
        <f t="shared" si="299"/>
        <v/>
      </c>
      <c r="LJ808" s="2672" t="str">
        <f t="shared" si="300"/>
        <v/>
      </c>
      <c r="LK808" s="2672" t="str">
        <f t="shared" si="301"/>
        <v/>
      </c>
      <c r="LL808" s="2672" t="str">
        <f t="shared" si="302"/>
        <v/>
      </c>
      <c r="LM808" s="2672" t="str">
        <f t="shared" si="303"/>
        <v/>
      </c>
      <c r="LN808" s="2672" t="str">
        <f t="shared" si="304"/>
        <v/>
      </c>
      <c r="LO808" s="2672" t="str">
        <f t="shared" si="305"/>
        <v/>
      </c>
      <c r="LP808" s="2672" t="str">
        <f t="shared" si="306"/>
        <v/>
      </c>
      <c r="LQ808" s="2613" t="str">
        <f t="shared" si="307"/>
        <v/>
      </c>
      <c r="LR808" s="2613" t="str">
        <f t="shared" si="308"/>
        <v/>
      </c>
      <c r="LS808" s="2613" t="str">
        <f t="shared" si="309"/>
        <v/>
      </c>
      <c r="LT808" s="2613" t="str">
        <f t="shared" si="310"/>
        <v/>
      </c>
      <c r="LU808" s="2613" t="str">
        <f t="shared" si="311"/>
        <v/>
      </c>
      <c r="LV808" s="2494" t="str">
        <f t="shared" si="312"/>
        <v/>
      </c>
      <c r="LW808" s="2494" t="str">
        <f t="shared" si="313"/>
        <v/>
      </c>
      <c r="LX808" s="2494" t="str">
        <f t="shared" si="314"/>
        <v/>
      </c>
      <c r="LY808" s="2494" t="str">
        <f t="shared" si="315"/>
        <v/>
      </c>
      <c r="LZ808" s="2494" t="str">
        <f t="shared" si="316"/>
        <v/>
      </c>
      <c r="MA808" s="2494" t="str">
        <f t="shared" si="317"/>
        <v/>
      </c>
      <c r="MB808" s="2494" t="str">
        <f t="shared" si="318"/>
        <v/>
      </c>
      <c r="MC808" s="2494" t="str">
        <f t="shared" si="319"/>
        <v/>
      </c>
      <c r="MD808" s="2494" t="str">
        <f t="shared" si="320"/>
        <v/>
      </c>
      <c r="ME808" s="2494" t="str">
        <f t="shared" si="321"/>
        <v/>
      </c>
      <c r="MF808" s="2494" t="str">
        <f t="shared" si="322"/>
        <v/>
      </c>
      <c r="MG808" s="2494" t="str">
        <f t="shared" si="323"/>
        <v/>
      </c>
      <c r="MH808" s="2494" t="str">
        <f t="shared" si="324"/>
        <v/>
      </c>
      <c r="MI808" s="2494" t="str">
        <f t="shared" si="325"/>
        <v/>
      </c>
      <c r="MJ808" s="2494" t="str">
        <f t="shared" si="326"/>
        <v/>
      </c>
      <c r="MK808" s="2494" t="str">
        <f t="shared" si="327"/>
        <v/>
      </c>
      <c r="ML808" s="2494" t="str">
        <f t="shared" si="328"/>
        <v/>
      </c>
      <c r="MM808" s="2494" t="str">
        <f t="shared" si="329"/>
        <v/>
      </c>
      <c r="MN808" s="2494" t="str">
        <f t="shared" si="330"/>
        <v/>
      </c>
      <c r="MO808" s="2494" t="str">
        <f t="shared" si="331"/>
        <v/>
      </c>
      <c r="MP808" s="2613">
        <f t="shared" si="338"/>
        <v>0</v>
      </c>
      <c r="MQ808" s="2613">
        <f t="shared" si="339"/>
        <v>0</v>
      </c>
      <c r="MR808" s="2613">
        <f t="shared" si="340"/>
        <v>0</v>
      </c>
      <c r="MS808" s="2613">
        <f t="shared" si="341"/>
        <v>0</v>
      </c>
      <c r="MT808" s="2613">
        <f t="shared" si="342"/>
        <v>0</v>
      </c>
      <c r="MU808" s="2613">
        <f t="shared" si="343"/>
        <v>0</v>
      </c>
      <c r="MV808" s="2613">
        <f t="shared" si="344"/>
        <v>0</v>
      </c>
      <c r="MW808" s="2613">
        <f t="shared" si="345"/>
        <v>0</v>
      </c>
      <c r="MX808" s="2613">
        <f t="shared" si="346"/>
        <v>0</v>
      </c>
      <c r="MY808" s="2613">
        <f t="shared" si="347"/>
        <v>0</v>
      </c>
      <c r="MZ808" s="2613">
        <f t="shared" si="332"/>
        <v>0</v>
      </c>
      <c r="NA808" s="2613">
        <f t="shared" si="333"/>
        <v>0</v>
      </c>
      <c r="NB808" s="2613">
        <f t="shared" si="334"/>
        <v>0</v>
      </c>
      <c r="NC808" s="2613">
        <f t="shared" si="335"/>
        <v>0</v>
      </c>
      <c r="ND808" s="2613">
        <f t="shared" si="336"/>
        <v>0</v>
      </c>
    </row>
    <row r="809" spans="1:368" ht="13.8" customHeight="1">
      <c r="A809" s="2652" t="str">
        <f t="shared" si="337"/>
        <v/>
      </c>
      <c r="B809" s="2664">
        <f>'Part VI-Revenues &amp; Expenses'!B40</f>
        <v>0</v>
      </c>
      <c r="C809" s="2665">
        <f>'Part VI-Revenues &amp; Expenses'!C40</f>
        <v>0</v>
      </c>
      <c r="D809" s="2666">
        <f>'Part VI-Revenues &amp; Expenses'!D40</f>
        <v>0</v>
      </c>
      <c r="E809" s="2667">
        <f>'Part VI-Revenues &amp; Expenses'!E40</f>
        <v>0</v>
      </c>
      <c r="F809" s="2667">
        <f>'Part VI-Revenues &amp; Expenses'!F40</f>
        <v>0</v>
      </c>
      <c r="G809" s="2667">
        <f>'Part VI-Revenues &amp; Expenses'!G40</f>
        <v>0</v>
      </c>
      <c r="H809" s="2667">
        <f>'Part VI-Revenues &amp; Expenses'!H40</f>
        <v>0</v>
      </c>
      <c r="I809" s="2667">
        <f>'Part VI-Revenues &amp; Expenses'!I40</f>
        <v>0</v>
      </c>
      <c r="J809" s="2667">
        <f>'Part VI-Revenues &amp; Expenses'!J40</f>
        <v>0</v>
      </c>
      <c r="K809" s="2668">
        <f>'Part VI-Revenues &amp; Expenses'!K40</f>
        <v>0</v>
      </c>
      <c r="L809" s="2669">
        <f t="shared" si="0"/>
        <v>0</v>
      </c>
      <c r="M809" s="2669">
        <f t="shared" si="1"/>
        <v>0</v>
      </c>
      <c r="N809" s="2545">
        <f>'Part VI-Revenues &amp; Expenses'!N40</f>
        <v>0</v>
      </c>
      <c r="O809" s="2545">
        <f>'Part VI-Revenues &amp; Expenses'!O40</f>
        <v>0</v>
      </c>
      <c r="P809" s="2545">
        <f>'Part VI-Revenues &amp; Expenses'!P40</f>
        <v>0</v>
      </c>
      <c r="Q809" s="2251">
        <f>'Part VI-Revenues &amp; Expenses'!Q40</f>
        <v>0</v>
      </c>
      <c r="R809" s="2670"/>
      <c r="S809" s="2671"/>
      <c r="T809" s="2607"/>
      <c r="U809" s="2607"/>
      <c r="V809" s="2607"/>
      <c r="W809" s="2607"/>
      <c r="X809" s="2494" t="str">
        <f t="shared" si="2"/>
        <v/>
      </c>
      <c r="Y809" s="2494" t="str">
        <f t="shared" si="3"/>
        <v/>
      </c>
      <c r="Z809" s="2494" t="str">
        <f t="shared" si="4"/>
        <v/>
      </c>
      <c r="AA809" s="2494" t="str">
        <f t="shared" si="5"/>
        <v/>
      </c>
      <c r="AB809" s="2494" t="str">
        <f t="shared" si="6"/>
        <v/>
      </c>
      <c r="AC809" s="2494" t="str">
        <f t="shared" si="7"/>
        <v/>
      </c>
      <c r="AD809" s="2494" t="str">
        <f t="shared" si="8"/>
        <v/>
      </c>
      <c r="AE809" s="2494" t="str">
        <f t="shared" si="9"/>
        <v/>
      </c>
      <c r="AF809" s="2494" t="str">
        <f t="shared" si="10"/>
        <v/>
      </c>
      <c r="AG809" s="2494" t="str">
        <f t="shared" si="11"/>
        <v/>
      </c>
      <c r="AH809" s="2494" t="str">
        <f t="shared" si="12"/>
        <v/>
      </c>
      <c r="AI809" s="2494" t="str">
        <f t="shared" si="13"/>
        <v/>
      </c>
      <c r="AJ809" s="2494" t="str">
        <f t="shared" si="14"/>
        <v/>
      </c>
      <c r="AK809" s="2494" t="str">
        <f t="shared" si="15"/>
        <v/>
      </c>
      <c r="AL809" s="2494" t="str">
        <f t="shared" si="16"/>
        <v/>
      </c>
      <c r="AM809" s="2494" t="str">
        <f t="shared" si="17"/>
        <v/>
      </c>
      <c r="AN809" s="2494" t="str">
        <f t="shared" si="18"/>
        <v/>
      </c>
      <c r="AO809" s="2494" t="str">
        <f t="shared" si="19"/>
        <v/>
      </c>
      <c r="AP809" s="2494" t="str">
        <f t="shared" si="20"/>
        <v/>
      </c>
      <c r="AQ809" s="2494" t="str">
        <f t="shared" si="21"/>
        <v/>
      </c>
      <c r="AR809" s="2494" t="str">
        <f t="shared" si="22"/>
        <v/>
      </c>
      <c r="AS809" s="2494" t="str">
        <f t="shared" si="23"/>
        <v/>
      </c>
      <c r="AT809" s="2494" t="str">
        <f t="shared" si="24"/>
        <v/>
      </c>
      <c r="AU809" s="2494" t="str">
        <f t="shared" si="25"/>
        <v/>
      </c>
      <c r="AV809" s="2494" t="str">
        <f t="shared" si="26"/>
        <v/>
      </c>
      <c r="AW809" s="2494" t="str">
        <f t="shared" si="27"/>
        <v/>
      </c>
      <c r="AX809" s="2494" t="str">
        <f t="shared" si="28"/>
        <v/>
      </c>
      <c r="AY809" s="2494" t="str">
        <f t="shared" si="29"/>
        <v/>
      </c>
      <c r="AZ809" s="2494" t="str">
        <f t="shared" si="30"/>
        <v/>
      </c>
      <c r="BA809" s="2494" t="str">
        <f t="shared" si="31"/>
        <v/>
      </c>
      <c r="BB809" s="2494" t="str">
        <f t="shared" si="32"/>
        <v/>
      </c>
      <c r="BC809" s="2494" t="str">
        <f t="shared" si="33"/>
        <v/>
      </c>
      <c r="BD809" s="2494" t="str">
        <f t="shared" si="34"/>
        <v/>
      </c>
      <c r="BE809" s="2494" t="str">
        <f t="shared" si="35"/>
        <v/>
      </c>
      <c r="BF809" s="2494" t="str">
        <f t="shared" si="36"/>
        <v/>
      </c>
      <c r="BG809" s="2494" t="str">
        <f t="shared" si="37"/>
        <v/>
      </c>
      <c r="BH809" s="2494" t="str">
        <f t="shared" si="38"/>
        <v/>
      </c>
      <c r="BI809" s="2494" t="str">
        <f t="shared" si="39"/>
        <v/>
      </c>
      <c r="BJ809" s="2494" t="str">
        <f t="shared" si="40"/>
        <v/>
      </c>
      <c r="BK809" s="2494" t="str">
        <f t="shared" si="41"/>
        <v/>
      </c>
      <c r="BL809" s="2494" t="str">
        <f t="shared" si="42"/>
        <v/>
      </c>
      <c r="BM809" s="2494" t="str">
        <f t="shared" si="43"/>
        <v/>
      </c>
      <c r="BN809" s="2494" t="str">
        <f t="shared" si="44"/>
        <v/>
      </c>
      <c r="BO809" s="2494" t="str">
        <f t="shared" si="45"/>
        <v/>
      </c>
      <c r="BP809" s="2494" t="str">
        <f t="shared" si="46"/>
        <v/>
      </c>
      <c r="BQ809" s="2494" t="str">
        <f t="shared" si="47"/>
        <v/>
      </c>
      <c r="BR809" s="2494" t="str">
        <f t="shared" si="48"/>
        <v/>
      </c>
      <c r="BS809" s="2494" t="str">
        <f t="shared" si="49"/>
        <v/>
      </c>
      <c r="BT809" s="2494" t="str">
        <f t="shared" si="50"/>
        <v/>
      </c>
      <c r="BU809" s="2494" t="str">
        <f t="shared" si="51"/>
        <v/>
      </c>
      <c r="BV809" s="2494" t="str">
        <f t="shared" si="52"/>
        <v/>
      </c>
      <c r="BW809" s="2494" t="str">
        <f t="shared" si="53"/>
        <v/>
      </c>
      <c r="BX809" s="2494" t="str">
        <f t="shared" si="54"/>
        <v/>
      </c>
      <c r="BY809" s="2494" t="str">
        <f t="shared" si="55"/>
        <v/>
      </c>
      <c r="BZ809" s="2494" t="str">
        <f t="shared" si="56"/>
        <v/>
      </c>
      <c r="CA809" s="2494" t="str">
        <f t="shared" si="57"/>
        <v/>
      </c>
      <c r="CB809" s="2494" t="str">
        <f t="shared" si="58"/>
        <v/>
      </c>
      <c r="CC809" s="2494" t="str">
        <f t="shared" si="59"/>
        <v/>
      </c>
      <c r="CD809" s="2494" t="str">
        <f t="shared" si="60"/>
        <v/>
      </c>
      <c r="CE809" s="2494" t="str">
        <f t="shared" si="61"/>
        <v/>
      </c>
      <c r="CF809" s="2494" t="str">
        <f t="shared" si="62"/>
        <v/>
      </c>
      <c r="CG809" s="2494" t="str">
        <f t="shared" si="63"/>
        <v/>
      </c>
      <c r="CH809" s="2494" t="str">
        <f t="shared" si="64"/>
        <v/>
      </c>
      <c r="CI809" s="2494" t="str">
        <f t="shared" si="65"/>
        <v/>
      </c>
      <c r="CJ809" s="2494" t="str">
        <f t="shared" si="66"/>
        <v/>
      </c>
      <c r="CK809" s="2494" t="str">
        <f t="shared" si="67"/>
        <v/>
      </c>
      <c r="CL809" s="2494" t="str">
        <f t="shared" si="68"/>
        <v/>
      </c>
      <c r="CM809" s="2494" t="str">
        <f t="shared" si="69"/>
        <v/>
      </c>
      <c r="CN809" s="2494" t="str">
        <f t="shared" si="70"/>
        <v/>
      </c>
      <c r="CO809" s="2494" t="str">
        <f t="shared" si="71"/>
        <v/>
      </c>
      <c r="CP809" s="2494" t="str">
        <f t="shared" si="72"/>
        <v/>
      </c>
      <c r="CQ809" s="2494" t="str">
        <f t="shared" si="73"/>
        <v/>
      </c>
      <c r="CR809" s="2494" t="str">
        <f t="shared" si="74"/>
        <v/>
      </c>
      <c r="CS809" s="2494" t="str">
        <f t="shared" si="75"/>
        <v/>
      </c>
      <c r="CT809" s="2494" t="str">
        <f t="shared" si="76"/>
        <v/>
      </c>
      <c r="CU809" s="2494" t="str">
        <f t="shared" si="77"/>
        <v/>
      </c>
      <c r="CV809" s="2494" t="str">
        <f t="shared" si="78"/>
        <v/>
      </c>
      <c r="CW809" s="2494" t="str">
        <f t="shared" si="79"/>
        <v/>
      </c>
      <c r="CX809" s="2494" t="str">
        <f t="shared" si="80"/>
        <v/>
      </c>
      <c r="CY809" s="2494" t="str">
        <f t="shared" si="81"/>
        <v/>
      </c>
      <c r="CZ809" s="2494" t="str">
        <f t="shared" si="82"/>
        <v/>
      </c>
      <c r="DA809" s="2494" t="str">
        <f t="shared" si="83"/>
        <v/>
      </c>
      <c r="DB809" s="2494" t="str">
        <f t="shared" si="84"/>
        <v/>
      </c>
      <c r="DC809" s="2494" t="str">
        <f t="shared" si="85"/>
        <v/>
      </c>
      <c r="DD809" s="2494" t="str">
        <f t="shared" si="86"/>
        <v/>
      </c>
      <c r="DE809" s="2494" t="str">
        <f t="shared" si="87"/>
        <v/>
      </c>
      <c r="DF809" s="2494" t="str">
        <f t="shared" si="88"/>
        <v/>
      </c>
      <c r="DG809" s="2494" t="str">
        <f t="shared" si="89"/>
        <v/>
      </c>
      <c r="DH809" s="2494" t="str">
        <f t="shared" si="90"/>
        <v/>
      </c>
      <c r="DI809" s="2494" t="str">
        <f t="shared" si="91"/>
        <v/>
      </c>
      <c r="DJ809" s="2494" t="str">
        <f t="shared" si="92"/>
        <v/>
      </c>
      <c r="DK809" s="2494" t="str">
        <f t="shared" si="93"/>
        <v/>
      </c>
      <c r="DL809" s="2494" t="str">
        <f t="shared" si="94"/>
        <v/>
      </c>
      <c r="DM809" s="2494" t="str">
        <f t="shared" si="95"/>
        <v/>
      </c>
      <c r="DN809" s="2494" t="str">
        <f t="shared" si="96"/>
        <v/>
      </c>
      <c r="DO809" s="2494" t="str">
        <f t="shared" si="97"/>
        <v/>
      </c>
      <c r="DP809" s="2494" t="str">
        <f t="shared" si="98"/>
        <v/>
      </c>
      <c r="DQ809" s="2494" t="str">
        <f t="shared" si="99"/>
        <v/>
      </c>
      <c r="DR809" s="2494" t="str">
        <f t="shared" si="100"/>
        <v/>
      </c>
      <c r="DS809" s="2494" t="str">
        <f t="shared" si="101"/>
        <v/>
      </c>
      <c r="DT809" s="2494" t="str">
        <f t="shared" si="102"/>
        <v/>
      </c>
      <c r="DU809" s="2494" t="str">
        <f t="shared" si="103"/>
        <v/>
      </c>
      <c r="DV809" s="2494" t="str">
        <f t="shared" si="104"/>
        <v/>
      </c>
      <c r="DW809" s="2494" t="str">
        <f t="shared" si="105"/>
        <v/>
      </c>
      <c r="DX809" s="2494" t="str">
        <f t="shared" si="106"/>
        <v/>
      </c>
      <c r="DY809" s="2494" t="str">
        <f t="shared" si="107"/>
        <v/>
      </c>
      <c r="DZ809" s="2494" t="str">
        <f t="shared" si="108"/>
        <v/>
      </c>
      <c r="EA809" s="2494" t="str">
        <f t="shared" si="109"/>
        <v/>
      </c>
      <c r="EB809" s="2494" t="str">
        <f t="shared" si="110"/>
        <v/>
      </c>
      <c r="EC809" s="2494" t="str">
        <f t="shared" si="111"/>
        <v/>
      </c>
      <c r="ED809" s="2494" t="str">
        <f t="shared" si="112"/>
        <v/>
      </c>
      <c r="EE809" s="2494" t="str">
        <f t="shared" si="113"/>
        <v/>
      </c>
      <c r="EF809" s="2494" t="str">
        <f t="shared" si="114"/>
        <v/>
      </c>
      <c r="EG809" s="2494" t="str">
        <f t="shared" si="115"/>
        <v/>
      </c>
      <c r="EH809" s="2494" t="str">
        <f t="shared" si="116"/>
        <v/>
      </c>
      <c r="EI809" s="2494" t="str">
        <f t="shared" si="117"/>
        <v/>
      </c>
      <c r="EJ809" s="2494" t="str">
        <f t="shared" si="118"/>
        <v/>
      </c>
      <c r="EK809" s="2494" t="str">
        <f t="shared" si="119"/>
        <v/>
      </c>
      <c r="EL809" s="2494" t="str">
        <f t="shared" si="120"/>
        <v/>
      </c>
      <c r="EM809" s="2494" t="str">
        <f t="shared" si="121"/>
        <v/>
      </c>
      <c r="EN809" s="2494" t="str">
        <f t="shared" si="122"/>
        <v/>
      </c>
      <c r="EO809" s="2494" t="str">
        <f t="shared" si="123"/>
        <v/>
      </c>
      <c r="EP809" s="2494" t="str">
        <f t="shared" si="124"/>
        <v/>
      </c>
      <c r="EQ809" s="2494" t="str">
        <f t="shared" si="125"/>
        <v/>
      </c>
      <c r="ER809" s="2494" t="str">
        <f t="shared" si="126"/>
        <v/>
      </c>
      <c r="ES809" s="2494" t="str">
        <f t="shared" si="127"/>
        <v/>
      </c>
      <c r="ET809" s="2494" t="str">
        <f t="shared" si="128"/>
        <v/>
      </c>
      <c r="EU809" s="2494" t="str">
        <f t="shared" si="129"/>
        <v/>
      </c>
      <c r="EV809" s="2494" t="str">
        <f t="shared" si="130"/>
        <v/>
      </c>
      <c r="EW809" s="2494" t="str">
        <f t="shared" si="131"/>
        <v/>
      </c>
      <c r="EX809" s="2494" t="str">
        <f t="shared" si="132"/>
        <v/>
      </c>
      <c r="EY809" s="2494" t="str">
        <f t="shared" si="133"/>
        <v/>
      </c>
      <c r="EZ809" s="2494" t="str">
        <f t="shared" si="134"/>
        <v/>
      </c>
      <c r="FA809" s="2494" t="str">
        <f t="shared" si="135"/>
        <v/>
      </c>
      <c r="FB809" s="2494" t="str">
        <f t="shared" si="136"/>
        <v/>
      </c>
      <c r="FC809" s="2494" t="str">
        <f t="shared" si="137"/>
        <v/>
      </c>
      <c r="FD809" s="2494" t="str">
        <f t="shared" si="138"/>
        <v/>
      </c>
      <c r="FE809" s="2494" t="str">
        <f t="shared" si="139"/>
        <v/>
      </c>
      <c r="FF809" s="2494" t="str">
        <f t="shared" si="140"/>
        <v/>
      </c>
      <c r="FG809" s="2494" t="str">
        <f t="shared" si="141"/>
        <v/>
      </c>
      <c r="FH809" s="2494" t="str">
        <f t="shared" si="142"/>
        <v/>
      </c>
      <c r="FI809" s="2494" t="str">
        <f t="shared" si="143"/>
        <v/>
      </c>
      <c r="FJ809" s="2494" t="str">
        <f t="shared" si="144"/>
        <v/>
      </c>
      <c r="FK809" s="2494" t="str">
        <f t="shared" si="145"/>
        <v/>
      </c>
      <c r="FL809" s="2494" t="str">
        <f t="shared" si="146"/>
        <v/>
      </c>
      <c r="FM809" s="2494" t="str">
        <f t="shared" si="147"/>
        <v/>
      </c>
      <c r="FN809" s="2494" t="str">
        <f t="shared" si="148"/>
        <v/>
      </c>
      <c r="FO809" s="2494" t="str">
        <f t="shared" si="149"/>
        <v/>
      </c>
      <c r="FP809" s="2494" t="str">
        <f t="shared" si="150"/>
        <v/>
      </c>
      <c r="FQ809" s="2494" t="str">
        <f t="shared" si="151"/>
        <v/>
      </c>
      <c r="FR809" s="2494" t="str">
        <f t="shared" si="152"/>
        <v/>
      </c>
      <c r="FS809" s="2494" t="str">
        <f t="shared" si="153"/>
        <v/>
      </c>
      <c r="FT809" s="2494" t="str">
        <f t="shared" si="154"/>
        <v/>
      </c>
      <c r="FU809" s="2494" t="str">
        <f t="shared" si="155"/>
        <v/>
      </c>
      <c r="FV809" s="2494" t="str">
        <f t="shared" si="156"/>
        <v/>
      </c>
      <c r="FW809" s="2494" t="str">
        <f t="shared" si="157"/>
        <v/>
      </c>
      <c r="FX809" s="2494" t="str">
        <f t="shared" si="158"/>
        <v/>
      </c>
      <c r="FY809" s="2494" t="str">
        <f t="shared" si="159"/>
        <v/>
      </c>
      <c r="FZ809" s="2494" t="str">
        <f t="shared" si="160"/>
        <v/>
      </c>
      <c r="GA809" s="2494" t="str">
        <f t="shared" si="161"/>
        <v/>
      </c>
      <c r="GB809" s="2494" t="str">
        <f t="shared" si="162"/>
        <v/>
      </c>
      <c r="GC809" s="2494" t="str">
        <f t="shared" si="163"/>
        <v/>
      </c>
      <c r="GD809" s="2494" t="str">
        <f t="shared" si="164"/>
        <v/>
      </c>
      <c r="GE809" s="2494" t="str">
        <f t="shared" si="165"/>
        <v/>
      </c>
      <c r="GF809" s="2494" t="str">
        <f t="shared" si="166"/>
        <v/>
      </c>
      <c r="GG809" s="2494" t="str">
        <f t="shared" si="167"/>
        <v/>
      </c>
      <c r="GH809" s="2494" t="str">
        <f t="shared" si="168"/>
        <v/>
      </c>
      <c r="GI809" s="2494" t="str">
        <f t="shared" si="169"/>
        <v/>
      </c>
      <c r="GJ809" s="2494" t="str">
        <f t="shared" si="170"/>
        <v/>
      </c>
      <c r="GK809" s="2494" t="str">
        <f t="shared" si="171"/>
        <v/>
      </c>
      <c r="GL809" s="2494" t="str">
        <f t="shared" si="172"/>
        <v/>
      </c>
      <c r="GM809" s="2494" t="str">
        <f t="shared" si="173"/>
        <v/>
      </c>
      <c r="GN809" s="2494" t="str">
        <f t="shared" si="174"/>
        <v/>
      </c>
      <c r="GO809" s="2494" t="str">
        <f t="shared" si="175"/>
        <v/>
      </c>
      <c r="GP809" s="2494" t="str">
        <f t="shared" si="176"/>
        <v/>
      </c>
      <c r="GQ809" s="2494" t="str">
        <f t="shared" si="177"/>
        <v/>
      </c>
      <c r="GR809" s="2494" t="str">
        <f t="shared" si="178"/>
        <v/>
      </c>
      <c r="GS809" s="2494" t="str">
        <f t="shared" si="179"/>
        <v/>
      </c>
      <c r="GT809" s="2494" t="str">
        <f t="shared" si="180"/>
        <v/>
      </c>
      <c r="GU809" s="2494" t="str">
        <f t="shared" si="181"/>
        <v/>
      </c>
      <c r="GV809" s="2494" t="str">
        <f t="shared" si="182"/>
        <v/>
      </c>
      <c r="GW809" s="2494" t="str">
        <f t="shared" si="183"/>
        <v/>
      </c>
      <c r="GX809" s="2494" t="str">
        <f t="shared" si="184"/>
        <v/>
      </c>
      <c r="GY809" s="2494" t="str">
        <f t="shared" si="185"/>
        <v/>
      </c>
      <c r="GZ809" s="2494" t="str">
        <f t="shared" si="186"/>
        <v/>
      </c>
      <c r="HA809" s="2494" t="str">
        <f t="shared" si="187"/>
        <v/>
      </c>
      <c r="HB809" s="2494" t="str">
        <f t="shared" si="188"/>
        <v/>
      </c>
      <c r="HC809" s="2494" t="str">
        <f t="shared" si="189"/>
        <v/>
      </c>
      <c r="HD809" s="2494" t="str">
        <f t="shared" si="190"/>
        <v/>
      </c>
      <c r="HE809" s="2494" t="str">
        <f t="shared" si="191"/>
        <v/>
      </c>
      <c r="HF809" s="2494" t="str">
        <f t="shared" si="192"/>
        <v/>
      </c>
      <c r="HG809" s="2494" t="str">
        <f t="shared" si="193"/>
        <v/>
      </c>
      <c r="HH809" s="2494" t="str">
        <f t="shared" si="194"/>
        <v/>
      </c>
      <c r="HI809" s="2494" t="str">
        <f t="shared" si="195"/>
        <v/>
      </c>
      <c r="HJ809" s="2494" t="str">
        <f t="shared" si="196"/>
        <v/>
      </c>
      <c r="HK809" s="2494" t="str">
        <f t="shared" si="197"/>
        <v/>
      </c>
      <c r="HL809" s="2494" t="str">
        <f t="shared" si="198"/>
        <v/>
      </c>
      <c r="HM809" s="2494" t="str">
        <f t="shared" si="199"/>
        <v/>
      </c>
      <c r="HN809" s="2494" t="str">
        <f t="shared" si="200"/>
        <v/>
      </c>
      <c r="HO809" s="2494" t="str">
        <f t="shared" si="201"/>
        <v/>
      </c>
      <c r="HP809" s="2494" t="str">
        <f t="shared" si="202"/>
        <v/>
      </c>
      <c r="HQ809" s="2494" t="str">
        <f t="shared" si="203"/>
        <v/>
      </c>
      <c r="HR809" s="2494" t="str">
        <f t="shared" si="204"/>
        <v/>
      </c>
      <c r="HS809" s="2494" t="str">
        <f t="shared" si="205"/>
        <v/>
      </c>
      <c r="HT809" s="2494" t="str">
        <f t="shared" si="206"/>
        <v/>
      </c>
      <c r="HU809" s="2494" t="str">
        <f t="shared" si="207"/>
        <v/>
      </c>
      <c r="HV809" s="2494" t="str">
        <f t="shared" si="208"/>
        <v/>
      </c>
      <c r="HW809" s="2494" t="str">
        <f t="shared" si="209"/>
        <v/>
      </c>
      <c r="HX809" s="2494" t="str">
        <f t="shared" si="210"/>
        <v/>
      </c>
      <c r="HY809" s="2494" t="str">
        <f t="shared" si="211"/>
        <v/>
      </c>
      <c r="HZ809" s="2672" t="str">
        <f t="shared" si="212"/>
        <v/>
      </c>
      <c r="IA809" s="2672" t="str">
        <f t="shared" si="213"/>
        <v/>
      </c>
      <c r="IB809" s="2672" t="str">
        <f t="shared" si="214"/>
        <v/>
      </c>
      <c r="IC809" s="2672" t="str">
        <f t="shared" si="215"/>
        <v/>
      </c>
      <c r="ID809" s="2672" t="str">
        <f t="shared" si="216"/>
        <v/>
      </c>
      <c r="IE809" s="2672" t="str">
        <f t="shared" si="217"/>
        <v/>
      </c>
      <c r="IF809" s="2672" t="str">
        <f t="shared" si="218"/>
        <v/>
      </c>
      <c r="IG809" s="2672" t="str">
        <f t="shared" si="219"/>
        <v/>
      </c>
      <c r="IH809" s="2672" t="str">
        <f t="shared" si="220"/>
        <v/>
      </c>
      <c r="II809" s="2672" t="str">
        <f t="shared" si="221"/>
        <v/>
      </c>
      <c r="IJ809" s="2672" t="str">
        <f t="shared" si="222"/>
        <v/>
      </c>
      <c r="IK809" s="2672" t="str">
        <f t="shared" si="223"/>
        <v/>
      </c>
      <c r="IL809" s="2672" t="str">
        <f t="shared" si="224"/>
        <v/>
      </c>
      <c r="IM809" s="2672" t="str">
        <f t="shared" si="225"/>
        <v/>
      </c>
      <c r="IN809" s="2672" t="str">
        <f t="shared" si="226"/>
        <v/>
      </c>
      <c r="IO809" s="2672" t="str">
        <f t="shared" si="227"/>
        <v/>
      </c>
      <c r="IP809" s="2672" t="str">
        <f t="shared" si="228"/>
        <v/>
      </c>
      <c r="IQ809" s="2672" t="str">
        <f t="shared" si="229"/>
        <v/>
      </c>
      <c r="IR809" s="2672" t="str">
        <f t="shared" si="230"/>
        <v/>
      </c>
      <c r="IS809" s="2672" t="str">
        <f t="shared" si="231"/>
        <v/>
      </c>
      <c r="IT809" s="2672" t="str">
        <f t="shared" si="232"/>
        <v/>
      </c>
      <c r="IU809" s="2672" t="str">
        <f t="shared" si="233"/>
        <v/>
      </c>
      <c r="IV809" s="2672" t="str">
        <f t="shared" si="234"/>
        <v/>
      </c>
      <c r="IW809" s="2672" t="str">
        <f t="shared" si="235"/>
        <v/>
      </c>
      <c r="IX809" s="2672" t="str">
        <f t="shared" si="236"/>
        <v/>
      </c>
      <c r="IY809" s="2672" t="str">
        <f t="shared" si="237"/>
        <v/>
      </c>
      <c r="IZ809" s="2672" t="str">
        <f t="shared" si="238"/>
        <v/>
      </c>
      <c r="JA809" s="2672" t="str">
        <f t="shared" si="239"/>
        <v/>
      </c>
      <c r="JB809" s="2672" t="str">
        <f t="shared" si="240"/>
        <v/>
      </c>
      <c r="JC809" s="2672" t="str">
        <f t="shared" si="241"/>
        <v/>
      </c>
      <c r="JD809" s="2672" t="str">
        <f t="shared" si="242"/>
        <v/>
      </c>
      <c r="JE809" s="2672" t="str">
        <f t="shared" si="243"/>
        <v/>
      </c>
      <c r="JF809" s="2672" t="str">
        <f t="shared" si="244"/>
        <v/>
      </c>
      <c r="JG809" s="2672" t="str">
        <f t="shared" si="245"/>
        <v/>
      </c>
      <c r="JH809" s="2672" t="str">
        <f t="shared" si="246"/>
        <v/>
      </c>
      <c r="JI809" s="2672" t="str">
        <f t="shared" si="247"/>
        <v/>
      </c>
      <c r="JJ809" s="2672" t="str">
        <f t="shared" si="248"/>
        <v/>
      </c>
      <c r="JK809" s="2672" t="str">
        <f t="shared" si="249"/>
        <v/>
      </c>
      <c r="JL809" s="2672" t="str">
        <f t="shared" si="250"/>
        <v/>
      </c>
      <c r="JM809" s="2672" t="str">
        <f t="shared" si="251"/>
        <v/>
      </c>
      <c r="JN809" s="2672" t="str">
        <f t="shared" si="252"/>
        <v/>
      </c>
      <c r="JO809" s="2672" t="str">
        <f t="shared" si="253"/>
        <v/>
      </c>
      <c r="JP809" s="2672" t="str">
        <f t="shared" si="254"/>
        <v/>
      </c>
      <c r="JQ809" s="2672" t="str">
        <f t="shared" si="255"/>
        <v/>
      </c>
      <c r="JR809" s="2672" t="str">
        <f t="shared" si="256"/>
        <v/>
      </c>
      <c r="JS809" s="2672" t="str">
        <f t="shared" si="257"/>
        <v/>
      </c>
      <c r="JT809" s="2672" t="str">
        <f t="shared" si="258"/>
        <v/>
      </c>
      <c r="JU809" s="2672" t="str">
        <f t="shared" si="259"/>
        <v/>
      </c>
      <c r="JV809" s="2672" t="str">
        <f t="shared" si="260"/>
        <v/>
      </c>
      <c r="JW809" s="2672" t="str">
        <f t="shared" si="261"/>
        <v/>
      </c>
      <c r="JX809" s="2672" t="str">
        <f t="shared" si="262"/>
        <v/>
      </c>
      <c r="JY809" s="2672" t="str">
        <f t="shared" si="263"/>
        <v/>
      </c>
      <c r="JZ809" s="2672" t="str">
        <f t="shared" si="264"/>
        <v/>
      </c>
      <c r="KA809" s="2672" t="str">
        <f t="shared" si="265"/>
        <v/>
      </c>
      <c r="KB809" s="2672" t="str">
        <f t="shared" si="266"/>
        <v/>
      </c>
      <c r="KC809" s="2672" t="str">
        <f t="shared" si="267"/>
        <v/>
      </c>
      <c r="KD809" s="2672" t="str">
        <f t="shared" si="268"/>
        <v/>
      </c>
      <c r="KE809" s="2672" t="str">
        <f t="shared" si="269"/>
        <v/>
      </c>
      <c r="KF809" s="2672" t="str">
        <f t="shared" si="270"/>
        <v/>
      </c>
      <c r="KG809" s="2672" t="str">
        <f t="shared" si="271"/>
        <v/>
      </c>
      <c r="KH809" s="2672" t="str">
        <f t="shared" si="272"/>
        <v/>
      </c>
      <c r="KI809" s="2672" t="str">
        <f t="shared" si="273"/>
        <v/>
      </c>
      <c r="KJ809" s="2672" t="str">
        <f t="shared" si="274"/>
        <v/>
      </c>
      <c r="KK809" s="2672" t="str">
        <f t="shared" si="275"/>
        <v/>
      </c>
      <c r="KL809" s="2672" t="str">
        <f t="shared" si="276"/>
        <v/>
      </c>
      <c r="KM809" s="2672" t="str">
        <f t="shared" si="277"/>
        <v/>
      </c>
      <c r="KN809" s="2672" t="str">
        <f t="shared" si="278"/>
        <v/>
      </c>
      <c r="KO809" s="2672" t="str">
        <f t="shared" si="279"/>
        <v/>
      </c>
      <c r="KP809" s="2672" t="str">
        <f t="shared" si="280"/>
        <v/>
      </c>
      <c r="KQ809" s="2672" t="str">
        <f t="shared" si="281"/>
        <v/>
      </c>
      <c r="KR809" s="2672" t="str">
        <f t="shared" si="282"/>
        <v/>
      </c>
      <c r="KS809" s="2672" t="str">
        <f t="shared" si="283"/>
        <v/>
      </c>
      <c r="KT809" s="2672" t="str">
        <f t="shared" si="284"/>
        <v/>
      </c>
      <c r="KU809" s="2672" t="str">
        <f t="shared" si="285"/>
        <v/>
      </c>
      <c r="KV809" s="2672" t="str">
        <f t="shared" si="286"/>
        <v/>
      </c>
      <c r="KW809" s="2672" t="str">
        <f t="shared" si="287"/>
        <v/>
      </c>
      <c r="KX809" s="2672" t="str">
        <f t="shared" si="288"/>
        <v/>
      </c>
      <c r="KY809" s="2672" t="str">
        <f t="shared" si="289"/>
        <v/>
      </c>
      <c r="KZ809" s="2672" t="str">
        <f t="shared" si="290"/>
        <v/>
      </c>
      <c r="LA809" s="2672" t="str">
        <f t="shared" si="291"/>
        <v/>
      </c>
      <c r="LB809" s="2672" t="str">
        <f t="shared" si="292"/>
        <v/>
      </c>
      <c r="LC809" s="2672" t="str">
        <f t="shared" si="293"/>
        <v/>
      </c>
      <c r="LD809" s="2672" t="str">
        <f t="shared" si="294"/>
        <v/>
      </c>
      <c r="LE809" s="2672" t="str">
        <f t="shared" si="295"/>
        <v/>
      </c>
      <c r="LF809" s="2672" t="str">
        <f t="shared" si="296"/>
        <v/>
      </c>
      <c r="LG809" s="2672" t="str">
        <f t="shared" si="297"/>
        <v/>
      </c>
      <c r="LH809" s="2672" t="str">
        <f t="shared" si="298"/>
        <v/>
      </c>
      <c r="LI809" s="2672" t="str">
        <f t="shared" si="299"/>
        <v/>
      </c>
      <c r="LJ809" s="2672" t="str">
        <f t="shared" si="300"/>
        <v/>
      </c>
      <c r="LK809" s="2672" t="str">
        <f t="shared" si="301"/>
        <v/>
      </c>
      <c r="LL809" s="2672" t="str">
        <f t="shared" si="302"/>
        <v/>
      </c>
      <c r="LM809" s="2672" t="str">
        <f t="shared" si="303"/>
        <v/>
      </c>
      <c r="LN809" s="2672" t="str">
        <f t="shared" si="304"/>
        <v/>
      </c>
      <c r="LO809" s="2672" t="str">
        <f t="shared" si="305"/>
        <v/>
      </c>
      <c r="LP809" s="2672" t="str">
        <f t="shared" si="306"/>
        <v/>
      </c>
      <c r="LQ809" s="2613" t="str">
        <f t="shared" si="307"/>
        <v/>
      </c>
      <c r="LR809" s="2613" t="str">
        <f t="shared" si="308"/>
        <v/>
      </c>
      <c r="LS809" s="2613" t="str">
        <f t="shared" si="309"/>
        <v/>
      </c>
      <c r="LT809" s="2613" t="str">
        <f t="shared" si="310"/>
        <v/>
      </c>
      <c r="LU809" s="2613" t="str">
        <f t="shared" si="311"/>
        <v/>
      </c>
      <c r="LV809" s="2494" t="str">
        <f t="shared" si="312"/>
        <v/>
      </c>
      <c r="LW809" s="2494" t="str">
        <f t="shared" si="313"/>
        <v/>
      </c>
      <c r="LX809" s="2494" t="str">
        <f t="shared" si="314"/>
        <v/>
      </c>
      <c r="LY809" s="2494" t="str">
        <f t="shared" si="315"/>
        <v/>
      </c>
      <c r="LZ809" s="2494" t="str">
        <f t="shared" si="316"/>
        <v/>
      </c>
      <c r="MA809" s="2494" t="str">
        <f t="shared" si="317"/>
        <v/>
      </c>
      <c r="MB809" s="2494" t="str">
        <f t="shared" si="318"/>
        <v/>
      </c>
      <c r="MC809" s="2494" t="str">
        <f t="shared" si="319"/>
        <v/>
      </c>
      <c r="MD809" s="2494" t="str">
        <f t="shared" si="320"/>
        <v/>
      </c>
      <c r="ME809" s="2494" t="str">
        <f t="shared" si="321"/>
        <v/>
      </c>
      <c r="MF809" s="2494" t="str">
        <f t="shared" si="322"/>
        <v/>
      </c>
      <c r="MG809" s="2494" t="str">
        <f t="shared" si="323"/>
        <v/>
      </c>
      <c r="MH809" s="2494" t="str">
        <f t="shared" si="324"/>
        <v/>
      </c>
      <c r="MI809" s="2494" t="str">
        <f t="shared" si="325"/>
        <v/>
      </c>
      <c r="MJ809" s="2494" t="str">
        <f t="shared" si="326"/>
        <v/>
      </c>
      <c r="MK809" s="2494" t="str">
        <f t="shared" si="327"/>
        <v/>
      </c>
      <c r="ML809" s="2494" t="str">
        <f t="shared" si="328"/>
        <v/>
      </c>
      <c r="MM809" s="2494" t="str">
        <f t="shared" si="329"/>
        <v/>
      </c>
      <c r="MN809" s="2494" t="str">
        <f t="shared" si="330"/>
        <v/>
      </c>
      <c r="MO809" s="2494" t="str">
        <f t="shared" si="331"/>
        <v/>
      </c>
      <c r="MP809" s="2613">
        <f t="shared" si="338"/>
        <v>0</v>
      </c>
      <c r="MQ809" s="2613">
        <f t="shared" si="339"/>
        <v>0</v>
      </c>
      <c r="MR809" s="2613">
        <f t="shared" si="340"/>
        <v>0</v>
      </c>
      <c r="MS809" s="2613">
        <f t="shared" si="341"/>
        <v>0</v>
      </c>
      <c r="MT809" s="2613">
        <f t="shared" si="342"/>
        <v>0</v>
      </c>
      <c r="MU809" s="2613">
        <f t="shared" si="343"/>
        <v>0</v>
      </c>
      <c r="MV809" s="2613">
        <f t="shared" si="344"/>
        <v>0</v>
      </c>
      <c r="MW809" s="2613">
        <f t="shared" si="345"/>
        <v>0</v>
      </c>
      <c r="MX809" s="2613">
        <f t="shared" si="346"/>
        <v>0</v>
      </c>
      <c r="MY809" s="2613">
        <f t="shared" si="347"/>
        <v>0</v>
      </c>
      <c r="MZ809" s="2613">
        <f t="shared" si="332"/>
        <v>0</v>
      </c>
      <c r="NA809" s="2613">
        <f t="shared" si="333"/>
        <v>0</v>
      </c>
      <c r="NB809" s="2613">
        <f t="shared" si="334"/>
        <v>0</v>
      </c>
      <c r="NC809" s="2613">
        <f t="shared" si="335"/>
        <v>0</v>
      </c>
      <c r="ND809" s="2613">
        <f t="shared" si="336"/>
        <v>0</v>
      </c>
    </row>
    <row r="810" spans="1:368" ht="13.8" customHeight="1">
      <c r="A810" s="2652" t="str">
        <f t="shared" si="337"/>
        <v/>
      </c>
      <c r="B810" s="2664">
        <f>'Part VI-Revenues &amp; Expenses'!B41</f>
        <v>0</v>
      </c>
      <c r="C810" s="2665">
        <f>'Part VI-Revenues &amp; Expenses'!C41</f>
        <v>0</v>
      </c>
      <c r="D810" s="2666">
        <f>'Part VI-Revenues &amp; Expenses'!D41</f>
        <v>0</v>
      </c>
      <c r="E810" s="2667">
        <f>'Part VI-Revenues &amp; Expenses'!E41</f>
        <v>0</v>
      </c>
      <c r="F810" s="2667">
        <f>'Part VI-Revenues &amp; Expenses'!F41</f>
        <v>0</v>
      </c>
      <c r="G810" s="2667">
        <f>'Part VI-Revenues &amp; Expenses'!G41</f>
        <v>0</v>
      </c>
      <c r="H810" s="2667">
        <f>'Part VI-Revenues &amp; Expenses'!H41</f>
        <v>0</v>
      </c>
      <c r="I810" s="2667">
        <f>'Part VI-Revenues &amp; Expenses'!I41</f>
        <v>0</v>
      </c>
      <c r="J810" s="2667">
        <f>'Part VI-Revenues &amp; Expenses'!J41</f>
        <v>0</v>
      </c>
      <c r="K810" s="2668">
        <f>'Part VI-Revenues &amp; Expenses'!K41</f>
        <v>0</v>
      </c>
      <c r="L810" s="2669">
        <f t="shared" si="0"/>
        <v>0</v>
      </c>
      <c r="M810" s="2669">
        <f t="shared" si="1"/>
        <v>0</v>
      </c>
      <c r="N810" s="2545">
        <f>'Part VI-Revenues &amp; Expenses'!N41</f>
        <v>0</v>
      </c>
      <c r="O810" s="2545">
        <f>'Part VI-Revenues &amp; Expenses'!O41</f>
        <v>0</v>
      </c>
      <c r="P810" s="2545">
        <f>'Part VI-Revenues &amp; Expenses'!P41</f>
        <v>0</v>
      </c>
      <c r="Q810" s="2251">
        <f>'Part VI-Revenues &amp; Expenses'!Q41</f>
        <v>0</v>
      </c>
      <c r="R810" s="2670"/>
      <c r="S810" s="2671"/>
      <c r="T810" s="2607"/>
      <c r="U810" s="2607"/>
      <c r="V810" s="2607"/>
      <c r="W810" s="2607"/>
      <c r="X810" s="2494" t="str">
        <f t="shared" si="2"/>
        <v/>
      </c>
      <c r="Y810" s="2494" t="str">
        <f t="shared" si="3"/>
        <v/>
      </c>
      <c r="Z810" s="2494" t="str">
        <f t="shared" si="4"/>
        <v/>
      </c>
      <c r="AA810" s="2494" t="str">
        <f t="shared" si="5"/>
        <v/>
      </c>
      <c r="AB810" s="2494" t="str">
        <f t="shared" si="6"/>
        <v/>
      </c>
      <c r="AC810" s="2494" t="str">
        <f t="shared" si="7"/>
        <v/>
      </c>
      <c r="AD810" s="2494" t="str">
        <f t="shared" si="8"/>
        <v/>
      </c>
      <c r="AE810" s="2494" t="str">
        <f t="shared" si="9"/>
        <v/>
      </c>
      <c r="AF810" s="2494" t="str">
        <f t="shared" si="10"/>
        <v/>
      </c>
      <c r="AG810" s="2494" t="str">
        <f t="shared" si="11"/>
        <v/>
      </c>
      <c r="AH810" s="2494" t="str">
        <f t="shared" si="12"/>
        <v/>
      </c>
      <c r="AI810" s="2494" t="str">
        <f t="shared" si="13"/>
        <v/>
      </c>
      <c r="AJ810" s="2494" t="str">
        <f t="shared" si="14"/>
        <v/>
      </c>
      <c r="AK810" s="2494" t="str">
        <f t="shared" si="15"/>
        <v/>
      </c>
      <c r="AL810" s="2494" t="str">
        <f t="shared" si="16"/>
        <v/>
      </c>
      <c r="AM810" s="2494" t="str">
        <f t="shared" si="17"/>
        <v/>
      </c>
      <c r="AN810" s="2494" t="str">
        <f t="shared" si="18"/>
        <v/>
      </c>
      <c r="AO810" s="2494" t="str">
        <f t="shared" si="19"/>
        <v/>
      </c>
      <c r="AP810" s="2494" t="str">
        <f t="shared" si="20"/>
        <v/>
      </c>
      <c r="AQ810" s="2494" t="str">
        <f t="shared" si="21"/>
        <v/>
      </c>
      <c r="AR810" s="2494" t="str">
        <f t="shared" si="22"/>
        <v/>
      </c>
      <c r="AS810" s="2494" t="str">
        <f t="shared" si="23"/>
        <v/>
      </c>
      <c r="AT810" s="2494" t="str">
        <f t="shared" si="24"/>
        <v/>
      </c>
      <c r="AU810" s="2494" t="str">
        <f t="shared" si="25"/>
        <v/>
      </c>
      <c r="AV810" s="2494" t="str">
        <f t="shared" si="26"/>
        <v/>
      </c>
      <c r="AW810" s="2494" t="str">
        <f t="shared" si="27"/>
        <v/>
      </c>
      <c r="AX810" s="2494" t="str">
        <f t="shared" si="28"/>
        <v/>
      </c>
      <c r="AY810" s="2494" t="str">
        <f t="shared" si="29"/>
        <v/>
      </c>
      <c r="AZ810" s="2494" t="str">
        <f t="shared" si="30"/>
        <v/>
      </c>
      <c r="BA810" s="2494" t="str">
        <f t="shared" si="31"/>
        <v/>
      </c>
      <c r="BB810" s="2494" t="str">
        <f t="shared" si="32"/>
        <v/>
      </c>
      <c r="BC810" s="2494" t="str">
        <f t="shared" si="33"/>
        <v/>
      </c>
      <c r="BD810" s="2494" t="str">
        <f t="shared" si="34"/>
        <v/>
      </c>
      <c r="BE810" s="2494" t="str">
        <f t="shared" si="35"/>
        <v/>
      </c>
      <c r="BF810" s="2494" t="str">
        <f t="shared" si="36"/>
        <v/>
      </c>
      <c r="BG810" s="2494" t="str">
        <f t="shared" si="37"/>
        <v/>
      </c>
      <c r="BH810" s="2494" t="str">
        <f t="shared" si="38"/>
        <v/>
      </c>
      <c r="BI810" s="2494" t="str">
        <f t="shared" si="39"/>
        <v/>
      </c>
      <c r="BJ810" s="2494" t="str">
        <f t="shared" si="40"/>
        <v/>
      </c>
      <c r="BK810" s="2494" t="str">
        <f t="shared" si="41"/>
        <v/>
      </c>
      <c r="BL810" s="2494" t="str">
        <f t="shared" si="42"/>
        <v/>
      </c>
      <c r="BM810" s="2494" t="str">
        <f t="shared" si="43"/>
        <v/>
      </c>
      <c r="BN810" s="2494" t="str">
        <f t="shared" si="44"/>
        <v/>
      </c>
      <c r="BO810" s="2494" t="str">
        <f t="shared" si="45"/>
        <v/>
      </c>
      <c r="BP810" s="2494" t="str">
        <f t="shared" si="46"/>
        <v/>
      </c>
      <c r="BQ810" s="2494" t="str">
        <f t="shared" si="47"/>
        <v/>
      </c>
      <c r="BR810" s="2494" t="str">
        <f t="shared" si="48"/>
        <v/>
      </c>
      <c r="BS810" s="2494" t="str">
        <f t="shared" si="49"/>
        <v/>
      </c>
      <c r="BT810" s="2494" t="str">
        <f t="shared" si="50"/>
        <v/>
      </c>
      <c r="BU810" s="2494" t="str">
        <f t="shared" si="51"/>
        <v/>
      </c>
      <c r="BV810" s="2494" t="str">
        <f t="shared" si="52"/>
        <v/>
      </c>
      <c r="BW810" s="2494" t="str">
        <f t="shared" si="53"/>
        <v/>
      </c>
      <c r="BX810" s="2494" t="str">
        <f t="shared" si="54"/>
        <v/>
      </c>
      <c r="BY810" s="2494" t="str">
        <f t="shared" si="55"/>
        <v/>
      </c>
      <c r="BZ810" s="2494" t="str">
        <f t="shared" si="56"/>
        <v/>
      </c>
      <c r="CA810" s="2494" t="str">
        <f t="shared" si="57"/>
        <v/>
      </c>
      <c r="CB810" s="2494" t="str">
        <f t="shared" si="58"/>
        <v/>
      </c>
      <c r="CC810" s="2494" t="str">
        <f t="shared" si="59"/>
        <v/>
      </c>
      <c r="CD810" s="2494" t="str">
        <f t="shared" si="60"/>
        <v/>
      </c>
      <c r="CE810" s="2494" t="str">
        <f t="shared" si="61"/>
        <v/>
      </c>
      <c r="CF810" s="2494" t="str">
        <f t="shared" si="62"/>
        <v/>
      </c>
      <c r="CG810" s="2494" t="str">
        <f t="shared" si="63"/>
        <v/>
      </c>
      <c r="CH810" s="2494" t="str">
        <f t="shared" si="64"/>
        <v/>
      </c>
      <c r="CI810" s="2494" t="str">
        <f t="shared" si="65"/>
        <v/>
      </c>
      <c r="CJ810" s="2494" t="str">
        <f t="shared" si="66"/>
        <v/>
      </c>
      <c r="CK810" s="2494" t="str">
        <f t="shared" si="67"/>
        <v/>
      </c>
      <c r="CL810" s="2494" t="str">
        <f t="shared" si="68"/>
        <v/>
      </c>
      <c r="CM810" s="2494" t="str">
        <f t="shared" si="69"/>
        <v/>
      </c>
      <c r="CN810" s="2494" t="str">
        <f t="shared" si="70"/>
        <v/>
      </c>
      <c r="CO810" s="2494" t="str">
        <f t="shared" si="71"/>
        <v/>
      </c>
      <c r="CP810" s="2494" t="str">
        <f t="shared" si="72"/>
        <v/>
      </c>
      <c r="CQ810" s="2494" t="str">
        <f t="shared" si="73"/>
        <v/>
      </c>
      <c r="CR810" s="2494" t="str">
        <f t="shared" si="74"/>
        <v/>
      </c>
      <c r="CS810" s="2494" t="str">
        <f t="shared" si="75"/>
        <v/>
      </c>
      <c r="CT810" s="2494" t="str">
        <f t="shared" si="76"/>
        <v/>
      </c>
      <c r="CU810" s="2494" t="str">
        <f t="shared" si="77"/>
        <v/>
      </c>
      <c r="CV810" s="2494" t="str">
        <f t="shared" si="78"/>
        <v/>
      </c>
      <c r="CW810" s="2494" t="str">
        <f t="shared" si="79"/>
        <v/>
      </c>
      <c r="CX810" s="2494" t="str">
        <f t="shared" si="80"/>
        <v/>
      </c>
      <c r="CY810" s="2494" t="str">
        <f t="shared" si="81"/>
        <v/>
      </c>
      <c r="CZ810" s="2494" t="str">
        <f t="shared" si="82"/>
        <v/>
      </c>
      <c r="DA810" s="2494" t="str">
        <f t="shared" si="83"/>
        <v/>
      </c>
      <c r="DB810" s="2494" t="str">
        <f t="shared" si="84"/>
        <v/>
      </c>
      <c r="DC810" s="2494" t="str">
        <f t="shared" si="85"/>
        <v/>
      </c>
      <c r="DD810" s="2494" t="str">
        <f t="shared" si="86"/>
        <v/>
      </c>
      <c r="DE810" s="2494" t="str">
        <f t="shared" si="87"/>
        <v/>
      </c>
      <c r="DF810" s="2494" t="str">
        <f t="shared" si="88"/>
        <v/>
      </c>
      <c r="DG810" s="2494" t="str">
        <f t="shared" si="89"/>
        <v/>
      </c>
      <c r="DH810" s="2494" t="str">
        <f t="shared" si="90"/>
        <v/>
      </c>
      <c r="DI810" s="2494" t="str">
        <f t="shared" si="91"/>
        <v/>
      </c>
      <c r="DJ810" s="2494" t="str">
        <f t="shared" si="92"/>
        <v/>
      </c>
      <c r="DK810" s="2494" t="str">
        <f t="shared" si="93"/>
        <v/>
      </c>
      <c r="DL810" s="2494" t="str">
        <f t="shared" si="94"/>
        <v/>
      </c>
      <c r="DM810" s="2494" t="str">
        <f t="shared" si="95"/>
        <v/>
      </c>
      <c r="DN810" s="2494" t="str">
        <f t="shared" si="96"/>
        <v/>
      </c>
      <c r="DO810" s="2494" t="str">
        <f t="shared" si="97"/>
        <v/>
      </c>
      <c r="DP810" s="2494" t="str">
        <f t="shared" si="98"/>
        <v/>
      </c>
      <c r="DQ810" s="2494" t="str">
        <f t="shared" si="99"/>
        <v/>
      </c>
      <c r="DR810" s="2494" t="str">
        <f t="shared" si="100"/>
        <v/>
      </c>
      <c r="DS810" s="2494" t="str">
        <f t="shared" si="101"/>
        <v/>
      </c>
      <c r="DT810" s="2494" t="str">
        <f t="shared" si="102"/>
        <v/>
      </c>
      <c r="DU810" s="2494" t="str">
        <f t="shared" si="103"/>
        <v/>
      </c>
      <c r="DV810" s="2494" t="str">
        <f t="shared" si="104"/>
        <v/>
      </c>
      <c r="DW810" s="2494" t="str">
        <f t="shared" si="105"/>
        <v/>
      </c>
      <c r="DX810" s="2494" t="str">
        <f t="shared" si="106"/>
        <v/>
      </c>
      <c r="DY810" s="2494" t="str">
        <f t="shared" si="107"/>
        <v/>
      </c>
      <c r="DZ810" s="2494" t="str">
        <f t="shared" si="108"/>
        <v/>
      </c>
      <c r="EA810" s="2494" t="str">
        <f t="shared" si="109"/>
        <v/>
      </c>
      <c r="EB810" s="2494" t="str">
        <f t="shared" si="110"/>
        <v/>
      </c>
      <c r="EC810" s="2494" t="str">
        <f t="shared" si="111"/>
        <v/>
      </c>
      <c r="ED810" s="2494" t="str">
        <f t="shared" si="112"/>
        <v/>
      </c>
      <c r="EE810" s="2494" t="str">
        <f t="shared" si="113"/>
        <v/>
      </c>
      <c r="EF810" s="2494" t="str">
        <f t="shared" si="114"/>
        <v/>
      </c>
      <c r="EG810" s="2494" t="str">
        <f t="shared" si="115"/>
        <v/>
      </c>
      <c r="EH810" s="2494" t="str">
        <f t="shared" si="116"/>
        <v/>
      </c>
      <c r="EI810" s="2494" t="str">
        <f t="shared" si="117"/>
        <v/>
      </c>
      <c r="EJ810" s="2494" t="str">
        <f t="shared" si="118"/>
        <v/>
      </c>
      <c r="EK810" s="2494" t="str">
        <f t="shared" si="119"/>
        <v/>
      </c>
      <c r="EL810" s="2494" t="str">
        <f t="shared" si="120"/>
        <v/>
      </c>
      <c r="EM810" s="2494" t="str">
        <f t="shared" si="121"/>
        <v/>
      </c>
      <c r="EN810" s="2494" t="str">
        <f t="shared" si="122"/>
        <v/>
      </c>
      <c r="EO810" s="2494" t="str">
        <f t="shared" si="123"/>
        <v/>
      </c>
      <c r="EP810" s="2494" t="str">
        <f t="shared" si="124"/>
        <v/>
      </c>
      <c r="EQ810" s="2494" t="str">
        <f t="shared" si="125"/>
        <v/>
      </c>
      <c r="ER810" s="2494" t="str">
        <f t="shared" si="126"/>
        <v/>
      </c>
      <c r="ES810" s="2494" t="str">
        <f t="shared" si="127"/>
        <v/>
      </c>
      <c r="ET810" s="2494" t="str">
        <f t="shared" si="128"/>
        <v/>
      </c>
      <c r="EU810" s="2494" t="str">
        <f t="shared" si="129"/>
        <v/>
      </c>
      <c r="EV810" s="2494" t="str">
        <f t="shared" si="130"/>
        <v/>
      </c>
      <c r="EW810" s="2494" t="str">
        <f t="shared" si="131"/>
        <v/>
      </c>
      <c r="EX810" s="2494" t="str">
        <f t="shared" si="132"/>
        <v/>
      </c>
      <c r="EY810" s="2494" t="str">
        <f t="shared" si="133"/>
        <v/>
      </c>
      <c r="EZ810" s="2494" t="str">
        <f t="shared" si="134"/>
        <v/>
      </c>
      <c r="FA810" s="2494" t="str">
        <f t="shared" si="135"/>
        <v/>
      </c>
      <c r="FB810" s="2494" t="str">
        <f t="shared" si="136"/>
        <v/>
      </c>
      <c r="FC810" s="2494" t="str">
        <f t="shared" si="137"/>
        <v/>
      </c>
      <c r="FD810" s="2494" t="str">
        <f t="shared" si="138"/>
        <v/>
      </c>
      <c r="FE810" s="2494" t="str">
        <f t="shared" si="139"/>
        <v/>
      </c>
      <c r="FF810" s="2494" t="str">
        <f t="shared" si="140"/>
        <v/>
      </c>
      <c r="FG810" s="2494" t="str">
        <f t="shared" si="141"/>
        <v/>
      </c>
      <c r="FH810" s="2494" t="str">
        <f t="shared" si="142"/>
        <v/>
      </c>
      <c r="FI810" s="2494" t="str">
        <f t="shared" si="143"/>
        <v/>
      </c>
      <c r="FJ810" s="2494" t="str">
        <f t="shared" si="144"/>
        <v/>
      </c>
      <c r="FK810" s="2494" t="str">
        <f t="shared" si="145"/>
        <v/>
      </c>
      <c r="FL810" s="2494" t="str">
        <f t="shared" si="146"/>
        <v/>
      </c>
      <c r="FM810" s="2494" t="str">
        <f t="shared" si="147"/>
        <v/>
      </c>
      <c r="FN810" s="2494" t="str">
        <f t="shared" si="148"/>
        <v/>
      </c>
      <c r="FO810" s="2494" t="str">
        <f t="shared" si="149"/>
        <v/>
      </c>
      <c r="FP810" s="2494" t="str">
        <f t="shared" si="150"/>
        <v/>
      </c>
      <c r="FQ810" s="2494" t="str">
        <f t="shared" si="151"/>
        <v/>
      </c>
      <c r="FR810" s="2494" t="str">
        <f t="shared" si="152"/>
        <v/>
      </c>
      <c r="FS810" s="2494" t="str">
        <f t="shared" si="153"/>
        <v/>
      </c>
      <c r="FT810" s="2494" t="str">
        <f t="shared" si="154"/>
        <v/>
      </c>
      <c r="FU810" s="2494" t="str">
        <f t="shared" si="155"/>
        <v/>
      </c>
      <c r="FV810" s="2494" t="str">
        <f t="shared" si="156"/>
        <v/>
      </c>
      <c r="FW810" s="2494" t="str">
        <f t="shared" si="157"/>
        <v/>
      </c>
      <c r="FX810" s="2494" t="str">
        <f t="shared" si="158"/>
        <v/>
      </c>
      <c r="FY810" s="2494" t="str">
        <f t="shared" si="159"/>
        <v/>
      </c>
      <c r="FZ810" s="2494" t="str">
        <f t="shared" si="160"/>
        <v/>
      </c>
      <c r="GA810" s="2494" t="str">
        <f t="shared" si="161"/>
        <v/>
      </c>
      <c r="GB810" s="2494" t="str">
        <f t="shared" si="162"/>
        <v/>
      </c>
      <c r="GC810" s="2494" t="str">
        <f t="shared" si="163"/>
        <v/>
      </c>
      <c r="GD810" s="2494" t="str">
        <f t="shared" si="164"/>
        <v/>
      </c>
      <c r="GE810" s="2494" t="str">
        <f t="shared" si="165"/>
        <v/>
      </c>
      <c r="GF810" s="2494" t="str">
        <f t="shared" si="166"/>
        <v/>
      </c>
      <c r="GG810" s="2494" t="str">
        <f t="shared" si="167"/>
        <v/>
      </c>
      <c r="GH810" s="2494" t="str">
        <f t="shared" si="168"/>
        <v/>
      </c>
      <c r="GI810" s="2494" t="str">
        <f t="shared" si="169"/>
        <v/>
      </c>
      <c r="GJ810" s="2494" t="str">
        <f t="shared" si="170"/>
        <v/>
      </c>
      <c r="GK810" s="2494" t="str">
        <f t="shared" si="171"/>
        <v/>
      </c>
      <c r="GL810" s="2494" t="str">
        <f t="shared" si="172"/>
        <v/>
      </c>
      <c r="GM810" s="2494" t="str">
        <f t="shared" si="173"/>
        <v/>
      </c>
      <c r="GN810" s="2494" t="str">
        <f t="shared" si="174"/>
        <v/>
      </c>
      <c r="GO810" s="2494" t="str">
        <f t="shared" si="175"/>
        <v/>
      </c>
      <c r="GP810" s="2494" t="str">
        <f t="shared" si="176"/>
        <v/>
      </c>
      <c r="GQ810" s="2494" t="str">
        <f t="shared" si="177"/>
        <v/>
      </c>
      <c r="GR810" s="2494" t="str">
        <f t="shared" si="178"/>
        <v/>
      </c>
      <c r="GS810" s="2494" t="str">
        <f t="shared" si="179"/>
        <v/>
      </c>
      <c r="GT810" s="2494" t="str">
        <f t="shared" si="180"/>
        <v/>
      </c>
      <c r="GU810" s="2494" t="str">
        <f t="shared" si="181"/>
        <v/>
      </c>
      <c r="GV810" s="2494" t="str">
        <f t="shared" si="182"/>
        <v/>
      </c>
      <c r="GW810" s="2494" t="str">
        <f t="shared" si="183"/>
        <v/>
      </c>
      <c r="GX810" s="2494" t="str">
        <f t="shared" si="184"/>
        <v/>
      </c>
      <c r="GY810" s="2494" t="str">
        <f t="shared" si="185"/>
        <v/>
      </c>
      <c r="GZ810" s="2494" t="str">
        <f t="shared" si="186"/>
        <v/>
      </c>
      <c r="HA810" s="2494" t="str">
        <f t="shared" si="187"/>
        <v/>
      </c>
      <c r="HB810" s="2494" t="str">
        <f t="shared" si="188"/>
        <v/>
      </c>
      <c r="HC810" s="2494" t="str">
        <f t="shared" si="189"/>
        <v/>
      </c>
      <c r="HD810" s="2494" t="str">
        <f t="shared" si="190"/>
        <v/>
      </c>
      <c r="HE810" s="2494" t="str">
        <f t="shared" si="191"/>
        <v/>
      </c>
      <c r="HF810" s="2494" t="str">
        <f t="shared" si="192"/>
        <v/>
      </c>
      <c r="HG810" s="2494" t="str">
        <f t="shared" si="193"/>
        <v/>
      </c>
      <c r="HH810" s="2494" t="str">
        <f t="shared" si="194"/>
        <v/>
      </c>
      <c r="HI810" s="2494" t="str">
        <f t="shared" si="195"/>
        <v/>
      </c>
      <c r="HJ810" s="2494" t="str">
        <f t="shared" si="196"/>
        <v/>
      </c>
      <c r="HK810" s="2494" t="str">
        <f t="shared" si="197"/>
        <v/>
      </c>
      <c r="HL810" s="2494" t="str">
        <f t="shared" si="198"/>
        <v/>
      </c>
      <c r="HM810" s="2494" t="str">
        <f t="shared" si="199"/>
        <v/>
      </c>
      <c r="HN810" s="2494" t="str">
        <f t="shared" si="200"/>
        <v/>
      </c>
      <c r="HO810" s="2494" t="str">
        <f t="shared" si="201"/>
        <v/>
      </c>
      <c r="HP810" s="2494" t="str">
        <f t="shared" si="202"/>
        <v/>
      </c>
      <c r="HQ810" s="2494" t="str">
        <f t="shared" si="203"/>
        <v/>
      </c>
      <c r="HR810" s="2494" t="str">
        <f t="shared" si="204"/>
        <v/>
      </c>
      <c r="HS810" s="2494" t="str">
        <f t="shared" si="205"/>
        <v/>
      </c>
      <c r="HT810" s="2494" t="str">
        <f t="shared" si="206"/>
        <v/>
      </c>
      <c r="HU810" s="2494" t="str">
        <f t="shared" si="207"/>
        <v/>
      </c>
      <c r="HV810" s="2494" t="str">
        <f t="shared" si="208"/>
        <v/>
      </c>
      <c r="HW810" s="2494" t="str">
        <f t="shared" si="209"/>
        <v/>
      </c>
      <c r="HX810" s="2494" t="str">
        <f t="shared" si="210"/>
        <v/>
      </c>
      <c r="HY810" s="2494" t="str">
        <f t="shared" si="211"/>
        <v/>
      </c>
      <c r="HZ810" s="2672" t="str">
        <f t="shared" si="212"/>
        <v/>
      </c>
      <c r="IA810" s="2672" t="str">
        <f t="shared" si="213"/>
        <v/>
      </c>
      <c r="IB810" s="2672" t="str">
        <f t="shared" si="214"/>
        <v/>
      </c>
      <c r="IC810" s="2672" t="str">
        <f t="shared" si="215"/>
        <v/>
      </c>
      <c r="ID810" s="2672" t="str">
        <f t="shared" si="216"/>
        <v/>
      </c>
      <c r="IE810" s="2672" t="str">
        <f t="shared" si="217"/>
        <v/>
      </c>
      <c r="IF810" s="2672" t="str">
        <f t="shared" si="218"/>
        <v/>
      </c>
      <c r="IG810" s="2672" t="str">
        <f t="shared" si="219"/>
        <v/>
      </c>
      <c r="IH810" s="2672" t="str">
        <f t="shared" si="220"/>
        <v/>
      </c>
      <c r="II810" s="2672" t="str">
        <f t="shared" si="221"/>
        <v/>
      </c>
      <c r="IJ810" s="2672" t="str">
        <f t="shared" si="222"/>
        <v/>
      </c>
      <c r="IK810" s="2672" t="str">
        <f t="shared" si="223"/>
        <v/>
      </c>
      <c r="IL810" s="2672" t="str">
        <f t="shared" si="224"/>
        <v/>
      </c>
      <c r="IM810" s="2672" t="str">
        <f t="shared" si="225"/>
        <v/>
      </c>
      <c r="IN810" s="2672" t="str">
        <f t="shared" si="226"/>
        <v/>
      </c>
      <c r="IO810" s="2672" t="str">
        <f t="shared" si="227"/>
        <v/>
      </c>
      <c r="IP810" s="2672" t="str">
        <f t="shared" si="228"/>
        <v/>
      </c>
      <c r="IQ810" s="2672" t="str">
        <f t="shared" si="229"/>
        <v/>
      </c>
      <c r="IR810" s="2672" t="str">
        <f t="shared" si="230"/>
        <v/>
      </c>
      <c r="IS810" s="2672" t="str">
        <f t="shared" si="231"/>
        <v/>
      </c>
      <c r="IT810" s="2672" t="str">
        <f t="shared" si="232"/>
        <v/>
      </c>
      <c r="IU810" s="2672" t="str">
        <f t="shared" si="233"/>
        <v/>
      </c>
      <c r="IV810" s="2672" t="str">
        <f t="shared" si="234"/>
        <v/>
      </c>
      <c r="IW810" s="2672" t="str">
        <f t="shared" si="235"/>
        <v/>
      </c>
      <c r="IX810" s="2672" t="str">
        <f t="shared" si="236"/>
        <v/>
      </c>
      <c r="IY810" s="2672" t="str">
        <f t="shared" si="237"/>
        <v/>
      </c>
      <c r="IZ810" s="2672" t="str">
        <f t="shared" si="238"/>
        <v/>
      </c>
      <c r="JA810" s="2672" t="str">
        <f t="shared" si="239"/>
        <v/>
      </c>
      <c r="JB810" s="2672" t="str">
        <f t="shared" si="240"/>
        <v/>
      </c>
      <c r="JC810" s="2672" t="str">
        <f t="shared" si="241"/>
        <v/>
      </c>
      <c r="JD810" s="2672" t="str">
        <f t="shared" si="242"/>
        <v/>
      </c>
      <c r="JE810" s="2672" t="str">
        <f t="shared" si="243"/>
        <v/>
      </c>
      <c r="JF810" s="2672" t="str">
        <f t="shared" si="244"/>
        <v/>
      </c>
      <c r="JG810" s="2672" t="str">
        <f t="shared" si="245"/>
        <v/>
      </c>
      <c r="JH810" s="2672" t="str">
        <f t="shared" si="246"/>
        <v/>
      </c>
      <c r="JI810" s="2672" t="str">
        <f t="shared" si="247"/>
        <v/>
      </c>
      <c r="JJ810" s="2672" t="str">
        <f t="shared" si="248"/>
        <v/>
      </c>
      <c r="JK810" s="2672" t="str">
        <f t="shared" si="249"/>
        <v/>
      </c>
      <c r="JL810" s="2672" t="str">
        <f t="shared" si="250"/>
        <v/>
      </c>
      <c r="JM810" s="2672" t="str">
        <f t="shared" si="251"/>
        <v/>
      </c>
      <c r="JN810" s="2672" t="str">
        <f t="shared" si="252"/>
        <v/>
      </c>
      <c r="JO810" s="2672" t="str">
        <f t="shared" si="253"/>
        <v/>
      </c>
      <c r="JP810" s="2672" t="str">
        <f t="shared" si="254"/>
        <v/>
      </c>
      <c r="JQ810" s="2672" t="str">
        <f t="shared" si="255"/>
        <v/>
      </c>
      <c r="JR810" s="2672" t="str">
        <f t="shared" si="256"/>
        <v/>
      </c>
      <c r="JS810" s="2672" t="str">
        <f t="shared" si="257"/>
        <v/>
      </c>
      <c r="JT810" s="2672" t="str">
        <f t="shared" si="258"/>
        <v/>
      </c>
      <c r="JU810" s="2672" t="str">
        <f t="shared" si="259"/>
        <v/>
      </c>
      <c r="JV810" s="2672" t="str">
        <f t="shared" si="260"/>
        <v/>
      </c>
      <c r="JW810" s="2672" t="str">
        <f t="shared" si="261"/>
        <v/>
      </c>
      <c r="JX810" s="2672" t="str">
        <f t="shared" si="262"/>
        <v/>
      </c>
      <c r="JY810" s="2672" t="str">
        <f t="shared" si="263"/>
        <v/>
      </c>
      <c r="JZ810" s="2672" t="str">
        <f t="shared" si="264"/>
        <v/>
      </c>
      <c r="KA810" s="2672" t="str">
        <f t="shared" si="265"/>
        <v/>
      </c>
      <c r="KB810" s="2672" t="str">
        <f t="shared" si="266"/>
        <v/>
      </c>
      <c r="KC810" s="2672" t="str">
        <f t="shared" si="267"/>
        <v/>
      </c>
      <c r="KD810" s="2672" t="str">
        <f t="shared" si="268"/>
        <v/>
      </c>
      <c r="KE810" s="2672" t="str">
        <f t="shared" si="269"/>
        <v/>
      </c>
      <c r="KF810" s="2672" t="str">
        <f t="shared" si="270"/>
        <v/>
      </c>
      <c r="KG810" s="2672" t="str">
        <f t="shared" si="271"/>
        <v/>
      </c>
      <c r="KH810" s="2672" t="str">
        <f t="shared" si="272"/>
        <v/>
      </c>
      <c r="KI810" s="2672" t="str">
        <f t="shared" si="273"/>
        <v/>
      </c>
      <c r="KJ810" s="2672" t="str">
        <f t="shared" si="274"/>
        <v/>
      </c>
      <c r="KK810" s="2672" t="str">
        <f t="shared" si="275"/>
        <v/>
      </c>
      <c r="KL810" s="2672" t="str">
        <f t="shared" si="276"/>
        <v/>
      </c>
      <c r="KM810" s="2672" t="str">
        <f t="shared" si="277"/>
        <v/>
      </c>
      <c r="KN810" s="2672" t="str">
        <f t="shared" si="278"/>
        <v/>
      </c>
      <c r="KO810" s="2672" t="str">
        <f t="shared" si="279"/>
        <v/>
      </c>
      <c r="KP810" s="2672" t="str">
        <f t="shared" si="280"/>
        <v/>
      </c>
      <c r="KQ810" s="2672" t="str">
        <f t="shared" si="281"/>
        <v/>
      </c>
      <c r="KR810" s="2672" t="str">
        <f t="shared" si="282"/>
        <v/>
      </c>
      <c r="KS810" s="2672" t="str">
        <f t="shared" si="283"/>
        <v/>
      </c>
      <c r="KT810" s="2672" t="str">
        <f t="shared" si="284"/>
        <v/>
      </c>
      <c r="KU810" s="2672" t="str">
        <f t="shared" si="285"/>
        <v/>
      </c>
      <c r="KV810" s="2672" t="str">
        <f t="shared" si="286"/>
        <v/>
      </c>
      <c r="KW810" s="2672" t="str">
        <f t="shared" si="287"/>
        <v/>
      </c>
      <c r="KX810" s="2672" t="str">
        <f t="shared" si="288"/>
        <v/>
      </c>
      <c r="KY810" s="2672" t="str">
        <f t="shared" si="289"/>
        <v/>
      </c>
      <c r="KZ810" s="2672" t="str">
        <f t="shared" si="290"/>
        <v/>
      </c>
      <c r="LA810" s="2672" t="str">
        <f t="shared" si="291"/>
        <v/>
      </c>
      <c r="LB810" s="2672" t="str">
        <f t="shared" si="292"/>
        <v/>
      </c>
      <c r="LC810" s="2672" t="str">
        <f t="shared" si="293"/>
        <v/>
      </c>
      <c r="LD810" s="2672" t="str">
        <f t="shared" si="294"/>
        <v/>
      </c>
      <c r="LE810" s="2672" t="str">
        <f t="shared" si="295"/>
        <v/>
      </c>
      <c r="LF810" s="2672" t="str">
        <f t="shared" si="296"/>
        <v/>
      </c>
      <c r="LG810" s="2672" t="str">
        <f t="shared" si="297"/>
        <v/>
      </c>
      <c r="LH810" s="2672" t="str">
        <f t="shared" si="298"/>
        <v/>
      </c>
      <c r="LI810" s="2672" t="str">
        <f t="shared" si="299"/>
        <v/>
      </c>
      <c r="LJ810" s="2672" t="str">
        <f t="shared" si="300"/>
        <v/>
      </c>
      <c r="LK810" s="2672" t="str">
        <f t="shared" si="301"/>
        <v/>
      </c>
      <c r="LL810" s="2672" t="str">
        <f t="shared" si="302"/>
        <v/>
      </c>
      <c r="LM810" s="2672" t="str">
        <f t="shared" si="303"/>
        <v/>
      </c>
      <c r="LN810" s="2672" t="str">
        <f t="shared" si="304"/>
        <v/>
      </c>
      <c r="LO810" s="2672" t="str">
        <f t="shared" si="305"/>
        <v/>
      </c>
      <c r="LP810" s="2672" t="str">
        <f t="shared" si="306"/>
        <v/>
      </c>
      <c r="LQ810" s="2613" t="str">
        <f t="shared" si="307"/>
        <v/>
      </c>
      <c r="LR810" s="2613" t="str">
        <f t="shared" si="308"/>
        <v/>
      </c>
      <c r="LS810" s="2613" t="str">
        <f t="shared" si="309"/>
        <v/>
      </c>
      <c r="LT810" s="2613" t="str">
        <f t="shared" si="310"/>
        <v/>
      </c>
      <c r="LU810" s="2613" t="str">
        <f t="shared" si="311"/>
        <v/>
      </c>
      <c r="LV810" s="2494" t="str">
        <f t="shared" si="312"/>
        <v/>
      </c>
      <c r="LW810" s="2494" t="str">
        <f t="shared" si="313"/>
        <v/>
      </c>
      <c r="LX810" s="2494" t="str">
        <f t="shared" si="314"/>
        <v/>
      </c>
      <c r="LY810" s="2494" t="str">
        <f t="shared" si="315"/>
        <v/>
      </c>
      <c r="LZ810" s="2494" t="str">
        <f t="shared" si="316"/>
        <v/>
      </c>
      <c r="MA810" s="2494" t="str">
        <f t="shared" si="317"/>
        <v/>
      </c>
      <c r="MB810" s="2494" t="str">
        <f t="shared" si="318"/>
        <v/>
      </c>
      <c r="MC810" s="2494" t="str">
        <f t="shared" si="319"/>
        <v/>
      </c>
      <c r="MD810" s="2494" t="str">
        <f t="shared" si="320"/>
        <v/>
      </c>
      <c r="ME810" s="2494" t="str">
        <f t="shared" si="321"/>
        <v/>
      </c>
      <c r="MF810" s="2494" t="str">
        <f t="shared" si="322"/>
        <v/>
      </c>
      <c r="MG810" s="2494" t="str">
        <f t="shared" si="323"/>
        <v/>
      </c>
      <c r="MH810" s="2494" t="str">
        <f t="shared" si="324"/>
        <v/>
      </c>
      <c r="MI810" s="2494" t="str">
        <f t="shared" si="325"/>
        <v/>
      </c>
      <c r="MJ810" s="2494" t="str">
        <f t="shared" si="326"/>
        <v/>
      </c>
      <c r="MK810" s="2494" t="str">
        <f t="shared" si="327"/>
        <v/>
      </c>
      <c r="ML810" s="2494" t="str">
        <f t="shared" si="328"/>
        <v/>
      </c>
      <c r="MM810" s="2494" t="str">
        <f t="shared" si="329"/>
        <v/>
      </c>
      <c r="MN810" s="2494" t="str">
        <f t="shared" si="330"/>
        <v/>
      </c>
      <c r="MO810" s="2494" t="str">
        <f t="shared" si="331"/>
        <v/>
      </c>
      <c r="MP810" s="2613">
        <f t="shared" si="338"/>
        <v>0</v>
      </c>
      <c r="MQ810" s="2613">
        <f t="shared" si="339"/>
        <v>0</v>
      </c>
      <c r="MR810" s="2613">
        <f t="shared" si="340"/>
        <v>0</v>
      </c>
      <c r="MS810" s="2613">
        <f t="shared" si="341"/>
        <v>0</v>
      </c>
      <c r="MT810" s="2613">
        <f t="shared" si="342"/>
        <v>0</v>
      </c>
      <c r="MU810" s="2613">
        <f t="shared" si="343"/>
        <v>0</v>
      </c>
      <c r="MV810" s="2613">
        <f t="shared" si="344"/>
        <v>0</v>
      </c>
      <c r="MW810" s="2613">
        <f t="shared" si="345"/>
        <v>0</v>
      </c>
      <c r="MX810" s="2613">
        <f t="shared" si="346"/>
        <v>0</v>
      </c>
      <c r="MY810" s="2613">
        <f t="shared" si="347"/>
        <v>0</v>
      </c>
      <c r="MZ810" s="2613">
        <f t="shared" si="332"/>
        <v>0</v>
      </c>
      <c r="NA810" s="2613">
        <f t="shared" si="333"/>
        <v>0</v>
      </c>
      <c r="NB810" s="2613">
        <f t="shared" si="334"/>
        <v>0</v>
      </c>
      <c r="NC810" s="2613">
        <f t="shared" si="335"/>
        <v>0</v>
      </c>
      <c r="ND810" s="2613">
        <f t="shared" si="336"/>
        <v>0</v>
      </c>
    </row>
    <row r="811" spans="1:368" ht="13.8" customHeight="1">
      <c r="A811" s="2652" t="str">
        <f t="shared" si="337"/>
        <v/>
      </c>
      <c r="B811" s="2664">
        <f>'Part VI-Revenues &amp; Expenses'!B42</f>
        <v>0</v>
      </c>
      <c r="C811" s="2665">
        <f>'Part VI-Revenues &amp; Expenses'!C42</f>
        <v>0</v>
      </c>
      <c r="D811" s="2666">
        <f>'Part VI-Revenues &amp; Expenses'!D42</f>
        <v>0</v>
      </c>
      <c r="E811" s="2667">
        <f>'Part VI-Revenues &amp; Expenses'!E42</f>
        <v>0</v>
      </c>
      <c r="F811" s="2667">
        <f>'Part VI-Revenues &amp; Expenses'!F42</f>
        <v>0</v>
      </c>
      <c r="G811" s="2667">
        <f>'Part VI-Revenues &amp; Expenses'!G42</f>
        <v>0</v>
      </c>
      <c r="H811" s="2667">
        <f>'Part VI-Revenues &amp; Expenses'!H42</f>
        <v>0</v>
      </c>
      <c r="I811" s="2667">
        <f>'Part VI-Revenues &amp; Expenses'!I42</f>
        <v>0</v>
      </c>
      <c r="J811" s="2667">
        <f>'Part VI-Revenues &amp; Expenses'!J42</f>
        <v>0</v>
      </c>
      <c r="K811" s="2668">
        <f>'Part VI-Revenues &amp; Expenses'!K42</f>
        <v>0</v>
      </c>
      <c r="L811" s="2669">
        <f t="shared" si="0"/>
        <v>0</v>
      </c>
      <c r="M811" s="2669">
        <f t="shared" si="1"/>
        <v>0</v>
      </c>
      <c r="N811" s="2545">
        <f>'Part VI-Revenues &amp; Expenses'!N42</f>
        <v>0</v>
      </c>
      <c r="O811" s="2545">
        <f>'Part VI-Revenues &amp; Expenses'!O42</f>
        <v>0</v>
      </c>
      <c r="P811" s="2545">
        <f>'Part VI-Revenues &amp; Expenses'!P42</f>
        <v>0</v>
      </c>
      <c r="Q811" s="2251">
        <f>'Part VI-Revenues &amp; Expenses'!Q42</f>
        <v>0</v>
      </c>
      <c r="R811" s="2670"/>
      <c r="S811" s="2671"/>
      <c r="T811" s="2607"/>
      <c r="U811" s="2607"/>
      <c r="V811" s="2607"/>
      <c r="W811" s="2607"/>
      <c r="X811" s="2494" t="str">
        <f t="shared" si="2"/>
        <v/>
      </c>
      <c r="Y811" s="2494" t="str">
        <f t="shared" si="3"/>
        <v/>
      </c>
      <c r="Z811" s="2494" t="str">
        <f t="shared" si="4"/>
        <v/>
      </c>
      <c r="AA811" s="2494" t="str">
        <f t="shared" si="5"/>
        <v/>
      </c>
      <c r="AB811" s="2494" t="str">
        <f t="shared" si="6"/>
        <v/>
      </c>
      <c r="AC811" s="2494" t="str">
        <f t="shared" si="7"/>
        <v/>
      </c>
      <c r="AD811" s="2494" t="str">
        <f t="shared" si="8"/>
        <v/>
      </c>
      <c r="AE811" s="2494" t="str">
        <f t="shared" si="9"/>
        <v/>
      </c>
      <c r="AF811" s="2494" t="str">
        <f t="shared" si="10"/>
        <v/>
      </c>
      <c r="AG811" s="2494" t="str">
        <f t="shared" si="11"/>
        <v/>
      </c>
      <c r="AH811" s="2494" t="str">
        <f t="shared" si="12"/>
        <v/>
      </c>
      <c r="AI811" s="2494" t="str">
        <f t="shared" si="13"/>
        <v/>
      </c>
      <c r="AJ811" s="2494" t="str">
        <f t="shared" si="14"/>
        <v/>
      </c>
      <c r="AK811" s="2494" t="str">
        <f t="shared" si="15"/>
        <v/>
      </c>
      <c r="AL811" s="2494" t="str">
        <f t="shared" si="16"/>
        <v/>
      </c>
      <c r="AM811" s="2494" t="str">
        <f t="shared" si="17"/>
        <v/>
      </c>
      <c r="AN811" s="2494" t="str">
        <f t="shared" si="18"/>
        <v/>
      </c>
      <c r="AO811" s="2494" t="str">
        <f t="shared" si="19"/>
        <v/>
      </c>
      <c r="AP811" s="2494" t="str">
        <f t="shared" si="20"/>
        <v/>
      </c>
      <c r="AQ811" s="2494" t="str">
        <f t="shared" si="21"/>
        <v/>
      </c>
      <c r="AR811" s="2494" t="str">
        <f t="shared" si="22"/>
        <v/>
      </c>
      <c r="AS811" s="2494" t="str">
        <f t="shared" si="23"/>
        <v/>
      </c>
      <c r="AT811" s="2494" t="str">
        <f t="shared" si="24"/>
        <v/>
      </c>
      <c r="AU811" s="2494" t="str">
        <f t="shared" si="25"/>
        <v/>
      </c>
      <c r="AV811" s="2494" t="str">
        <f t="shared" si="26"/>
        <v/>
      </c>
      <c r="AW811" s="2494" t="str">
        <f t="shared" si="27"/>
        <v/>
      </c>
      <c r="AX811" s="2494" t="str">
        <f t="shared" si="28"/>
        <v/>
      </c>
      <c r="AY811" s="2494" t="str">
        <f t="shared" si="29"/>
        <v/>
      </c>
      <c r="AZ811" s="2494" t="str">
        <f t="shared" si="30"/>
        <v/>
      </c>
      <c r="BA811" s="2494" t="str">
        <f t="shared" si="31"/>
        <v/>
      </c>
      <c r="BB811" s="2494" t="str">
        <f t="shared" si="32"/>
        <v/>
      </c>
      <c r="BC811" s="2494" t="str">
        <f t="shared" si="33"/>
        <v/>
      </c>
      <c r="BD811" s="2494" t="str">
        <f t="shared" si="34"/>
        <v/>
      </c>
      <c r="BE811" s="2494" t="str">
        <f t="shared" si="35"/>
        <v/>
      </c>
      <c r="BF811" s="2494" t="str">
        <f t="shared" si="36"/>
        <v/>
      </c>
      <c r="BG811" s="2494" t="str">
        <f t="shared" si="37"/>
        <v/>
      </c>
      <c r="BH811" s="2494" t="str">
        <f t="shared" si="38"/>
        <v/>
      </c>
      <c r="BI811" s="2494" t="str">
        <f t="shared" si="39"/>
        <v/>
      </c>
      <c r="BJ811" s="2494" t="str">
        <f t="shared" si="40"/>
        <v/>
      </c>
      <c r="BK811" s="2494" t="str">
        <f t="shared" si="41"/>
        <v/>
      </c>
      <c r="BL811" s="2494" t="str">
        <f t="shared" si="42"/>
        <v/>
      </c>
      <c r="BM811" s="2494" t="str">
        <f t="shared" si="43"/>
        <v/>
      </c>
      <c r="BN811" s="2494" t="str">
        <f t="shared" si="44"/>
        <v/>
      </c>
      <c r="BO811" s="2494" t="str">
        <f t="shared" si="45"/>
        <v/>
      </c>
      <c r="BP811" s="2494" t="str">
        <f t="shared" si="46"/>
        <v/>
      </c>
      <c r="BQ811" s="2494" t="str">
        <f t="shared" si="47"/>
        <v/>
      </c>
      <c r="BR811" s="2494" t="str">
        <f t="shared" si="48"/>
        <v/>
      </c>
      <c r="BS811" s="2494" t="str">
        <f t="shared" si="49"/>
        <v/>
      </c>
      <c r="BT811" s="2494" t="str">
        <f t="shared" si="50"/>
        <v/>
      </c>
      <c r="BU811" s="2494" t="str">
        <f t="shared" si="51"/>
        <v/>
      </c>
      <c r="BV811" s="2494" t="str">
        <f t="shared" si="52"/>
        <v/>
      </c>
      <c r="BW811" s="2494" t="str">
        <f t="shared" si="53"/>
        <v/>
      </c>
      <c r="BX811" s="2494" t="str">
        <f t="shared" si="54"/>
        <v/>
      </c>
      <c r="BY811" s="2494" t="str">
        <f t="shared" si="55"/>
        <v/>
      </c>
      <c r="BZ811" s="2494" t="str">
        <f t="shared" si="56"/>
        <v/>
      </c>
      <c r="CA811" s="2494" t="str">
        <f t="shared" si="57"/>
        <v/>
      </c>
      <c r="CB811" s="2494" t="str">
        <f t="shared" si="58"/>
        <v/>
      </c>
      <c r="CC811" s="2494" t="str">
        <f t="shared" si="59"/>
        <v/>
      </c>
      <c r="CD811" s="2494" t="str">
        <f t="shared" si="60"/>
        <v/>
      </c>
      <c r="CE811" s="2494" t="str">
        <f t="shared" si="61"/>
        <v/>
      </c>
      <c r="CF811" s="2494" t="str">
        <f t="shared" si="62"/>
        <v/>
      </c>
      <c r="CG811" s="2494" t="str">
        <f t="shared" si="63"/>
        <v/>
      </c>
      <c r="CH811" s="2494" t="str">
        <f t="shared" si="64"/>
        <v/>
      </c>
      <c r="CI811" s="2494" t="str">
        <f t="shared" si="65"/>
        <v/>
      </c>
      <c r="CJ811" s="2494" t="str">
        <f t="shared" si="66"/>
        <v/>
      </c>
      <c r="CK811" s="2494" t="str">
        <f t="shared" si="67"/>
        <v/>
      </c>
      <c r="CL811" s="2494" t="str">
        <f t="shared" si="68"/>
        <v/>
      </c>
      <c r="CM811" s="2494" t="str">
        <f t="shared" si="69"/>
        <v/>
      </c>
      <c r="CN811" s="2494" t="str">
        <f t="shared" si="70"/>
        <v/>
      </c>
      <c r="CO811" s="2494" t="str">
        <f t="shared" si="71"/>
        <v/>
      </c>
      <c r="CP811" s="2494" t="str">
        <f t="shared" si="72"/>
        <v/>
      </c>
      <c r="CQ811" s="2494" t="str">
        <f t="shared" si="73"/>
        <v/>
      </c>
      <c r="CR811" s="2494" t="str">
        <f t="shared" si="74"/>
        <v/>
      </c>
      <c r="CS811" s="2494" t="str">
        <f t="shared" si="75"/>
        <v/>
      </c>
      <c r="CT811" s="2494" t="str">
        <f t="shared" si="76"/>
        <v/>
      </c>
      <c r="CU811" s="2494" t="str">
        <f t="shared" si="77"/>
        <v/>
      </c>
      <c r="CV811" s="2494" t="str">
        <f t="shared" si="78"/>
        <v/>
      </c>
      <c r="CW811" s="2494" t="str">
        <f t="shared" si="79"/>
        <v/>
      </c>
      <c r="CX811" s="2494" t="str">
        <f t="shared" si="80"/>
        <v/>
      </c>
      <c r="CY811" s="2494" t="str">
        <f t="shared" si="81"/>
        <v/>
      </c>
      <c r="CZ811" s="2494" t="str">
        <f t="shared" si="82"/>
        <v/>
      </c>
      <c r="DA811" s="2494" t="str">
        <f t="shared" si="83"/>
        <v/>
      </c>
      <c r="DB811" s="2494" t="str">
        <f t="shared" si="84"/>
        <v/>
      </c>
      <c r="DC811" s="2494" t="str">
        <f t="shared" si="85"/>
        <v/>
      </c>
      <c r="DD811" s="2494" t="str">
        <f t="shared" si="86"/>
        <v/>
      </c>
      <c r="DE811" s="2494" t="str">
        <f t="shared" si="87"/>
        <v/>
      </c>
      <c r="DF811" s="2494" t="str">
        <f t="shared" si="88"/>
        <v/>
      </c>
      <c r="DG811" s="2494" t="str">
        <f t="shared" si="89"/>
        <v/>
      </c>
      <c r="DH811" s="2494" t="str">
        <f t="shared" si="90"/>
        <v/>
      </c>
      <c r="DI811" s="2494" t="str">
        <f t="shared" si="91"/>
        <v/>
      </c>
      <c r="DJ811" s="2494" t="str">
        <f t="shared" si="92"/>
        <v/>
      </c>
      <c r="DK811" s="2494" t="str">
        <f t="shared" si="93"/>
        <v/>
      </c>
      <c r="DL811" s="2494" t="str">
        <f t="shared" si="94"/>
        <v/>
      </c>
      <c r="DM811" s="2494" t="str">
        <f t="shared" si="95"/>
        <v/>
      </c>
      <c r="DN811" s="2494" t="str">
        <f t="shared" si="96"/>
        <v/>
      </c>
      <c r="DO811" s="2494" t="str">
        <f t="shared" si="97"/>
        <v/>
      </c>
      <c r="DP811" s="2494" t="str">
        <f t="shared" si="98"/>
        <v/>
      </c>
      <c r="DQ811" s="2494" t="str">
        <f t="shared" si="99"/>
        <v/>
      </c>
      <c r="DR811" s="2494" t="str">
        <f t="shared" si="100"/>
        <v/>
      </c>
      <c r="DS811" s="2494" t="str">
        <f t="shared" si="101"/>
        <v/>
      </c>
      <c r="DT811" s="2494" t="str">
        <f t="shared" si="102"/>
        <v/>
      </c>
      <c r="DU811" s="2494" t="str">
        <f t="shared" si="103"/>
        <v/>
      </c>
      <c r="DV811" s="2494" t="str">
        <f t="shared" si="104"/>
        <v/>
      </c>
      <c r="DW811" s="2494" t="str">
        <f t="shared" si="105"/>
        <v/>
      </c>
      <c r="DX811" s="2494" t="str">
        <f t="shared" si="106"/>
        <v/>
      </c>
      <c r="DY811" s="2494" t="str">
        <f t="shared" si="107"/>
        <v/>
      </c>
      <c r="DZ811" s="2494" t="str">
        <f t="shared" si="108"/>
        <v/>
      </c>
      <c r="EA811" s="2494" t="str">
        <f t="shared" si="109"/>
        <v/>
      </c>
      <c r="EB811" s="2494" t="str">
        <f t="shared" si="110"/>
        <v/>
      </c>
      <c r="EC811" s="2494" t="str">
        <f t="shared" si="111"/>
        <v/>
      </c>
      <c r="ED811" s="2494" t="str">
        <f t="shared" si="112"/>
        <v/>
      </c>
      <c r="EE811" s="2494" t="str">
        <f t="shared" si="113"/>
        <v/>
      </c>
      <c r="EF811" s="2494" t="str">
        <f t="shared" si="114"/>
        <v/>
      </c>
      <c r="EG811" s="2494" t="str">
        <f t="shared" si="115"/>
        <v/>
      </c>
      <c r="EH811" s="2494" t="str">
        <f t="shared" si="116"/>
        <v/>
      </c>
      <c r="EI811" s="2494" t="str">
        <f t="shared" si="117"/>
        <v/>
      </c>
      <c r="EJ811" s="2494" t="str">
        <f t="shared" si="118"/>
        <v/>
      </c>
      <c r="EK811" s="2494" t="str">
        <f t="shared" si="119"/>
        <v/>
      </c>
      <c r="EL811" s="2494" t="str">
        <f t="shared" si="120"/>
        <v/>
      </c>
      <c r="EM811" s="2494" t="str">
        <f t="shared" si="121"/>
        <v/>
      </c>
      <c r="EN811" s="2494" t="str">
        <f t="shared" si="122"/>
        <v/>
      </c>
      <c r="EO811" s="2494" t="str">
        <f t="shared" si="123"/>
        <v/>
      </c>
      <c r="EP811" s="2494" t="str">
        <f t="shared" si="124"/>
        <v/>
      </c>
      <c r="EQ811" s="2494" t="str">
        <f t="shared" si="125"/>
        <v/>
      </c>
      <c r="ER811" s="2494" t="str">
        <f t="shared" si="126"/>
        <v/>
      </c>
      <c r="ES811" s="2494" t="str">
        <f t="shared" si="127"/>
        <v/>
      </c>
      <c r="ET811" s="2494" t="str">
        <f t="shared" si="128"/>
        <v/>
      </c>
      <c r="EU811" s="2494" t="str">
        <f t="shared" si="129"/>
        <v/>
      </c>
      <c r="EV811" s="2494" t="str">
        <f t="shared" si="130"/>
        <v/>
      </c>
      <c r="EW811" s="2494" t="str">
        <f t="shared" si="131"/>
        <v/>
      </c>
      <c r="EX811" s="2494" t="str">
        <f t="shared" si="132"/>
        <v/>
      </c>
      <c r="EY811" s="2494" t="str">
        <f t="shared" si="133"/>
        <v/>
      </c>
      <c r="EZ811" s="2494" t="str">
        <f t="shared" si="134"/>
        <v/>
      </c>
      <c r="FA811" s="2494" t="str">
        <f t="shared" si="135"/>
        <v/>
      </c>
      <c r="FB811" s="2494" t="str">
        <f t="shared" si="136"/>
        <v/>
      </c>
      <c r="FC811" s="2494" t="str">
        <f t="shared" si="137"/>
        <v/>
      </c>
      <c r="FD811" s="2494" t="str">
        <f t="shared" si="138"/>
        <v/>
      </c>
      <c r="FE811" s="2494" t="str">
        <f t="shared" si="139"/>
        <v/>
      </c>
      <c r="FF811" s="2494" t="str">
        <f t="shared" si="140"/>
        <v/>
      </c>
      <c r="FG811" s="2494" t="str">
        <f t="shared" si="141"/>
        <v/>
      </c>
      <c r="FH811" s="2494" t="str">
        <f t="shared" si="142"/>
        <v/>
      </c>
      <c r="FI811" s="2494" t="str">
        <f t="shared" si="143"/>
        <v/>
      </c>
      <c r="FJ811" s="2494" t="str">
        <f t="shared" si="144"/>
        <v/>
      </c>
      <c r="FK811" s="2494" t="str">
        <f t="shared" si="145"/>
        <v/>
      </c>
      <c r="FL811" s="2494" t="str">
        <f t="shared" si="146"/>
        <v/>
      </c>
      <c r="FM811" s="2494" t="str">
        <f t="shared" si="147"/>
        <v/>
      </c>
      <c r="FN811" s="2494" t="str">
        <f t="shared" si="148"/>
        <v/>
      </c>
      <c r="FO811" s="2494" t="str">
        <f t="shared" si="149"/>
        <v/>
      </c>
      <c r="FP811" s="2494" t="str">
        <f t="shared" si="150"/>
        <v/>
      </c>
      <c r="FQ811" s="2494" t="str">
        <f t="shared" si="151"/>
        <v/>
      </c>
      <c r="FR811" s="2494" t="str">
        <f t="shared" si="152"/>
        <v/>
      </c>
      <c r="FS811" s="2494" t="str">
        <f t="shared" si="153"/>
        <v/>
      </c>
      <c r="FT811" s="2494" t="str">
        <f t="shared" si="154"/>
        <v/>
      </c>
      <c r="FU811" s="2494" t="str">
        <f t="shared" si="155"/>
        <v/>
      </c>
      <c r="FV811" s="2494" t="str">
        <f t="shared" si="156"/>
        <v/>
      </c>
      <c r="FW811" s="2494" t="str">
        <f t="shared" si="157"/>
        <v/>
      </c>
      <c r="FX811" s="2494" t="str">
        <f t="shared" si="158"/>
        <v/>
      </c>
      <c r="FY811" s="2494" t="str">
        <f t="shared" si="159"/>
        <v/>
      </c>
      <c r="FZ811" s="2494" t="str">
        <f t="shared" si="160"/>
        <v/>
      </c>
      <c r="GA811" s="2494" t="str">
        <f t="shared" si="161"/>
        <v/>
      </c>
      <c r="GB811" s="2494" t="str">
        <f t="shared" si="162"/>
        <v/>
      </c>
      <c r="GC811" s="2494" t="str">
        <f t="shared" si="163"/>
        <v/>
      </c>
      <c r="GD811" s="2494" t="str">
        <f t="shared" si="164"/>
        <v/>
      </c>
      <c r="GE811" s="2494" t="str">
        <f t="shared" si="165"/>
        <v/>
      </c>
      <c r="GF811" s="2494" t="str">
        <f t="shared" si="166"/>
        <v/>
      </c>
      <c r="GG811" s="2494" t="str">
        <f t="shared" si="167"/>
        <v/>
      </c>
      <c r="GH811" s="2494" t="str">
        <f t="shared" si="168"/>
        <v/>
      </c>
      <c r="GI811" s="2494" t="str">
        <f t="shared" si="169"/>
        <v/>
      </c>
      <c r="GJ811" s="2494" t="str">
        <f t="shared" si="170"/>
        <v/>
      </c>
      <c r="GK811" s="2494" t="str">
        <f t="shared" si="171"/>
        <v/>
      </c>
      <c r="GL811" s="2494" t="str">
        <f t="shared" si="172"/>
        <v/>
      </c>
      <c r="GM811" s="2494" t="str">
        <f t="shared" si="173"/>
        <v/>
      </c>
      <c r="GN811" s="2494" t="str">
        <f t="shared" si="174"/>
        <v/>
      </c>
      <c r="GO811" s="2494" t="str">
        <f t="shared" si="175"/>
        <v/>
      </c>
      <c r="GP811" s="2494" t="str">
        <f t="shared" si="176"/>
        <v/>
      </c>
      <c r="GQ811" s="2494" t="str">
        <f t="shared" si="177"/>
        <v/>
      </c>
      <c r="GR811" s="2494" t="str">
        <f t="shared" si="178"/>
        <v/>
      </c>
      <c r="GS811" s="2494" t="str">
        <f t="shared" si="179"/>
        <v/>
      </c>
      <c r="GT811" s="2494" t="str">
        <f t="shared" si="180"/>
        <v/>
      </c>
      <c r="GU811" s="2494" t="str">
        <f t="shared" si="181"/>
        <v/>
      </c>
      <c r="GV811" s="2494" t="str">
        <f t="shared" si="182"/>
        <v/>
      </c>
      <c r="GW811" s="2494" t="str">
        <f t="shared" si="183"/>
        <v/>
      </c>
      <c r="GX811" s="2494" t="str">
        <f t="shared" si="184"/>
        <v/>
      </c>
      <c r="GY811" s="2494" t="str">
        <f t="shared" si="185"/>
        <v/>
      </c>
      <c r="GZ811" s="2494" t="str">
        <f t="shared" si="186"/>
        <v/>
      </c>
      <c r="HA811" s="2494" t="str">
        <f t="shared" si="187"/>
        <v/>
      </c>
      <c r="HB811" s="2494" t="str">
        <f t="shared" si="188"/>
        <v/>
      </c>
      <c r="HC811" s="2494" t="str">
        <f t="shared" si="189"/>
        <v/>
      </c>
      <c r="HD811" s="2494" t="str">
        <f t="shared" si="190"/>
        <v/>
      </c>
      <c r="HE811" s="2494" t="str">
        <f t="shared" si="191"/>
        <v/>
      </c>
      <c r="HF811" s="2494" t="str">
        <f t="shared" si="192"/>
        <v/>
      </c>
      <c r="HG811" s="2494" t="str">
        <f t="shared" si="193"/>
        <v/>
      </c>
      <c r="HH811" s="2494" t="str">
        <f t="shared" si="194"/>
        <v/>
      </c>
      <c r="HI811" s="2494" t="str">
        <f t="shared" si="195"/>
        <v/>
      </c>
      <c r="HJ811" s="2494" t="str">
        <f t="shared" si="196"/>
        <v/>
      </c>
      <c r="HK811" s="2494" t="str">
        <f t="shared" si="197"/>
        <v/>
      </c>
      <c r="HL811" s="2494" t="str">
        <f t="shared" si="198"/>
        <v/>
      </c>
      <c r="HM811" s="2494" t="str">
        <f t="shared" si="199"/>
        <v/>
      </c>
      <c r="HN811" s="2494" t="str">
        <f t="shared" si="200"/>
        <v/>
      </c>
      <c r="HO811" s="2494" t="str">
        <f t="shared" si="201"/>
        <v/>
      </c>
      <c r="HP811" s="2494" t="str">
        <f t="shared" si="202"/>
        <v/>
      </c>
      <c r="HQ811" s="2494" t="str">
        <f t="shared" si="203"/>
        <v/>
      </c>
      <c r="HR811" s="2494" t="str">
        <f t="shared" si="204"/>
        <v/>
      </c>
      <c r="HS811" s="2494" t="str">
        <f t="shared" si="205"/>
        <v/>
      </c>
      <c r="HT811" s="2494" t="str">
        <f t="shared" si="206"/>
        <v/>
      </c>
      <c r="HU811" s="2494" t="str">
        <f t="shared" si="207"/>
        <v/>
      </c>
      <c r="HV811" s="2494" t="str">
        <f t="shared" si="208"/>
        <v/>
      </c>
      <c r="HW811" s="2494" t="str">
        <f t="shared" si="209"/>
        <v/>
      </c>
      <c r="HX811" s="2494" t="str">
        <f t="shared" si="210"/>
        <v/>
      </c>
      <c r="HY811" s="2494" t="str">
        <f t="shared" si="211"/>
        <v/>
      </c>
      <c r="HZ811" s="2672" t="str">
        <f t="shared" si="212"/>
        <v/>
      </c>
      <c r="IA811" s="2672" t="str">
        <f t="shared" si="213"/>
        <v/>
      </c>
      <c r="IB811" s="2672" t="str">
        <f t="shared" si="214"/>
        <v/>
      </c>
      <c r="IC811" s="2672" t="str">
        <f t="shared" si="215"/>
        <v/>
      </c>
      <c r="ID811" s="2672" t="str">
        <f t="shared" si="216"/>
        <v/>
      </c>
      <c r="IE811" s="2672" t="str">
        <f t="shared" si="217"/>
        <v/>
      </c>
      <c r="IF811" s="2672" t="str">
        <f t="shared" si="218"/>
        <v/>
      </c>
      <c r="IG811" s="2672" t="str">
        <f t="shared" si="219"/>
        <v/>
      </c>
      <c r="IH811" s="2672" t="str">
        <f t="shared" si="220"/>
        <v/>
      </c>
      <c r="II811" s="2672" t="str">
        <f t="shared" si="221"/>
        <v/>
      </c>
      <c r="IJ811" s="2672" t="str">
        <f t="shared" si="222"/>
        <v/>
      </c>
      <c r="IK811" s="2672" t="str">
        <f t="shared" si="223"/>
        <v/>
      </c>
      <c r="IL811" s="2672" t="str">
        <f t="shared" si="224"/>
        <v/>
      </c>
      <c r="IM811" s="2672" t="str">
        <f t="shared" si="225"/>
        <v/>
      </c>
      <c r="IN811" s="2672" t="str">
        <f t="shared" si="226"/>
        <v/>
      </c>
      <c r="IO811" s="2672" t="str">
        <f t="shared" si="227"/>
        <v/>
      </c>
      <c r="IP811" s="2672" t="str">
        <f t="shared" si="228"/>
        <v/>
      </c>
      <c r="IQ811" s="2672" t="str">
        <f t="shared" si="229"/>
        <v/>
      </c>
      <c r="IR811" s="2672" t="str">
        <f t="shared" si="230"/>
        <v/>
      </c>
      <c r="IS811" s="2672" t="str">
        <f t="shared" si="231"/>
        <v/>
      </c>
      <c r="IT811" s="2672" t="str">
        <f t="shared" si="232"/>
        <v/>
      </c>
      <c r="IU811" s="2672" t="str">
        <f t="shared" si="233"/>
        <v/>
      </c>
      <c r="IV811" s="2672" t="str">
        <f t="shared" si="234"/>
        <v/>
      </c>
      <c r="IW811" s="2672" t="str">
        <f t="shared" si="235"/>
        <v/>
      </c>
      <c r="IX811" s="2672" t="str">
        <f t="shared" si="236"/>
        <v/>
      </c>
      <c r="IY811" s="2672" t="str">
        <f t="shared" si="237"/>
        <v/>
      </c>
      <c r="IZ811" s="2672" t="str">
        <f t="shared" si="238"/>
        <v/>
      </c>
      <c r="JA811" s="2672" t="str">
        <f t="shared" si="239"/>
        <v/>
      </c>
      <c r="JB811" s="2672" t="str">
        <f t="shared" si="240"/>
        <v/>
      </c>
      <c r="JC811" s="2672" t="str">
        <f t="shared" si="241"/>
        <v/>
      </c>
      <c r="JD811" s="2672" t="str">
        <f t="shared" si="242"/>
        <v/>
      </c>
      <c r="JE811" s="2672" t="str">
        <f t="shared" si="243"/>
        <v/>
      </c>
      <c r="JF811" s="2672" t="str">
        <f t="shared" si="244"/>
        <v/>
      </c>
      <c r="JG811" s="2672" t="str">
        <f t="shared" si="245"/>
        <v/>
      </c>
      <c r="JH811" s="2672" t="str">
        <f t="shared" si="246"/>
        <v/>
      </c>
      <c r="JI811" s="2672" t="str">
        <f t="shared" si="247"/>
        <v/>
      </c>
      <c r="JJ811" s="2672" t="str">
        <f t="shared" si="248"/>
        <v/>
      </c>
      <c r="JK811" s="2672" t="str">
        <f t="shared" si="249"/>
        <v/>
      </c>
      <c r="JL811" s="2672" t="str">
        <f t="shared" si="250"/>
        <v/>
      </c>
      <c r="JM811" s="2672" t="str">
        <f t="shared" si="251"/>
        <v/>
      </c>
      <c r="JN811" s="2672" t="str">
        <f t="shared" si="252"/>
        <v/>
      </c>
      <c r="JO811" s="2672" t="str">
        <f t="shared" si="253"/>
        <v/>
      </c>
      <c r="JP811" s="2672" t="str">
        <f t="shared" si="254"/>
        <v/>
      </c>
      <c r="JQ811" s="2672" t="str">
        <f t="shared" si="255"/>
        <v/>
      </c>
      <c r="JR811" s="2672" t="str">
        <f t="shared" si="256"/>
        <v/>
      </c>
      <c r="JS811" s="2672" t="str">
        <f t="shared" si="257"/>
        <v/>
      </c>
      <c r="JT811" s="2672" t="str">
        <f t="shared" si="258"/>
        <v/>
      </c>
      <c r="JU811" s="2672" t="str">
        <f t="shared" si="259"/>
        <v/>
      </c>
      <c r="JV811" s="2672" t="str">
        <f t="shared" si="260"/>
        <v/>
      </c>
      <c r="JW811" s="2672" t="str">
        <f t="shared" si="261"/>
        <v/>
      </c>
      <c r="JX811" s="2672" t="str">
        <f t="shared" si="262"/>
        <v/>
      </c>
      <c r="JY811" s="2672" t="str">
        <f t="shared" si="263"/>
        <v/>
      </c>
      <c r="JZ811" s="2672" t="str">
        <f t="shared" si="264"/>
        <v/>
      </c>
      <c r="KA811" s="2672" t="str">
        <f t="shared" si="265"/>
        <v/>
      </c>
      <c r="KB811" s="2672" t="str">
        <f t="shared" si="266"/>
        <v/>
      </c>
      <c r="KC811" s="2672" t="str">
        <f t="shared" si="267"/>
        <v/>
      </c>
      <c r="KD811" s="2672" t="str">
        <f t="shared" si="268"/>
        <v/>
      </c>
      <c r="KE811" s="2672" t="str">
        <f t="shared" si="269"/>
        <v/>
      </c>
      <c r="KF811" s="2672" t="str">
        <f t="shared" si="270"/>
        <v/>
      </c>
      <c r="KG811" s="2672" t="str">
        <f t="shared" si="271"/>
        <v/>
      </c>
      <c r="KH811" s="2672" t="str">
        <f t="shared" si="272"/>
        <v/>
      </c>
      <c r="KI811" s="2672" t="str">
        <f t="shared" si="273"/>
        <v/>
      </c>
      <c r="KJ811" s="2672" t="str">
        <f t="shared" si="274"/>
        <v/>
      </c>
      <c r="KK811" s="2672" t="str">
        <f t="shared" si="275"/>
        <v/>
      </c>
      <c r="KL811" s="2672" t="str">
        <f t="shared" si="276"/>
        <v/>
      </c>
      <c r="KM811" s="2672" t="str">
        <f t="shared" si="277"/>
        <v/>
      </c>
      <c r="KN811" s="2672" t="str">
        <f t="shared" si="278"/>
        <v/>
      </c>
      <c r="KO811" s="2672" t="str">
        <f t="shared" si="279"/>
        <v/>
      </c>
      <c r="KP811" s="2672" t="str">
        <f t="shared" si="280"/>
        <v/>
      </c>
      <c r="KQ811" s="2672" t="str">
        <f t="shared" si="281"/>
        <v/>
      </c>
      <c r="KR811" s="2672" t="str">
        <f t="shared" si="282"/>
        <v/>
      </c>
      <c r="KS811" s="2672" t="str">
        <f t="shared" si="283"/>
        <v/>
      </c>
      <c r="KT811" s="2672" t="str">
        <f t="shared" si="284"/>
        <v/>
      </c>
      <c r="KU811" s="2672" t="str">
        <f t="shared" si="285"/>
        <v/>
      </c>
      <c r="KV811" s="2672" t="str">
        <f t="shared" si="286"/>
        <v/>
      </c>
      <c r="KW811" s="2672" t="str">
        <f t="shared" si="287"/>
        <v/>
      </c>
      <c r="KX811" s="2672" t="str">
        <f t="shared" si="288"/>
        <v/>
      </c>
      <c r="KY811" s="2672" t="str">
        <f t="shared" si="289"/>
        <v/>
      </c>
      <c r="KZ811" s="2672" t="str">
        <f t="shared" si="290"/>
        <v/>
      </c>
      <c r="LA811" s="2672" t="str">
        <f t="shared" si="291"/>
        <v/>
      </c>
      <c r="LB811" s="2672" t="str">
        <f t="shared" si="292"/>
        <v/>
      </c>
      <c r="LC811" s="2672" t="str">
        <f t="shared" si="293"/>
        <v/>
      </c>
      <c r="LD811" s="2672" t="str">
        <f t="shared" si="294"/>
        <v/>
      </c>
      <c r="LE811" s="2672" t="str">
        <f t="shared" si="295"/>
        <v/>
      </c>
      <c r="LF811" s="2672" t="str">
        <f t="shared" si="296"/>
        <v/>
      </c>
      <c r="LG811" s="2672" t="str">
        <f t="shared" si="297"/>
        <v/>
      </c>
      <c r="LH811" s="2672" t="str">
        <f t="shared" si="298"/>
        <v/>
      </c>
      <c r="LI811" s="2672" t="str">
        <f t="shared" si="299"/>
        <v/>
      </c>
      <c r="LJ811" s="2672" t="str">
        <f t="shared" si="300"/>
        <v/>
      </c>
      <c r="LK811" s="2672" t="str">
        <f t="shared" si="301"/>
        <v/>
      </c>
      <c r="LL811" s="2672" t="str">
        <f t="shared" si="302"/>
        <v/>
      </c>
      <c r="LM811" s="2672" t="str">
        <f t="shared" si="303"/>
        <v/>
      </c>
      <c r="LN811" s="2672" t="str">
        <f t="shared" si="304"/>
        <v/>
      </c>
      <c r="LO811" s="2672" t="str">
        <f t="shared" si="305"/>
        <v/>
      </c>
      <c r="LP811" s="2672" t="str">
        <f t="shared" si="306"/>
        <v/>
      </c>
      <c r="LQ811" s="2613" t="str">
        <f t="shared" si="307"/>
        <v/>
      </c>
      <c r="LR811" s="2613" t="str">
        <f t="shared" si="308"/>
        <v/>
      </c>
      <c r="LS811" s="2613" t="str">
        <f t="shared" si="309"/>
        <v/>
      </c>
      <c r="LT811" s="2613" t="str">
        <f t="shared" si="310"/>
        <v/>
      </c>
      <c r="LU811" s="2613" t="str">
        <f t="shared" si="311"/>
        <v/>
      </c>
      <c r="LV811" s="2494" t="str">
        <f t="shared" si="312"/>
        <v/>
      </c>
      <c r="LW811" s="2494" t="str">
        <f t="shared" si="313"/>
        <v/>
      </c>
      <c r="LX811" s="2494" t="str">
        <f t="shared" si="314"/>
        <v/>
      </c>
      <c r="LY811" s="2494" t="str">
        <f t="shared" si="315"/>
        <v/>
      </c>
      <c r="LZ811" s="2494" t="str">
        <f t="shared" si="316"/>
        <v/>
      </c>
      <c r="MA811" s="2494" t="str">
        <f t="shared" si="317"/>
        <v/>
      </c>
      <c r="MB811" s="2494" t="str">
        <f t="shared" si="318"/>
        <v/>
      </c>
      <c r="MC811" s="2494" t="str">
        <f t="shared" si="319"/>
        <v/>
      </c>
      <c r="MD811" s="2494" t="str">
        <f t="shared" si="320"/>
        <v/>
      </c>
      <c r="ME811" s="2494" t="str">
        <f t="shared" si="321"/>
        <v/>
      </c>
      <c r="MF811" s="2494" t="str">
        <f t="shared" si="322"/>
        <v/>
      </c>
      <c r="MG811" s="2494" t="str">
        <f t="shared" si="323"/>
        <v/>
      </c>
      <c r="MH811" s="2494" t="str">
        <f t="shared" si="324"/>
        <v/>
      </c>
      <c r="MI811" s="2494" t="str">
        <f t="shared" si="325"/>
        <v/>
      </c>
      <c r="MJ811" s="2494" t="str">
        <f t="shared" si="326"/>
        <v/>
      </c>
      <c r="MK811" s="2494" t="str">
        <f t="shared" si="327"/>
        <v/>
      </c>
      <c r="ML811" s="2494" t="str">
        <f t="shared" si="328"/>
        <v/>
      </c>
      <c r="MM811" s="2494" t="str">
        <f t="shared" si="329"/>
        <v/>
      </c>
      <c r="MN811" s="2494" t="str">
        <f t="shared" si="330"/>
        <v/>
      </c>
      <c r="MO811" s="2494" t="str">
        <f t="shared" si="331"/>
        <v/>
      </c>
      <c r="MP811" s="2613">
        <f t="shared" si="338"/>
        <v>0</v>
      </c>
      <c r="MQ811" s="2613">
        <f t="shared" si="339"/>
        <v>0</v>
      </c>
      <c r="MR811" s="2613">
        <f t="shared" si="340"/>
        <v>0</v>
      </c>
      <c r="MS811" s="2613">
        <f t="shared" si="341"/>
        <v>0</v>
      </c>
      <c r="MT811" s="2613">
        <f t="shared" si="342"/>
        <v>0</v>
      </c>
      <c r="MU811" s="2613">
        <f t="shared" si="343"/>
        <v>0</v>
      </c>
      <c r="MV811" s="2613">
        <f t="shared" si="344"/>
        <v>0</v>
      </c>
      <c r="MW811" s="2613">
        <f t="shared" si="345"/>
        <v>0</v>
      </c>
      <c r="MX811" s="2613">
        <f t="shared" si="346"/>
        <v>0</v>
      </c>
      <c r="MY811" s="2613">
        <f t="shared" si="347"/>
        <v>0</v>
      </c>
      <c r="MZ811" s="2613">
        <f t="shared" si="332"/>
        <v>0</v>
      </c>
      <c r="NA811" s="2613">
        <f t="shared" si="333"/>
        <v>0</v>
      </c>
      <c r="NB811" s="2613">
        <f t="shared" si="334"/>
        <v>0</v>
      </c>
      <c r="NC811" s="2613">
        <f t="shared" si="335"/>
        <v>0</v>
      </c>
      <c r="ND811" s="2613">
        <f t="shared" si="336"/>
        <v>0</v>
      </c>
    </row>
    <row r="812" spans="1:368" ht="13.8" customHeight="1">
      <c r="A812" s="2652" t="str">
        <f t="shared" si="337"/>
        <v/>
      </c>
      <c r="B812" s="2664">
        <f>'Part VI-Revenues &amp; Expenses'!B43</f>
        <v>0</v>
      </c>
      <c r="C812" s="2665">
        <f>'Part VI-Revenues &amp; Expenses'!C43</f>
        <v>0</v>
      </c>
      <c r="D812" s="2666">
        <f>'Part VI-Revenues &amp; Expenses'!D43</f>
        <v>0</v>
      </c>
      <c r="E812" s="2667">
        <f>'Part VI-Revenues &amp; Expenses'!E43</f>
        <v>0</v>
      </c>
      <c r="F812" s="2667">
        <f>'Part VI-Revenues &amp; Expenses'!F43</f>
        <v>0</v>
      </c>
      <c r="G812" s="2667">
        <f>'Part VI-Revenues &amp; Expenses'!G43</f>
        <v>0</v>
      </c>
      <c r="H812" s="2667">
        <f>'Part VI-Revenues &amp; Expenses'!H43</f>
        <v>0</v>
      </c>
      <c r="I812" s="2667">
        <f>'Part VI-Revenues &amp; Expenses'!I43</f>
        <v>0</v>
      </c>
      <c r="J812" s="2667">
        <f>'Part VI-Revenues &amp; Expenses'!J43</f>
        <v>0</v>
      </c>
      <c r="K812" s="2668">
        <f>'Part VI-Revenues &amp; Expenses'!K43</f>
        <v>0</v>
      </c>
      <c r="L812" s="2669">
        <f t="shared" si="0"/>
        <v>0</v>
      </c>
      <c r="M812" s="2669">
        <f t="shared" si="1"/>
        <v>0</v>
      </c>
      <c r="N812" s="2545">
        <f>'Part VI-Revenues &amp; Expenses'!N43</f>
        <v>0</v>
      </c>
      <c r="O812" s="2545">
        <f>'Part VI-Revenues &amp; Expenses'!O43</f>
        <v>0</v>
      </c>
      <c r="P812" s="2545">
        <f>'Part VI-Revenues &amp; Expenses'!P43</f>
        <v>0</v>
      </c>
      <c r="Q812" s="2251">
        <f>'Part VI-Revenues &amp; Expenses'!Q43</f>
        <v>0</v>
      </c>
      <c r="R812" s="2670"/>
      <c r="S812" s="2671"/>
      <c r="T812" s="2607"/>
      <c r="U812" s="2607"/>
      <c r="V812" s="2607"/>
      <c r="W812" s="2607"/>
      <c r="X812" s="2494" t="str">
        <f t="shared" si="2"/>
        <v/>
      </c>
      <c r="Y812" s="2494" t="str">
        <f t="shared" si="3"/>
        <v/>
      </c>
      <c r="Z812" s="2494" t="str">
        <f t="shared" si="4"/>
        <v/>
      </c>
      <c r="AA812" s="2494" t="str">
        <f t="shared" si="5"/>
        <v/>
      </c>
      <c r="AB812" s="2494" t="str">
        <f t="shared" si="6"/>
        <v/>
      </c>
      <c r="AC812" s="2494" t="str">
        <f t="shared" si="7"/>
        <v/>
      </c>
      <c r="AD812" s="2494" t="str">
        <f t="shared" si="8"/>
        <v/>
      </c>
      <c r="AE812" s="2494" t="str">
        <f t="shared" si="9"/>
        <v/>
      </c>
      <c r="AF812" s="2494" t="str">
        <f t="shared" si="10"/>
        <v/>
      </c>
      <c r="AG812" s="2494" t="str">
        <f t="shared" si="11"/>
        <v/>
      </c>
      <c r="AH812" s="2494" t="str">
        <f t="shared" si="12"/>
        <v/>
      </c>
      <c r="AI812" s="2494" t="str">
        <f t="shared" si="13"/>
        <v/>
      </c>
      <c r="AJ812" s="2494" t="str">
        <f t="shared" si="14"/>
        <v/>
      </c>
      <c r="AK812" s="2494" t="str">
        <f t="shared" si="15"/>
        <v/>
      </c>
      <c r="AL812" s="2494" t="str">
        <f t="shared" si="16"/>
        <v/>
      </c>
      <c r="AM812" s="2494" t="str">
        <f t="shared" si="17"/>
        <v/>
      </c>
      <c r="AN812" s="2494" t="str">
        <f t="shared" si="18"/>
        <v/>
      </c>
      <c r="AO812" s="2494" t="str">
        <f t="shared" si="19"/>
        <v/>
      </c>
      <c r="AP812" s="2494" t="str">
        <f t="shared" si="20"/>
        <v/>
      </c>
      <c r="AQ812" s="2494" t="str">
        <f t="shared" si="21"/>
        <v/>
      </c>
      <c r="AR812" s="2494" t="str">
        <f t="shared" si="22"/>
        <v/>
      </c>
      <c r="AS812" s="2494" t="str">
        <f t="shared" si="23"/>
        <v/>
      </c>
      <c r="AT812" s="2494" t="str">
        <f t="shared" si="24"/>
        <v/>
      </c>
      <c r="AU812" s="2494" t="str">
        <f t="shared" si="25"/>
        <v/>
      </c>
      <c r="AV812" s="2494" t="str">
        <f t="shared" si="26"/>
        <v/>
      </c>
      <c r="AW812" s="2494" t="str">
        <f t="shared" si="27"/>
        <v/>
      </c>
      <c r="AX812" s="2494" t="str">
        <f t="shared" si="28"/>
        <v/>
      </c>
      <c r="AY812" s="2494" t="str">
        <f t="shared" si="29"/>
        <v/>
      </c>
      <c r="AZ812" s="2494" t="str">
        <f t="shared" si="30"/>
        <v/>
      </c>
      <c r="BA812" s="2494" t="str">
        <f t="shared" si="31"/>
        <v/>
      </c>
      <c r="BB812" s="2494" t="str">
        <f t="shared" si="32"/>
        <v/>
      </c>
      <c r="BC812" s="2494" t="str">
        <f t="shared" si="33"/>
        <v/>
      </c>
      <c r="BD812" s="2494" t="str">
        <f t="shared" si="34"/>
        <v/>
      </c>
      <c r="BE812" s="2494" t="str">
        <f t="shared" si="35"/>
        <v/>
      </c>
      <c r="BF812" s="2494" t="str">
        <f t="shared" si="36"/>
        <v/>
      </c>
      <c r="BG812" s="2494" t="str">
        <f t="shared" si="37"/>
        <v/>
      </c>
      <c r="BH812" s="2494" t="str">
        <f t="shared" si="38"/>
        <v/>
      </c>
      <c r="BI812" s="2494" t="str">
        <f t="shared" si="39"/>
        <v/>
      </c>
      <c r="BJ812" s="2494" t="str">
        <f t="shared" si="40"/>
        <v/>
      </c>
      <c r="BK812" s="2494" t="str">
        <f t="shared" si="41"/>
        <v/>
      </c>
      <c r="BL812" s="2494" t="str">
        <f t="shared" si="42"/>
        <v/>
      </c>
      <c r="BM812" s="2494" t="str">
        <f t="shared" si="43"/>
        <v/>
      </c>
      <c r="BN812" s="2494" t="str">
        <f t="shared" si="44"/>
        <v/>
      </c>
      <c r="BO812" s="2494" t="str">
        <f t="shared" si="45"/>
        <v/>
      </c>
      <c r="BP812" s="2494" t="str">
        <f t="shared" si="46"/>
        <v/>
      </c>
      <c r="BQ812" s="2494" t="str">
        <f t="shared" si="47"/>
        <v/>
      </c>
      <c r="BR812" s="2494" t="str">
        <f t="shared" si="48"/>
        <v/>
      </c>
      <c r="BS812" s="2494" t="str">
        <f t="shared" si="49"/>
        <v/>
      </c>
      <c r="BT812" s="2494" t="str">
        <f t="shared" si="50"/>
        <v/>
      </c>
      <c r="BU812" s="2494" t="str">
        <f t="shared" si="51"/>
        <v/>
      </c>
      <c r="BV812" s="2494" t="str">
        <f t="shared" si="52"/>
        <v/>
      </c>
      <c r="BW812" s="2494" t="str">
        <f t="shared" si="53"/>
        <v/>
      </c>
      <c r="BX812" s="2494" t="str">
        <f t="shared" si="54"/>
        <v/>
      </c>
      <c r="BY812" s="2494" t="str">
        <f t="shared" si="55"/>
        <v/>
      </c>
      <c r="BZ812" s="2494" t="str">
        <f t="shared" si="56"/>
        <v/>
      </c>
      <c r="CA812" s="2494" t="str">
        <f t="shared" si="57"/>
        <v/>
      </c>
      <c r="CB812" s="2494" t="str">
        <f t="shared" si="58"/>
        <v/>
      </c>
      <c r="CC812" s="2494" t="str">
        <f t="shared" si="59"/>
        <v/>
      </c>
      <c r="CD812" s="2494" t="str">
        <f t="shared" si="60"/>
        <v/>
      </c>
      <c r="CE812" s="2494" t="str">
        <f t="shared" si="61"/>
        <v/>
      </c>
      <c r="CF812" s="2494" t="str">
        <f t="shared" si="62"/>
        <v/>
      </c>
      <c r="CG812" s="2494" t="str">
        <f t="shared" si="63"/>
        <v/>
      </c>
      <c r="CH812" s="2494" t="str">
        <f t="shared" si="64"/>
        <v/>
      </c>
      <c r="CI812" s="2494" t="str">
        <f t="shared" si="65"/>
        <v/>
      </c>
      <c r="CJ812" s="2494" t="str">
        <f t="shared" si="66"/>
        <v/>
      </c>
      <c r="CK812" s="2494" t="str">
        <f t="shared" si="67"/>
        <v/>
      </c>
      <c r="CL812" s="2494" t="str">
        <f t="shared" si="68"/>
        <v/>
      </c>
      <c r="CM812" s="2494" t="str">
        <f t="shared" si="69"/>
        <v/>
      </c>
      <c r="CN812" s="2494" t="str">
        <f t="shared" si="70"/>
        <v/>
      </c>
      <c r="CO812" s="2494" t="str">
        <f t="shared" si="71"/>
        <v/>
      </c>
      <c r="CP812" s="2494" t="str">
        <f t="shared" si="72"/>
        <v/>
      </c>
      <c r="CQ812" s="2494" t="str">
        <f t="shared" si="73"/>
        <v/>
      </c>
      <c r="CR812" s="2494" t="str">
        <f t="shared" si="74"/>
        <v/>
      </c>
      <c r="CS812" s="2494" t="str">
        <f t="shared" si="75"/>
        <v/>
      </c>
      <c r="CT812" s="2494" t="str">
        <f t="shared" si="76"/>
        <v/>
      </c>
      <c r="CU812" s="2494" t="str">
        <f t="shared" si="77"/>
        <v/>
      </c>
      <c r="CV812" s="2494" t="str">
        <f t="shared" si="78"/>
        <v/>
      </c>
      <c r="CW812" s="2494" t="str">
        <f t="shared" si="79"/>
        <v/>
      </c>
      <c r="CX812" s="2494" t="str">
        <f t="shared" si="80"/>
        <v/>
      </c>
      <c r="CY812" s="2494" t="str">
        <f t="shared" si="81"/>
        <v/>
      </c>
      <c r="CZ812" s="2494" t="str">
        <f t="shared" si="82"/>
        <v/>
      </c>
      <c r="DA812" s="2494" t="str">
        <f t="shared" si="83"/>
        <v/>
      </c>
      <c r="DB812" s="2494" t="str">
        <f t="shared" si="84"/>
        <v/>
      </c>
      <c r="DC812" s="2494" t="str">
        <f t="shared" si="85"/>
        <v/>
      </c>
      <c r="DD812" s="2494" t="str">
        <f t="shared" si="86"/>
        <v/>
      </c>
      <c r="DE812" s="2494" t="str">
        <f t="shared" si="87"/>
        <v/>
      </c>
      <c r="DF812" s="2494" t="str">
        <f t="shared" si="88"/>
        <v/>
      </c>
      <c r="DG812" s="2494" t="str">
        <f t="shared" si="89"/>
        <v/>
      </c>
      <c r="DH812" s="2494" t="str">
        <f t="shared" si="90"/>
        <v/>
      </c>
      <c r="DI812" s="2494" t="str">
        <f t="shared" si="91"/>
        <v/>
      </c>
      <c r="DJ812" s="2494" t="str">
        <f t="shared" si="92"/>
        <v/>
      </c>
      <c r="DK812" s="2494" t="str">
        <f t="shared" si="93"/>
        <v/>
      </c>
      <c r="DL812" s="2494" t="str">
        <f t="shared" si="94"/>
        <v/>
      </c>
      <c r="DM812" s="2494" t="str">
        <f t="shared" si="95"/>
        <v/>
      </c>
      <c r="DN812" s="2494" t="str">
        <f t="shared" si="96"/>
        <v/>
      </c>
      <c r="DO812" s="2494" t="str">
        <f t="shared" si="97"/>
        <v/>
      </c>
      <c r="DP812" s="2494" t="str">
        <f t="shared" si="98"/>
        <v/>
      </c>
      <c r="DQ812" s="2494" t="str">
        <f t="shared" si="99"/>
        <v/>
      </c>
      <c r="DR812" s="2494" t="str">
        <f t="shared" si="100"/>
        <v/>
      </c>
      <c r="DS812" s="2494" t="str">
        <f t="shared" si="101"/>
        <v/>
      </c>
      <c r="DT812" s="2494" t="str">
        <f t="shared" si="102"/>
        <v/>
      </c>
      <c r="DU812" s="2494" t="str">
        <f t="shared" si="103"/>
        <v/>
      </c>
      <c r="DV812" s="2494" t="str">
        <f t="shared" si="104"/>
        <v/>
      </c>
      <c r="DW812" s="2494" t="str">
        <f t="shared" si="105"/>
        <v/>
      </c>
      <c r="DX812" s="2494" t="str">
        <f t="shared" si="106"/>
        <v/>
      </c>
      <c r="DY812" s="2494" t="str">
        <f t="shared" si="107"/>
        <v/>
      </c>
      <c r="DZ812" s="2494" t="str">
        <f t="shared" si="108"/>
        <v/>
      </c>
      <c r="EA812" s="2494" t="str">
        <f t="shared" si="109"/>
        <v/>
      </c>
      <c r="EB812" s="2494" t="str">
        <f t="shared" si="110"/>
        <v/>
      </c>
      <c r="EC812" s="2494" t="str">
        <f t="shared" si="111"/>
        <v/>
      </c>
      <c r="ED812" s="2494" t="str">
        <f t="shared" si="112"/>
        <v/>
      </c>
      <c r="EE812" s="2494" t="str">
        <f t="shared" si="113"/>
        <v/>
      </c>
      <c r="EF812" s="2494" t="str">
        <f t="shared" si="114"/>
        <v/>
      </c>
      <c r="EG812" s="2494" t="str">
        <f t="shared" si="115"/>
        <v/>
      </c>
      <c r="EH812" s="2494" t="str">
        <f t="shared" si="116"/>
        <v/>
      </c>
      <c r="EI812" s="2494" t="str">
        <f t="shared" si="117"/>
        <v/>
      </c>
      <c r="EJ812" s="2494" t="str">
        <f t="shared" si="118"/>
        <v/>
      </c>
      <c r="EK812" s="2494" t="str">
        <f t="shared" si="119"/>
        <v/>
      </c>
      <c r="EL812" s="2494" t="str">
        <f t="shared" si="120"/>
        <v/>
      </c>
      <c r="EM812" s="2494" t="str">
        <f t="shared" si="121"/>
        <v/>
      </c>
      <c r="EN812" s="2494" t="str">
        <f t="shared" si="122"/>
        <v/>
      </c>
      <c r="EO812" s="2494" t="str">
        <f t="shared" si="123"/>
        <v/>
      </c>
      <c r="EP812" s="2494" t="str">
        <f t="shared" si="124"/>
        <v/>
      </c>
      <c r="EQ812" s="2494" t="str">
        <f t="shared" si="125"/>
        <v/>
      </c>
      <c r="ER812" s="2494" t="str">
        <f t="shared" si="126"/>
        <v/>
      </c>
      <c r="ES812" s="2494" t="str">
        <f t="shared" si="127"/>
        <v/>
      </c>
      <c r="ET812" s="2494" t="str">
        <f t="shared" si="128"/>
        <v/>
      </c>
      <c r="EU812" s="2494" t="str">
        <f t="shared" si="129"/>
        <v/>
      </c>
      <c r="EV812" s="2494" t="str">
        <f t="shared" si="130"/>
        <v/>
      </c>
      <c r="EW812" s="2494" t="str">
        <f t="shared" si="131"/>
        <v/>
      </c>
      <c r="EX812" s="2494" t="str">
        <f t="shared" si="132"/>
        <v/>
      </c>
      <c r="EY812" s="2494" t="str">
        <f t="shared" si="133"/>
        <v/>
      </c>
      <c r="EZ812" s="2494" t="str">
        <f t="shared" si="134"/>
        <v/>
      </c>
      <c r="FA812" s="2494" t="str">
        <f t="shared" si="135"/>
        <v/>
      </c>
      <c r="FB812" s="2494" t="str">
        <f t="shared" si="136"/>
        <v/>
      </c>
      <c r="FC812" s="2494" t="str">
        <f t="shared" si="137"/>
        <v/>
      </c>
      <c r="FD812" s="2494" t="str">
        <f t="shared" si="138"/>
        <v/>
      </c>
      <c r="FE812" s="2494" t="str">
        <f t="shared" si="139"/>
        <v/>
      </c>
      <c r="FF812" s="2494" t="str">
        <f t="shared" si="140"/>
        <v/>
      </c>
      <c r="FG812" s="2494" t="str">
        <f t="shared" si="141"/>
        <v/>
      </c>
      <c r="FH812" s="2494" t="str">
        <f t="shared" si="142"/>
        <v/>
      </c>
      <c r="FI812" s="2494" t="str">
        <f t="shared" si="143"/>
        <v/>
      </c>
      <c r="FJ812" s="2494" t="str">
        <f t="shared" si="144"/>
        <v/>
      </c>
      <c r="FK812" s="2494" t="str">
        <f t="shared" si="145"/>
        <v/>
      </c>
      <c r="FL812" s="2494" t="str">
        <f t="shared" si="146"/>
        <v/>
      </c>
      <c r="FM812" s="2494" t="str">
        <f t="shared" si="147"/>
        <v/>
      </c>
      <c r="FN812" s="2494" t="str">
        <f t="shared" si="148"/>
        <v/>
      </c>
      <c r="FO812" s="2494" t="str">
        <f t="shared" si="149"/>
        <v/>
      </c>
      <c r="FP812" s="2494" t="str">
        <f t="shared" si="150"/>
        <v/>
      </c>
      <c r="FQ812" s="2494" t="str">
        <f t="shared" si="151"/>
        <v/>
      </c>
      <c r="FR812" s="2494" t="str">
        <f t="shared" si="152"/>
        <v/>
      </c>
      <c r="FS812" s="2494" t="str">
        <f t="shared" si="153"/>
        <v/>
      </c>
      <c r="FT812" s="2494" t="str">
        <f t="shared" si="154"/>
        <v/>
      </c>
      <c r="FU812" s="2494" t="str">
        <f t="shared" si="155"/>
        <v/>
      </c>
      <c r="FV812" s="2494" t="str">
        <f t="shared" si="156"/>
        <v/>
      </c>
      <c r="FW812" s="2494" t="str">
        <f t="shared" si="157"/>
        <v/>
      </c>
      <c r="FX812" s="2494" t="str">
        <f t="shared" si="158"/>
        <v/>
      </c>
      <c r="FY812" s="2494" t="str">
        <f t="shared" si="159"/>
        <v/>
      </c>
      <c r="FZ812" s="2494" t="str">
        <f t="shared" si="160"/>
        <v/>
      </c>
      <c r="GA812" s="2494" t="str">
        <f t="shared" si="161"/>
        <v/>
      </c>
      <c r="GB812" s="2494" t="str">
        <f t="shared" si="162"/>
        <v/>
      </c>
      <c r="GC812" s="2494" t="str">
        <f t="shared" si="163"/>
        <v/>
      </c>
      <c r="GD812" s="2494" t="str">
        <f t="shared" si="164"/>
        <v/>
      </c>
      <c r="GE812" s="2494" t="str">
        <f t="shared" si="165"/>
        <v/>
      </c>
      <c r="GF812" s="2494" t="str">
        <f t="shared" si="166"/>
        <v/>
      </c>
      <c r="GG812" s="2494" t="str">
        <f t="shared" si="167"/>
        <v/>
      </c>
      <c r="GH812" s="2494" t="str">
        <f t="shared" si="168"/>
        <v/>
      </c>
      <c r="GI812" s="2494" t="str">
        <f t="shared" si="169"/>
        <v/>
      </c>
      <c r="GJ812" s="2494" t="str">
        <f t="shared" si="170"/>
        <v/>
      </c>
      <c r="GK812" s="2494" t="str">
        <f t="shared" si="171"/>
        <v/>
      </c>
      <c r="GL812" s="2494" t="str">
        <f t="shared" si="172"/>
        <v/>
      </c>
      <c r="GM812" s="2494" t="str">
        <f t="shared" si="173"/>
        <v/>
      </c>
      <c r="GN812" s="2494" t="str">
        <f t="shared" si="174"/>
        <v/>
      </c>
      <c r="GO812" s="2494" t="str">
        <f t="shared" si="175"/>
        <v/>
      </c>
      <c r="GP812" s="2494" t="str">
        <f t="shared" si="176"/>
        <v/>
      </c>
      <c r="GQ812" s="2494" t="str">
        <f t="shared" si="177"/>
        <v/>
      </c>
      <c r="GR812" s="2494" t="str">
        <f t="shared" si="178"/>
        <v/>
      </c>
      <c r="GS812" s="2494" t="str">
        <f t="shared" si="179"/>
        <v/>
      </c>
      <c r="GT812" s="2494" t="str">
        <f t="shared" si="180"/>
        <v/>
      </c>
      <c r="GU812" s="2494" t="str">
        <f t="shared" si="181"/>
        <v/>
      </c>
      <c r="GV812" s="2494" t="str">
        <f t="shared" si="182"/>
        <v/>
      </c>
      <c r="GW812" s="2494" t="str">
        <f t="shared" si="183"/>
        <v/>
      </c>
      <c r="GX812" s="2494" t="str">
        <f t="shared" si="184"/>
        <v/>
      </c>
      <c r="GY812" s="2494" t="str">
        <f t="shared" si="185"/>
        <v/>
      </c>
      <c r="GZ812" s="2494" t="str">
        <f t="shared" si="186"/>
        <v/>
      </c>
      <c r="HA812" s="2494" t="str">
        <f t="shared" si="187"/>
        <v/>
      </c>
      <c r="HB812" s="2494" t="str">
        <f t="shared" si="188"/>
        <v/>
      </c>
      <c r="HC812" s="2494" t="str">
        <f t="shared" si="189"/>
        <v/>
      </c>
      <c r="HD812" s="2494" t="str">
        <f t="shared" si="190"/>
        <v/>
      </c>
      <c r="HE812" s="2494" t="str">
        <f t="shared" si="191"/>
        <v/>
      </c>
      <c r="HF812" s="2494" t="str">
        <f t="shared" si="192"/>
        <v/>
      </c>
      <c r="HG812" s="2494" t="str">
        <f t="shared" si="193"/>
        <v/>
      </c>
      <c r="HH812" s="2494" t="str">
        <f t="shared" si="194"/>
        <v/>
      </c>
      <c r="HI812" s="2494" t="str">
        <f t="shared" si="195"/>
        <v/>
      </c>
      <c r="HJ812" s="2494" t="str">
        <f t="shared" si="196"/>
        <v/>
      </c>
      <c r="HK812" s="2494" t="str">
        <f t="shared" si="197"/>
        <v/>
      </c>
      <c r="HL812" s="2494" t="str">
        <f t="shared" si="198"/>
        <v/>
      </c>
      <c r="HM812" s="2494" t="str">
        <f t="shared" si="199"/>
        <v/>
      </c>
      <c r="HN812" s="2494" t="str">
        <f t="shared" si="200"/>
        <v/>
      </c>
      <c r="HO812" s="2494" t="str">
        <f t="shared" si="201"/>
        <v/>
      </c>
      <c r="HP812" s="2494" t="str">
        <f t="shared" si="202"/>
        <v/>
      </c>
      <c r="HQ812" s="2494" t="str">
        <f t="shared" si="203"/>
        <v/>
      </c>
      <c r="HR812" s="2494" t="str">
        <f t="shared" si="204"/>
        <v/>
      </c>
      <c r="HS812" s="2494" t="str">
        <f t="shared" si="205"/>
        <v/>
      </c>
      <c r="HT812" s="2494" t="str">
        <f t="shared" si="206"/>
        <v/>
      </c>
      <c r="HU812" s="2494" t="str">
        <f t="shared" si="207"/>
        <v/>
      </c>
      <c r="HV812" s="2494" t="str">
        <f t="shared" si="208"/>
        <v/>
      </c>
      <c r="HW812" s="2494" t="str">
        <f t="shared" si="209"/>
        <v/>
      </c>
      <c r="HX812" s="2494" t="str">
        <f t="shared" si="210"/>
        <v/>
      </c>
      <c r="HY812" s="2494" t="str">
        <f t="shared" si="211"/>
        <v/>
      </c>
      <c r="HZ812" s="2672" t="str">
        <f t="shared" si="212"/>
        <v/>
      </c>
      <c r="IA812" s="2672" t="str">
        <f t="shared" si="213"/>
        <v/>
      </c>
      <c r="IB812" s="2672" t="str">
        <f t="shared" si="214"/>
        <v/>
      </c>
      <c r="IC812" s="2672" t="str">
        <f t="shared" si="215"/>
        <v/>
      </c>
      <c r="ID812" s="2672" t="str">
        <f t="shared" si="216"/>
        <v/>
      </c>
      <c r="IE812" s="2672" t="str">
        <f t="shared" si="217"/>
        <v/>
      </c>
      <c r="IF812" s="2672" t="str">
        <f t="shared" si="218"/>
        <v/>
      </c>
      <c r="IG812" s="2672" t="str">
        <f t="shared" si="219"/>
        <v/>
      </c>
      <c r="IH812" s="2672" t="str">
        <f t="shared" si="220"/>
        <v/>
      </c>
      <c r="II812" s="2672" t="str">
        <f t="shared" si="221"/>
        <v/>
      </c>
      <c r="IJ812" s="2672" t="str">
        <f t="shared" si="222"/>
        <v/>
      </c>
      <c r="IK812" s="2672" t="str">
        <f t="shared" si="223"/>
        <v/>
      </c>
      <c r="IL812" s="2672" t="str">
        <f t="shared" si="224"/>
        <v/>
      </c>
      <c r="IM812" s="2672" t="str">
        <f t="shared" si="225"/>
        <v/>
      </c>
      <c r="IN812" s="2672" t="str">
        <f t="shared" si="226"/>
        <v/>
      </c>
      <c r="IO812" s="2672" t="str">
        <f t="shared" si="227"/>
        <v/>
      </c>
      <c r="IP812" s="2672" t="str">
        <f t="shared" si="228"/>
        <v/>
      </c>
      <c r="IQ812" s="2672" t="str">
        <f t="shared" si="229"/>
        <v/>
      </c>
      <c r="IR812" s="2672" t="str">
        <f t="shared" si="230"/>
        <v/>
      </c>
      <c r="IS812" s="2672" t="str">
        <f t="shared" si="231"/>
        <v/>
      </c>
      <c r="IT812" s="2672" t="str">
        <f t="shared" si="232"/>
        <v/>
      </c>
      <c r="IU812" s="2672" t="str">
        <f t="shared" si="233"/>
        <v/>
      </c>
      <c r="IV812" s="2672" t="str">
        <f t="shared" si="234"/>
        <v/>
      </c>
      <c r="IW812" s="2672" t="str">
        <f t="shared" si="235"/>
        <v/>
      </c>
      <c r="IX812" s="2672" t="str">
        <f t="shared" si="236"/>
        <v/>
      </c>
      <c r="IY812" s="2672" t="str">
        <f t="shared" si="237"/>
        <v/>
      </c>
      <c r="IZ812" s="2672" t="str">
        <f t="shared" si="238"/>
        <v/>
      </c>
      <c r="JA812" s="2672" t="str">
        <f t="shared" si="239"/>
        <v/>
      </c>
      <c r="JB812" s="2672" t="str">
        <f t="shared" si="240"/>
        <v/>
      </c>
      <c r="JC812" s="2672" t="str">
        <f t="shared" si="241"/>
        <v/>
      </c>
      <c r="JD812" s="2672" t="str">
        <f t="shared" si="242"/>
        <v/>
      </c>
      <c r="JE812" s="2672" t="str">
        <f t="shared" si="243"/>
        <v/>
      </c>
      <c r="JF812" s="2672" t="str">
        <f t="shared" si="244"/>
        <v/>
      </c>
      <c r="JG812" s="2672" t="str">
        <f t="shared" si="245"/>
        <v/>
      </c>
      <c r="JH812" s="2672" t="str">
        <f t="shared" si="246"/>
        <v/>
      </c>
      <c r="JI812" s="2672" t="str">
        <f t="shared" si="247"/>
        <v/>
      </c>
      <c r="JJ812" s="2672" t="str">
        <f t="shared" si="248"/>
        <v/>
      </c>
      <c r="JK812" s="2672" t="str">
        <f t="shared" si="249"/>
        <v/>
      </c>
      <c r="JL812" s="2672" t="str">
        <f t="shared" si="250"/>
        <v/>
      </c>
      <c r="JM812" s="2672" t="str">
        <f t="shared" si="251"/>
        <v/>
      </c>
      <c r="JN812" s="2672" t="str">
        <f t="shared" si="252"/>
        <v/>
      </c>
      <c r="JO812" s="2672" t="str">
        <f t="shared" si="253"/>
        <v/>
      </c>
      <c r="JP812" s="2672" t="str">
        <f t="shared" si="254"/>
        <v/>
      </c>
      <c r="JQ812" s="2672" t="str">
        <f t="shared" si="255"/>
        <v/>
      </c>
      <c r="JR812" s="2672" t="str">
        <f t="shared" si="256"/>
        <v/>
      </c>
      <c r="JS812" s="2672" t="str">
        <f t="shared" si="257"/>
        <v/>
      </c>
      <c r="JT812" s="2672" t="str">
        <f t="shared" si="258"/>
        <v/>
      </c>
      <c r="JU812" s="2672" t="str">
        <f t="shared" si="259"/>
        <v/>
      </c>
      <c r="JV812" s="2672" t="str">
        <f t="shared" si="260"/>
        <v/>
      </c>
      <c r="JW812" s="2672" t="str">
        <f t="shared" si="261"/>
        <v/>
      </c>
      <c r="JX812" s="2672" t="str">
        <f t="shared" si="262"/>
        <v/>
      </c>
      <c r="JY812" s="2672" t="str">
        <f t="shared" si="263"/>
        <v/>
      </c>
      <c r="JZ812" s="2672" t="str">
        <f t="shared" si="264"/>
        <v/>
      </c>
      <c r="KA812" s="2672" t="str">
        <f t="shared" si="265"/>
        <v/>
      </c>
      <c r="KB812" s="2672" t="str">
        <f t="shared" si="266"/>
        <v/>
      </c>
      <c r="KC812" s="2672" t="str">
        <f t="shared" si="267"/>
        <v/>
      </c>
      <c r="KD812" s="2672" t="str">
        <f t="shared" si="268"/>
        <v/>
      </c>
      <c r="KE812" s="2672" t="str">
        <f t="shared" si="269"/>
        <v/>
      </c>
      <c r="KF812" s="2672" t="str">
        <f t="shared" si="270"/>
        <v/>
      </c>
      <c r="KG812" s="2672" t="str">
        <f t="shared" si="271"/>
        <v/>
      </c>
      <c r="KH812" s="2672" t="str">
        <f t="shared" si="272"/>
        <v/>
      </c>
      <c r="KI812" s="2672" t="str">
        <f t="shared" si="273"/>
        <v/>
      </c>
      <c r="KJ812" s="2672" t="str">
        <f t="shared" si="274"/>
        <v/>
      </c>
      <c r="KK812" s="2672" t="str">
        <f t="shared" si="275"/>
        <v/>
      </c>
      <c r="KL812" s="2672" t="str">
        <f t="shared" si="276"/>
        <v/>
      </c>
      <c r="KM812" s="2672" t="str">
        <f t="shared" si="277"/>
        <v/>
      </c>
      <c r="KN812" s="2672" t="str">
        <f t="shared" si="278"/>
        <v/>
      </c>
      <c r="KO812" s="2672" t="str">
        <f t="shared" si="279"/>
        <v/>
      </c>
      <c r="KP812" s="2672" t="str">
        <f t="shared" si="280"/>
        <v/>
      </c>
      <c r="KQ812" s="2672" t="str">
        <f t="shared" si="281"/>
        <v/>
      </c>
      <c r="KR812" s="2672" t="str">
        <f t="shared" si="282"/>
        <v/>
      </c>
      <c r="KS812" s="2672" t="str">
        <f t="shared" si="283"/>
        <v/>
      </c>
      <c r="KT812" s="2672" t="str">
        <f t="shared" si="284"/>
        <v/>
      </c>
      <c r="KU812" s="2672" t="str">
        <f t="shared" si="285"/>
        <v/>
      </c>
      <c r="KV812" s="2672" t="str">
        <f t="shared" si="286"/>
        <v/>
      </c>
      <c r="KW812" s="2672" t="str">
        <f t="shared" si="287"/>
        <v/>
      </c>
      <c r="KX812" s="2672" t="str">
        <f t="shared" si="288"/>
        <v/>
      </c>
      <c r="KY812" s="2672" t="str">
        <f t="shared" si="289"/>
        <v/>
      </c>
      <c r="KZ812" s="2672" t="str">
        <f t="shared" si="290"/>
        <v/>
      </c>
      <c r="LA812" s="2672" t="str">
        <f t="shared" si="291"/>
        <v/>
      </c>
      <c r="LB812" s="2672" t="str">
        <f t="shared" si="292"/>
        <v/>
      </c>
      <c r="LC812" s="2672" t="str">
        <f t="shared" si="293"/>
        <v/>
      </c>
      <c r="LD812" s="2672" t="str">
        <f t="shared" si="294"/>
        <v/>
      </c>
      <c r="LE812" s="2672" t="str">
        <f t="shared" si="295"/>
        <v/>
      </c>
      <c r="LF812" s="2672" t="str">
        <f t="shared" si="296"/>
        <v/>
      </c>
      <c r="LG812" s="2672" t="str">
        <f t="shared" si="297"/>
        <v/>
      </c>
      <c r="LH812" s="2672" t="str">
        <f t="shared" si="298"/>
        <v/>
      </c>
      <c r="LI812" s="2672" t="str">
        <f t="shared" si="299"/>
        <v/>
      </c>
      <c r="LJ812" s="2672" t="str">
        <f t="shared" si="300"/>
        <v/>
      </c>
      <c r="LK812" s="2672" t="str">
        <f t="shared" si="301"/>
        <v/>
      </c>
      <c r="LL812" s="2672" t="str">
        <f t="shared" si="302"/>
        <v/>
      </c>
      <c r="LM812" s="2672" t="str">
        <f t="shared" si="303"/>
        <v/>
      </c>
      <c r="LN812" s="2672" t="str">
        <f t="shared" si="304"/>
        <v/>
      </c>
      <c r="LO812" s="2672" t="str">
        <f t="shared" si="305"/>
        <v/>
      </c>
      <c r="LP812" s="2672" t="str">
        <f t="shared" si="306"/>
        <v/>
      </c>
      <c r="LQ812" s="2613" t="str">
        <f t="shared" si="307"/>
        <v/>
      </c>
      <c r="LR812" s="2613" t="str">
        <f t="shared" si="308"/>
        <v/>
      </c>
      <c r="LS812" s="2613" t="str">
        <f t="shared" si="309"/>
        <v/>
      </c>
      <c r="LT812" s="2613" t="str">
        <f t="shared" si="310"/>
        <v/>
      </c>
      <c r="LU812" s="2613" t="str">
        <f t="shared" si="311"/>
        <v/>
      </c>
      <c r="LV812" s="2494" t="str">
        <f t="shared" si="312"/>
        <v/>
      </c>
      <c r="LW812" s="2494" t="str">
        <f t="shared" si="313"/>
        <v/>
      </c>
      <c r="LX812" s="2494" t="str">
        <f t="shared" si="314"/>
        <v/>
      </c>
      <c r="LY812" s="2494" t="str">
        <f t="shared" si="315"/>
        <v/>
      </c>
      <c r="LZ812" s="2494" t="str">
        <f t="shared" si="316"/>
        <v/>
      </c>
      <c r="MA812" s="2494" t="str">
        <f t="shared" si="317"/>
        <v/>
      </c>
      <c r="MB812" s="2494" t="str">
        <f t="shared" si="318"/>
        <v/>
      </c>
      <c r="MC812" s="2494" t="str">
        <f t="shared" si="319"/>
        <v/>
      </c>
      <c r="MD812" s="2494" t="str">
        <f t="shared" si="320"/>
        <v/>
      </c>
      <c r="ME812" s="2494" t="str">
        <f t="shared" si="321"/>
        <v/>
      </c>
      <c r="MF812" s="2494" t="str">
        <f t="shared" si="322"/>
        <v/>
      </c>
      <c r="MG812" s="2494" t="str">
        <f t="shared" si="323"/>
        <v/>
      </c>
      <c r="MH812" s="2494" t="str">
        <f t="shared" si="324"/>
        <v/>
      </c>
      <c r="MI812" s="2494" t="str">
        <f t="shared" si="325"/>
        <v/>
      </c>
      <c r="MJ812" s="2494" t="str">
        <f t="shared" si="326"/>
        <v/>
      </c>
      <c r="MK812" s="2494" t="str">
        <f t="shared" si="327"/>
        <v/>
      </c>
      <c r="ML812" s="2494" t="str">
        <f t="shared" si="328"/>
        <v/>
      </c>
      <c r="MM812" s="2494" t="str">
        <f t="shared" si="329"/>
        <v/>
      </c>
      <c r="MN812" s="2494" t="str">
        <f t="shared" si="330"/>
        <v/>
      </c>
      <c r="MO812" s="2494" t="str">
        <f t="shared" si="331"/>
        <v/>
      </c>
      <c r="MP812" s="2613">
        <f t="shared" si="338"/>
        <v>0</v>
      </c>
      <c r="MQ812" s="2613">
        <f t="shared" si="339"/>
        <v>0</v>
      </c>
      <c r="MR812" s="2613">
        <f t="shared" si="340"/>
        <v>0</v>
      </c>
      <c r="MS812" s="2613">
        <f t="shared" si="341"/>
        <v>0</v>
      </c>
      <c r="MT812" s="2613">
        <f t="shared" si="342"/>
        <v>0</v>
      </c>
      <c r="MU812" s="2613">
        <f t="shared" si="343"/>
        <v>0</v>
      </c>
      <c r="MV812" s="2613">
        <f t="shared" si="344"/>
        <v>0</v>
      </c>
      <c r="MW812" s="2613">
        <f t="shared" si="345"/>
        <v>0</v>
      </c>
      <c r="MX812" s="2613">
        <f t="shared" si="346"/>
        <v>0</v>
      </c>
      <c r="MY812" s="2613">
        <f t="shared" si="347"/>
        <v>0</v>
      </c>
      <c r="MZ812" s="2613">
        <f t="shared" si="332"/>
        <v>0</v>
      </c>
      <c r="NA812" s="2613">
        <f t="shared" si="333"/>
        <v>0</v>
      </c>
      <c r="NB812" s="2613">
        <f t="shared" si="334"/>
        <v>0</v>
      </c>
      <c r="NC812" s="2613">
        <f t="shared" si="335"/>
        <v>0</v>
      </c>
      <c r="ND812" s="2613">
        <f t="shared" si="336"/>
        <v>0</v>
      </c>
    </row>
    <row r="813" spans="1:368" ht="13.8" customHeight="1">
      <c r="A813" s="2652" t="str">
        <f t="shared" si="337"/>
        <v/>
      </c>
      <c r="B813" s="2664">
        <f>'Part VI-Revenues &amp; Expenses'!B44</f>
        <v>0</v>
      </c>
      <c r="C813" s="2665">
        <f>'Part VI-Revenues &amp; Expenses'!C44</f>
        <v>0</v>
      </c>
      <c r="D813" s="2666">
        <f>'Part VI-Revenues &amp; Expenses'!D44</f>
        <v>0</v>
      </c>
      <c r="E813" s="2667">
        <f>'Part VI-Revenues &amp; Expenses'!E44</f>
        <v>0</v>
      </c>
      <c r="F813" s="2667">
        <f>'Part VI-Revenues &amp; Expenses'!F44</f>
        <v>0</v>
      </c>
      <c r="G813" s="2667">
        <f>'Part VI-Revenues &amp; Expenses'!G44</f>
        <v>0</v>
      </c>
      <c r="H813" s="2667">
        <f>'Part VI-Revenues &amp; Expenses'!H44</f>
        <v>0</v>
      </c>
      <c r="I813" s="2667">
        <f>'Part VI-Revenues &amp; Expenses'!I44</f>
        <v>0</v>
      </c>
      <c r="J813" s="2667">
        <f>'Part VI-Revenues &amp; Expenses'!J44</f>
        <v>0</v>
      </c>
      <c r="K813" s="2668">
        <f>'Part VI-Revenues &amp; Expenses'!K44</f>
        <v>0</v>
      </c>
      <c r="L813" s="2669">
        <f t="shared" si="0"/>
        <v>0</v>
      </c>
      <c r="M813" s="2669">
        <f t="shared" si="1"/>
        <v>0</v>
      </c>
      <c r="N813" s="2545">
        <f>'Part VI-Revenues &amp; Expenses'!N44</f>
        <v>0</v>
      </c>
      <c r="O813" s="2545">
        <f>'Part VI-Revenues &amp; Expenses'!O44</f>
        <v>0</v>
      </c>
      <c r="P813" s="2545">
        <f>'Part VI-Revenues &amp; Expenses'!P44</f>
        <v>0</v>
      </c>
      <c r="Q813" s="2251">
        <f>'Part VI-Revenues &amp; Expenses'!Q44</f>
        <v>0</v>
      </c>
      <c r="R813" s="2670"/>
      <c r="S813" s="2671"/>
      <c r="T813" s="2607"/>
      <c r="U813" s="2607"/>
      <c r="V813" s="2607"/>
      <c r="W813" s="2607"/>
      <c r="X813" s="2494" t="str">
        <f t="shared" si="2"/>
        <v/>
      </c>
      <c r="Y813" s="2494" t="str">
        <f t="shared" si="3"/>
        <v/>
      </c>
      <c r="Z813" s="2494" t="str">
        <f t="shared" si="4"/>
        <v/>
      </c>
      <c r="AA813" s="2494" t="str">
        <f t="shared" si="5"/>
        <v/>
      </c>
      <c r="AB813" s="2494" t="str">
        <f t="shared" si="6"/>
        <v/>
      </c>
      <c r="AC813" s="2494" t="str">
        <f t="shared" si="7"/>
        <v/>
      </c>
      <c r="AD813" s="2494" t="str">
        <f t="shared" si="8"/>
        <v/>
      </c>
      <c r="AE813" s="2494" t="str">
        <f t="shared" si="9"/>
        <v/>
      </c>
      <c r="AF813" s="2494" t="str">
        <f t="shared" si="10"/>
        <v/>
      </c>
      <c r="AG813" s="2494" t="str">
        <f t="shared" si="11"/>
        <v/>
      </c>
      <c r="AH813" s="2494" t="str">
        <f t="shared" si="12"/>
        <v/>
      </c>
      <c r="AI813" s="2494" t="str">
        <f t="shared" si="13"/>
        <v/>
      </c>
      <c r="AJ813" s="2494" t="str">
        <f t="shared" si="14"/>
        <v/>
      </c>
      <c r="AK813" s="2494" t="str">
        <f t="shared" si="15"/>
        <v/>
      </c>
      <c r="AL813" s="2494" t="str">
        <f t="shared" si="16"/>
        <v/>
      </c>
      <c r="AM813" s="2494" t="str">
        <f t="shared" si="17"/>
        <v/>
      </c>
      <c r="AN813" s="2494" t="str">
        <f t="shared" si="18"/>
        <v/>
      </c>
      <c r="AO813" s="2494" t="str">
        <f t="shared" si="19"/>
        <v/>
      </c>
      <c r="AP813" s="2494" t="str">
        <f t="shared" si="20"/>
        <v/>
      </c>
      <c r="AQ813" s="2494" t="str">
        <f t="shared" si="21"/>
        <v/>
      </c>
      <c r="AR813" s="2494" t="str">
        <f t="shared" si="22"/>
        <v/>
      </c>
      <c r="AS813" s="2494" t="str">
        <f t="shared" si="23"/>
        <v/>
      </c>
      <c r="AT813" s="2494" t="str">
        <f t="shared" si="24"/>
        <v/>
      </c>
      <c r="AU813" s="2494" t="str">
        <f t="shared" si="25"/>
        <v/>
      </c>
      <c r="AV813" s="2494" t="str">
        <f t="shared" si="26"/>
        <v/>
      </c>
      <c r="AW813" s="2494" t="str">
        <f t="shared" si="27"/>
        <v/>
      </c>
      <c r="AX813" s="2494" t="str">
        <f t="shared" si="28"/>
        <v/>
      </c>
      <c r="AY813" s="2494" t="str">
        <f t="shared" si="29"/>
        <v/>
      </c>
      <c r="AZ813" s="2494" t="str">
        <f t="shared" si="30"/>
        <v/>
      </c>
      <c r="BA813" s="2494" t="str">
        <f t="shared" si="31"/>
        <v/>
      </c>
      <c r="BB813" s="2494" t="str">
        <f t="shared" si="32"/>
        <v/>
      </c>
      <c r="BC813" s="2494" t="str">
        <f t="shared" si="33"/>
        <v/>
      </c>
      <c r="BD813" s="2494" t="str">
        <f t="shared" si="34"/>
        <v/>
      </c>
      <c r="BE813" s="2494" t="str">
        <f t="shared" si="35"/>
        <v/>
      </c>
      <c r="BF813" s="2494" t="str">
        <f t="shared" si="36"/>
        <v/>
      </c>
      <c r="BG813" s="2494" t="str">
        <f t="shared" si="37"/>
        <v/>
      </c>
      <c r="BH813" s="2494" t="str">
        <f t="shared" si="38"/>
        <v/>
      </c>
      <c r="BI813" s="2494" t="str">
        <f t="shared" si="39"/>
        <v/>
      </c>
      <c r="BJ813" s="2494" t="str">
        <f t="shared" si="40"/>
        <v/>
      </c>
      <c r="BK813" s="2494" t="str">
        <f t="shared" si="41"/>
        <v/>
      </c>
      <c r="BL813" s="2494" t="str">
        <f t="shared" si="42"/>
        <v/>
      </c>
      <c r="BM813" s="2494" t="str">
        <f t="shared" si="43"/>
        <v/>
      </c>
      <c r="BN813" s="2494" t="str">
        <f t="shared" si="44"/>
        <v/>
      </c>
      <c r="BO813" s="2494" t="str">
        <f t="shared" si="45"/>
        <v/>
      </c>
      <c r="BP813" s="2494" t="str">
        <f t="shared" si="46"/>
        <v/>
      </c>
      <c r="BQ813" s="2494" t="str">
        <f t="shared" si="47"/>
        <v/>
      </c>
      <c r="BR813" s="2494" t="str">
        <f t="shared" si="48"/>
        <v/>
      </c>
      <c r="BS813" s="2494" t="str">
        <f t="shared" si="49"/>
        <v/>
      </c>
      <c r="BT813" s="2494" t="str">
        <f t="shared" si="50"/>
        <v/>
      </c>
      <c r="BU813" s="2494" t="str">
        <f t="shared" si="51"/>
        <v/>
      </c>
      <c r="BV813" s="2494" t="str">
        <f t="shared" si="52"/>
        <v/>
      </c>
      <c r="BW813" s="2494" t="str">
        <f t="shared" si="53"/>
        <v/>
      </c>
      <c r="BX813" s="2494" t="str">
        <f t="shared" si="54"/>
        <v/>
      </c>
      <c r="BY813" s="2494" t="str">
        <f t="shared" si="55"/>
        <v/>
      </c>
      <c r="BZ813" s="2494" t="str">
        <f t="shared" si="56"/>
        <v/>
      </c>
      <c r="CA813" s="2494" t="str">
        <f t="shared" si="57"/>
        <v/>
      </c>
      <c r="CB813" s="2494" t="str">
        <f t="shared" si="58"/>
        <v/>
      </c>
      <c r="CC813" s="2494" t="str">
        <f t="shared" si="59"/>
        <v/>
      </c>
      <c r="CD813" s="2494" t="str">
        <f t="shared" si="60"/>
        <v/>
      </c>
      <c r="CE813" s="2494" t="str">
        <f t="shared" si="61"/>
        <v/>
      </c>
      <c r="CF813" s="2494" t="str">
        <f t="shared" si="62"/>
        <v/>
      </c>
      <c r="CG813" s="2494" t="str">
        <f t="shared" si="63"/>
        <v/>
      </c>
      <c r="CH813" s="2494" t="str">
        <f t="shared" si="64"/>
        <v/>
      </c>
      <c r="CI813" s="2494" t="str">
        <f t="shared" si="65"/>
        <v/>
      </c>
      <c r="CJ813" s="2494" t="str">
        <f t="shared" si="66"/>
        <v/>
      </c>
      <c r="CK813" s="2494" t="str">
        <f t="shared" si="67"/>
        <v/>
      </c>
      <c r="CL813" s="2494" t="str">
        <f t="shared" si="68"/>
        <v/>
      </c>
      <c r="CM813" s="2494" t="str">
        <f t="shared" si="69"/>
        <v/>
      </c>
      <c r="CN813" s="2494" t="str">
        <f t="shared" si="70"/>
        <v/>
      </c>
      <c r="CO813" s="2494" t="str">
        <f t="shared" si="71"/>
        <v/>
      </c>
      <c r="CP813" s="2494" t="str">
        <f t="shared" si="72"/>
        <v/>
      </c>
      <c r="CQ813" s="2494" t="str">
        <f t="shared" si="73"/>
        <v/>
      </c>
      <c r="CR813" s="2494" t="str">
        <f t="shared" si="74"/>
        <v/>
      </c>
      <c r="CS813" s="2494" t="str">
        <f t="shared" si="75"/>
        <v/>
      </c>
      <c r="CT813" s="2494" t="str">
        <f t="shared" si="76"/>
        <v/>
      </c>
      <c r="CU813" s="2494" t="str">
        <f t="shared" si="77"/>
        <v/>
      </c>
      <c r="CV813" s="2494" t="str">
        <f t="shared" si="78"/>
        <v/>
      </c>
      <c r="CW813" s="2494" t="str">
        <f t="shared" si="79"/>
        <v/>
      </c>
      <c r="CX813" s="2494" t="str">
        <f t="shared" si="80"/>
        <v/>
      </c>
      <c r="CY813" s="2494" t="str">
        <f t="shared" si="81"/>
        <v/>
      </c>
      <c r="CZ813" s="2494" t="str">
        <f t="shared" si="82"/>
        <v/>
      </c>
      <c r="DA813" s="2494" t="str">
        <f t="shared" si="83"/>
        <v/>
      </c>
      <c r="DB813" s="2494" t="str">
        <f t="shared" si="84"/>
        <v/>
      </c>
      <c r="DC813" s="2494" t="str">
        <f t="shared" si="85"/>
        <v/>
      </c>
      <c r="DD813" s="2494" t="str">
        <f t="shared" si="86"/>
        <v/>
      </c>
      <c r="DE813" s="2494" t="str">
        <f t="shared" si="87"/>
        <v/>
      </c>
      <c r="DF813" s="2494" t="str">
        <f t="shared" si="88"/>
        <v/>
      </c>
      <c r="DG813" s="2494" t="str">
        <f t="shared" si="89"/>
        <v/>
      </c>
      <c r="DH813" s="2494" t="str">
        <f t="shared" si="90"/>
        <v/>
      </c>
      <c r="DI813" s="2494" t="str">
        <f t="shared" si="91"/>
        <v/>
      </c>
      <c r="DJ813" s="2494" t="str">
        <f t="shared" si="92"/>
        <v/>
      </c>
      <c r="DK813" s="2494" t="str">
        <f t="shared" si="93"/>
        <v/>
      </c>
      <c r="DL813" s="2494" t="str">
        <f t="shared" si="94"/>
        <v/>
      </c>
      <c r="DM813" s="2494" t="str">
        <f t="shared" si="95"/>
        <v/>
      </c>
      <c r="DN813" s="2494" t="str">
        <f t="shared" si="96"/>
        <v/>
      </c>
      <c r="DO813" s="2494" t="str">
        <f t="shared" si="97"/>
        <v/>
      </c>
      <c r="DP813" s="2494" t="str">
        <f t="shared" si="98"/>
        <v/>
      </c>
      <c r="DQ813" s="2494" t="str">
        <f t="shared" si="99"/>
        <v/>
      </c>
      <c r="DR813" s="2494" t="str">
        <f t="shared" si="100"/>
        <v/>
      </c>
      <c r="DS813" s="2494" t="str">
        <f t="shared" si="101"/>
        <v/>
      </c>
      <c r="DT813" s="2494" t="str">
        <f t="shared" si="102"/>
        <v/>
      </c>
      <c r="DU813" s="2494" t="str">
        <f t="shared" si="103"/>
        <v/>
      </c>
      <c r="DV813" s="2494" t="str">
        <f t="shared" si="104"/>
        <v/>
      </c>
      <c r="DW813" s="2494" t="str">
        <f t="shared" si="105"/>
        <v/>
      </c>
      <c r="DX813" s="2494" t="str">
        <f t="shared" si="106"/>
        <v/>
      </c>
      <c r="DY813" s="2494" t="str">
        <f t="shared" si="107"/>
        <v/>
      </c>
      <c r="DZ813" s="2494" t="str">
        <f t="shared" si="108"/>
        <v/>
      </c>
      <c r="EA813" s="2494" t="str">
        <f t="shared" si="109"/>
        <v/>
      </c>
      <c r="EB813" s="2494" t="str">
        <f t="shared" si="110"/>
        <v/>
      </c>
      <c r="EC813" s="2494" t="str">
        <f t="shared" si="111"/>
        <v/>
      </c>
      <c r="ED813" s="2494" t="str">
        <f t="shared" si="112"/>
        <v/>
      </c>
      <c r="EE813" s="2494" t="str">
        <f t="shared" si="113"/>
        <v/>
      </c>
      <c r="EF813" s="2494" t="str">
        <f t="shared" si="114"/>
        <v/>
      </c>
      <c r="EG813" s="2494" t="str">
        <f t="shared" si="115"/>
        <v/>
      </c>
      <c r="EH813" s="2494" t="str">
        <f t="shared" si="116"/>
        <v/>
      </c>
      <c r="EI813" s="2494" t="str">
        <f t="shared" si="117"/>
        <v/>
      </c>
      <c r="EJ813" s="2494" t="str">
        <f t="shared" si="118"/>
        <v/>
      </c>
      <c r="EK813" s="2494" t="str">
        <f t="shared" si="119"/>
        <v/>
      </c>
      <c r="EL813" s="2494" t="str">
        <f t="shared" si="120"/>
        <v/>
      </c>
      <c r="EM813" s="2494" t="str">
        <f t="shared" si="121"/>
        <v/>
      </c>
      <c r="EN813" s="2494" t="str">
        <f t="shared" si="122"/>
        <v/>
      </c>
      <c r="EO813" s="2494" t="str">
        <f t="shared" si="123"/>
        <v/>
      </c>
      <c r="EP813" s="2494" t="str">
        <f t="shared" si="124"/>
        <v/>
      </c>
      <c r="EQ813" s="2494" t="str">
        <f t="shared" si="125"/>
        <v/>
      </c>
      <c r="ER813" s="2494" t="str">
        <f t="shared" si="126"/>
        <v/>
      </c>
      <c r="ES813" s="2494" t="str">
        <f t="shared" si="127"/>
        <v/>
      </c>
      <c r="ET813" s="2494" t="str">
        <f t="shared" si="128"/>
        <v/>
      </c>
      <c r="EU813" s="2494" t="str">
        <f t="shared" si="129"/>
        <v/>
      </c>
      <c r="EV813" s="2494" t="str">
        <f t="shared" si="130"/>
        <v/>
      </c>
      <c r="EW813" s="2494" t="str">
        <f t="shared" si="131"/>
        <v/>
      </c>
      <c r="EX813" s="2494" t="str">
        <f t="shared" si="132"/>
        <v/>
      </c>
      <c r="EY813" s="2494" t="str">
        <f t="shared" si="133"/>
        <v/>
      </c>
      <c r="EZ813" s="2494" t="str">
        <f t="shared" si="134"/>
        <v/>
      </c>
      <c r="FA813" s="2494" t="str">
        <f t="shared" si="135"/>
        <v/>
      </c>
      <c r="FB813" s="2494" t="str">
        <f t="shared" si="136"/>
        <v/>
      </c>
      <c r="FC813" s="2494" t="str">
        <f t="shared" si="137"/>
        <v/>
      </c>
      <c r="FD813" s="2494" t="str">
        <f t="shared" si="138"/>
        <v/>
      </c>
      <c r="FE813" s="2494" t="str">
        <f t="shared" si="139"/>
        <v/>
      </c>
      <c r="FF813" s="2494" t="str">
        <f t="shared" si="140"/>
        <v/>
      </c>
      <c r="FG813" s="2494" t="str">
        <f t="shared" si="141"/>
        <v/>
      </c>
      <c r="FH813" s="2494" t="str">
        <f t="shared" si="142"/>
        <v/>
      </c>
      <c r="FI813" s="2494" t="str">
        <f t="shared" si="143"/>
        <v/>
      </c>
      <c r="FJ813" s="2494" t="str">
        <f t="shared" si="144"/>
        <v/>
      </c>
      <c r="FK813" s="2494" t="str">
        <f t="shared" si="145"/>
        <v/>
      </c>
      <c r="FL813" s="2494" t="str">
        <f t="shared" si="146"/>
        <v/>
      </c>
      <c r="FM813" s="2494" t="str">
        <f t="shared" si="147"/>
        <v/>
      </c>
      <c r="FN813" s="2494" t="str">
        <f t="shared" si="148"/>
        <v/>
      </c>
      <c r="FO813" s="2494" t="str">
        <f t="shared" si="149"/>
        <v/>
      </c>
      <c r="FP813" s="2494" t="str">
        <f t="shared" si="150"/>
        <v/>
      </c>
      <c r="FQ813" s="2494" t="str">
        <f t="shared" si="151"/>
        <v/>
      </c>
      <c r="FR813" s="2494" t="str">
        <f t="shared" si="152"/>
        <v/>
      </c>
      <c r="FS813" s="2494" t="str">
        <f t="shared" si="153"/>
        <v/>
      </c>
      <c r="FT813" s="2494" t="str">
        <f t="shared" si="154"/>
        <v/>
      </c>
      <c r="FU813" s="2494" t="str">
        <f t="shared" si="155"/>
        <v/>
      </c>
      <c r="FV813" s="2494" t="str">
        <f t="shared" si="156"/>
        <v/>
      </c>
      <c r="FW813" s="2494" t="str">
        <f t="shared" si="157"/>
        <v/>
      </c>
      <c r="FX813" s="2494" t="str">
        <f t="shared" si="158"/>
        <v/>
      </c>
      <c r="FY813" s="2494" t="str">
        <f t="shared" si="159"/>
        <v/>
      </c>
      <c r="FZ813" s="2494" t="str">
        <f t="shared" si="160"/>
        <v/>
      </c>
      <c r="GA813" s="2494" t="str">
        <f t="shared" si="161"/>
        <v/>
      </c>
      <c r="GB813" s="2494" t="str">
        <f t="shared" si="162"/>
        <v/>
      </c>
      <c r="GC813" s="2494" t="str">
        <f t="shared" si="163"/>
        <v/>
      </c>
      <c r="GD813" s="2494" t="str">
        <f t="shared" si="164"/>
        <v/>
      </c>
      <c r="GE813" s="2494" t="str">
        <f t="shared" si="165"/>
        <v/>
      </c>
      <c r="GF813" s="2494" t="str">
        <f t="shared" si="166"/>
        <v/>
      </c>
      <c r="GG813" s="2494" t="str">
        <f t="shared" si="167"/>
        <v/>
      </c>
      <c r="GH813" s="2494" t="str">
        <f t="shared" si="168"/>
        <v/>
      </c>
      <c r="GI813" s="2494" t="str">
        <f t="shared" si="169"/>
        <v/>
      </c>
      <c r="GJ813" s="2494" t="str">
        <f t="shared" si="170"/>
        <v/>
      </c>
      <c r="GK813" s="2494" t="str">
        <f t="shared" si="171"/>
        <v/>
      </c>
      <c r="GL813" s="2494" t="str">
        <f t="shared" si="172"/>
        <v/>
      </c>
      <c r="GM813" s="2494" t="str">
        <f t="shared" si="173"/>
        <v/>
      </c>
      <c r="GN813" s="2494" t="str">
        <f t="shared" si="174"/>
        <v/>
      </c>
      <c r="GO813" s="2494" t="str">
        <f t="shared" si="175"/>
        <v/>
      </c>
      <c r="GP813" s="2494" t="str">
        <f t="shared" si="176"/>
        <v/>
      </c>
      <c r="GQ813" s="2494" t="str">
        <f t="shared" si="177"/>
        <v/>
      </c>
      <c r="GR813" s="2494" t="str">
        <f t="shared" si="178"/>
        <v/>
      </c>
      <c r="GS813" s="2494" t="str">
        <f t="shared" si="179"/>
        <v/>
      </c>
      <c r="GT813" s="2494" t="str">
        <f t="shared" si="180"/>
        <v/>
      </c>
      <c r="GU813" s="2494" t="str">
        <f t="shared" si="181"/>
        <v/>
      </c>
      <c r="GV813" s="2494" t="str">
        <f t="shared" si="182"/>
        <v/>
      </c>
      <c r="GW813" s="2494" t="str">
        <f t="shared" si="183"/>
        <v/>
      </c>
      <c r="GX813" s="2494" t="str">
        <f t="shared" si="184"/>
        <v/>
      </c>
      <c r="GY813" s="2494" t="str">
        <f t="shared" si="185"/>
        <v/>
      </c>
      <c r="GZ813" s="2494" t="str">
        <f t="shared" si="186"/>
        <v/>
      </c>
      <c r="HA813" s="2494" t="str">
        <f t="shared" si="187"/>
        <v/>
      </c>
      <c r="HB813" s="2494" t="str">
        <f t="shared" si="188"/>
        <v/>
      </c>
      <c r="HC813" s="2494" t="str">
        <f t="shared" si="189"/>
        <v/>
      </c>
      <c r="HD813" s="2494" t="str">
        <f t="shared" si="190"/>
        <v/>
      </c>
      <c r="HE813" s="2494" t="str">
        <f t="shared" si="191"/>
        <v/>
      </c>
      <c r="HF813" s="2494" t="str">
        <f t="shared" si="192"/>
        <v/>
      </c>
      <c r="HG813" s="2494" t="str">
        <f t="shared" si="193"/>
        <v/>
      </c>
      <c r="HH813" s="2494" t="str">
        <f t="shared" si="194"/>
        <v/>
      </c>
      <c r="HI813" s="2494" t="str">
        <f t="shared" si="195"/>
        <v/>
      </c>
      <c r="HJ813" s="2494" t="str">
        <f t="shared" si="196"/>
        <v/>
      </c>
      <c r="HK813" s="2494" t="str">
        <f t="shared" si="197"/>
        <v/>
      </c>
      <c r="HL813" s="2494" t="str">
        <f t="shared" si="198"/>
        <v/>
      </c>
      <c r="HM813" s="2494" t="str">
        <f t="shared" si="199"/>
        <v/>
      </c>
      <c r="HN813" s="2494" t="str">
        <f t="shared" si="200"/>
        <v/>
      </c>
      <c r="HO813" s="2494" t="str">
        <f t="shared" si="201"/>
        <v/>
      </c>
      <c r="HP813" s="2494" t="str">
        <f t="shared" si="202"/>
        <v/>
      </c>
      <c r="HQ813" s="2494" t="str">
        <f t="shared" si="203"/>
        <v/>
      </c>
      <c r="HR813" s="2494" t="str">
        <f t="shared" si="204"/>
        <v/>
      </c>
      <c r="HS813" s="2494" t="str">
        <f t="shared" si="205"/>
        <v/>
      </c>
      <c r="HT813" s="2494" t="str">
        <f t="shared" si="206"/>
        <v/>
      </c>
      <c r="HU813" s="2494" t="str">
        <f t="shared" si="207"/>
        <v/>
      </c>
      <c r="HV813" s="2494" t="str">
        <f t="shared" si="208"/>
        <v/>
      </c>
      <c r="HW813" s="2494" t="str">
        <f t="shared" si="209"/>
        <v/>
      </c>
      <c r="HX813" s="2494" t="str">
        <f t="shared" si="210"/>
        <v/>
      </c>
      <c r="HY813" s="2494" t="str">
        <f t="shared" si="211"/>
        <v/>
      </c>
      <c r="HZ813" s="2672" t="str">
        <f t="shared" si="212"/>
        <v/>
      </c>
      <c r="IA813" s="2672" t="str">
        <f t="shared" si="213"/>
        <v/>
      </c>
      <c r="IB813" s="2672" t="str">
        <f t="shared" si="214"/>
        <v/>
      </c>
      <c r="IC813" s="2672" t="str">
        <f t="shared" si="215"/>
        <v/>
      </c>
      <c r="ID813" s="2672" t="str">
        <f t="shared" si="216"/>
        <v/>
      </c>
      <c r="IE813" s="2672" t="str">
        <f t="shared" si="217"/>
        <v/>
      </c>
      <c r="IF813" s="2672" t="str">
        <f t="shared" si="218"/>
        <v/>
      </c>
      <c r="IG813" s="2672" t="str">
        <f t="shared" si="219"/>
        <v/>
      </c>
      <c r="IH813" s="2672" t="str">
        <f t="shared" si="220"/>
        <v/>
      </c>
      <c r="II813" s="2672" t="str">
        <f t="shared" si="221"/>
        <v/>
      </c>
      <c r="IJ813" s="2672" t="str">
        <f t="shared" si="222"/>
        <v/>
      </c>
      <c r="IK813" s="2672" t="str">
        <f t="shared" si="223"/>
        <v/>
      </c>
      <c r="IL813" s="2672" t="str">
        <f t="shared" si="224"/>
        <v/>
      </c>
      <c r="IM813" s="2672" t="str">
        <f t="shared" si="225"/>
        <v/>
      </c>
      <c r="IN813" s="2672" t="str">
        <f t="shared" si="226"/>
        <v/>
      </c>
      <c r="IO813" s="2672" t="str">
        <f t="shared" si="227"/>
        <v/>
      </c>
      <c r="IP813" s="2672" t="str">
        <f t="shared" si="228"/>
        <v/>
      </c>
      <c r="IQ813" s="2672" t="str">
        <f t="shared" si="229"/>
        <v/>
      </c>
      <c r="IR813" s="2672" t="str">
        <f t="shared" si="230"/>
        <v/>
      </c>
      <c r="IS813" s="2672" t="str">
        <f t="shared" si="231"/>
        <v/>
      </c>
      <c r="IT813" s="2672" t="str">
        <f t="shared" si="232"/>
        <v/>
      </c>
      <c r="IU813" s="2672" t="str">
        <f t="shared" si="233"/>
        <v/>
      </c>
      <c r="IV813" s="2672" t="str">
        <f t="shared" si="234"/>
        <v/>
      </c>
      <c r="IW813" s="2672" t="str">
        <f t="shared" si="235"/>
        <v/>
      </c>
      <c r="IX813" s="2672" t="str">
        <f t="shared" si="236"/>
        <v/>
      </c>
      <c r="IY813" s="2672" t="str">
        <f t="shared" si="237"/>
        <v/>
      </c>
      <c r="IZ813" s="2672" t="str">
        <f t="shared" si="238"/>
        <v/>
      </c>
      <c r="JA813" s="2672" t="str">
        <f t="shared" si="239"/>
        <v/>
      </c>
      <c r="JB813" s="2672" t="str">
        <f t="shared" si="240"/>
        <v/>
      </c>
      <c r="JC813" s="2672" t="str">
        <f t="shared" si="241"/>
        <v/>
      </c>
      <c r="JD813" s="2672" t="str">
        <f t="shared" si="242"/>
        <v/>
      </c>
      <c r="JE813" s="2672" t="str">
        <f t="shared" si="243"/>
        <v/>
      </c>
      <c r="JF813" s="2672" t="str">
        <f t="shared" si="244"/>
        <v/>
      </c>
      <c r="JG813" s="2672" t="str">
        <f t="shared" si="245"/>
        <v/>
      </c>
      <c r="JH813" s="2672" t="str">
        <f t="shared" si="246"/>
        <v/>
      </c>
      <c r="JI813" s="2672" t="str">
        <f t="shared" si="247"/>
        <v/>
      </c>
      <c r="JJ813" s="2672" t="str">
        <f t="shared" si="248"/>
        <v/>
      </c>
      <c r="JK813" s="2672" t="str">
        <f t="shared" si="249"/>
        <v/>
      </c>
      <c r="JL813" s="2672" t="str">
        <f t="shared" si="250"/>
        <v/>
      </c>
      <c r="JM813" s="2672" t="str">
        <f t="shared" si="251"/>
        <v/>
      </c>
      <c r="JN813" s="2672" t="str">
        <f t="shared" si="252"/>
        <v/>
      </c>
      <c r="JO813" s="2672" t="str">
        <f t="shared" si="253"/>
        <v/>
      </c>
      <c r="JP813" s="2672" t="str">
        <f t="shared" si="254"/>
        <v/>
      </c>
      <c r="JQ813" s="2672" t="str">
        <f t="shared" si="255"/>
        <v/>
      </c>
      <c r="JR813" s="2672" t="str">
        <f t="shared" si="256"/>
        <v/>
      </c>
      <c r="JS813" s="2672" t="str">
        <f t="shared" si="257"/>
        <v/>
      </c>
      <c r="JT813" s="2672" t="str">
        <f t="shared" si="258"/>
        <v/>
      </c>
      <c r="JU813" s="2672" t="str">
        <f t="shared" si="259"/>
        <v/>
      </c>
      <c r="JV813" s="2672" t="str">
        <f t="shared" si="260"/>
        <v/>
      </c>
      <c r="JW813" s="2672" t="str">
        <f t="shared" si="261"/>
        <v/>
      </c>
      <c r="JX813" s="2672" t="str">
        <f t="shared" si="262"/>
        <v/>
      </c>
      <c r="JY813" s="2672" t="str">
        <f t="shared" si="263"/>
        <v/>
      </c>
      <c r="JZ813" s="2672" t="str">
        <f t="shared" si="264"/>
        <v/>
      </c>
      <c r="KA813" s="2672" t="str">
        <f t="shared" si="265"/>
        <v/>
      </c>
      <c r="KB813" s="2672" t="str">
        <f t="shared" si="266"/>
        <v/>
      </c>
      <c r="KC813" s="2672" t="str">
        <f t="shared" si="267"/>
        <v/>
      </c>
      <c r="KD813" s="2672" t="str">
        <f t="shared" si="268"/>
        <v/>
      </c>
      <c r="KE813" s="2672" t="str">
        <f t="shared" si="269"/>
        <v/>
      </c>
      <c r="KF813" s="2672" t="str">
        <f t="shared" si="270"/>
        <v/>
      </c>
      <c r="KG813" s="2672" t="str">
        <f t="shared" si="271"/>
        <v/>
      </c>
      <c r="KH813" s="2672" t="str">
        <f t="shared" si="272"/>
        <v/>
      </c>
      <c r="KI813" s="2672" t="str">
        <f t="shared" si="273"/>
        <v/>
      </c>
      <c r="KJ813" s="2672" t="str">
        <f t="shared" si="274"/>
        <v/>
      </c>
      <c r="KK813" s="2672" t="str">
        <f t="shared" si="275"/>
        <v/>
      </c>
      <c r="KL813" s="2672" t="str">
        <f t="shared" si="276"/>
        <v/>
      </c>
      <c r="KM813" s="2672" t="str">
        <f t="shared" si="277"/>
        <v/>
      </c>
      <c r="KN813" s="2672" t="str">
        <f t="shared" si="278"/>
        <v/>
      </c>
      <c r="KO813" s="2672" t="str">
        <f t="shared" si="279"/>
        <v/>
      </c>
      <c r="KP813" s="2672" t="str">
        <f t="shared" si="280"/>
        <v/>
      </c>
      <c r="KQ813" s="2672" t="str">
        <f t="shared" si="281"/>
        <v/>
      </c>
      <c r="KR813" s="2672" t="str">
        <f t="shared" si="282"/>
        <v/>
      </c>
      <c r="KS813" s="2672" t="str">
        <f t="shared" si="283"/>
        <v/>
      </c>
      <c r="KT813" s="2672" t="str">
        <f t="shared" si="284"/>
        <v/>
      </c>
      <c r="KU813" s="2672" t="str">
        <f t="shared" si="285"/>
        <v/>
      </c>
      <c r="KV813" s="2672" t="str">
        <f t="shared" si="286"/>
        <v/>
      </c>
      <c r="KW813" s="2672" t="str">
        <f t="shared" si="287"/>
        <v/>
      </c>
      <c r="KX813" s="2672" t="str">
        <f t="shared" si="288"/>
        <v/>
      </c>
      <c r="KY813" s="2672" t="str">
        <f t="shared" si="289"/>
        <v/>
      </c>
      <c r="KZ813" s="2672" t="str">
        <f t="shared" si="290"/>
        <v/>
      </c>
      <c r="LA813" s="2672" t="str">
        <f t="shared" si="291"/>
        <v/>
      </c>
      <c r="LB813" s="2672" t="str">
        <f t="shared" si="292"/>
        <v/>
      </c>
      <c r="LC813" s="2672" t="str">
        <f t="shared" si="293"/>
        <v/>
      </c>
      <c r="LD813" s="2672" t="str">
        <f t="shared" si="294"/>
        <v/>
      </c>
      <c r="LE813" s="2672" t="str">
        <f t="shared" si="295"/>
        <v/>
      </c>
      <c r="LF813" s="2672" t="str">
        <f t="shared" si="296"/>
        <v/>
      </c>
      <c r="LG813" s="2672" t="str">
        <f t="shared" si="297"/>
        <v/>
      </c>
      <c r="LH813" s="2672" t="str">
        <f t="shared" si="298"/>
        <v/>
      </c>
      <c r="LI813" s="2672" t="str">
        <f t="shared" si="299"/>
        <v/>
      </c>
      <c r="LJ813" s="2672" t="str">
        <f t="shared" si="300"/>
        <v/>
      </c>
      <c r="LK813" s="2672" t="str">
        <f t="shared" si="301"/>
        <v/>
      </c>
      <c r="LL813" s="2672" t="str">
        <f t="shared" si="302"/>
        <v/>
      </c>
      <c r="LM813" s="2672" t="str">
        <f t="shared" si="303"/>
        <v/>
      </c>
      <c r="LN813" s="2672" t="str">
        <f t="shared" si="304"/>
        <v/>
      </c>
      <c r="LO813" s="2672" t="str">
        <f t="shared" si="305"/>
        <v/>
      </c>
      <c r="LP813" s="2672" t="str">
        <f t="shared" si="306"/>
        <v/>
      </c>
      <c r="LQ813" s="2613" t="str">
        <f t="shared" si="307"/>
        <v/>
      </c>
      <c r="LR813" s="2613" t="str">
        <f t="shared" si="308"/>
        <v/>
      </c>
      <c r="LS813" s="2613" t="str">
        <f t="shared" si="309"/>
        <v/>
      </c>
      <c r="LT813" s="2613" t="str">
        <f t="shared" si="310"/>
        <v/>
      </c>
      <c r="LU813" s="2613" t="str">
        <f t="shared" si="311"/>
        <v/>
      </c>
      <c r="LV813" s="2494" t="str">
        <f t="shared" si="312"/>
        <v/>
      </c>
      <c r="LW813" s="2494" t="str">
        <f t="shared" si="313"/>
        <v/>
      </c>
      <c r="LX813" s="2494" t="str">
        <f t="shared" si="314"/>
        <v/>
      </c>
      <c r="LY813" s="2494" t="str">
        <f t="shared" si="315"/>
        <v/>
      </c>
      <c r="LZ813" s="2494" t="str">
        <f t="shared" si="316"/>
        <v/>
      </c>
      <c r="MA813" s="2494" t="str">
        <f t="shared" si="317"/>
        <v/>
      </c>
      <c r="MB813" s="2494" t="str">
        <f t="shared" si="318"/>
        <v/>
      </c>
      <c r="MC813" s="2494" t="str">
        <f t="shared" si="319"/>
        <v/>
      </c>
      <c r="MD813" s="2494" t="str">
        <f t="shared" si="320"/>
        <v/>
      </c>
      <c r="ME813" s="2494" t="str">
        <f t="shared" si="321"/>
        <v/>
      </c>
      <c r="MF813" s="2494" t="str">
        <f t="shared" si="322"/>
        <v/>
      </c>
      <c r="MG813" s="2494" t="str">
        <f t="shared" si="323"/>
        <v/>
      </c>
      <c r="MH813" s="2494" t="str">
        <f t="shared" si="324"/>
        <v/>
      </c>
      <c r="MI813" s="2494" t="str">
        <f t="shared" si="325"/>
        <v/>
      </c>
      <c r="MJ813" s="2494" t="str">
        <f t="shared" si="326"/>
        <v/>
      </c>
      <c r="MK813" s="2494" t="str">
        <f t="shared" si="327"/>
        <v/>
      </c>
      <c r="ML813" s="2494" t="str">
        <f t="shared" si="328"/>
        <v/>
      </c>
      <c r="MM813" s="2494" t="str">
        <f t="shared" si="329"/>
        <v/>
      </c>
      <c r="MN813" s="2494" t="str">
        <f t="shared" si="330"/>
        <v/>
      </c>
      <c r="MO813" s="2494" t="str">
        <f t="shared" si="331"/>
        <v/>
      </c>
      <c r="MP813" s="2613">
        <f t="shared" si="338"/>
        <v>0</v>
      </c>
      <c r="MQ813" s="2613">
        <f t="shared" si="339"/>
        <v>0</v>
      </c>
      <c r="MR813" s="2613">
        <f t="shared" si="340"/>
        <v>0</v>
      </c>
      <c r="MS813" s="2613">
        <f t="shared" si="341"/>
        <v>0</v>
      </c>
      <c r="MT813" s="2613">
        <f t="shared" si="342"/>
        <v>0</v>
      </c>
      <c r="MU813" s="2613">
        <f t="shared" si="343"/>
        <v>0</v>
      </c>
      <c r="MV813" s="2613">
        <f t="shared" si="344"/>
        <v>0</v>
      </c>
      <c r="MW813" s="2613">
        <f t="shared" si="345"/>
        <v>0</v>
      </c>
      <c r="MX813" s="2613">
        <f t="shared" si="346"/>
        <v>0</v>
      </c>
      <c r="MY813" s="2613">
        <f t="shared" si="347"/>
        <v>0</v>
      </c>
      <c r="MZ813" s="2613">
        <f t="shared" si="332"/>
        <v>0</v>
      </c>
      <c r="NA813" s="2613">
        <f t="shared" si="333"/>
        <v>0</v>
      </c>
      <c r="NB813" s="2613">
        <f t="shared" si="334"/>
        <v>0</v>
      </c>
      <c r="NC813" s="2613">
        <f t="shared" si="335"/>
        <v>0</v>
      </c>
      <c r="ND813" s="2613">
        <f t="shared" si="336"/>
        <v>0</v>
      </c>
    </row>
    <row r="814" spans="1:368" ht="13.8" customHeight="1">
      <c r="A814" s="2652" t="str">
        <f t="shared" si="337"/>
        <v/>
      </c>
      <c r="B814" s="2664">
        <f>'Part VI-Revenues &amp; Expenses'!B45</f>
        <v>0</v>
      </c>
      <c r="C814" s="2665">
        <f>'Part VI-Revenues &amp; Expenses'!C45</f>
        <v>0</v>
      </c>
      <c r="D814" s="2666">
        <f>'Part VI-Revenues &amp; Expenses'!D45</f>
        <v>0</v>
      </c>
      <c r="E814" s="2667">
        <f>'Part VI-Revenues &amp; Expenses'!E45</f>
        <v>0</v>
      </c>
      <c r="F814" s="2667">
        <f>'Part VI-Revenues &amp; Expenses'!F45</f>
        <v>0</v>
      </c>
      <c r="G814" s="2667">
        <f>'Part VI-Revenues &amp; Expenses'!G45</f>
        <v>0</v>
      </c>
      <c r="H814" s="2667">
        <f>'Part VI-Revenues &amp; Expenses'!H45</f>
        <v>0</v>
      </c>
      <c r="I814" s="2667">
        <f>'Part VI-Revenues &amp; Expenses'!I45</f>
        <v>0</v>
      </c>
      <c r="J814" s="2667">
        <f>'Part VI-Revenues &amp; Expenses'!J45</f>
        <v>0</v>
      </c>
      <c r="K814" s="2668">
        <f>'Part VI-Revenues &amp; Expenses'!K45</f>
        <v>0</v>
      </c>
      <c r="L814" s="2669">
        <f t="shared" si="0"/>
        <v>0</v>
      </c>
      <c r="M814" s="2669">
        <f t="shared" si="1"/>
        <v>0</v>
      </c>
      <c r="N814" s="2545">
        <f>'Part VI-Revenues &amp; Expenses'!N45</f>
        <v>0</v>
      </c>
      <c r="O814" s="2545">
        <f>'Part VI-Revenues &amp; Expenses'!O45</f>
        <v>0</v>
      </c>
      <c r="P814" s="2545">
        <f>'Part VI-Revenues &amp; Expenses'!P45</f>
        <v>0</v>
      </c>
      <c r="Q814" s="2251">
        <f>'Part VI-Revenues &amp; Expenses'!Q45</f>
        <v>0</v>
      </c>
      <c r="R814" s="2670"/>
      <c r="S814" s="2671"/>
      <c r="T814" s="2607"/>
      <c r="U814" s="2607"/>
      <c r="V814" s="2607"/>
      <c r="W814" s="2607"/>
      <c r="X814" s="2494" t="str">
        <f t="shared" si="2"/>
        <v/>
      </c>
      <c r="Y814" s="2494" t="str">
        <f t="shared" si="3"/>
        <v/>
      </c>
      <c r="Z814" s="2494" t="str">
        <f t="shared" si="4"/>
        <v/>
      </c>
      <c r="AA814" s="2494" t="str">
        <f t="shared" si="5"/>
        <v/>
      </c>
      <c r="AB814" s="2494" t="str">
        <f t="shared" si="6"/>
        <v/>
      </c>
      <c r="AC814" s="2494" t="str">
        <f t="shared" si="7"/>
        <v/>
      </c>
      <c r="AD814" s="2494" t="str">
        <f t="shared" si="8"/>
        <v/>
      </c>
      <c r="AE814" s="2494" t="str">
        <f t="shared" si="9"/>
        <v/>
      </c>
      <c r="AF814" s="2494" t="str">
        <f t="shared" si="10"/>
        <v/>
      </c>
      <c r="AG814" s="2494" t="str">
        <f t="shared" si="11"/>
        <v/>
      </c>
      <c r="AH814" s="2494" t="str">
        <f t="shared" si="12"/>
        <v/>
      </c>
      <c r="AI814" s="2494" t="str">
        <f t="shared" si="13"/>
        <v/>
      </c>
      <c r="AJ814" s="2494" t="str">
        <f t="shared" si="14"/>
        <v/>
      </c>
      <c r="AK814" s="2494" t="str">
        <f t="shared" si="15"/>
        <v/>
      </c>
      <c r="AL814" s="2494" t="str">
        <f t="shared" si="16"/>
        <v/>
      </c>
      <c r="AM814" s="2494" t="str">
        <f t="shared" si="17"/>
        <v/>
      </c>
      <c r="AN814" s="2494" t="str">
        <f t="shared" si="18"/>
        <v/>
      </c>
      <c r="AO814" s="2494" t="str">
        <f t="shared" si="19"/>
        <v/>
      </c>
      <c r="AP814" s="2494" t="str">
        <f t="shared" si="20"/>
        <v/>
      </c>
      <c r="AQ814" s="2494" t="str">
        <f t="shared" si="21"/>
        <v/>
      </c>
      <c r="AR814" s="2494" t="str">
        <f t="shared" si="22"/>
        <v/>
      </c>
      <c r="AS814" s="2494" t="str">
        <f t="shared" si="23"/>
        <v/>
      </c>
      <c r="AT814" s="2494" t="str">
        <f t="shared" si="24"/>
        <v/>
      </c>
      <c r="AU814" s="2494" t="str">
        <f t="shared" si="25"/>
        <v/>
      </c>
      <c r="AV814" s="2494" t="str">
        <f t="shared" si="26"/>
        <v/>
      </c>
      <c r="AW814" s="2494" t="str">
        <f t="shared" si="27"/>
        <v/>
      </c>
      <c r="AX814" s="2494" t="str">
        <f t="shared" si="28"/>
        <v/>
      </c>
      <c r="AY814" s="2494" t="str">
        <f t="shared" si="29"/>
        <v/>
      </c>
      <c r="AZ814" s="2494" t="str">
        <f t="shared" si="30"/>
        <v/>
      </c>
      <c r="BA814" s="2494" t="str">
        <f t="shared" si="31"/>
        <v/>
      </c>
      <c r="BB814" s="2494" t="str">
        <f t="shared" si="32"/>
        <v/>
      </c>
      <c r="BC814" s="2494" t="str">
        <f t="shared" si="33"/>
        <v/>
      </c>
      <c r="BD814" s="2494" t="str">
        <f t="shared" si="34"/>
        <v/>
      </c>
      <c r="BE814" s="2494" t="str">
        <f t="shared" si="35"/>
        <v/>
      </c>
      <c r="BF814" s="2494" t="str">
        <f t="shared" si="36"/>
        <v/>
      </c>
      <c r="BG814" s="2494" t="str">
        <f t="shared" si="37"/>
        <v/>
      </c>
      <c r="BH814" s="2494" t="str">
        <f t="shared" si="38"/>
        <v/>
      </c>
      <c r="BI814" s="2494" t="str">
        <f t="shared" si="39"/>
        <v/>
      </c>
      <c r="BJ814" s="2494" t="str">
        <f t="shared" si="40"/>
        <v/>
      </c>
      <c r="BK814" s="2494" t="str">
        <f t="shared" si="41"/>
        <v/>
      </c>
      <c r="BL814" s="2494" t="str">
        <f t="shared" si="42"/>
        <v/>
      </c>
      <c r="BM814" s="2494" t="str">
        <f t="shared" si="43"/>
        <v/>
      </c>
      <c r="BN814" s="2494" t="str">
        <f t="shared" si="44"/>
        <v/>
      </c>
      <c r="BO814" s="2494" t="str">
        <f t="shared" si="45"/>
        <v/>
      </c>
      <c r="BP814" s="2494" t="str">
        <f t="shared" si="46"/>
        <v/>
      </c>
      <c r="BQ814" s="2494" t="str">
        <f t="shared" si="47"/>
        <v/>
      </c>
      <c r="BR814" s="2494" t="str">
        <f t="shared" si="48"/>
        <v/>
      </c>
      <c r="BS814" s="2494" t="str">
        <f t="shared" si="49"/>
        <v/>
      </c>
      <c r="BT814" s="2494" t="str">
        <f t="shared" si="50"/>
        <v/>
      </c>
      <c r="BU814" s="2494" t="str">
        <f t="shared" si="51"/>
        <v/>
      </c>
      <c r="BV814" s="2494" t="str">
        <f t="shared" si="52"/>
        <v/>
      </c>
      <c r="BW814" s="2494" t="str">
        <f t="shared" si="53"/>
        <v/>
      </c>
      <c r="BX814" s="2494" t="str">
        <f t="shared" si="54"/>
        <v/>
      </c>
      <c r="BY814" s="2494" t="str">
        <f t="shared" si="55"/>
        <v/>
      </c>
      <c r="BZ814" s="2494" t="str">
        <f t="shared" si="56"/>
        <v/>
      </c>
      <c r="CA814" s="2494" t="str">
        <f t="shared" si="57"/>
        <v/>
      </c>
      <c r="CB814" s="2494" t="str">
        <f t="shared" si="58"/>
        <v/>
      </c>
      <c r="CC814" s="2494" t="str">
        <f t="shared" si="59"/>
        <v/>
      </c>
      <c r="CD814" s="2494" t="str">
        <f t="shared" si="60"/>
        <v/>
      </c>
      <c r="CE814" s="2494" t="str">
        <f t="shared" si="61"/>
        <v/>
      </c>
      <c r="CF814" s="2494" t="str">
        <f t="shared" si="62"/>
        <v/>
      </c>
      <c r="CG814" s="2494" t="str">
        <f t="shared" si="63"/>
        <v/>
      </c>
      <c r="CH814" s="2494" t="str">
        <f t="shared" si="64"/>
        <v/>
      </c>
      <c r="CI814" s="2494" t="str">
        <f t="shared" si="65"/>
        <v/>
      </c>
      <c r="CJ814" s="2494" t="str">
        <f t="shared" si="66"/>
        <v/>
      </c>
      <c r="CK814" s="2494" t="str">
        <f t="shared" si="67"/>
        <v/>
      </c>
      <c r="CL814" s="2494" t="str">
        <f t="shared" si="68"/>
        <v/>
      </c>
      <c r="CM814" s="2494" t="str">
        <f t="shared" si="69"/>
        <v/>
      </c>
      <c r="CN814" s="2494" t="str">
        <f t="shared" si="70"/>
        <v/>
      </c>
      <c r="CO814" s="2494" t="str">
        <f t="shared" si="71"/>
        <v/>
      </c>
      <c r="CP814" s="2494" t="str">
        <f t="shared" si="72"/>
        <v/>
      </c>
      <c r="CQ814" s="2494" t="str">
        <f t="shared" si="73"/>
        <v/>
      </c>
      <c r="CR814" s="2494" t="str">
        <f t="shared" si="74"/>
        <v/>
      </c>
      <c r="CS814" s="2494" t="str">
        <f t="shared" si="75"/>
        <v/>
      </c>
      <c r="CT814" s="2494" t="str">
        <f t="shared" si="76"/>
        <v/>
      </c>
      <c r="CU814" s="2494" t="str">
        <f t="shared" si="77"/>
        <v/>
      </c>
      <c r="CV814" s="2494" t="str">
        <f t="shared" si="78"/>
        <v/>
      </c>
      <c r="CW814" s="2494" t="str">
        <f t="shared" si="79"/>
        <v/>
      </c>
      <c r="CX814" s="2494" t="str">
        <f t="shared" si="80"/>
        <v/>
      </c>
      <c r="CY814" s="2494" t="str">
        <f t="shared" si="81"/>
        <v/>
      </c>
      <c r="CZ814" s="2494" t="str">
        <f t="shared" si="82"/>
        <v/>
      </c>
      <c r="DA814" s="2494" t="str">
        <f t="shared" si="83"/>
        <v/>
      </c>
      <c r="DB814" s="2494" t="str">
        <f t="shared" si="84"/>
        <v/>
      </c>
      <c r="DC814" s="2494" t="str">
        <f t="shared" si="85"/>
        <v/>
      </c>
      <c r="DD814" s="2494" t="str">
        <f t="shared" si="86"/>
        <v/>
      </c>
      <c r="DE814" s="2494" t="str">
        <f t="shared" si="87"/>
        <v/>
      </c>
      <c r="DF814" s="2494" t="str">
        <f t="shared" si="88"/>
        <v/>
      </c>
      <c r="DG814" s="2494" t="str">
        <f t="shared" si="89"/>
        <v/>
      </c>
      <c r="DH814" s="2494" t="str">
        <f t="shared" si="90"/>
        <v/>
      </c>
      <c r="DI814" s="2494" t="str">
        <f t="shared" si="91"/>
        <v/>
      </c>
      <c r="DJ814" s="2494" t="str">
        <f t="shared" si="92"/>
        <v/>
      </c>
      <c r="DK814" s="2494" t="str">
        <f t="shared" si="93"/>
        <v/>
      </c>
      <c r="DL814" s="2494" t="str">
        <f t="shared" si="94"/>
        <v/>
      </c>
      <c r="DM814" s="2494" t="str">
        <f t="shared" si="95"/>
        <v/>
      </c>
      <c r="DN814" s="2494" t="str">
        <f t="shared" si="96"/>
        <v/>
      </c>
      <c r="DO814" s="2494" t="str">
        <f t="shared" si="97"/>
        <v/>
      </c>
      <c r="DP814" s="2494" t="str">
        <f t="shared" si="98"/>
        <v/>
      </c>
      <c r="DQ814" s="2494" t="str">
        <f t="shared" si="99"/>
        <v/>
      </c>
      <c r="DR814" s="2494" t="str">
        <f t="shared" si="100"/>
        <v/>
      </c>
      <c r="DS814" s="2494" t="str">
        <f t="shared" si="101"/>
        <v/>
      </c>
      <c r="DT814" s="2494" t="str">
        <f t="shared" si="102"/>
        <v/>
      </c>
      <c r="DU814" s="2494" t="str">
        <f t="shared" si="103"/>
        <v/>
      </c>
      <c r="DV814" s="2494" t="str">
        <f t="shared" si="104"/>
        <v/>
      </c>
      <c r="DW814" s="2494" t="str">
        <f t="shared" si="105"/>
        <v/>
      </c>
      <c r="DX814" s="2494" t="str">
        <f t="shared" si="106"/>
        <v/>
      </c>
      <c r="DY814" s="2494" t="str">
        <f t="shared" si="107"/>
        <v/>
      </c>
      <c r="DZ814" s="2494" t="str">
        <f t="shared" si="108"/>
        <v/>
      </c>
      <c r="EA814" s="2494" t="str">
        <f t="shared" si="109"/>
        <v/>
      </c>
      <c r="EB814" s="2494" t="str">
        <f t="shared" si="110"/>
        <v/>
      </c>
      <c r="EC814" s="2494" t="str">
        <f t="shared" si="111"/>
        <v/>
      </c>
      <c r="ED814" s="2494" t="str">
        <f t="shared" si="112"/>
        <v/>
      </c>
      <c r="EE814" s="2494" t="str">
        <f t="shared" si="113"/>
        <v/>
      </c>
      <c r="EF814" s="2494" t="str">
        <f t="shared" si="114"/>
        <v/>
      </c>
      <c r="EG814" s="2494" t="str">
        <f t="shared" si="115"/>
        <v/>
      </c>
      <c r="EH814" s="2494" t="str">
        <f t="shared" si="116"/>
        <v/>
      </c>
      <c r="EI814" s="2494" t="str">
        <f t="shared" si="117"/>
        <v/>
      </c>
      <c r="EJ814" s="2494" t="str">
        <f t="shared" si="118"/>
        <v/>
      </c>
      <c r="EK814" s="2494" t="str">
        <f t="shared" si="119"/>
        <v/>
      </c>
      <c r="EL814" s="2494" t="str">
        <f t="shared" si="120"/>
        <v/>
      </c>
      <c r="EM814" s="2494" t="str">
        <f t="shared" si="121"/>
        <v/>
      </c>
      <c r="EN814" s="2494" t="str">
        <f t="shared" si="122"/>
        <v/>
      </c>
      <c r="EO814" s="2494" t="str">
        <f t="shared" si="123"/>
        <v/>
      </c>
      <c r="EP814" s="2494" t="str">
        <f t="shared" si="124"/>
        <v/>
      </c>
      <c r="EQ814" s="2494" t="str">
        <f t="shared" si="125"/>
        <v/>
      </c>
      <c r="ER814" s="2494" t="str">
        <f t="shared" si="126"/>
        <v/>
      </c>
      <c r="ES814" s="2494" t="str">
        <f t="shared" si="127"/>
        <v/>
      </c>
      <c r="ET814" s="2494" t="str">
        <f t="shared" si="128"/>
        <v/>
      </c>
      <c r="EU814" s="2494" t="str">
        <f t="shared" si="129"/>
        <v/>
      </c>
      <c r="EV814" s="2494" t="str">
        <f t="shared" si="130"/>
        <v/>
      </c>
      <c r="EW814" s="2494" t="str">
        <f t="shared" si="131"/>
        <v/>
      </c>
      <c r="EX814" s="2494" t="str">
        <f t="shared" si="132"/>
        <v/>
      </c>
      <c r="EY814" s="2494" t="str">
        <f t="shared" si="133"/>
        <v/>
      </c>
      <c r="EZ814" s="2494" t="str">
        <f t="shared" si="134"/>
        <v/>
      </c>
      <c r="FA814" s="2494" t="str">
        <f t="shared" si="135"/>
        <v/>
      </c>
      <c r="FB814" s="2494" t="str">
        <f t="shared" si="136"/>
        <v/>
      </c>
      <c r="FC814" s="2494" t="str">
        <f t="shared" si="137"/>
        <v/>
      </c>
      <c r="FD814" s="2494" t="str">
        <f t="shared" si="138"/>
        <v/>
      </c>
      <c r="FE814" s="2494" t="str">
        <f t="shared" si="139"/>
        <v/>
      </c>
      <c r="FF814" s="2494" t="str">
        <f t="shared" si="140"/>
        <v/>
      </c>
      <c r="FG814" s="2494" t="str">
        <f t="shared" si="141"/>
        <v/>
      </c>
      <c r="FH814" s="2494" t="str">
        <f t="shared" si="142"/>
        <v/>
      </c>
      <c r="FI814" s="2494" t="str">
        <f t="shared" si="143"/>
        <v/>
      </c>
      <c r="FJ814" s="2494" t="str">
        <f t="shared" si="144"/>
        <v/>
      </c>
      <c r="FK814" s="2494" t="str">
        <f t="shared" si="145"/>
        <v/>
      </c>
      <c r="FL814" s="2494" t="str">
        <f t="shared" si="146"/>
        <v/>
      </c>
      <c r="FM814" s="2494" t="str">
        <f t="shared" si="147"/>
        <v/>
      </c>
      <c r="FN814" s="2494" t="str">
        <f t="shared" si="148"/>
        <v/>
      </c>
      <c r="FO814" s="2494" t="str">
        <f t="shared" si="149"/>
        <v/>
      </c>
      <c r="FP814" s="2494" t="str">
        <f t="shared" si="150"/>
        <v/>
      </c>
      <c r="FQ814" s="2494" t="str">
        <f t="shared" si="151"/>
        <v/>
      </c>
      <c r="FR814" s="2494" t="str">
        <f t="shared" si="152"/>
        <v/>
      </c>
      <c r="FS814" s="2494" t="str">
        <f t="shared" si="153"/>
        <v/>
      </c>
      <c r="FT814" s="2494" t="str">
        <f t="shared" si="154"/>
        <v/>
      </c>
      <c r="FU814" s="2494" t="str">
        <f t="shared" si="155"/>
        <v/>
      </c>
      <c r="FV814" s="2494" t="str">
        <f t="shared" si="156"/>
        <v/>
      </c>
      <c r="FW814" s="2494" t="str">
        <f t="shared" si="157"/>
        <v/>
      </c>
      <c r="FX814" s="2494" t="str">
        <f t="shared" si="158"/>
        <v/>
      </c>
      <c r="FY814" s="2494" t="str">
        <f t="shared" si="159"/>
        <v/>
      </c>
      <c r="FZ814" s="2494" t="str">
        <f t="shared" si="160"/>
        <v/>
      </c>
      <c r="GA814" s="2494" t="str">
        <f t="shared" si="161"/>
        <v/>
      </c>
      <c r="GB814" s="2494" t="str">
        <f t="shared" si="162"/>
        <v/>
      </c>
      <c r="GC814" s="2494" t="str">
        <f t="shared" si="163"/>
        <v/>
      </c>
      <c r="GD814" s="2494" t="str">
        <f t="shared" si="164"/>
        <v/>
      </c>
      <c r="GE814" s="2494" t="str">
        <f t="shared" si="165"/>
        <v/>
      </c>
      <c r="GF814" s="2494" t="str">
        <f t="shared" si="166"/>
        <v/>
      </c>
      <c r="GG814" s="2494" t="str">
        <f t="shared" si="167"/>
        <v/>
      </c>
      <c r="GH814" s="2494" t="str">
        <f t="shared" si="168"/>
        <v/>
      </c>
      <c r="GI814" s="2494" t="str">
        <f t="shared" si="169"/>
        <v/>
      </c>
      <c r="GJ814" s="2494" t="str">
        <f t="shared" si="170"/>
        <v/>
      </c>
      <c r="GK814" s="2494" t="str">
        <f t="shared" si="171"/>
        <v/>
      </c>
      <c r="GL814" s="2494" t="str">
        <f t="shared" si="172"/>
        <v/>
      </c>
      <c r="GM814" s="2494" t="str">
        <f t="shared" si="173"/>
        <v/>
      </c>
      <c r="GN814" s="2494" t="str">
        <f t="shared" si="174"/>
        <v/>
      </c>
      <c r="GO814" s="2494" t="str">
        <f t="shared" si="175"/>
        <v/>
      </c>
      <c r="GP814" s="2494" t="str">
        <f t="shared" si="176"/>
        <v/>
      </c>
      <c r="GQ814" s="2494" t="str">
        <f t="shared" si="177"/>
        <v/>
      </c>
      <c r="GR814" s="2494" t="str">
        <f t="shared" si="178"/>
        <v/>
      </c>
      <c r="GS814" s="2494" t="str">
        <f t="shared" si="179"/>
        <v/>
      </c>
      <c r="GT814" s="2494" t="str">
        <f t="shared" si="180"/>
        <v/>
      </c>
      <c r="GU814" s="2494" t="str">
        <f t="shared" si="181"/>
        <v/>
      </c>
      <c r="GV814" s="2494" t="str">
        <f t="shared" si="182"/>
        <v/>
      </c>
      <c r="GW814" s="2494" t="str">
        <f t="shared" si="183"/>
        <v/>
      </c>
      <c r="GX814" s="2494" t="str">
        <f t="shared" si="184"/>
        <v/>
      </c>
      <c r="GY814" s="2494" t="str">
        <f t="shared" si="185"/>
        <v/>
      </c>
      <c r="GZ814" s="2494" t="str">
        <f t="shared" si="186"/>
        <v/>
      </c>
      <c r="HA814" s="2494" t="str">
        <f t="shared" si="187"/>
        <v/>
      </c>
      <c r="HB814" s="2494" t="str">
        <f t="shared" si="188"/>
        <v/>
      </c>
      <c r="HC814" s="2494" t="str">
        <f t="shared" si="189"/>
        <v/>
      </c>
      <c r="HD814" s="2494" t="str">
        <f t="shared" si="190"/>
        <v/>
      </c>
      <c r="HE814" s="2494" t="str">
        <f t="shared" si="191"/>
        <v/>
      </c>
      <c r="HF814" s="2494" t="str">
        <f t="shared" si="192"/>
        <v/>
      </c>
      <c r="HG814" s="2494" t="str">
        <f t="shared" si="193"/>
        <v/>
      </c>
      <c r="HH814" s="2494" t="str">
        <f t="shared" si="194"/>
        <v/>
      </c>
      <c r="HI814" s="2494" t="str">
        <f t="shared" si="195"/>
        <v/>
      </c>
      <c r="HJ814" s="2494" t="str">
        <f t="shared" si="196"/>
        <v/>
      </c>
      <c r="HK814" s="2494" t="str">
        <f t="shared" si="197"/>
        <v/>
      </c>
      <c r="HL814" s="2494" t="str">
        <f t="shared" si="198"/>
        <v/>
      </c>
      <c r="HM814" s="2494" t="str">
        <f t="shared" si="199"/>
        <v/>
      </c>
      <c r="HN814" s="2494" t="str">
        <f t="shared" si="200"/>
        <v/>
      </c>
      <c r="HO814" s="2494" t="str">
        <f t="shared" si="201"/>
        <v/>
      </c>
      <c r="HP814" s="2494" t="str">
        <f t="shared" si="202"/>
        <v/>
      </c>
      <c r="HQ814" s="2494" t="str">
        <f t="shared" si="203"/>
        <v/>
      </c>
      <c r="HR814" s="2494" t="str">
        <f t="shared" si="204"/>
        <v/>
      </c>
      <c r="HS814" s="2494" t="str">
        <f t="shared" si="205"/>
        <v/>
      </c>
      <c r="HT814" s="2494" t="str">
        <f t="shared" si="206"/>
        <v/>
      </c>
      <c r="HU814" s="2494" t="str">
        <f t="shared" si="207"/>
        <v/>
      </c>
      <c r="HV814" s="2494" t="str">
        <f t="shared" si="208"/>
        <v/>
      </c>
      <c r="HW814" s="2494" t="str">
        <f t="shared" si="209"/>
        <v/>
      </c>
      <c r="HX814" s="2494" t="str">
        <f t="shared" si="210"/>
        <v/>
      </c>
      <c r="HY814" s="2494" t="str">
        <f t="shared" si="211"/>
        <v/>
      </c>
      <c r="HZ814" s="2672" t="str">
        <f t="shared" si="212"/>
        <v/>
      </c>
      <c r="IA814" s="2672" t="str">
        <f t="shared" si="213"/>
        <v/>
      </c>
      <c r="IB814" s="2672" t="str">
        <f t="shared" si="214"/>
        <v/>
      </c>
      <c r="IC814" s="2672" t="str">
        <f t="shared" si="215"/>
        <v/>
      </c>
      <c r="ID814" s="2672" t="str">
        <f t="shared" si="216"/>
        <v/>
      </c>
      <c r="IE814" s="2672" t="str">
        <f t="shared" si="217"/>
        <v/>
      </c>
      <c r="IF814" s="2672" t="str">
        <f t="shared" si="218"/>
        <v/>
      </c>
      <c r="IG814" s="2672" t="str">
        <f t="shared" si="219"/>
        <v/>
      </c>
      <c r="IH814" s="2672" t="str">
        <f t="shared" si="220"/>
        <v/>
      </c>
      <c r="II814" s="2672" t="str">
        <f t="shared" si="221"/>
        <v/>
      </c>
      <c r="IJ814" s="2672" t="str">
        <f t="shared" si="222"/>
        <v/>
      </c>
      <c r="IK814" s="2672" t="str">
        <f t="shared" si="223"/>
        <v/>
      </c>
      <c r="IL814" s="2672" t="str">
        <f t="shared" si="224"/>
        <v/>
      </c>
      <c r="IM814" s="2672" t="str">
        <f t="shared" si="225"/>
        <v/>
      </c>
      <c r="IN814" s="2672" t="str">
        <f t="shared" si="226"/>
        <v/>
      </c>
      <c r="IO814" s="2672" t="str">
        <f t="shared" si="227"/>
        <v/>
      </c>
      <c r="IP814" s="2672" t="str">
        <f t="shared" si="228"/>
        <v/>
      </c>
      <c r="IQ814" s="2672" t="str">
        <f t="shared" si="229"/>
        <v/>
      </c>
      <c r="IR814" s="2672" t="str">
        <f t="shared" si="230"/>
        <v/>
      </c>
      <c r="IS814" s="2672" t="str">
        <f t="shared" si="231"/>
        <v/>
      </c>
      <c r="IT814" s="2672" t="str">
        <f t="shared" si="232"/>
        <v/>
      </c>
      <c r="IU814" s="2672" t="str">
        <f t="shared" si="233"/>
        <v/>
      </c>
      <c r="IV814" s="2672" t="str">
        <f t="shared" si="234"/>
        <v/>
      </c>
      <c r="IW814" s="2672" t="str">
        <f t="shared" si="235"/>
        <v/>
      </c>
      <c r="IX814" s="2672" t="str">
        <f t="shared" si="236"/>
        <v/>
      </c>
      <c r="IY814" s="2672" t="str">
        <f t="shared" si="237"/>
        <v/>
      </c>
      <c r="IZ814" s="2672" t="str">
        <f t="shared" si="238"/>
        <v/>
      </c>
      <c r="JA814" s="2672" t="str">
        <f t="shared" si="239"/>
        <v/>
      </c>
      <c r="JB814" s="2672" t="str">
        <f t="shared" si="240"/>
        <v/>
      </c>
      <c r="JC814" s="2672" t="str">
        <f t="shared" si="241"/>
        <v/>
      </c>
      <c r="JD814" s="2672" t="str">
        <f t="shared" si="242"/>
        <v/>
      </c>
      <c r="JE814" s="2672" t="str">
        <f t="shared" si="243"/>
        <v/>
      </c>
      <c r="JF814" s="2672" t="str">
        <f t="shared" si="244"/>
        <v/>
      </c>
      <c r="JG814" s="2672" t="str">
        <f t="shared" si="245"/>
        <v/>
      </c>
      <c r="JH814" s="2672" t="str">
        <f t="shared" si="246"/>
        <v/>
      </c>
      <c r="JI814" s="2672" t="str">
        <f t="shared" si="247"/>
        <v/>
      </c>
      <c r="JJ814" s="2672" t="str">
        <f t="shared" si="248"/>
        <v/>
      </c>
      <c r="JK814" s="2672" t="str">
        <f t="shared" si="249"/>
        <v/>
      </c>
      <c r="JL814" s="2672" t="str">
        <f t="shared" si="250"/>
        <v/>
      </c>
      <c r="JM814" s="2672" t="str">
        <f t="shared" si="251"/>
        <v/>
      </c>
      <c r="JN814" s="2672" t="str">
        <f t="shared" si="252"/>
        <v/>
      </c>
      <c r="JO814" s="2672" t="str">
        <f t="shared" si="253"/>
        <v/>
      </c>
      <c r="JP814" s="2672" t="str">
        <f t="shared" si="254"/>
        <v/>
      </c>
      <c r="JQ814" s="2672" t="str">
        <f t="shared" si="255"/>
        <v/>
      </c>
      <c r="JR814" s="2672" t="str">
        <f t="shared" si="256"/>
        <v/>
      </c>
      <c r="JS814" s="2672" t="str">
        <f t="shared" si="257"/>
        <v/>
      </c>
      <c r="JT814" s="2672" t="str">
        <f t="shared" si="258"/>
        <v/>
      </c>
      <c r="JU814" s="2672" t="str">
        <f t="shared" si="259"/>
        <v/>
      </c>
      <c r="JV814" s="2672" t="str">
        <f t="shared" si="260"/>
        <v/>
      </c>
      <c r="JW814" s="2672" t="str">
        <f t="shared" si="261"/>
        <v/>
      </c>
      <c r="JX814" s="2672" t="str">
        <f t="shared" si="262"/>
        <v/>
      </c>
      <c r="JY814" s="2672" t="str">
        <f t="shared" si="263"/>
        <v/>
      </c>
      <c r="JZ814" s="2672" t="str">
        <f t="shared" si="264"/>
        <v/>
      </c>
      <c r="KA814" s="2672" t="str">
        <f t="shared" si="265"/>
        <v/>
      </c>
      <c r="KB814" s="2672" t="str">
        <f t="shared" si="266"/>
        <v/>
      </c>
      <c r="KC814" s="2672" t="str">
        <f t="shared" si="267"/>
        <v/>
      </c>
      <c r="KD814" s="2672" t="str">
        <f t="shared" si="268"/>
        <v/>
      </c>
      <c r="KE814" s="2672" t="str">
        <f t="shared" si="269"/>
        <v/>
      </c>
      <c r="KF814" s="2672" t="str">
        <f t="shared" si="270"/>
        <v/>
      </c>
      <c r="KG814" s="2672" t="str">
        <f t="shared" si="271"/>
        <v/>
      </c>
      <c r="KH814" s="2672" t="str">
        <f t="shared" si="272"/>
        <v/>
      </c>
      <c r="KI814" s="2672" t="str">
        <f t="shared" si="273"/>
        <v/>
      </c>
      <c r="KJ814" s="2672" t="str">
        <f t="shared" si="274"/>
        <v/>
      </c>
      <c r="KK814" s="2672" t="str">
        <f t="shared" si="275"/>
        <v/>
      </c>
      <c r="KL814" s="2672" t="str">
        <f t="shared" si="276"/>
        <v/>
      </c>
      <c r="KM814" s="2672" t="str">
        <f t="shared" si="277"/>
        <v/>
      </c>
      <c r="KN814" s="2672" t="str">
        <f t="shared" si="278"/>
        <v/>
      </c>
      <c r="KO814" s="2672" t="str">
        <f t="shared" si="279"/>
        <v/>
      </c>
      <c r="KP814" s="2672" t="str">
        <f t="shared" si="280"/>
        <v/>
      </c>
      <c r="KQ814" s="2672" t="str">
        <f t="shared" si="281"/>
        <v/>
      </c>
      <c r="KR814" s="2672" t="str">
        <f t="shared" si="282"/>
        <v/>
      </c>
      <c r="KS814" s="2672" t="str">
        <f t="shared" si="283"/>
        <v/>
      </c>
      <c r="KT814" s="2672" t="str">
        <f t="shared" si="284"/>
        <v/>
      </c>
      <c r="KU814" s="2672" t="str">
        <f t="shared" si="285"/>
        <v/>
      </c>
      <c r="KV814" s="2672" t="str">
        <f t="shared" si="286"/>
        <v/>
      </c>
      <c r="KW814" s="2672" t="str">
        <f t="shared" si="287"/>
        <v/>
      </c>
      <c r="KX814" s="2672" t="str">
        <f t="shared" si="288"/>
        <v/>
      </c>
      <c r="KY814" s="2672" t="str">
        <f t="shared" si="289"/>
        <v/>
      </c>
      <c r="KZ814" s="2672" t="str">
        <f t="shared" si="290"/>
        <v/>
      </c>
      <c r="LA814" s="2672" t="str">
        <f t="shared" si="291"/>
        <v/>
      </c>
      <c r="LB814" s="2672" t="str">
        <f t="shared" si="292"/>
        <v/>
      </c>
      <c r="LC814" s="2672" t="str">
        <f t="shared" si="293"/>
        <v/>
      </c>
      <c r="LD814" s="2672" t="str">
        <f t="shared" si="294"/>
        <v/>
      </c>
      <c r="LE814" s="2672" t="str">
        <f t="shared" si="295"/>
        <v/>
      </c>
      <c r="LF814" s="2672" t="str">
        <f t="shared" si="296"/>
        <v/>
      </c>
      <c r="LG814" s="2672" t="str">
        <f t="shared" si="297"/>
        <v/>
      </c>
      <c r="LH814" s="2672" t="str">
        <f t="shared" si="298"/>
        <v/>
      </c>
      <c r="LI814" s="2672" t="str">
        <f t="shared" si="299"/>
        <v/>
      </c>
      <c r="LJ814" s="2672" t="str">
        <f t="shared" si="300"/>
        <v/>
      </c>
      <c r="LK814" s="2672" t="str">
        <f t="shared" si="301"/>
        <v/>
      </c>
      <c r="LL814" s="2672" t="str">
        <f t="shared" si="302"/>
        <v/>
      </c>
      <c r="LM814" s="2672" t="str">
        <f t="shared" si="303"/>
        <v/>
      </c>
      <c r="LN814" s="2672" t="str">
        <f t="shared" si="304"/>
        <v/>
      </c>
      <c r="LO814" s="2672" t="str">
        <f t="shared" si="305"/>
        <v/>
      </c>
      <c r="LP814" s="2672" t="str">
        <f t="shared" si="306"/>
        <v/>
      </c>
      <c r="LQ814" s="2613" t="str">
        <f t="shared" si="307"/>
        <v/>
      </c>
      <c r="LR814" s="2613" t="str">
        <f t="shared" si="308"/>
        <v/>
      </c>
      <c r="LS814" s="2613" t="str">
        <f t="shared" si="309"/>
        <v/>
      </c>
      <c r="LT814" s="2613" t="str">
        <f t="shared" si="310"/>
        <v/>
      </c>
      <c r="LU814" s="2613" t="str">
        <f t="shared" si="311"/>
        <v/>
      </c>
      <c r="LV814" s="2494" t="str">
        <f t="shared" si="312"/>
        <v/>
      </c>
      <c r="LW814" s="2494" t="str">
        <f t="shared" si="313"/>
        <v/>
      </c>
      <c r="LX814" s="2494" t="str">
        <f t="shared" si="314"/>
        <v/>
      </c>
      <c r="LY814" s="2494" t="str">
        <f t="shared" si="315"/>
        <v/>
      </c>
      <c r="LZ814" s="2494" t="str">
        <f t="shared" si="316"/>
        <v/>
      </c>
      <c r="MA814" s="2494" t="str">
        <f t="shared" si="317"/>
        <v/>
      </c>
      <c r="MB814" s="2494" t="str">
        <f t="shared" si="318"/>
        <v/>
      </c>
      <c r="MC814" s="2494" t="str">
        <f t="shared" si="319"/>
        <v/>
      </c>
      <c r="MD814" s="2494" t="str">
        <f t="shared" si="320"/>
        <v/>
      </c>
      <c r="ME814" s="2494" t="str">
        <f t="shared" si="321"/>
        <v/>
      </c>
      <c r="MF814" s="2494" t="str">
        <f t="shared" si="322"/>
        <v/>
      </c>
      <c r="MG814" s="2494" t="str">
        <f t="shared" si="323"/>
        <v/>
      </c>
      <c r="MH814" s="2494" t="str">
        <f t="shared" si="324"/>
        <v/>
      </c>
      <c r="MI814" s="2494" t="str">
        <f t="shared" si="325"/>
        <v/>
      </c>
      <c r="MJ814" s="2494" t="str">
        <f t="shared" si="326"/>
        <v/>
      </c>
      <c r="MK814" s="2494" t="str">
        <f t="shared" si="327"/>
        <v/>
      </c>
      <c r="ML814" s="2494" t="str">
        <f t="shared" si="328"/>
        <v/>
      </c>
      <c r="MM814" s="2494" t="str">
        <f t="shared" si="329"/>
        <v/>
      </c>
      <c r="MN814" s="2494" t="str">
        <f t="shared" si="330"/>
        <v/>
      </c>
      <c r="MO814" s="2494" t="str">
        <f t="shared" si="331"/>
        <v/>
      </c>
      <c r="MP814" s="2613">
        <f t="shared" si="338"/>
        <v>0</v>
      </c>
      <c r="MQ814" s="2613">
        <f t="shared" si="339"/>
        <v>0</v>
      </c>
      <c r="MR814" s="2613">
        <f t="shared" si="340"/>
        <v>0</v>
      </c>
      <c r="MS814" s="2613">
        <f t="shared" si="341"/>
        <v>0</v>
      </c>
      <c r="MT814" s="2613">
        <f t="shared" si="342"/>
        <v>0</v>
      </c>
      <c r="MU814" s="2613">
        <f t="shared" si="343"/>
        <v>0</v>
      </c>
      <c r="MV814" s="2613">
        <f t="shared" si="344"/>
        <v>0</v>
      </c>
      <c r="MW814" s="2613">
        <f t="shared" si="345"/>
        <v>0</v>
      </c>
      <c r="MX814" s="2613">
        <f t="shared" si="346"/>
        <v>0</v>
      </c>
      <c r="MY814" s="2613">
        <f t="shared" si="347"/>
        <v>0</v>
      </c>
      <c r="MZ814" s="2613">
        <f t="shared" si="332"/>
        <v>0</v>
      </c>
      <c r="NA814" s="2613">
        <f t="shared" si="333"/>
        <v>0</v>
      </c>
      <c r="NB814" s="2613">
        <f t="shared" si="334"/>
        <v>0</v>
      </c>
      <c r="NC814" s="2613">
        <f t="shared" si="335"/>
        <v>0</v>
      </c>
      <c r="ND814" s="2613">
        <f t="shared" si="336"/>
        <v>0</v>
      </c>
    </row>
    <row r="815" spans="1:368" ht="13.8" customHeight="1">
      <c r="A815" s="2652" t="str">
        <f t="shared" si="337"/>
        <v/>
      </c>
      <c r="B815" s="2664">
        <f>'Part VI-Revenues &amp; Expenses'!B46</f>
        <v>0</v>
      </c>
      <c r="C815" s="2665">
        <f>'Part VI-Revenues &amp; Expenses'!C46</f>
        <v>0</v>
      </c>
      <c r="D815" s="2666">
        <f>'Part VI-Revenues &amp; Expenses'!D46</f>
        <v>0</v>
      </c>
      <c r="E815" s="2667">
        <f>'Part VI-Revenues &amp; Expenses'!E46</f>
        <v>0</v>
      </c>
      <c r="F815" s="2667">
        <f>'Part VI-Revenues &amp; Expenses'!F46</f>
        <v>0</v>
      </c>
      <c r="G815" s="2667">
        <f>'Part VI-Revenues &amp; Expenses'!G46</f>
        <v>0</v>
      </c>
      <c r="H815" s="2667">
        <f>'Part VI-Revenues &amp; Expenses'!H46</f>
        <v>0</v>
      </c>
      <c r="I815" s="2667">
        <f>'Part VI-Revenues &amp; Expenses'!I46</f>
        <v>0</v>
      </c>
      <c r="J815" s="2667">
        <f>'Part VI-Revenues &amp; Expenses'!J46</f>
        <v>0</v>
      </c>
      <c r="K815" s="2668">
        <f>'Part VI-Revenues &amp; Expenses'!K46</f>
        <v>0</v>
      </c>
      <c r="L815" s="2669">
        <f t="shared" si="0"/>
        <v>0</v>
      </c>
      <c r="M815" s="2669">
        <f t="shared" si="1"/>
        <v>0</v>
      </c>
      <c r="N815" s="2545">
        <f>'Part VI-Revenues &amp; Expenses'!N46</f>
        <v>0</v>
      </c>
      <c r="O815" s="2545">
        <f>'Part VI-Revenues &amp; Expenses'!O46</f>
        <v>0</v>
      </c>
      <c r="P815" s="2545">
        <f>'Part VI-Revenues &amp; Expenses'!P46</f>
        <v>0</v>
      </c>
      <c r="Q815" s="2251">
        <f>'Part VI-Revenues &amp; Expenses'!Q46</f>
        <v>0</v>
      </c>
      <c r="R815" s="2670"/>
      <c r="S815" s="2671"/>
      <c r="T815" s="2607"/>
      <c r="U815" s="2607"/>
      <c r="V815" s="2607"/>
      <c r="W815" s="2607"/>
      <c r="X815" s="2494" t="str">
        <f t="shared" si="2"/>
        <v/>
      </c>
      <c r="Y815" s="2494" t="str">
        <f t="shared" si="3"/>
        <v/>
      </c>
      <c r="Z815" s="2494" t="str">
        <f t="shared" si="4"/>
        <v/>
      </c>
      <c r="AA815" s="2494" t="str">
        <f t="shared" si="5"/>
        <v/>
      </c>
      <c r="AB815" s="2494" t="str">
        <f t="shared" si="6"/>
        <v/>
      </c>
      <c r="AC815" s="2494" t="str">
        <f t="shared" si="7"/>
        <v/>
      </c>
      <c r="AD815" s="2494" t="str">
        <f t="shared" si="8"/>
        <v/>
      </c>
      <c r="AE815" s="2494" t="str">
        <f t="shared" si="9"/>
        <v/>
      </c>
      <c r="AF815" s="2494" t="str">
        <f t="shared" si="10"/>
        <v/>
      </c>
      <c r="AG815" s="2494" t="str">
        <f t="shared" si="11"/>
        <v/>
      </c>
      <c r="AH815" s="2494" t="str">
        <f t="shared" si="12"/>
        <v/>
      </c>
      <c r="AI815" s="2494" t="str">
        <f t="shared" si="13"/>
        <v/>
      </c>
      <c r="AJ815" s="2494" t="str">
        <f t="shared" si="14"/>
        <v/>
      </c>
      <c r="AK815" s="2494" t="str">
        <f t="shared" si="15"/>
        <v/>
      </c>
      <c r="AL815" s="2494" t="str">
        <f t="shared" si="16"/>
        <v/>
      </c>
      <c r="AM815" s="2494" t="str">
        <f t="shared" si="17"/>
        <v/>
      </c>
      <c r="AN815" s="2494" t="str">
        <f t="shared" si="18"/>
        <v/>
      </c>
      <c r="AO815" s="2494" t="str">
        <f t="shared" si="19"/>
        <v/>
      </c>
      <c r="AP815" s="2494" t="str">
        <f t="shared" si="20"/>
        <v/>
      </c>
      <c r="AQ815" s="2494" t="str">
        <f t="shared" si="21"/>
        <v/>
      </c>
      <c r="AR815" s="2494" t="str">
        <f t="shared" si="22"/>
        <v/>
      </c>
      <c r="AS815" s="2494" t="str">
        <f t="shared" si="23"/>
        <v/>
      </c>
      <c r="AT815" s="2494" t="str">
        <f t="shared" si="24"/>
        <v/>
      </c>
      <c r="AU815" s="2494" t="str">
        <f t="shared" si="25"/>
        <v/>
      </c>
      <c r="AV815" s="2494" t="str">
        <f t="shared" si="26"/>
        <v/>
      </c>
      <c r="AW815" s="2494" t="str">
        <f t="shared" si="27"/>
        <v/>
      </c>
      <c r="AX815" s="2494" t="str">
        <f t="shared" si="28"/>
        <v/>
      </c>
      <c r="AY815" s="2494" t="str">
        <f t="shared" si="29"/>
        <v/>
      </c>
      <c r="AZ815" s="2494" t="str">
        <f t="shared" si="30"/>
        <v/>
      </c>
      <c r="BA815" s="2494" t="str">
        <f t="shared" si="31"/>
        <v/>
      </c>
      <c r="BB815" s="2494" t="str">
        <f t="shared" si="32"/>
        <v/>
      </c>
      <c r="BC815" s="2494" t="str">
        <f t="shared" si="33"/>
        <v/>
      </c>
      <c r="BD815" s="2494" t="str">
        <f t="shared" si="34"/>
        <v/>
      </c>
      <c r="BE815" s="2494" t="str">
        <f t="shared" si="35"/>
        <v/>
      </c>
      <c r="BF815" s="2494" t="str">
        <f t="shared" si="36"/>
        <v/>
      </c>
      <c r="BG815" s="2494" t="str">
        <f t="shared" si="37"/>
        <v/>
      </c>
      <c r="BH815" s="2494" t="str">
        <f t="shared" si="38"/>
        <v/>
      </c>
      <c r="BI815" s="2494" t="str">
        <f t="shared" si="39"/>
        <v/>
      </c>
      <c r="BJ815" s="2494" t="str">
        <f t="shared" si="40"/>
        <v/>
      </c>
      <c r="BK815" s="2494" t="str">
        <f t="shared" si="41"/>
        <v/>
      </c>
      <c r="BL815" s="2494" t="str">
        <f t="shared" si="42"/>
        <v/>
      </c>
      <c r="BM815" s="2494" t="str">
        <f t="shared" si="43"/>
        <v/>
      </c>
      <c r="BN815" s="2494" t="str">
        <f t="shared" si="44"/>
        <v/>
      </c>
      <c r="BO815" s="2494" t="str">
        <f t="shared" si="45"/>
        <v/>
      </c>
      <c r="BP815" s="2494" t="str">
        <f t="shared" si="46"/>
        <v/>
      </c>
      <c r="BQ815" s="2494" t="str">
        <f t="shared" si="47"/>
        <v/>
      </c>
      <c r="BR815" s="2494" t="str">
        <f t="shared" si="48"/>
        <v/>
      </c>
      <c r="BS815" s="2494" t="str">
        <f t="shared" si="49"/>
        <v/>
      </c>
      <c r="BT815" s="2494" t="str">
        <f t="shared" si="50"/>
        <v/>
      </c>
      <c r="BU815" s="2494" t="str">
        <f t="shared" si="51"/>
        <v/>
      </c>
      <c r="BV815" s="2494" t="str">
        <f t="shared" si="52"/>
        <v/>
      </c>
      <c r="BW815" s="2494" t="str">
        <f t="shared" si="53"/>
        <v/>
      </c>
      <c r="BX815" s="2494" t="str">
        <f t="shared" si="54"/>
        <v/>
      </c>
      <c r="BY815" s="2494" t="str">
        <f t="shared" si="55"/>
        <v/>
      </c>
      <c r="BZ815" s="2494" t="str">
        <f t="shared" si="56"/>
        <v/>
      </c>
      <c r="CA815" s="2494" t="str">
        <f t="shared" si="57"/>
        <v/>
      </c>
      <c r="CB815" s="2494" t="str">
        <f t="shared" si="58"/>
        <v/>
      </c>
      <c r="CC815" s="2494" t="str">
        <f t="shared" si="59"/>
        <v/>
      </c>
      <c r="CD815" s="2494" t="str">
        <f t="shared" si="60"/>
        <v/>
      </c>
      <c r="CE815" s="2494" t="str">
        <f t="shared" si="61"/>
        <v/>
      </c>
      <c r="CF815" s="2494" t="str">
        <f t="shared" si="62"/>
        <v/>
      </c>
      <c r="CG815" s="2494" t="str">
        <f t="shared" si="63"/>
        <v/>
      </c>
      <c r="CH815" s="2494" t="str">
        <f t="shared" si="64"/>
        <v/>
      </c>
      <c r="CI815" s="2494" t="str">
        <f t="shared" si="65"/>
        <v/>
      </c>
      <c r="CJ815" s="2494" t="str">
        <f t="shared" si="66"/>
        <v/>
      </c>
      <c r="CK815" s="2494" t="str">
        <f t="shared" si="67"/>
        <v/>
      </c>
      <c r="CL815" s="2494" t="str">
        <f t="shared" si="68"/>
        <v/>
      </c>
      <c r="CM815" s="2494" t="str">
        <f t="shared" si="69"/>
        <v/>
      </c>
      <c r="CN815" s="2494" t="str">
        <f t="shared" si="70"/>
        <v/>
      </c>
      <c r="CO815" s="2494" t="str">
        <f t="shared" si="71"/>
        <v/>
      </c>
      <c r="CP815" s="2494" t="str">
        <f t="shared" si="72"/>
        <v/>
      </c>
      <c r="CQ815" s="2494" t="str">
        <f t="shared" si="73"/>
        <v/>
      </c>
      <c r="CR815" s="2494" t="str">
        <f t="shared" si="74"/>
        <v/>
      </c>
      <c r="CS815" s="2494" t="str">
        <f t="shared" si="75"/>
        <v/>
      </c>
      <c r="CT815" s="2494" t="str">
        <f t="shared" si="76"/>
        <v/>
      </c>
      <c r="CU815" s="2494" t="str">
        <f t="shared" si="77"/>
        <v/>
      </c>
      <c r="CV815" s="2494" t="str">
        <f t="shared" si="78"/>
        <v/>
      </c>
      <c r="CW815" s="2494" t="str">
        <f t="shared" si="79"/>
        <v/>
      </c>
      <c r="CX815" s="2494" t="str">
        <f t="shared" si="80"/>
        <v/>
      </c>
      <c r="CY815" s="2494" t="str">
        <f t="shared" si="81"/>
        <v/>
      </c>
      <c r="CZ815" s="2494" t="str">
        <f t="shared" si="82"/>
        <v/>
      </c>
      <c r="DA815" s="2494" t="str">
        <f t="shared" si="83"/>
        <v/>
      </c>
      <c r="DB815" s="2494" t="str">
        <f t="shared" si="84"/>
        <v/>
      </c>
      <c r="DC815" s="2494" t="str">
        <f t="shared" si="85"/>
        <v/>
      </c>
      <c r="DD815" s="2494" t="str">
        <f t="shared" si="86"/>
        <v/>
      </c>
      <c r="DE815" s="2494" t="str">
        <f t="shared" si="87"/>
        <v/>
      </c>
      <c r="DF815" s="2494" t="str">
        <f t="shared" si="88"/>
        <v/>
      </c>
      <c r="DG815" s="2494" t="str">
        <f t="shared" si="89"/>
        <v/>
      </c>
      <c r="DH815" s="2494" t="str">
        <f t="shared" si="90"/>
        <v/>
      </c>
      <c r="DI815" s="2494" t="str">
        <f t="shared" si="91"/>
        <v/>
      </c>
      <c r="DJ815" s="2494" t="str">
        <f t="shared" si="92"/>
        <v/>
      </c>
      <c r="DK815" s="2494" t="str">
        <f t="shared" si="93"/>
        <v/>
      </c>
      <c r="DL815" s="2494" t="str">
        <f t="shared" si="94"/>
        <v/>
      </c>
      <c r="DM815" s="2494" t="str">
        <f t="shared" si="95"/>
        <v/>
      </c>
      <c r="DN815" s="2494" t="str">
        <f t="shared" si="96"/>
        <v/>
      </c>
      <c r="DO815" s="2494" t="str">
        <f t="shared" si="97"/>
        <v/>
      </c>
      <c r="DP815" s="2494" t="str">
        <f t="shared" si="98"/>
        <v/>
      </c>
      <c r="DQ815" s="2494" t="str">
        <f t="shared" si="99"/>
        <v/>
      </c>
      <c r="DR815" s="2494" t="str">
        <f t="shared" si="100"/>
        <v/>
      </c>
      <c r="DS815" s="2494" t="str">
        <f t="shared" si="101"/>
        <v/>
      </c>
      <c r="DT815" s="2494" t="str">
        <f t="shared" si="102"/>
        <v/>
      </c>
      <c r="DU815" s="2494" t="str">
        <f t="shared" si="103"/>
        <v/>
      </c>
      <c r="DV815" s="2494" t="str">
        <f t="shared" si="104"/>
        <v/>
      </c>
      <c r="DW815" s="2494" t="str">
        <f t="shared" si="105"/>
        <v/>
      </c>
      <c r="DX815" s="2494" t="str">
        <f t="shared" si="106"/>
        <v/>
      </c>
      <c r="DY815" s="2494" t="str">
        <f t="shared" si="107"/>
        <v/>
      </c>
      <c r="DZ815" s="2494" t="str">
        <f t="shared" si="108"/>
        <v/>
      </c>
      <c r="EA815" s="2494" t="str">
        <f t="shared" si="109"/>
        <v/>
      </c>
      <c r="EB815" s="2494" t="str">
        <f t="shared" si="110"/>
        <v/>
      </c>
      <c r="EC815" s="2494" t="str">
        <f t="shared" si="111"/>
        <v/>
      </c>
      <c r="ED815" s="2494" t="str">
        <f t="shared" si="112"/>
        <v/>
      </c>
      <c r="EE815" s="2494" t="str">
        <f t="shared" si="113"/>
        <v/>
      </c>
      <c r="EF815" s="2494" t="str">
        <f t="shared" si="114"/>
        <v/>
      </c>
      <c r="EG815" s="2494" t="str">
        <f t="shared" si="115"/>
        <v/>
      </c>
      <c r="EH815" s="2494" t="str">
        <f t="shared" si="116"/>
        <v/>
      </c>
      <c r="EI815" s="2494" t="str">
        <f t="shared" si="117"/>
        <v/>
      </c>
      <c r="EJ815" s="2494" t="str">
        <f t="shared" si="118"/>
        <v/>
      </c>
      <c r="EK815" s="2494" t="str">
        <f t="shared" si="119"/>
        <v/>
      </c>
      <c r="EL815" s="2494" t="str">
        <f t="shared" si="120"/>
        <v/>
      </c>
      <c r="EM815" s="2494" t="str">
        <f t="shared" si="121"/>
        <v/>
      </c>
      <c r="EN815" s="2494" t="str">
        <f t="shared" si="122"/>
        <v/>
      </c>
      <c r="EO815" s="2494" t="str">
        <f t="shared" si="123"/>
        <v/>
      </c>
      <c r="EP815" s="2494" t="str">
        <f t="shared" si="124"/>
        <v/>
      </c>
      <c r="EQ815" s="2494" t="str">
        <f t="shared" si="125"/>
        <v/>
      </c>
      <c r="ER815" s="2494" t="str">
        <f t="shared" si="126"/>
        <v/>
      </c>
      <c r="ES815" s="2494" t="str">
        <f t="shared" si="127"/>
        <v/>
      </c>
      <c r="ET815" s="2494" t="str">
        <f t="shared" si="128"/>
        <v/>
      </c>
      <c r="EU815" s="2494" t="str">
        <f t="shared" si="129"/>
        <v/>
      </c>
      <c r="EV815" s="2494" t="str">
        <f t="shared" si="130"/>
        <v/>
      </c>
      <c r="EW815" s="2494" t="str">
        <f t="shared" si="131"/>
        <v/>
      </c>
      <c r="EX815" s="2494" t="str">
        <f t="shared" si="132"/>
        <v/>
      </c>
      <c r="EY815" s="2494" t="str">
        <f t="shared" si="133"/>
        <v/>
      </c>
      <c r="EZ815" s="2494" t="str">
        <f t="shared" si="134"/>
        <v/>
      </c>
      <c r="FA815" s="2494" t="str">
        <f t="shared" si="135"/>
        <v/>
      </c>
      <c r="FB815" s="2494" t="str">
        <f t="shared" si="136"/>
        <v/>
      </c>
      <c r="FC815" s="2494" t="str">
        <f t="shared" si="137"/>
        <v/>
      </c>
      <c r="FD815" s="2494" t="str">
        <f t="shared" si="138"/>
        <v/>
      </c>
      <c r="FE815" s="2494" t="str">
        <f t="shared" si="139"/>
        <v/>
      </c>
      <c r="FF815" s="2494" t="str">
        <f t="shared" si="140"/>
        <v/>
      </c>
      <c r="FG815" s="2494" t="str">
        <f t="shared" si="141"/>
        <v/>
      </c>
      <c r="FH815" s="2494" t="str">
        <f t="shared" si="142"/>
        <v/>
      </c>
      <c r="FI815" s="2494" t="str">
        <f t="shared" si="143"/>
        <v/>
      </c>
      <c r="FJ815" s="2494" t="str">
        <f t="shared" si="144"/>
        <v/>
      </c>
      <c r="FK815" s="2494" t="str">
        <f t="shared" si="145"/>
        <v/>
      </c>
      <c r="FL815" s="2494" t="str">
        <f t="shared" si="146"/>
        <v/>
      </c>
      <c r="FM815" s="2494" t="str">
        <f t="shared" si="147"/>
        <v/>
      </c>
      <c r="FN815" s="2494" t="str">
        <f t="shared" si="148"/>
        <v/>
      </c>
      <c r="FO815" s="2494" t="str">
        <f t="shared" si="149"/>
        <v/>
      </c>
      <c r="FP815" s="2494" t="str">
        <f t="shared" si="150"/>
        <v/>
      </c>
      <c r="FQ815" s="2494" t="str">
        <f t="shared" si="151"/>
        <v/>
      </c>
      <c r="FR815" s="2494" t="str">
        <f t="shared" si="152"/>
        <v/>
      </c>
      <c r="FS815" s="2494" t="str">
        <f t="shared" si="153"/>
        <v/>
      </c>
      <c r="FT815" s="2494" t="str">
        <f t="shared" si="154"/>
        <v/>
      </c>
      <c r="FU815" s="2494" t="str">
        <f t="shared" si="155"/>
        <v/>
      </c>
      <c r="FV815" s="2494" t="str">
        <f t="shared" si="156"/>
        <v/>
      </c>
      <c r="FW815" s="2494" t="str">
        <f t="shared" si="157"/>
        <v/>
      </c>
      <c r="FX815" s="2494" t="str">
        <f t="shared" si="158"/>
        <v/>
      </c>
      <c r="FY815" s="2494" t="str">
        <f t="shared" si="159"/>
        <v/>
      </c>
      <c r="FZ815" s="2494" t="str">
        <f t="shared" si="160"/>
        <v/>
      </c>
      <c r="GA815" s="2494" t="str">
        <f t="shared" si="161"/>
        <v/>
      </c>
      <c r="GB815" s="2494" t="str">
        <f t="shared" si="162"/>
        <v/>
      </c>
      <c r="GC815" s="2494" t="str">
        <f t="shared" si="163"/>
        <v/>
      </c>
      <c r="GD815" s="2494" t="str">
        <f t="shared" si="164"/>
        <v/>
      </c>
      <c r="GE815" s="2494" t="str">
        <f t="shared" si="165"/>
        <v/>
      </c>
      <c r="GF815" s="2494" t="str">
        <f t="shared" si="166"/>
        <v/>
      </c>
      <c r="GG815" s="2494" t="str">
        <f t="shared" si="167"/>
        <v/>
      </c>
      <c r="GH815" s="2494" t="str">
        <f t="shared" si="168"/>
        <v/>
      </c>
      <c r="GI815" s="2494" t="str">
        <f t="shared" si="169"/>
        <v/>
      </c>
      <c r="GJ815" s="2494" t="str">
        <f t="shared" si="170"/>
        <v/>
      </c>
      <c r="GK815" s="2494" t="str">
        <f t="shared" si="171"/>
        <v/>
      </c>
      <c r="GL815" s="2494" t="str">
        <f t="shared" si="172"/>
        <v/>
      </c>
      <c r="GM815" s="2494" t="str">
        <f t="shared" si="173"/>
        <v/>
      </c>
      <c r="GN815" s="2494" t="str">
        <f t="shared" si="174"/>
        <v/>
      </c>
      <c r="GO815" s="2494" t="str">
        <f t="shared" si="175"/>
        <v/>
      </c>
      <c r="GP815" s="2494" t="str">
        <f t="shared" si="176"/>
        <v/>
      </c>
      <c r="GQ815" s="2494" t="str">
        <f t="shared" si="177"/>
        <v/>
      </c>
      <c r="GR815" s="2494" t="str">
        <f t="shared" si="178"/>
        <v/>
      </c>
      <c r="GS815" s="2494" t="str">
        <f t="shared" si="179"/>
        <v/>
      </c>
      <c r="GT815" s="2494" t="str">
        <f t="shared" si="180"/>
        <v/>
      </c>
      <c r="GU815" s="2494" t="str">
        <f t="shared" si="181"/>
        <v/>
      </c>
      <c r="GV815" s="2494" t="str">
        <f t="shared" si="182"/>
        <v/>
      </c>
      <c r="GW815" s="2494" t="str">
        <f t="shared" si="183"/>
        <v/>
      </c>
      <c r="GX815" s="2494" t="str">
        <f t="shared" si="184"/>
        <v/>
      </c>
      <c r="GY815" s="2494" t="str">
        <f t="shared" si="185"/>
        <v/>
      </c>
      <c r="GZ815" s="2494" t="str">
        <f t="shared" si="186"/>
        <v/>
      </c>
      <c r="HA815" s="2494" t="str">
        <f t="shared" si="187"/>
        <v/>
      </c>
      <c r="HB815" s="2494" t="str">
        <f t="shared" si="188"/>
        <v/>
      </c>
      <c r="HC815" s="2494" t="str">
        <f t="shared" si="189"/>
        <v/>
      </c>
      <c r="HD815" s="2494" t="str">
        <f t="shared" si="190"/>
        <v/>
      </c>
      <c r="HE815" s="2494" t="str">
        <f t="shared" si="191"/>
        <v/>
      </c>
      <c r="HF815" s="2494" t="str">
        <f t="shared" si="192"/>
        <v/>
      </c>
      <c r="HG815" s="2494" t="str">
        <f t="shared" si="193"/>
        <v/>
      </c>
      <c r="HH815" s="2494" t="str">
        <f t="shared" si="194"/>
        <v/>
      </c>
      <c r="HI815" s="2494" t="str">
        <f t="shared" si="195"/>
        <v/>
      </c>
      <c r="HJ815" s="2494" t="str">
        <f t="shared" si="196"/>
        <v/>
      </c>
      <c r="HK815" s="2494" t="str">
        <f t="shared" si="197"/>
        <v/>
      </c>
      <c r="HL815" s="2494" t="str">
        <f t="shared" si="198"/>
        <v/>
      </c>
      <c r="HM815" s="2494" t="str">
        <f t="shared" si="199"/>
        <v/>
      </c>
      <c r="HN815" s="2494" t="str">
        <f t="shared" si="200"/>
        <v/>
      </c>
      <c r="HO815" s="2494" t="str">
        <f t="shared" si="201"/>
        <v/>
      </c>
      <c r="HP815" s="2494" t="str">
        <f t="shared" si="202"/>
        <v/>
      </c>
      <c r="HQ815" s="2494" t="str">
        <f t="shared" si="203"/>
        <v/>
      </c>
      <c r="HR815" s="2494" t="str">
        <f t="shared" si="204"/>
        <v/>
      </c>
      <c r="HS815" s="2494" t="str">
        <f t="shared" si="205"/>
        <v/>
      </c>
      <c r="HT815" s="2494" t="str">
        <f t="shared" si="206"/>
        <v/>
      </c>
      <c r="HU815" s="2494" t="str">
        <f t="shared" si="207"/>
        <v/>
      </c>
      <c r="HV815" s="2494" t="str">
        <f t="shared" si="208"/>
        <v/>
      </c>
      <c r="HW815" s="2494" t="str">
        <f t="shared" si="209"/>
        <v/>
      </c>
      <c r="HX815" s="2494" t="str">
        <f t="shared" si="210"/>
        <v/>
      </c>
      <c r="HY815" s="2494" t="str">
        <f t="shared" si="211"/>
        <v/>
      </c>
      <c r="HZ815" s="2672" t="str">
        <f t="shared" si="212"/>
        <v/>
      </c>
      <c r="IA815" s="2672" t="str">
        <f t="shared" si="213"/>
        <v/>
      </c>
      <c r="IB815" s="2672" t="str">
        <f t="shared" si="214"/>
        <v/>
      </c>
      <c r="IC815" s="2672" t="str">
        <f t="shared" si="215"/>
        <v/>
      </c>
      <c r="ID815" s="2672" t="str">
        <f t="shared" si="216"/>
        <v/>
      </c>
      <c r="IE815" s="2672" t="str">
        <f t="shared" si="217"/>
        <v/>
      </c>
      <c r="IF815" s="2672" t="str">
        <f t="shared" si="218"/>
        <v/>
      </c>
      <c r="IG815" s="2672" t="str">
        <f t="shared" si="219"/>
        <v/>
      </c>
      <c r="IH815" s="2672" t="str">
        <f t="shared" si="220"/>
        <v/>
      </c>
      <c r="II815" s="2672" t="str">
        <f t="shared" si="221"/>
        <v/>
      </c>
      <c r="IJ815" s="2672" t="str">
        <f t="shared" si="222"/>
        <v/>
      </c>
      <c r="IK815" s="2672" t="str">
        <f t="shared" si="223"/>
        <v/>
      </c>
      <c r="IL815" s="2672" t="str">
        <f t="shared" si="224"/>
        <v/>
      </c>
      <c r="IM815" s="2672" t="str">
        <f t="shared" si="225"/>
        <v/>
      </c>
      <c r="IN815" s="2672" t="str">
        <f t="shared" si="226"/>
        <v/>
      </c>
      <c r="IO815" s="2672" t="str">
        <f t="shared" si="227"/>
        <v/>
      </c>
      <c r="IP815" s="2672" t="str">
        <f t="shared" si="228"/>
        <v/>
      </c>
      <c r="IQ815" s="2672" t="str">
        <f t="shared" si="229"/>
        <v/>
      </c>
      <c r="IR815" s="2672" t="str">
        <f t="shared" si="230"/>
        <v/>
      </c>
      <c r="IS815" s="2672" t="str">
        <f t="shared" si="231"/>
        <v/>
      </c>
      <c r="IT815" s="2672" t="str">
        <f t="shared" si="232"/>
        <v/>
      </c>
      <c r="IU815" s="2672" t="str">
        <f t="shared" si="233"/>
        <v/>
      </c>
      <c r="IV815" s="2672" t="str">
        <f t="shared" si="234"/>
        <v/>
      </c>
      <c r="IW815" s="2672" t="str">
        <f t="shared" si="235"/>
        <v/>
      </c>
      <c r="IX815" s="2672" t="str">
        <f t="shared" si="236"/>
        <v/>
      </c>
      <c r="IY815" s="2672" t="str">
        <f t="shared" si="237"/>
        <v/>
      </c>
      <c r="IZ815" s="2672" t="str">
        <f t="shared" si="238"/>
        <v/>
      </c>
      <c r="JA815" s="2672" t="str">
        <f t="shared" si="239"/>
        <v/>
      </c>
      <c r="JB815" s="2672" t="str">
        <f t="shared" si="240"/>
        <v/>
      </c>
      <c r="JC815" s="2672" t="str">
        <f t="shared" si="241"/>
        <v/>
      </c>
      <c r="JD815" s="2672" t="str">
        <f t="shared" si="242"/>
        <v/>
      </c>
      <c r="JE815" s="2672" t="str">
        <f t="shared" si="243"/>
        <v/>
      </c>
      <c r="JF815" s="2672" t="str">
        <f t="shared" si="244"/>
        <v/>
      </c>
      <c r="JG815" s="2672" t="str">
        <f t="shared" si="245"/>
        <v/>
      </c>
      <c r="JH815" s="2672" t="str">
        <f t="shared" si="246"/>
        <v/>
      </c>
      <c r="JI815" s="2672" t="str">
        <f t="shared" si="247"/>
        <v/>
      </c>
      <c r="JJ815" s="2672" t="str">
        <f t="shared" si="248"/>
        <v/>
      </c>
      <c r="JK815" s="2672" t="str">
        <f t="shared" si="249"/>
        <v/>
      </c>
      <c r="JL815" s="2672" t="str">
        <f t="shared" si="250"/>
        <v/>
      </c>
      <c r="JM815" s="2672" t="str">
        <f t="shared" si="251"/>
        <v/>
      </c>
      <c r="JN815" s="2672" t="str">
        <f t="shared" si="252"/>
        <v/>
      </c>
      <c r="JO815" s="2672" t="str">
        <f t="shared" si="253"/>
        <v/>
      </c>
      <c r="JP815" s="2672" t="str">
        <f t="shared" si="254"/>
        <v/>
      </c>
      <c r="JQ815" s="2672" t="str">
        <f t="shared" si="255"/>
        <v/>
      </c>
      <c r="JR815" s="2672" t="str">
        <f t="shared" si="256"/>
        <v/>
      </c>
      <c r="JS815" s="2672" t="str">
        <f t="shared" si="257"/>
        <v/>
      </c>
      <c r="JT815" s="2672" t="str">
        <f t="shared" si="258"/>
        <v/>
      </c>
      <c r="JU815" s="2672" t="str">
        <f t="shared" si="259"/>
        <v/>
      </c>
      <c r="JV815" s="2672" t="str">
        <f t="shared" si="260"/>
        <v/>
      </c>
      <c r="JW815" s="2672" t="str">
        <f t="shared" si="261"/>
        <v/>
      </c>
      <c r="JX815" s="2672" t="str">
        <f t="shared" si="262"/>
        <v/>
      </c>
      <c r="JY815" s="2672" t="str">
        <f t="shared" si="263"/>
        <v/>
      </c>
      <c r="JZ815" s="2672" t="str">
        <f t="shared" si="264"/>
        <v/>
      </c>
      <c r="KA815" s="2672" t="str">
        <f t="shared" si="265"/>
        <v/>
      </c>
      <c r="KB815" s="2672" t="str">
        <f t="shared" si="266"/>
        <v/>
      </c>
      <c r="KC815" s="2672" t="str">
        <f t="shared" si="267"/>
        <v/>
      </c>
      <c r="KD815" s="2672" t="str">
        <f t="shared" si="268"/>
        <v/>
      </c>
      <c r="KE815" s="2672" t="str">
        <f t="shared" si="269"/>
        <v/>
      </c>
      <c r="KF815" s="2672" t="str">
        <f t="shared" si="270"/>
        <v/>
      </c>
      <c r="KG815" s="2672" t="str">
        <f t="shared" si="271"/>
        <v/>
      </c>
      <c r="KH815" s="2672" t="str">
        <f t="shared" si="272"/>
        <v/>
      </c>
      <c r="KI815" s="2672" t="str">
        <f t="shared" si="273"/>
        <v/>
      </c>
      <c r="KJ815" s="2672" t="str">
        <f t="shared" si="274"/>
        <v/>
      </c>
      <c r="KK815" s="2672" t="str">
        <f t="shared" si="275"/>
        <v/>
      </c>
      <c r="KL815" s="2672" t="str">
        <f t="shared" si="276"/>
        <v/>
      </c>
      <c r="KM815" s="2672" t="str">
        <f t="shared" si="277"/>
        <v/>
      </c>
      <c r="KN815" s="2672" t="str">
        <f t="shared" si="278"/>
        <v/>
      </c>
      <c r="KO815" s="2672" t="str">
        <f t="shared" si="279"/>
        <v/>
      </c>
      <c r="KP815" s="2672" t="str">
        <f t="shared" si="280"/>
        <v/>
      </c>
      <c r="KQ815" s="2672" t="str">
        <f t="shared" si="281"/>
        <v/>
      </c>
      <c r="KR815" s="2672" t="str">
        <f t="shared" si="282"/>
        <v/>
      </c>
      <c r="KS815" s="2672" t="str">
        <f t="shared" si="283"/>
        <v/>
      </c>
      <c r="KT815" s="2672" t="str">
        <f t="shared" si="284"/>
        <v/>
      </c>
      <c r="KU815" s="2672" t="str">
        <f t="shared" si="285"/>
        <v/>
      </c>
      <c r="KV815" s="2672" t="str">
        <f t="shared" si="286"/>
        <v/>
      </c>
      <c r="KW815" s="2672" t="str">
        <f t="shared" si="287"/>
        <v/>
      </c>
      <c r="KX815" s="2672" t="str">
        <f t="shared" si="288"/>
        <v/>
      </c>
      <c r="KY815" s="2672" t="str">
        <f t="shared" si="289"/>
        <v/>
      </c>
      <c r="KZ815" s="2672" t="str">
        <f t="shared" si="290"/>
        <v/>
      </c>
      <c r="LA815" s="2672" t="str">
        <f t="shared" si="291"/>
        <v/>
      </c>
      <c r="LB815" s="2672" t="str">
        <f t="shared" si="292"/>
        <v/>
      </c>
      <c r="LC815" s="2672" t="str">
        <f t="shared" si="293"/>
        <v/>
      </c>
      <c r="LD815" s="2672" t="str">
        <f t="shared" si="294"/>
        <v/>
      </c>
      <c r="LE815" s="2672" t="str">
        <f t="shared" si="295"/>
        <v/>
      </c>
      <c r="LF815" s="2672" t="str">
        <f t="shared" si="296"/>
        <v/>
      </c>
      <c r="LG815" s="2672" t="str">
        <f t="shared" si="297"/>
        <v/>
      </c>
      <c r="LH815" s="2672" t="str">
        <f t="shared" si="298"/>
        <v/>
      </c>
      <c r="LI815" s="2672" t="str">
        <f t="shared" si="299"/>
        <v/>
      </c>
      <c r="LJ815" s="2672" t="str">
        <f t="shared" si="300"/>
        <v/>
      </c>
      <c r="LK815" s="2672" t="str">
        <f t="shared" si="301"/>
        <v/>
      </c>
      <c r="LL815" s="2672" t="str">
        <f t="shared" si="302"/>
        <v/>
      </c>
      <c r="LM815" s="2672" t="str">
        <f t="shared" si="303"/>
        <v/>
      </c>
      <c r="LN815" s="2672" t="str">
        <f t="shared" si="304"/>
        <v/>
      </c>
      <c r="LO815" s="2672" t="str">
        <f t="shared" si="305"/>
        <v/>
      </c>
      <c r="LP815" s="2672" t="str">
        <f t="shared" si="306"/>
        <v/>
      </c>
      <c r="LQ815" s="2613" t="str">
        <f t="shared" si="307"/>
        <v/>
      </c>
      <c r="LR815" s="2613" t="str">
        <f t="shared" si="308"/>
        <v/>
      </c>
      <c r="LS815" s="2613" t="str">
        <f t="shared" si="309"/>
        <v/>
      </c>
      <c r="LT815" s="2613" t="str">
        <f t="shared" si="310"/>
        <v/>
      </c>
      <c r="LU815" s="2613" t="str">
        <f t="shared" si="311"/>
        <v/>
      </c>
      <c r="LV815" s="2494" t="str">
        <f t="shared" si="312"/>
        <v/>
      </c>
      <c r="LW815" s="2494" t="str">
        <f t="shared" si="313"/>
        <v/>
      </c>
      <c r="LX815" s="2494" t="str">
        <f t="shared" si="314"/>
        <v/>
      </c>
      <c r="LY815" s="2494" t="str">
        <f t="shared" si="315"/>
        <v/>
      </c>
      <c r="LZ815" s="2494" t="str">
        <f t="shared" si="316"/>
        <v/>
      </c>
      <c r="MA815" s="2494" t="str">
        <f t="shared" si="317"/>
        <v/>
      </c>
      <c r="MB815" s="2494" t="str">
        <f t="shared" si="318"/>
        <v/>
      </c>
      <c r="MC815" s="2494" t="str">
        <f t="shared" si="319"/>
        <v/>
      </c>
      <c r="MD815" s="2494" t="str">
        <f t="shared" si="320"/>
        <v/>
      </c>
      <c r="ME815" s="2494" t="str">
        <f t="shared" si="321"/>
        <v/>
      </c>
      <c r="MF815" s="2494" t="str">
        <f t="shared" si="322"/>
        <v/>
      </c>
      <c r="MG815" s="2494" t="str">
        <f t="shared" si="323"/>
        <v/>
      </c>
      <c r="MH815" s="2494" t="str">
        <f t="shared" si="324"/>
        <v/>
      </c>
      <c r="MI815" s="2494" t="str">
        <f t="shared" si="325"/>
        <v/>
      </c>
      <c r="MJ815" s="2494" t="str">
        <f t="shared" si="326"/>
        <v/>
      </c>
      <c r="MK815" s="2494" t="str">
        <f t="shared" si="327"/>
        <v/>
      </c>
      <c r="ML815" s="2494" t="str">
        <f t="shared" si="328"/>
        <v/>
      </c>
      <c r="MM815" s="2494" t="str">
        <f t="shared" si="329"/>
        <v/>
      </c>
      <c r="MN815" s="2494" t="str">
        <f t="shared" si="330"/>
        <v/>
      </c>
      <c r="MO815" s="2494" t="str">
        <f t="shared" si="331"/>
        <v/>
      </c>
      <c r="MP815" s="2613">
        <f t="shared" si="338"/>
        <v>0</v>
      </c>
      <c r="MQ815" s="2613">
        <f t="shared" si="339"/>
        <v>0</v>
      </c>
      <c r="MR815" s="2613">
        <f t="shared" si="340"/>
        <v>0</v>
      </c>
      <c r="MS815" s="2613">
        <f t="shared" si="341"/>
        <v>0</v>
      </c>
      <c r="MT815" s="2613">
        <f t="shared" si="342"/>
        <v>0</v>
      </c>
      <c r="MU815" s="2613">
        <f t="shared" si="343"/>
        <v>0</v>
      </c>
      <c r="MV815" s="2613">
        <f t="shared" si="344"/>
        <v>0</v>
      </c>
      <c r="MW815" s="2613">
        <f t="shared" si="345"/>
        <v>0</v>
      </c>
      <c r="MX815" s="2613">
        <f t="shared" si="346"/>
        <v>0</v>
      </c>
      <c r="MY815" s="2613">
        <f t="shared" si="347"/>
        <v>0</v>
      </c>
      <c r="MZ815" s="2613">
        <f t="shared" si="332"/>
        <v>0</v>
      </c>
      <c r="NA815" s="2613">
        <f t="shared" si="333"/>
        <v>0</v>
      </c>
      <c r="NB815" s="2613">
        <f t="shared" si="334"/>
        <v>0</v>
      </c>
      <c r="NC815" s="2613">
        <f t="shared" si="335"/>
        <v>0</v>
      </c>
      <c r="ND815" s="2613">
        <f t="shared" si="336"/>
        <v>0</v>
      </c>
    </row>
    <row r="816" spans="1:368" ht="13.8" customHeight="1">
      <c r="A816" s="2652" t="str">
        <f t="shared" si="337"/>
        <v/>
      </c>
      <c r="B816" s="2664">
        <f>'Part VI-Revenues &amp; Expenses'!B47</f>
        <v>0</v>
      </c>
      <c r="C816" s="2665">
        <f>'Part VI-Revenues &amp; Expenses'!C47</f>
        <v>0</v>
      </c>
      <c r="D816" s="2666">
        <f>'Part VI-Revenues &amp; Expenses'!D47</f>
        <v>0</v>
      </c>
      <c r="E816" s="2667">
        <f>'Part VI-Revenues &amp; Expenses'!E47</f>
        <v>0</v>
      </c>
      <c r="F816" s="2667">
        <f>'Part VI-Revenues &amp; Expenses'!F47</f>
        <v>0</v>
      </c>
      <c r="G816" s="2667">
        <f>'Part VI-Revenues &amp; Expenses'!G47</f>
        <v>0</v>
      </c>
      <c r="H816" s="2667">
        <f>'Part VI-Revenues &amp; Expenses'!H47</f>
        <v>0</v>
      </c>
      <c r="I816" s="2667">
        <f>'Part VI-Revenues &amp; Expenses'!I47</f>
        <v>0</v>
      </c>
      <c r="J816" s="2667">
        <f>'Part VI-Revenues &amp; Expenses'!J47</f>
        <v>0</v>
      </c>
      <c r="K816" s="2668">
        <f>'Part VI-Revenues &amp; Expenses'!K47</f>
        <v>0</v>
      </c>
      <c r="L816" s="2669">
        <f t="shared" si="0"/>
        <v>0</v>
      </c>
      <c r="M816" s="2669">
        <f t="shared" si="1"/>
        <v>0</v>
      </c>
      <c r="N816" s="2545">
        <f>'Part VI-Revenues &amp; Expenses'!N47</f>
        <v>0</v>
      </c>
      <c r="O816" s="2545">
        <f>'Part VI-Revenues &amp; Expenses'!O47</f>
        <v>0</v>
      </c>
      <c r="P816" s="2545">
        <f>'Part VI-Revenues &amp; Expenses'!P47</f>
        <v>0</v>
      </c>
      <c r="Q816" s="2251">
        <f>'Part VI-Revenues &amp; Expenses'!Q47</f>
        <v>0</v>
      </c>
      <c r="R816" s="2670"/>
      <c r="S816" s="2671"/>
      <c r="T816" s="2607"/>
      <c r="U816" s="2607"/>
      <c r="V816" s="2607"/>
      <c r="W816" s="2607"/>
      <c r="X816" s="2494" t="str">
        <f t="shared" si="2"/>
        <v/>
      </c>
      <c r="Y816" s="2494" t="str">
        <f t="shared" si="3"/>
        <v/>
      </c>
      <c r="Z816" s="2494" t="str">
        <f t="shared" si="4"/>
        <v/>
      </c>
      <c r="AA816" s="2494" t="str">
        <f t="shared" si="5"/>
        <v/>
      </c>
      <c r="AB816" s="2494" t="str">
        <f t="shared" si="6"/>
        <v/>
      </c>
      <c r="AC816" s="2494" t="str">
        <f t="shared" si="7"/>
        <v/>
      </c>
      <c r="AD816" s="2494" t="str">
        <f t="shared" si="8"/>
        <v/>
      </c>
      <c r="AE816" s="2494" t="str">
        <f t="shared" si="9"/>
        <v/>
      </c>
      <c r="AF816" s="2494" t="str">
        <f t="shared" si="10"/>
        <v/>
      </c>
      <c r="AG816" s="2494" t="str">
        <f t="shared" si="11"/>
        <v/>
      </c>
      <c r="AH816" s="2494" t="str">
        <f t="shared" si="12"/>
        <v/>
      </c>
      <c r="AI816" s="2494" t="str">
        <f t="shared" si="13"/>
        <v/>
      </c>
      <c r="AJ816" s="2494" t="str">
        <f t="shared" si="14"/>
        <v/>
      </c>
      <c r="AK816" s="2494" t="str">
        <f t="shared" si="15"/>
        <v/>
      </c>
      <c r="AL816" s="2494" t="str">
        <f t="shared" si="16"/>
        <v/>
      </c>
      <c r="AM816" s="2494" t="str">
        <f t="shared" si="17"/>
        <v/>
      </c>
      <c r="AN816" s="2494" t="str">
        <f t="shared" si="18"/>
        <v/>
      </c>
      <c r="AO816" s="2494" t="str">
        <f t="shared" si="19"/>
        <v/>
      </c>
      <c r="AP816" s="2494" t="str">
        <f t="shared" si="20"/>
        <v/>
      </c>
      <c r="AQ816" s="2494" t="str">
        <f t="shared" si="21"/>
        <v/>
      </c>
      <c r="AR816" s="2494" t="str">
        <f t="shared" si="22"/>
        <v/>
      </c>
      <c r="AS816" s="2494" t="str">
        <f t="shared" si="23"/>
        <v/>
      </c>
      <c r="AT816" s="2494" t="str">
        <f t="shared" si="24"/>
        <v/>
      </c>
      <c r="AU816" s="2494" t="str">
        <f t="shared" si="25"/>
        <v/>
      </c>
      <c r="AV816" s="2494" t="str">
        <f t="shared" si="26"/>
        <v/>
      </c>
      <c r="AW816" s="2494" t="str">
        <f t="shared" si="27"/>
        <v/>
      </c>
      <c r="AX816" s="2494" t="str">
        <f t="shared" si="28"/>
        <v/>
      </c>
      <c r="AY816" s="2494" t="str">
        <f t="shared" si="29"/>
        <v/>
      </c>
      <c r="AZ816" s="2494" t="str">
        <f t="shared" si="30"/>
        <v/>
      </c>
      <c r="BA816" s="2494" t="str">
        <f t="shared" si="31"/>
        <v/>
      </c>
      <c r="BB816" s="2494" t="str">
        <f t="shared" si="32"/>
        <v/>
      </c>
      <c r="BC816" s="2494" t="str">
        <f t="shared" si="33"/>
        <v/>
      </c>
      <c r="BD816" s="2494" t="str">
        <f t="shared" si="34"/>
        <v/>
      </c>
      <c r="BE816" s="2494" t="str">
        <f t="shared" si="35"/>
        <v/>
      </c>
      <c r="BF816" s="2494" t="str">
        <f t="shared" si="36"/>
        <v/>
      </c>
      <c r="BG816" s="2494" t="str">
        <f t="shared" si="37"/>
        <v/>
      </c>
      <c r="BH816" s="2494" t="str">
        <f t="shared" si="38"/>
        <v/>
      </c>
      <c r="BI816" s="2494" t="str">
        <f t="shared" si="39"/>
        <v/>
      </c>
      <c r="BJ816" s="2494" t="str">
        <f t="shared" si="40"/>
        <v/>
      </c>
      <c r="BK816" s="2494" t="str">
        <f t="shared" si="41"/>
        <v/>
      </c>
      <c r="BL816" s="2494" t="str">
        <f t="shared" si="42"/>
        <v/>
      </c>
      <c r="BM816" s="2494" t="str">
        <f t="shared" si="43"/>
        <v/>
      </c>
      <c r="BN816" s="2494" t="str">
        <f t="shared" si="44"/>
        <v/>
      </c>
      <c r="BO816" s="2494" t="str">
        <f t="shared" si="45"/>
        <v/>
      </c>
      <c r="BP816" s="2494" t="str">
        <f t="shared" si="46"/>
        <v/>
      </c>
      <c r="BQ816" s="2494" t="str">
        <f t="shared" si="47"/>
        <v/>
      </c>
      <c r="BR816" s="2494" t="str">
        <f t="shared" si="48"/>
        <v/>
      </c>
      <c r="BS816" s="2494" t="str">
        <f t="shared" si="49"/>
        <v/>
      </c>
      <c r="BT816" s="2494" t="str">
        <f t="shared" si="50"/>
        <v/>
      </c>
      <c r="BU816" s="2494" t="str">
        <f t="shared" si="51"/>
        <v/>
      </c>
      <c r="BV816" s="2494" t="str">
        <f t="shared" si="52"/>
        <v/>
      </c>
      <c r="BW816" s="2494" t="str">
        <f t="shared" si="53"/>
        <v/>
      </c>
      <c r="BX816" s="2494" t="str">
        <f t="shared" si="54"/>
        <v/>
      </c>
      <c r="BY816" s="2494" t="str">
        <f t="shared" si="55"/>
        <v/>
      </c>
      <c r="BZ816" s="2494" t="str">
        <f t="shared" si="56"/>
        <v/>
      </c>
      <c r="CA816" s="2494" t="str">
        <f t="shared" si="57"/>
        <v/>
      </c>
      <c r="CB816" s="2494" t="str">
        <f t="shared" si="58"/>
        <v/>
      </c>
      <c r="CC816" s="2494" t="str">
        <f t="shared" si="59"/>
        <v/>
      </c>
      <c r="CD816" s="2494" t="str">
        <f t="shared" si="60"/>
        <v/>
      </c>
      <c r="CE816" s="2494" t="str">
        <f t="shared" si="61"/>
        <v/>
      </c>
      <c r="CF816" s="2494" t="str">
        <f t="shared" si="62"/>
        <v/>
      </c>
      <c r="CG816" s="2494" t="str">
        <f t="shared" si="63"/>
        <v/>
      </c>
      <c r="CH816" s="2494" t="str">
        <f t="shared" si="64"/>
        <v/>
      </c>
      <c r="CI816" s="2494" t="str">
        <f t="shared" si="65"/>
        <v/>
      </c>
      <c r="CJ816" s="2494" t="str">
        <f t="shared" si="66"/>
        <v/>
      </c>
      <c r="CK816" s="2494" t="str">
        <f t="shared" si="67"/>
        <v/>
      </c>
      <c r="CL816" s="2494" t="str">
        <f t="shared" si="68"/>
        <v/>
      </c>
      <c r="CM816" s="2494" t="str">
        <f t="shared" si="69"/>
        <v/>
      </c>
      <c r="CN816" s="2494" t="str">
        <f t="shared" si="70"/>
        <v/>
      </c>
      <c r="CO816" s="2494" t="str">
        <f t="shared" si="71"/>
        <v/>
      </c>
      <c r="CP816" s="2494" t="str">
        <f t="shared" si="72"/>
        <v/>
      </c>
      <c r="CQ816" s="2494" t="str">
        <f t="shared" si="73"/>
        <v/>
      </c>
      <c r="CR816" s="2494" t="str">
        <f t="shared" si="74"/>
        <v/>
      </c>
      <c r="CS816" s="2494" t="str">
        <f t="shared" si="75"/>
        <v/>
      </c>
      <c r="CT816" s="2494" t="str">
        <f t="shared" si="76"/>
        <v/>
      </c>
      <c r="CU816" s="2494" t="str">
        <f t="shared" si="77"/>
        <v/>
      </c>
      <c r="CV816" s="2494" t="str">
        <f t="shared" si="78"/>
        <v/>
      </c>
      <c r="CW816" s="2494" t="str">
        <f t="shared" si="79"/>
        <v/>
      </c>
      <c r="CX816" s="2494" t="str">
        <f t="shared" si="80"/>
        <v/>
      </c>
      <c r="CY816" s="2494" t="str">
        <f t="shared" si="81"/>
        <v/>
      </c>
      <c r="CZ816" s="2494" t="str">
        <f t="shared" si="82"/>
        <v/>
      </c>
      <c r="DA816" s="2494" t="str">
        <f t="shared" si="83"/>
        <v/>
      </c>
      <c r="DB816" s="2494" t="str">
        <f t="shared" si="84"/>
        <v/>
      </c>
      <c r="DC816" s="2494" t="str">
        <f t="shared" si="85"/>
        <v/>
      </c>
      <c r="DD816" s="2494" t="str">
        <f t="shared" si="86"/>
        <v/>
      </c>
      <c r="DE816" s="2494" t="str">
        <f t="shared" si="87"/>
        <v/>
      </c>
      <c r="DF816" s="2494" t="str">
        <f t="shared" si="88"/>
        <v/>
      </c>
      <c r="DG816" s="2494" t="str">
        <f t="shared" si="89"/>
        <v/>
      </c>
      <c r="DH816" s="2494" t="str">
        <f t="shared" si="90"/>
        <v/>
      </c>
      <c r="DI816" s="2494" t="str">
        <f t="shared" si="91"/>
        <v/>
      </c>
      <c r="DJ816" s="2494" t="str">
        <f t="shared" si="92"/>
        <v/>
      </c>
      <c r="DK816" s="2494" t="str">
        <f t="shared" si="93"/>
        <v/>
      </c>
      <c r="DL816" s="2494" t="str">
        <f t="shared" si="94"/>
        <v/>
      </c>
      <c r="DM816" s="2494" t="str">
        <f t="shared" si="95"/>
        <v/>
      </c>
      <c r="DN816" s="2494" t="str">
        <f t="shared" si="96"/>
        <v/>
      </c>
      <c r="DO816" s="2494" t="str">
        <f t="shared" si="97"/>
        <v/>
      </c>
      <c r="DP816" s="2494" t="str">
        <f t="shared" si="98"/>
        <v/>
      </c>
      <c r="DQ816" s="2494" t="str">
        <f t="shared" si="99"/>
        <v/>
      </c>
      <c r="DR816" s="2494" t="str">
        <f t="shared" si="100"/>
        <v/>
      </c>
      <c r="DS816" s="2494" t="str">
        <f t="shared" si="101"/>
        <v/>
      </c>
      <c r="DT816" s="2494" t="str">
        <f t="shared" si="102"/>
        <v/>
      </c>
      <c r="DU816" s="2494" t="str">
        <f t="shared" si="103"/>
        <v/>
      </c>
      <c r="DV816" s="2494" t="str">
        <f t="shared" si="104"/>
        <v/>
      </c>
      <c r="DW816" s="2494" t="str">
        <f t="shared" si="105"/>
        <v/>
      </c>
      <c r="DX816" s="2494" t="str">
        <f t="shared" si="106"/>
        <v/>
      </c>
      <c r="DY816" s="2494" t="str">
        <f t="shared" si="107"/>
        <v/>
      </c>
      <c r="DZ816" s="2494" t="str">
        <f t="shared" si="108"/>
        <v/>
      </c>
      <c r="EA816" s="2494" t="str">
        <f t="shared" si="109"/>
        <v/>
      </c>
      <c r="EB816" s="2494" t="str">
        <f t="shared" si="110"/>
        <v/>
      </c>
      <c r="EC816" s="2494" t="str">
        <f t="shared" si="111"/>
        <v/>
      </c>
      <c r="ED816" s="2494" t="str">
        <f t="shared" si="112"/>
        <v/>
      </c>
      <c r="EE816" s="2494" t="str">
        <f t="shared" si="113"/>
        <v/>
      </c>
      <c r="EF816" s="2494" t="str">
        <f t="shared" si="114"/>
        <v/>
      </c>
      <c r="EG816" s="2494" t="str">
        <f t="shared" si="115"/>
        <v/>
      </c>
      <c r="EH816" s="2494" t="str">
        <f t="shared" si="116"/>
        <v/>
      </c>
      <c r="EI816" s="2494" t="str">
        <f t="shared" si="117"/>
        <v/>
      </c>
      <c r="EJ816" s="2494" t="str">
        <f t="shared" si="118"/>
        <v/>
      </c>
      <c r="EK816" s="2494" t="str">
        <f t="shared" si="119"/>
        <v/>
      </c>
      <c r="EL816" s="2494" t="str">
        <f t="shared" si="120"/>
        <v/>
      </c>
      <c r="EM816" s="2494" t="str">
        <f t="shared" si="121"/>
        <v/>
      </c>
      <c r="EN816" s="2494" t="str">
        <f t="shared" si="122"/>
        <v/>
      </c>
      <c r="EO816" s="2494" t="str">
        <f t="shared" si="123"/>
        <v/>
      </c>
      <c r="EP816" s="2494" t="str">
        <f t="shared" si="124"/>
        <v/>
      </c>
      <c r="EQ816" s="2494" t="str">
        <f t="shared" si="125"/>
        <v/>
      </c>
      <c r="ER816" s="2494" t="str">
        <f t="shared" si="126"/>
        <v/>
      </c>
      <c r="ES816" s="2494" t="str">
        <f t="shared" si="127"/>
        <v/>
      </c>
      <c r="ET816" s="2494" t="str">
        <f t="shared" si="128"/>
        <v/>
      </c>
      <c r="EU816" s="2494" t="str">
        <f t="shared" si="129"/>
        <v/>
      </c>
      <c r="EV816" s="2494" t="str">
        <f t="shared" si="130"/>
        <v/>
      </c>
      <c r="EW816" s="2494" t="str">
        <f t="shared" si="131"/>
        <v/>
      </c>
      <c r="EX816" s="2494" t="str">
        <f t="shared" si="132"/>
        <v/>
      </c>
      <c r="EY816" s="2494" t="str">
        <f t="shared" si="133"/>
        <v/>
      </c>
      <c r="EZ816" s="2494" t="str">
        <f t="shared" si="134"/>
        <v/>
      </c>
      <c r="FA816" s="2494" t="str">
        <f t="shared" si="135"/>
        <v/>
      </c>
      <c r="FB816" s="2494" t="str">
        <f t="shared" si="136"/>
        <v/>
      </c>
      <c r="FC816" s="2494" t="str">
        <f t="shared" si="137"/>
        <v/>
      </c>
      <c r="FD816" s="2494" t="str">
        <f t="shared" si="138"/>
        <v/>
      </c>
      <c r="FE816" s="2494" t="str">
        <f t="shared" si="139"/>
        <v/>
      </c>
      <c r="FF816" s="2494" t="str">
        <f t="shared" si="140"/>
        <v/>
      </c>
      <c r="FG816" s="2494" t="str">
        <f t="shared" si="141"/>
        <v/>
      </c>
      <c r="FH816" s="2494" t="str">
        <f t="shared" si="142"/>
        <v/>
      </c>
      <c r="FI816" s="2494" t="str">
        <f t="shared" si="143"/>
        <v/>
      </c>
      <c r="FJ816" s="2494" t="str">
        <f t="shared" si="144"/>
        <v/>
      </c>
      <c r="FK816" s="2494" t="str">
        <f t="shared" si="145"/>
        <v/>
      </c>
      <c r="FL816" s="2494" t="str">
        <f t="shared" si="146"/>
        <v/>
      </c>
      <c r="FM816" s="2494" t="str">
        <f t="shared" si="147"/>
        <v/>
      </c>
      <c r="FN816" s="2494" t="str">
        <f t="shared" si="148"/>
        <v/>
      </c>
      <c r="FO816" s="2494" t="str">
        <f t="shared" si="149"/>
        <v/>
      </c>
      <c r="FP816" s="2494" t="str">
        <f t="shared" si="150"/>
        <v/>
      </c>
      <c r="FQ816" s="2494" t="str">
        <f t="shared" si="151"/>
        <v/>
      </c>
      <c r="FR816" s="2494" t="str">
        <f t="shared" si="152"/>
        <v/>
      </c>
      <c r="FS816" s="2494" t="str">
        <f t="shared" si="153"/>
        <v/>
      </c>
      <c r="FT816" s="2494" t="str">
        <f t="shared" si="154"/>
        <v/>
      </c>
      <c r="FU816" s="2494" t="str">
        <f t="shared" si="155"/>
        <v/>
      </c>
      <c r="FV816" s="2494" t="str">
        <f t="shared" si="156"/>
        <v/>
      </c>
      <c r="FW816" s="2494" t="str">
        <f t="shared" si="157"/>
        <v/>
      </c>
      <c r="FX816" s="2494" t="str">
        <f t="shared" si="158"/>
        <v/>
      </c>
      <c r="FY816" s="2494" t="str">
        <f t="shared" si="159"/>
        <v/>
      </c>
      <c r="FZ816" s="2494" t="str">
        <f t="shared" si="160"/>
        <v/>
      </c>
      <c r="GA816" s="2494" t="str">
        <f t="shared" si="161"/>
        <v/>
      </c>
      <c r="GB816" s="2494" t="str">
        <f t="shared" si="162"/>
        <v/>
      </c>
      <c r="GC816" s="2494" t="str">
        <f t="shared" si="163"/>
        <v/>
      </c>
      <c r="GD816" s="2494" t="str">
        <f t="shared" si="164"/>
        <v/>
      </c>
      <c r="GE816" s="2494" t="str">
        <f t="shared" si="165"/>
        <v/>
      </c>
      <c r="GF816" s="2494" t="str">
        <f t="shared" si="166"/>
        <v/>
      </c>
      <c r="GG816" s="2494" t="str">
        <f t="shared" si="167"/>
        <v/>
      </c>
      <c r="GH816" s="2494" t="str">
        <f t="shared" si="168"/>
        <v/>
      </c>
      <c r="GI816" s="2494" t="str">
        <f t="shared" si="169"/>
        <v/>
      </c>
      <c r="GJ816" s="2494" t="str">
        <f t="shared" si="170"/>
        <v/>
      </c>
      <c r="GK816" s="2494" t="str">
        <f t="shared" si="171"/>
        <v/>
      </c>
      <c r="GL816" s="2494" t="str">
        <f t="shared" si="172"/>
        <v/>
      </c>
      <c r="GM816" s="2494" t="str">
        <f t="shared" si="173"/>
        <v/>
      </c>
      <c r="GN816" s="2494" t="str">
        <f t="shared" si="174"/>
        <v/>
      </c>
      <c r="GO816" s="2494" t="str">
        <f t="shared" si="175"/>
        <v/>
      </c>
      <c r="GP816" s="2494" t="str">
        <f t="shared" si="176"/>
        <v/>
      </c>
      <c r="GQ816" s="2494" t="str">
        <f t="shared" si="177"/>
        <v/>
      </c>
      <c r="GR816" s="2494" t="str">
        <f t="shared" si="178"/>
        <v/>
      </c>
      <c r="GS816" s="2494" t="str">
        <f t="shared" si="179"/>
        <v/>
      </c>
      <c r="GT816" s="2494" t="str">
        <f t="shared" si="180"/>
        <v/>
      </c>
      <c r="GU816" s="2494" t="str">
        <f t="shared" si="181"/>
        <v/>
      </c>
      <c r="GV816" s="2494" t="str">
        <f t="shared" si="182"/>
        <v/>
      </c>
      <c r="GW816" s="2494" t="str">
        <f t="shared" si="183"/>
        <v/>
      </c>
      <c r="GX816" s="2494" t="str">
        <f t="shared" si="184"/>
        <v/>
      </c>
      <c r="GY816" s="2494" t="str">
        <f t="shared" si="185"/>
        <v/>
      </c>
      <c r="GZ816" s="2494" t="str">
        <f t="shared" si="186"/>
        <v/>
      </c>
      <c r="HA816" s="2494" t="str">
        <f t="shared" si="187"/>
        <v/>
      </c>
      <c r="HB816" s="2494" t="str">
        <f t="shared" si="188"/>
        <v/>
      </c>
      <c r="HC816" s="2494" t="str">
        <f t="shared" si="189"/>
        <v/>
      </c>
      <c r="HD816" s="2494" t="str">
        <f t="shared" si="190"/>
        <v/>
      </c>
      <c r="HE816" s="2494" t="str">
        <f t="shared" si="191"/>
        <v/>
      </c>
      <c r="HF816" s="2494" t="str">
        <f t="shared" si="192"/>
        <v/>
      </c>
      <c r="HG816" s="2494" t="str">
        <f t="shared" si="193"/>
        <v/>
      </c>
      <c r="HH816" s="2494" t="str">
        <f t="shared" si="194"/>
        <v/>
      </c>
      <c r="HI816" s="2494" t="str">
        <f t="shared" si="195"/>
        <v/>
      </c>
      <c r="HJ816" s="2494" t="str">
        <f t="shared" si="196"/>
        <v/>
      </c>
      <c r="HK816" s="2494" t="str">
        <f t="shared" si="197"/>
        <v/>
      </c>
      <c r="HL816" s="2494" t="str">
        <f t="shared" si="198"/>
        <v/>
      </c>
      <c r="HM816" s="2494" t="str">
        <f t="shared" si="199"/>
        <v/>
      </c>
      <c r="HN816" s="2494" t="str">
        <f t="shared" si="200"/>
        <v/>
      </c>
      <c r="HO816" s="2494" t="str">
        <f t="shared" si="201"/>
        <v/>
      </c>
      <c r="HP816" s="2494" t="str">
        <f t="shared" si="202"/>
        <v/>
      </c>
      <c r="HQ816" s="2494" t="str">
        <f t="shared" si="203"/>
        <v/>
      </c>
      <c r="HR816" s="2494" t="str">
        <f t="shared" si="204"/>
        <v/>
      </c>
      <c r="HS816" s="2494" t="str">
        <f t="shared" si="205"/>
        <v/>
      </c>
      <c r="HT816" s="2494" t="str">
        <f t="shared" si="206"/>
        <v/>
      </c>
      <c r="HU816" s="2494" t="str">
        <f t="shared" si="207"/>
        <v/>
      </c>
      <c r="HV816" s="2494" t="str">
        <f t="shared" si="208"/>
        <v/>
      </c>
      <c r="HW816" s="2494" t="str">
        <f t="shared" si="209"/>
        <v/>
      </c>
      <c r="HX816" s="2494" t="str">
        <f t="shared" si="210"/>
        <v/>
      </c>
      <c r="HY816" s="2494" t="str">
        <f t="shared" si="211"/>
        <v/>
      </c>
      <c r="HZ816" s="2672" t="str">
        <f t="shared" si="212"/>
        <v/>
      </c>
      <c r="IA816" s="2672" t="str">
        <f t="shared" si="213"/>
        <v/>
      </c>
      <c r="IB816" s="2672" t="str">
        <f t="shared" si="214"/>
        <v/>
      </c>
      <c r="IC816" s="2672" t="str">
        <f t="shared" si="215"/>
        <v/>
      </c>
      <c r="ID816" s="2672" t="str">
        <f t="shared" si="216"/>
        <v/>
      </c>
      <c r="IE816" s="2672" t="str">
        <f t="shared" si="217"/>
        <v/>
      </c>
      <c r="IF816" s="2672" t="str">
        <f t="shared" si="218"/>
        <v/>
      </c>
      <c r="IG816" s="2672" t="str">
        <f t="shared" si="219"/>
        <v/>
      </c>
      <c r="IH816" s="2672" t="str">
        <f t="shared" si="220"/>
        <v/>
      </c>
      <c r="II816" s="2672" t="str">
        <f t="shared" si="221"/>
        <v/>
      </c>
      <c r="IJ816" s="2672" t="str">
        <f t="shared" si="222"/>
        <v/>
      </c>
      <c r="IK816" s="2672" t="str">
        <f t="shared" si="223"/>
        <v/>
      </c>
      <c r="IL816" s="2672" t="str">
        <f t="shared" si="224"/>
        <v/>
      </c>
      <c r="IM816" s="2672" t="str">
        <f t="shared" si="225"/>
        <v/>
      </c>
      <c r="IN816" s="2672" t="str">
        <f t="shared" si="226"/>
        <v/>
      </c>
      <c r="IO816" s="2672" t="str">
        <f t="shared" si="227"/>
        <v/>
      </c>
      <c r="IP816" s="2672" t="str">
        <f t="shared" si="228"/>
        <v/>
      </c>
      <c r="IQ816" s="2672" t="str">
        <f t="shared" si="229"/>
        <v/>
      </c>
      <c r="IR816" s="2672" t="str">
        <f t="shared" si="230"/>
        <v/>
      </c>
      <c r="IS816" s="2672" t="str">
        <f t="shared" si="231"/>
        <v/>
      </c>
      <c r="IT816" s="2672" t="str">
        <f t="shared" si="232"/>
        <v/>
      </c>
      <c r="IU816" s="2672" t="str">
        <f t="shared" si="233"/>
        <v/>
      </c>
      <c r="IV816" s="2672" t="str">
        <f t="shared" si="234"/>
        <v/>
      </c>
      <c r="IW816" s="2672" t="str">
        <f t="shared" si="235"/>
        <v/>
      </c>
      <c r="IX816" s="2672" t="str">
        <f t="shared" si="236"/>
        <v/>
      </c>
      <c r="IY816" s="2672" t="str">
        <f t="shared" si="237"/>
        <v/>
      </c>
      <c r="IZ816" s="2672" t="str">
        <f t="shared" si="238"/>
        <v/>
      </c>
      <c r="JA816" s="2672" t="str">
        <f t="shared" si="239"/>
        <v/>
      </c>
      <c r="JB816" s="2672" t="str">
        <f t="shared" si="240"/>
        <v/>
      </c>
      <c r="JC816" s="2672" t="str">
        <f t="shared" si="241"/>
        <v/>
      </c>
      <c r="JD816" s="2672" t="str">
        <f t="shared" si="242"/>
        <v/>
      </c>
      <c r="JE816" s="2672" t="str">
        <f t="shared" si="243"/>
        <v/>
      </c>
      <c r="JF816" s="2672" t="str">
        <f t="shared" si="244"/>
        <v/>
      </c>
      <c r="JG816" s="2672" t="str">
        <f t="shared" si="245"/>
        <v/>
      </c>
      <c r="JH816" s="2672" t="str">
        <f t="shared" si="246"/>
        <v/>
      </c>
      <c r="JI816" s="2672" t="str">
        <f t="shared" si="247"/>
        <v/>
      </c>
      <c r="JJ816" s="2672" t="str">
        <f t="shared" si="248"/>
        <v/>
      </c>
      <c r="JK816" s="2672" t="str">
        <f t="shared" si="249"/>
        <v/>
      </c>
      <c r="JL816" s="2672" t="str">
        <f t="shared" si="250"/>
        <v/>
      </c>
      <c r="JM816" s="2672" t="str">
        <f t="shared" si="251"/>
        <v/>
      </c>
      <c r="JN816" s="2672" t="str">
        <f t="shared" si="252"/>
        <v/>
      </c>
      <c r="JO816" s="2672" t="str">
        <f t="shared" si="253"/>
        <v/>
      </c>
      <c r="JP816" s="2672" t="str">
        <f t="shared" si="254"/>
        <v/>
      </c>
      <c r="JQ816" s="2672" t="str">
        <f t="shared" si="255"/>
        <v/>
      </c>
      <c r="JR816" s="2672" t="str">
        <f t="shared" si="256"/>
        <v/>
      </c>
      <c r="JS816" s="2672" t="str">
        <f t="shared" si="257"/>
        <v/>
      </c>
      <c r="JT816" s="2672" t="str">
        <f t="shared" si="258"/>
        <v/>
      </c>
      <c r="JU816" s="2672" t="str">
        <f t="shared" si="259"/>
        <v/>
      </c>
      <c r="JV816" s="2672" t="str">
        <f t="shared" si="260"/>
        <v/>
      </c>
      <c r="JW816" s="2672" t="str">
        <f t="shared" si="261"/>
        <v/>
      </c>
      <c r="JX816" s="2672" t="str">
        <f t="shared" si="262"/>
        <v/>
      </c>
      <c r="JY816" s="2672" t="str">
        <f t="shared" si="263"/>
        <v/>
      </c>
      <c r="JZ816" s="2672" t="str">
        <f t="shared" si="264"/>
        <v/>
      </c>
      <c r="KA816" s="2672" t="str">
        <f t="shared" si="265"/>
        <v/>
      </c>
      <c r="KB816" s="2672" t="str">
        <f t="shared" si="266"/>
        <v/>
      </c>
      <c r="KC816" s="2672" t="str">
        <f t="shared" si="267"/>
        <v/>
      </c>
      <c r="KD816" s="2672" t="str">
        <f t="shared" si="268"/>
        <v/>
      </c>
      <c r="KE816" s="2672" t="str">
        <f t="shared" si="269"/>
        <v/>
      </c>
      <c r="KF816" s="2672" t="str">
        <f t="shared" si="270"/>
        <v/>
      </c>
      <c r="KG816" s="2672" t="str">
        <f t="shared" si="271"/>
        <v/>
      </c>
      <c r="KH816" s="2672" t="str">
        <f t="shared" si="272"/>
        <v/>
      </c>
      <c r="KI816" s="2672" t="str">
        <f t="shared" si="273"/>
        <v/>
      </c>
      <c r="KJ816" s="2672" t="str">
        <f t="shared" si="274"/>
        <v/>
      </c>
      <c r="KK816" s="2672" t="str">
        <f t="shared" si="275"/>
        <v/>
      </c>
      <c r="KL816" s="2672" t="str">
        <f t="shared" si="276"/>
        <v/>
      </c>
      <c r="KM816" s="2672" t="str">
        <f t="shared" si="277"/>
        <v/>
      </c>
      <c r="KN816" s="2672" t="str">
        <f t="shared" si="278"/>
        <v/>
      </c>
      <c r="KO816" s="2672" t="str">
        <f t="shared" si="279"/>
        <v/>
      </c>
      <c r="KP816" s="2672" t="str">
        <f t="shared" si="280"/>
        <v/>
      </c>
      <c r="KQ816" s="2672" t="str">
        <f t="shared" si="281"/>
        <v/>
      </c>
      <c r="KR816" s="2672" t="str">
        <f t="shared" si="282"/>
        <v/>
      </c>
      <c r="KS816" s="2672" t="str">
        <f t="shared" si="283"/>
        <v/>
      </c>
      <c r="KT816" s="2672" t="str">
        <f t="shared" si="284"/>
        <v/>
      </c>
      <c r="KU816" s="2672" t="str">
        <f t="shared" si="285"/>
        <v/>
      </c>
      <c r="KV816" s="2672" t="str">
        <f t="shared" si="286"/>
        <v/>
      </c>
      <c r="KW816" s="2672" t="str">
        <f t="shared" si="287"/>
        <v/>
      </c>
      <c r="KX816" s="2672" t="str">
        <f t="shared" si="288"/>
        <v/>
      </c>
      <c r="KY816" s="2672" t="str">
        <f t="shared" si="289"/>
        <v/>
      </c>
      <c r="KZ816" s="2672" t="str">
        <f t="shared" si="290"/>
        <v/>
      </c>
      <c r="LA816" s="2672" t="str">
        <f t="shared" si="291"/>
        <v/>
      </c>
      <c r="LB816" s="2672" t="str">
        <f t="shared" si="292"/>
        <v/>
      </c>
      <c r="LC816" s="2672" t="str">
        <f t="shared" si="293"/>
        <v/>
      </c>
      <c r="LD816" s="2672" t="str">
        <f t="shared" si="294"/>
        <v/>
      </c>
      <c r="LE816" s="2672" t="str">
        <f t="shared" si="295"/>
        <v/>
      </c>
      <c r="LF816" s="2672" t="str">
        <f t="shared" si="296"/>
        <v/>
      </c>
      <c r="LG816" s="2672" t="str">
        <f t="shared" si="297"/>
        <v/>
      </c>
      <c r="LH816" s="2672" t="str">
        <f t="shared" si="298"/>
        <v/>
      </c>
      <c r="LI816" s="2672" t="str">
        <f t="shared" si="299"/>
        <v/>
      </c>
      <c r="LJ816" s="2672" t="str">
        <f t="shared" si="300"/>
        <v/>
      </c>
      <c r="LK816" s="2672" t="str">
        <f t="shared" si="301"/>
        <v/>
      </c>
      <c r="LL816" s="2672" t="str">
        <f t="shared" si="302"/>
        <v/>
      </c>
      <c r="LM816" s="2672" t="str">
        <f t="shared" si="303"/>
        <v/>
      </c>
      <c r="LN816" s="2672" t="str">
        <f t="shared" si="304"/>
        <v/>
      </c>
      <c r="LO816" s="2672" t="str">
        <f t="shared" si="305"/>
        <v/>
      </c>
      <c r="LP816" s="2672" t="str">
        <f t="shared" si="306"/>
        <v/>
      </c>
      <c r="LQ816" s="2613" t="str">
        <f t="shared" si="307"/>
        <v/>
      </c>
      <c r="LR816" s="2613" t="str">
        <f t="shared" si="308"/>
        <v/>
      </c>
      <c r="LS816" s="2613" t="str">
        <f t="shared" si="309"/>
        <v/>
      </c>
      <c r="LT816" s="2613" t="str">
        <f t="shared" si="310"/>
        <v/>
      </c>
      <c r="LU816" s="2613" t="str">
        <f t="shared" si="311"/>
        <v/>
      </c>
      <c r="LV816" s="2494" t="str">
        <f t="shared" si="312"/>
        <v/>
      </c>
      <c r="LW816" s="2494" t="str">
        <f t="shared" si="313"/>
        <v/>
      </c>
      <c r="LX816" s="2494" t="str">
        <f t="shared" si="314"/>
        <v/>
      </c>
      <c r="LY816" s="2494" t="str">
        <f t="shared" si="315"/>
        <v/>
      </c>
      <c r="LZ816" s="2494" t="str">
        <f t="shared" si="316"/>
        <v/>
      </c>
      <c r="MA816" s="2494" t="str">
        <f t="shared" si="317"/>
        <v/>
      </c>
      <c r="MB816" s="2494" t="str">
        <f t="shared" si="318"/>
        <v/>
      </c>
      <c r="MC816" s="2494" t="str">
        <f t="shared" si="319"/>
        <v/>
      </c>
      <c r="MD816" s="2494" t="str">
        <f t="shared" si="320"/>
        <v/>
      </c>
      <c r="ME816" s="2494" t="str">
        <f t="shared" si="321"/>
        <v/>
      </c>
      <c r="MF816" s="2494" t="str">
        <f t="shared" si="322"/>
        <v/>
      </c>
      <c r="MG816" s="2494" t="str">
        <f t="shared" si="323"/>
        <v/>
      </c>
      <c r="MH816" s="2494" t="str">
        <f t="shared" si="324"/>
        <v/>
      </c>
      <c r="MI816" s="2494" t="str">
        <f t="shared" si="325"/>
        <v/>
      </c>
      <c r="MJ816" s="2494" t="str">
        <f t="shared" si="326"/>
        <v/>
      </c>
      <c r="MK816" s="2494" t="str">
        <f t="shared" si="327"/>
        <v/>
      </c>
      <c r="ML816" s="2494" t="str">
        <f t="shared" si="328"/>
        <v/>
      </c>
      <c r="MM816" s="2494" t="str">
        <f t="shared" si="329"/>
        <v/>
      </c>
      <c r="MN816" s="2494" t="str">
        <f t="shared" si="330"/>
        <v/>
      </c>
      <c r="MO816" s="2494" t="str">
        <f t="shared" si="331"/>
        <v/>
      </c>
      <c r="MP816" s="2613">
        <f t="shared" si="338"/>
        <v>0</v>
      </c>
      <c r="MQ816" s="2613">
        <f t="shared" si="339"/>
        <v>0</v>
      </c>
      <c r="MR816" s="2613">
        <f t="shared" si="340"/>
        <v>0</v>
      </c>
      <c r="MS816" s="2613">
        <f t="shared" si="341"/>
        <v>0</v>
      </c>
      <c r="MT816" s="2613">
        <f t="shared" si="342"/>
        <v>0</v>
      </c>
      <c r="MU816" s="2613">
        <f t="shared" si="343"/>
        <v>0</v>
      </c>
      <c r="MV816" s="2613">
        <f t="shared" si="344"/>
        <v>0</v>
      </c>
      <c r="MW816" s="2613">
        <f t="shared" si="345"/>
        <v>0</v>
      </c>
      <c r="MX816" s="2613">
        <f t="shared" si="346"/>
        <v>0</v>
      </c>
      <c r="MY816" s="2613">
        <f t="shared" si="347"/>
        <v>0</v>
      </c>
      <c r="MZ816" s="2613">
        <f t="shared" si="332"/>
        <v>0</v>
      </c>
      <c r="NA816" s="2613">
        <f t="shared" si="333"/>
        <v>0</v>
      </c>
      <c r="NB816" s="2613">
        <f t="shared" si="334"/>
        <v>0</v>
      </c>
      <c r="NC816" s="2613">
        <f t="shared" si="335"/>
        <v>0</v>
      </c>
      <c r="ND816" s="2613">
        <f t="shared" si="336"/>
        <v>0</v>
      </c>
    </row>
    <row r="817" spans="1:369" ht="13.8" customHeight="1">
      <c r="A817" s="2652">
        <f>COUNT(A779,A780,A781,A782,A783,A784,A785,A786,A787,A788,A789,A790,A791,A792,A793,A794,A795,A796,A797,A798,A799,A800,A801,A802,A803,A804,A805,A806,A807,A808)</f>
        <v>0</v>
      </c>
      <c r="B817" s="512" t="s">
        <v>4219</v>
      </c>
      <c r="C817" s="512"/>
      <c r="D817" s="2673" t="s">
        <v>996</v>
      </c>
      <c r="E817" s="2674">
        <f>SUM(E779:E816)</f>
        <v>200</v>
      </c>
      <c r="F817" s="2675">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222230</v>
      </c>
      <c r="H817" s="2676" t="s">
        <v>4216</v>
      </c>
      <c r="I817" s="1550" t="s">
        <v>4217</v>
      </c>
      <c r="J817" s="2677" t="str">
        <f>IF(P836=0,"",IF(SUM(P825:P831)/P836&gt;=0.4,"Pass","Fail"))</f>
        <v>Pass</v>
      </c>
      <c r="K817" s="513"/>
      <c r="L817" s="2673" t="s">
        <v>1276</v>
      </c>
      <c r="M817" s="2678">
        <f>SUM(M779:M816)</f>
        <v>164000</v>
      </c>
      <c r="N817" s="2408"/>
      <c r="O817" s="2408"/>
      <c r="P817" s="2408"/>
      <c r="Q817" s="2408"/>
      <c r="R817" s="2408"/>
      <c r="S817" s="2408"/>
      <c r="T817" s="2408"/>
      <c r="U817" s="2408"/>
      <c r="V817" s="2251"/>
      <c r="W817" s="2672"/>
      <c r="X817" s="2672">
        <f t="shared" ref="X817:FA817" si="348">SUM(X779:X816)</f>
        <v>0</v>
      </c>
      <c r="Y817" s="2672">
        <f t="shared" si="348"/>
        <v>0</v>
      </c>
      <c r="Z817" s="2672">
        <f t="shared" si="348"/>
        <v>0</v>
      </c>
      <c r="AA817" s="2672">
        <f t="shared" si="348"/>
        <v>0</v>
      </c>
      <c r="AB817" s="2672">
        <f t="shared" si="348"/>
        <v>0</v>
      </c>
      <c r="AC817" s="2672">
        <f t="shared" si="348"/>
        <v>0</v>
      </c>
      <c r="AD817" s="2672">
        <f t="shared" si="348"/>
        <v>0</v>
      </c>
      <c r="AE817" s="2672">
        <f t="shared" si="348"/>
        <v>0</v>
      </c>
      <c r="AF817" s="2672">
        <f t="shared" si="348"/>
        <v>0</v>
      </c>
      <c r="AG817" s="2672">
        <f t="shared" si="348"/>
        <v>0</v>
      </c>
      <c r="AH817" s="2672">
        <f t="shared" si="348"/>
        <v>0</v>
      </c>
      <c r="AI817" s="2672">
        <f t="shared" si="348"/>
        <v>18</v>
      </c>
      <c r="AJ817" s="2672">
        <f t="shared" si="348"/>
        <v>106</v>
      </c>
      <c r="AK817" s="2672">
        <f t="shared" si="348"/>
        <v>76</v>
      </c>
      <c r="AL817" s="2672">
        <f t="shared" si="348"/>
        <v>0</v>
      </c>
      <c r="AM817" s="2672">
        <f>SUM(AM779:AM816)</f>
        <v>0</v>
      </c>
      <c r="AN817" s="2672">
        <f>SUM(AN779:AN816)</f>
        <v>0</v>
      </c>
      <c r="AO817" s="2672">
        <f>SUM(AO779:AO816)</f>
        <v>0</v>
      </c>
      <c r="AP817" s="2672">
        <f>SUM(AP779:AP816)</f>
        <v>0</v>
      </c>
      <c r="AQ817" s="2672">
        <f>SUM(AQ779:AQ816)</f>
        <v>0</v>
      </c>
      <c r="AR817" s="2672">
        <f t="shared" si="348"/>
        <v>0</v>
      </c>
      <c r="AS817" s="2672">
        <f t="shared" si="348"/>
        <v>0</v>
      </c>
      <c r="AT817" s="2672">
        <f t="shared" si="348"/>
        <v>0</v>
      </c>
      <c r="AU817" s="2672">
        <f t="shared" si="348"/>
        <v>0</v>
      </c>
      <c r="AV817" s="2672">
        <f t="shared" si="348"/>
        <v>0</v>
      </c>
      <c r="AW817" s="2672">
        <f t="shared" si="348"/>
        <v>0</v>
      </c>
      <c r="AX817" s="2672">
        <f t="shared" si="348"/>
        <v>0</v>
      </c>
      <c r="AY817" s="2672">
        <f t="shared" si="348"/>
        <v>0</v>
      </c>
      <c r="AZ817" s="2672">
        <f t="shared" si="348"/>
        <v>0</v>
      </c>
      <c r="BA817" s="2672">
        <f t="shared" si="348"/>
        <v>0</v>
      </c>
      <c r="BB817" s="2672">
        <f>SUM(BB779:BB816)</f>
        <v>0</v>
      </c>
      <c r="BC817" s="2672">
        <f>SUM(BC779:BC816)</f>
        <v>0</v>
      </c>
      <c r="BD817" s="2672">
        <f>SUM(BD779:BD816)</f>
        <v>0</v>
      </c>
      <c r="BE817" s="2672">
        <f>SUM(BE779:BE816)</f>
        <v>0</v>
      </c>
      <c r="BF817" s="2672">
        <f>SUM(BF779:BF816)</f>
        <v>0</v>
      </c>
      <c r="BG817" s="2672">
        <f t="shared" si="348"/>
        <v>0</v>
      </c>
      <c r="BH817" s="2672">
        <f t="shared" si="348"/>
        <v>0</v>
      </c>
      <c r="BI817" s="2672">
        <f t="shared" si="348"/>
        <v>0</v>
      </c>
      <c r="BJ817" s="2672">
        <f t="shared" si="348"/>
        <v>0</v>
      </c>
      <c r="BK817" s="2672">
        <f t="shared" si="348"/>
        <v>0</v>
      </c>
      <c r="BL817" s="2672">
        <f>SUM(BL779:BL816)</f>
        <v>0</v>
      </c>
      <c r="BM817" s="2672">
        <f>SUM(BM779:BM816)</f>
        <v>0</v>
      </c>
      <c r="BN817" s="2672">
        <f>SUM(BN779:BN816)</f>
        <v>0</v>
      </c>
      <c r="BO817" s="2672">
        <f>SUM(BO779:BO816)</f>
        <v>0</v>
      </c>
      <c r="BP817" s="2672">
        <f>SUM(BP779:BP816)</f>
        <v>0</v>
      </c>
      <c r="BQ817" s="2672">
        <f t="shared" si="348"/>
        <v>0</v>
      </c>
      <c r="BR817" s="2672">
        <f t="shared" si="348"/>
        <v>0</v>
      </c>
      <c r="BS817" s="2672">
        <f t="shared" si="348"/>
        <v>0</v>
      </c>
      <c r="BT817" s="2672">
        <f t="shared" si="348"/>
        <v>0</v>
      </c>
      <c r="BU817" s="2672">
        <f t="shared" si="348"/>
        <v>0</v>
      </c>
      <c r="BV817" s="2672">
        <f>SUM(BV779:BV816)</f>
        <v>0</v>
      </c>
      <c r="BW817" s="2672">
        <f>SUM(BW779:BW816)</f>
        <v>0</v>
      </c>
      <c r="BX817" s="2672">
        <f>SUM(BX779:BX816)</f>
        <v>0</v>
      </c>
      <c r="BY817" s="2672">
        <f>SUM(BY779:BY816)</f>
        <v>0</v>
      </c>
      <c r="BZ817" s="2672">
        <f>SUM(BZ779:BZ816)</f>
        <v>0</v>
      </c>
      <c r="CA817" s="2672">
        <f t="shared" si="348"/>
        <v>0</v>
      </c>
      <c r="CB817" s="2672">
        <f t="shared" si="348"/>
        <v>0</v>
      </c>
      <c r="CC817" s="2672">
        <f t="shared" si="348"/>
        <v>0</v>
      </c>
      <c r="CD817" s="2672">
        <f t="shared" si="348"/>
        <v>0</v>
      </c>
      <c r="CE817" s="2672">
        <f t="shared" si="348"/>
        <v>0</v>
      </c>
      <c r="CF817" s="2672">
        <f t="shared" si="348"/>
        <v>0</v>
      </c>
      <c r="CG817" s="2672">
        <f t="shared" si="348"/>
        <v>0</v>
      </c>
      <c r="CH817" s="2672">
        <f t="shared" si="348"/>
        <v>0</v>
      </c>
      <c r="CI817" s="2672">
        <f t="shared" si="348"/>
        <v>0</v>
      </c>
      <c r="CJ817" s="2672">
        <f t="shared" si="348"/>
        <v>0</v>
      </c>
      <c r="CK817" s="2672">
        <f>SUM(CK779:CK816)</f>
        <v>0</v>
      </c>
      <c r="CL817" s="2672">
        <f>SUM(CL779:CL816)</f>
        <v>0</v>
      </c>
      <c r="CM817" s="2672">
        <f>SUM(CM779:CM816)</f>
        <v>0</v>
      </c>
      <c r="CN817" s="2672">
        <f>SUM(CN779:CN816)</f>
        <v>0</v>
      </c>
      <c r="CO817" s="2672">
        <f>SUM(CO779:CO816)</f>
        <v>0</v>
      </c>
      <c r="CP817" s="2672">
        <f t="shared" ref="CP817:CY817" si="349">SUM(CP779:CP816)</f>
        <v>0</v>
      </c>
      <c r="CQ817" s="2672">
        <f t="shared" si="349"/>
        <v>0</v>
      </c>
      <c r="CR817" s="2672">
        <f t="shared" si="349"/>
        <v>0</v>
      </c>
      <c r="CS817" s="2672">
        <f t="shared" si="349"/>
        <v>0</v>
      </c>
      <c r="CT817" s="2672">
        <f t="shared" si="349"/>
        <v>0</v>
      </c>
      <c r="CU817" s="2672">
        <f t="shared" si="349"/>
        <v>0</v>
      </c>
      <c r="CV817" s="2672">
        <f t="shared" si="349"/>
        <v>0</v>
      </c>
      <c r="CW817" s="2672">
        <f t="shared" si="349"/>
        <v>0</v>
      </c>
      <c r="CX817" s="2672">
        <f t="shared" si="349"/>
        <v>0</v>
      </c>
      <c r="CY817" s="2672">
        <f t="shared" si="349"/>
        <v>0</v>
      </c>
      <c r="CZ817" s="2672">
        <f t="shared" si="348"/>
        <v>0</v>
      </c>
      <c r="DA817" s="2672">
        <f t="shared" si="348"/>
        <v>0</v>
      </c>
      <c r="DB817" s="2672">
        <f t="shared" si="348"/>
        <v>0</v>
      </c>
      <c r="DC817" s="2672">
        <f t="shared" si="348"/>
        <v>0</v>
      </c>
      <c r="DD817" s="2672">
        <f t="shared" si="348"/>
        <v>0</v>
      </c>
      <c r="DE817" s="2672">
        <f t="shared" si="348"/>
        <v>0</v>
      </c>
      <c r="DF817" s="2672">
        <f t="shared" si="348"/>
        <v>0</v>
      </c>
      <c r="DG817" s="2672">
        <f t="shared" si="348"/>
        <v>0</v>
      </c>
      <c r="DH817" s="2672">
        <f t="shared" si="348"/>
        <v>0</v>
      </c>
      <c r="DI817" s="2672">
        <f t="shared" si="348"/>
        <v>0</v>
      </c>
      <c r="DJ817" s="2672">
        <f t="shared" si="348"/>
        <v>0</v>
      </c>
      <c r="DK817" s="2672">
        <f t="shared" si="348"/>
        <v>0</v>
      </c>
      <c r="DL817" s="2672">
        <f t="shared" si="348"/>
        <v>0</v>
      </c>
      <c r="DM817" s="2672">
        <f t="shared" si="348"/>
        <v>0</v>
      </c>
      <c r="DN817" s="2672">
        <f t="shared" si="348"/>
        <v>0</v>
      </c>
      <c r="DO817" s="2672">
        <f t="shared" si="348"/>
        <v>0</v>
      </c>
      <c r="DP817" s="2672">
        <f t="shared" si="348"/>
        <v>0</v>
      </c>
      <c r="DQ817" s="2672">
        <f t="shared" si="348"/>
        <v>0</v>
      </c>
      <c r="DR817" s="2672">
        <f t="shared" si="348"/>
        <v>0</v>
      </c>
      <c r="DS817" s="2672">
        <f t="shared" si="348"/>
        <v>0</v>
      </c>
      <c r="DT817" s="2672">
        <f t="shared" si="348"/>
        <v>0</v>
      </c>
      <c r="DU817" s="2672">
        <f t="shared" si="348"/>
        <v>0</v>
      </c>
      <c r="DV817" s="2672">
        <f t="shared" si="348"/>
        <v>0</v>
      </c>
      <c r="DW817" s="2672">
        <f t="shared" si="348"/>
        <v>0</v>
      </c>
      <c r="DX817" s="2672">
        <f t="shared" si="348"/>
        <v>0</v>
      </c>
      <c r="DY817" s="2672">
        <f t="shared" si="348"/>
        <v>0</v>
      </c>
      <c r="DZ817" s="2672">
        <f t="shared" si="348"/>
        <v>0</v>
      </c>
      <c r="EA817" s="2672">
        <f t="shared" si="348"/>
        <v>0</v>
      </c>
      <c r="EB817" s="2672">
        <f t="shared" si="348"/>
        <v>0</v>
      </c>
      <c r="EC817" s="2672">
        <f t="shared" si="348"/>
        <v>0</v>
      </c>
      <c r="ED817" s="2672">
        <f t="shared" si="348"/>
        <v>0</v>
      </c>
      <c r="EE817" s="2672">
        <f t="shared" si="348"/>
        <v>0</v>
      </c>
      <c r="EF817" s="2672">
        <f t="shared" si="348"/>
        <v>0</v>
      </c>
      <c r="EG817" s="2672">
        <f t="shared" si="348"/>
        <v>0</v>
      </c>
      <c r="EH817" s="2672">
        <f t="shared" si="348"/>
        <v>0</v>
      </c>
      <c r="EI817" s="2672">
        <f t="shared" si="348"/>
        <v>0</v>
      </c>
      <c r="EJ817" s="2672">
        <f t="shared" si="348"/>
        <v>0</v>
      </c>
      <c r="EK817" s="2672">
        <f t="shared" si="348"/>
        <v>0</v>
      </c>
      <c r="EL817" s="2672">
        <f t="shared" si="348"/>
        <v>0</v>
      </c>
      <c r="EM817" s="2672">
        <f t="shared" si="348"/>
        <v>0</v>
      </c>
      <c r="EN817" s="2672">
        <f t="shared" si="348"/>
        <v>0</v>
      </c>
      <c r="EO817" s="2672">
        <f t="shared" si="348"/>
        <v>0</v>
      </c>
      <c r="EP817" s="2672">
        <f t="shared" si="348"/>
        <v>0</v>
      </c>
      <c r="EQ817" s="2672">
        <f t="shared" si="348"/>
        <v>0</v>
      </c>
      <c r="ER817" s="2672">
        <f t="shared" si="348"/>
        <v>0</v>
      </c>
      <c r="ES817" s="2672">
        <f t="shared" si="348"/>
        <v>0</v>
      </c>
      <c r="ET817" s="2672">
        <f t="shared" si="348"/>
        <v>14040</v>
      </c>
      <c r="EU817" s="2672">
        <f t="shared" si="348"/>
        <v>113950</v>
      </c>
      <c r="EV817" s="2672">
        <f t="shared" si="348"/>
        <v>94240</v>
      </c>
      <c r="EW817" s="2672">
        <f t="shared" si="348"/>
        <v>0</v>
      </c>
      <c r="EX817" s="2672">
        <f t="shared" si="348"/>
        <v>0</v>
      </c>
      <c r="EY817" s="2672">
        <f t="shared" si="348"/>
        <v>0</v>
      </c>
      <c r="EZ817" s="2672">
        <f t="shared" si="348"/>
        <v>0</v>
      </c>
      <c r="FA817" s="2672">
        <f t="shared" si="348"/>
        <v>0</v>
      </c>
      <c r="FB817" s="2672">
        <f t="shared" ref="FB817:HW817" si="350">SUM(FB779:FB816)</f>
        <v>0</v>
      </c>
      <c r="FC817" s="2672">
        <f>SUM(FC779:FC816)</f>
        <v>0</v>
      </c>
      <c r="FD817" s="2672">
        <f>SUM(FD779:FD816)</f>
        <v>0</v>
      </c>
      <c r="FE817" s="2672">
        <f>SUM(FE779:FE816)</f>
        <v>0</v>
      </c>
      <c r="FF817" s="2672">
        <f>SUM(FF779:FF816)</f>
        <v>0</v>
      </c>
      <c r="FG817" s="2672">
        <f>SUM(FG779:FG816)</f>
        <v>0</v>
      </c>
      <c r="FH817" s="2672">
        <f t="shared" si="350"/>
        <v>0</v>
      </c>
      <c r="FI817" s="2672">
        <f t="shared" si="350"/>
        <v>0</v>
      </c>
      <c r="FJ817" s="2672">
        <f t="shared" si="350"/>
        <v>0</v>
      </c>
      <c r="FK817" s="2672">
        <f t="shared" si="350"/>
        <v>0</v>
      </c>
      <c r="FL817" s="2672">
        <f t="shared" si="350"/>
        <v>0</v>
      </c>
      <c r="FM817" s="2672">
        <f>SUM(FM779:FM816)</f>
        <v>0</v>
      </c>
      <c r="FN817" s="2672">
        <f>SUM(FN779:FN816)</f>
        <v>0</v>
      </c>
      <c r="FO817" s="2672">
        <f>SUM(FO779:FO816)</f>
        <v>0</v>
      </c>
      <c r="FP817" s="2672">
        <f>SUM(FP779:FP816)</f>
        <v>0</v>
      </c>
      <c r="FQ817" s="2672">
        <f>SUM(FQ779:FQ816)</f>
        <v>0</v>
      </c>
      <c r="FR817" s="2672">
        <f t="shared" si="350"/>
        <v>0</v>
      </c>
      <c r="FS817" s="2672">
        <f t="shared" si="350"/>
        <v>0</v>
      </c>
      <c r="FT817" s="2672">
        <f t="shared" si="350"/>
        <v>0</v>
      </c>
      <c r="FU817" s="2672">
        <f t="shared" si="350"/>
        <v>0</v>
      </c>
      <c r="FV817" s="2672">
        <f t="shared" si="350"/>
        <v>0</v>
      </c>
      <c r="FW817" s="2672">
        <f t="shared" si="350"/>
        <v>0</v>
      </c>
      <c r="FX817" s="2672">
        <f t="shared" si="350"/>
        <v>0</v>
      </c>
      <c r="FY817" s="2672">
        <f t="shared" si="350"/>
        <v>0</v>
      </c>
      <c r="FZ817" s="2672">
        <f t="shared" si="350"/>
        <v>0</v>
      </c>
      <c r="GA817" s="2672">
        <f t="shared" si="350"/>
        <v>0</v>
      </c>
      <c r="GB817" s="2672">
        <f t="shared" si="350"/>
        <v>0</v>
      </c>
      <c r="GC817" s="2672">
        <f t="shared" si="350"/>
        <v>0</v>
      </c>
      <c r="GD817" s="2672">
        <f t="shared" si="350"/>
        <v>0</v>
      </c>
      <c r="GE817" s="2672">
        <f t="shared" si="350"/>
        <v>0</v>
      </c>
      <c r="GF817" s="2672">
        <f t="shared" si="350"/>
        <v>0</v>
      </c>
      <c r="GG817" s="2672">
        <f t="shared" si="350"/>
        <v>0</v>
      </c>
      <c r="GH817" s="2672">
        <f t="shared" si="350"/>
        <v>18</v>
      </c>
      <c r="GI817" s="2672">
        <f t="shared" si="350"/>
        <v>106</v>
      </c>
      <c r="GJ817" s="2672">
        <f t="shared" si="350"/>
        <v>76</v>
      </c>
      <c r="GK817" s="2672">
        <f t="shared" si="350"/>
        <v>0</v>
      </c>
      <c r="GL817" s="2672">
        <f t="shared" si="350"/>
        <v>0</v>
      </c>
      <c r="GM817" s="2672">
        <f t="shared" si="350"/>
        <v>0</v>
      </c>
      <c r="GN817" s="2672">
        <f t="shared" si="350"/>
        <v>0</v>
      </c>
      <c r="GO817" s="2672">
        <f t="shared" si="350"/>
        <v>0</v>
      </c>
      <c r="GP817" s="2672">
        <f t="shared" si="350"/>
        <v>0</v>
      </c>
      <c r="GQ817" s="2672">
        <f t="shared" si="350"/>
        <v>0</v>
      </c>
      <c r="GR817" s="2672">
        <f t="shared" si="350"/>
        <v>0</v>
      </c>
      <c r="GS817" s="2672">
        <f t="shared" si="350"/>
        <v>0</v>
      </c>
      <c r="GT817" s="2672">
        <f t="shared" si="350"/>
        <v>0</v>
      </c>
      <c r="GU817" s="2672">
        <f t="shared" si="350"/>
        <v>0</v>
      </c>
      <c r="GV817" s="2672">
        <f t="shared" si="350"/>
        <v>0</v>
      </c>
      <c r="GW817" s="2672">
        <f t="shared" si="350"/>
        <v>0</v>
      </c>
      <c r="GX817" s="2672">
        <f t="shared" si="350"/>
        <v>0</v>
      </c>
      <c r="GY817" s="2672">
        <f t="shared" si="350"/>
        <v>0</v>
      </c>
      <c r="GZ817" s="2672">
        <f t="shared" si="350"/>
        <v>0</v>
      </c>
      <c r="HA817" s="2672">
        <f t="shared" si="350"/>
        <v>0</v>
      </c>
      <c r="HB817" s="2672">
        <f t="shared" si="350"/>
        <v>0</v>
      </c>
      <c r="HC817" s="2672">
        <f t="shared" si="350"/>
        <v>0</v>
      </c>
      <c r="HD817" s="2672">
        <f t="shared" si="350"/>
        <v>0</v>
      </c>
      <c r="HE817" s="2672">
        <f t="shared" si="350"/>
        <v>0</v>
      </c>
      <c r="HF817" s="2672">
        <f t="shared" si="350"/>
        <v>0</v>
      </c>
      <c r="HG817" s="2672">
        <f t="shared" si="350"/>
        <v>0</v>
      </c>
      <c r="HH817" s="2672">
        <f t="shared" si="350"/>
        <v>0</v>
      </c>
      <c r="HI817" s="2672">
        <f t="shared" si="350"/>
        <v>0</v>
      </c>
      <c r="HJ817" s="2672">
        <f t="shared" si="350"/>
        <v>0</v>
      </c>
      <c r="HK817" s="2672">
        <f t="shared" si="350"/>
        <v>0</v>
      </c>
      <c r="HL817" s="2672">
        <f t="shared" si="350"/>
        <v>0</v>
      </c>
      <c r="HM817" s="2672">
        <f t="shared" si="350"/>
        <v>0</v>
      </c>
      <c r="HN817" s="2672">
        <f t="shared" si="350"/>
        <v>0</v>
      </c>
      <c r="HO817" s="2672">
        <f t="shared" si="350"/>
        <v>0</v>
      </c>
      <c r="HP817" s="2672">
        <f t="shared" si="350"/>
        <v>0</v>
      </c>
      <c r="HQ817" s="2672">
        <f t="shared" si="350"/>
        <v>0</v>
      </c>
      <c r="HR817" s="2672">
        <f t="shared" si="350"/>
        <v>0</v>
      </c>
      <c r="HS817" s="2672">
        <f t="shared" si="350"/>
        <v>0</v>
      </c>
      <c r="HT817" s="2672">
        <f t="shared" si="350"/>
        <v>0</v>
      </c>
      <c r="HU817" s="2672">
        <f t="shared" si="350"/>
        <v>0</v>
      </c>
      <c r="HV817" s="2672">
        <f t="shared" si="350"/>
        <v>0</v>
      </c>
      <c r="HW817" s="2672">
        <f t="shared" si="350"/>
        <v>0</v>
      </c>
      <c r="HX817" s="2672">
        <f t="shared" ref="HX817:KI817" si="351">SUM(HX779:HX816)</f>
        <v>0</v>
      </c>
      <c r="HY817" s="2672">
        <f t="shared" si="351"/>
        <v>0</v>
      </c>
      <c r="HZ817" s="2672">
        <f t="shared" si="351"/>
        <v>0</v>
      </c>
      <c r="IA817" s="2672">
        <f t="shared" si="351"/>
        <v>18</v>
      </c>
      <c r="IB817" s="2672">
        <f t="shared" si="351"/>
        <v>106</v>
      </c>
      <c r="IC817" s="2672">
        <f t="shared" si="351"/>
        <v>76</v>
      </c>
      <c r="ID817" s="2672">
        <f t="shared" si="351"/>
        <v>0</v>
      </c>
      <c r="IE817" s="2672">
        <f t="shared" si="351"/>
        <v>0</v>
      </c>
      <c r="IF817" s="2672">
        <f t="shared" si="351"/>
        <v>0</v>
      </c>
      <c r="IG817" s="2672">
        <f t="shared" si="351"/>
        <v>0</v>
      </c>
      <c r="IH817" s="2672">
        <f t="shared" si="351"/>
        <v>0</v>
      </c>
      <c r="II817" s="2672">
        <f t="shared" si="351"/>
        <v>0</v>
      </c>
      <c r="IJ817" s="2672">
        <f t="shared" si="351"/>
        <v>0</v>
      </c>
      <c r="IK817" s="2672">
        <f t="shared" si="351"/>
        <v>0</v>
      </c>
      <c r="IL817" s="2672">
        <f t="shared" si="351"/>
        <v>0</v>
      </c>
      <c r="IM817" s="2672">
        <f t="shared" si="351"/>
        <v>0</v>
      </c>
      <c r="IN817" s="2672">
        <f t="shared" si="351"/>
        <v>0</v>
      </c>
      <c r="IO817" s="2672">
        <f t="shared" si="351"/>
        <v>0</v>
      </c>
      <c r="IP817" s="2672">
        <f t="shared" si="351"/>
        <v>0</v>
      </c>
      <c r="IQ817" s="2672">
        <f t="shared" si="351"/>
        <v>0</v>
      </c>
      <c r="IR817" s="2672">
        <f t="shared" si="351"/>
        <v>0</v>
      </c>
      <c r="IS817" s="2672">
        <f t="shared" si="351"/>
        <v>0</v>
      </c>
      <c r="IT817" s="2672">
        <f t="shared" si="351"/>
        <v>0</v>
      </c>
      <c r="IU817" s="2672">
        <f t="shared" si="351"/>
        <v>0</v>
      </c>
      <c r="IV817" s="2672">
        <f t="shared" si="351"/>
        <v>0</v>
      </c>
      <c r="IW817" s="2672">
        <f t="shared" si="351"/>
        <v>0</v>
      </c>
      <c r="IX817" s="2672">
        <f t="shared" si="351"/>
        <v>0</v>
      </c>
      <c r="IY817" s="2672">
        <f t="shared" si="351"/>
        <v>0</v>
      </c>
      <c r="IZ817" s="2672">
        <f t="shared" si="351"/>
        <v>0</v>
      </c>
      <c r="JA817" s="2672">
        <f t="shared" si="351"/>
        <v>0</v>
      </c>
      <c r="JB817" s="2672">
        <f t="shared" si="351"/>
        <v>0</v>
      </c>
      <c r="JC817" s="2672">
        <f t="shared" si="351"/>
        <v>0</v>
      </c>
      <c r="JD817" s="2672">
        <f t="shared" si="351"/>
        <v>0</v>
      </c>
      <c r="JE817" s="2672">
        <f t="shared" si="351"/>
        <v>0</v>
      </c>
      <c r="JF817" s="2672">
        <f t="shared" si="351"/>
        <v>0</v>
      </c>
      <c r="JG817" s="2672">
        <f t="shared" si="351"/>
        <v>0</v>
      </c>
      <c r="JH817" s="2672">
        <f t="shared" si="351"/>
        <v>0</v>
      </c>
      <c r="JI817" s="2672">
        <f t="shared" si="351"/>
        <v>0</v>
      </c>
      <c r="JJ817" s="2672">
        <f t="shared" si="351"/>
        <v>0</v>
      </c>
      <c r="JK817" s="2672">
        <f t="shared" si="351"/>
        <v>0</v>
      </c>
      <c r="JL817" s="2672">
        <f t="shared" si="351"/>
        <v>0</v>
      </c>
      <c r="JM817" s="2672">
        <f t="shared" si="351"/>
        <v>0</v>
      </c>
      <c r="JN817" s="2672">
        <f t="shared" si="351"/>
        <v>0</v>
      </c>
      <c r="JO817" s="2672">
        <f t="shared" si="351"/>
        <v>0</v>
      </c>
      <c r="JP817" s="2672">
        <f t="shared" si="351"/>
        <v>0</v>
      </c>
      <c r="JQ817" s="2672">
        <f t="shared" si="351"/>
        <v>0</v>
      </c>
      <c r="JR817" s="2672">
        <f t="shared" si="351"/>
        <v>0</v>
      </c>
      <c r="JS817" s="2672">
        <f t="shared" si="351"/>
        <v>0</v>
      </c>
      <c r="JT817" s="2672">
        <f t="shared" si="351"/>
        <v>0</v>
      </c>
      <c r="JU817" s="2672">
        <f t="shared" si="351"/>
        <v>0</v>
      </c>
      <c r="JV817" s="2672">
        <f t="shared" si="351"/>
        <v>0</v>
      </c>
      <c r="JW817" s="2672">
        <f t="shared" si="351"/>
        <v>0</v>
      </c>
      <c r="JX817" s="2672">
        <f t="shared" si="351"/>
        <v>0</v>
      </c>
      <c r="JY817" s="2672">
        <f t="shared" si="351"/>
        <v>0</v>
      </c>
      <c r="JZ817" s="2672">
        <f t="shared" si="351"/>
        <v>0</v>
      </c>
      <c r="KA817" s="2672">
        <f t="shared" si="351"/>
        <v>0</v>
      </c>
      <c r="KB817" s="2672">
        <f t="shared" si="351"/>
        <v>0</v>
      </c>
      <c r="KC817" s="2672">
        <f t="shared" si="351"/>
        <v>0</v>
      </c>
      <c r="KD817" s="2672">
        <f t="shared" si="351"/>
        <v>0</v>
      </c>
      <c r="KE817" s="2672">
        <f t="shared" si="351"/>
        <v>0</v>
      </c>
      <c r="KF817" s="2672">
        <f t="shared" si="351"/>
        <v>0</v>
      </c>
      <c r="KG817" s="2672">
        <f t="shared" si="351"/>
        <v>0</v>
      </c>
      <c r="KH817" s="2672">
        <f t="shared" si="351"/>
        <v>0</v>
      </c>
      <c r="KI817" s="2672">
        <f t="shared" si="351"/>
        <v>0</v>
      </c>
      <c r="KJ817" s="2672">
        <f t="shared" ref="KJ817:NE817" si="352">SUM(KJ779:KJ816)</f>
        <v>0</v>
      </c>
      <c r="KK817" s="2672">
        <f t="shared" si="352"/>
        <v>0</v>
      </c>
      <c r="KL817" s="2672">
        <f t="shared" si="352"/>
        <v>0</v>
      </c>
      <c r="KM817" s="2672">
        <f t="shared" si="352"/>
        <v>0</v>
      </c>
      <c r="KN817" s="2672">
        <f t="shared" si="352"/>
        <v>0</v>
      </c>
      <c r="KO817" s="2672">
        <f t="shared" si="352"/>
        <v>0</v>
      </c>
      <c r="KP817" s="2672">
        <f t="shared" si="352"/>
        <v>0</v>
      </c>
      <c r="KQ817" s="2672">
        <f t="shared" si="352"/>
        <v>0</v>
      </c>
      <c r="KR817" s="2672">
        <f t="shared" si="352"/>
        <v>0</v>
      </c>
      <c r="KS817" s="2672">
        <f t="shared" si="352"/>
        <v>0</v>
      </c>
      <c r="KT817" s="2672">
        <f t="shared" si="352"/>
        <v>0</v>
      </c>
      <c r="KU817" s="2672">
        <f t="shared" si="352"/>
        <v>0</v>
      </c>
      <c r="KV817" s="2672">
        <f t="shared" si="352"/>
        <v>0</v>
      </c>
      <c r="KW817" s="2672">
        <f t="shared" si="352"/>
        <v>0</v>
      </c>
      <c r="KX817" s="2672">
        <f t="shared" si="352"/>
        <v>18</v>
      </c>
      <c r="KY817" s="2672">
        <f t="shared" si="352"/>
        <v>106</v>
      </c>
      <c r="KZ817" s="2672">
        <f t="shared" si="352"/>
        <v>76</v>
      </c>
      <c r="LA817" s="2672">
        <f t="shared" si="352"/>
        <v>0</v>
      </c>
      <c r="LB817" s="2672">
        <f t="shared" si="352"/>
        <v>0</v>
      </c>
      <c r="LC817" s="2672">
        <f t="shared" si="352"/>
        <v>0</v>
      </c>
      <c r="LD817" s="2672">
        <f t="shared" si="352"/>
        <v>0</v>
      </c>
      <c r="LE817" s="2672">
        <f t="shared" si="352"/>
        <v>0</v>
      </c>
      <c r="LF817" s="2672">
        <f t="shared" si="352"/>
        <v>0</v>
      </c>
      <c r="LG817" s="2672">
        <f t="shared" si="352"/>
        <v>0</v>
      </c>
      <c r="LH817" s="2672">
        <f t="shared" si="352"/>
        <v>0</v>
      </c>
      <c r="LI817" s="2672">
        <f t="shared" si="352"/>
        <v>0</v>
      </c>
      <c r="LJ817" s="2672">
        <f t="shared" si="352"/>
        <v>0</v>
      </c>
      <c r="LK817" s="2672">
        <f t="shared" si="352"/>
        <v>0</v>
      </c>
      <c r="LL817" s="2672">
        <f t="shared" si="352"/>
        <v>0</v>
      </c>
      <c r="LM817" s="2672">
        <f t="shared" si="352"/>
        <v>0</v>
      </c>
      <c r="LN817" s="2672">
        <f t="shared" si="352"/>
        <v>0</v>
      </c>
      <c r="LO817" s="2672">
        <f t="shared" si="352"/>
        <v>0</v>
      </c>
      <c r="LP817" s="2672">
        <f t="shared" si="352"/>
        <v>0</v>
      </c>
      <c r="LQ817" s="2672">
        <f t="shared" si="352"/>
        <v>0</v>
      </c>
      <c r="LR817" s="2672">
        <f t="shared" si="352"/>
        <v>0</v>
      </c>
      <c r="LS817" s="2672">
        <f t="shared" si="352"/>
        <v>0</v>
      </c>
      <c r="LT817" s="2672">
        <f t="shared" si="352"/>
        <v>0</v>
      </c>
      <c r="LU817" s="2672">
        <f t="shared" si="352"/>
        <v>0</v>
      </c>
      <c r="LV817" s="2672">
        <f t="shared" si="352"/>
        <v>0</v>
      </c>
      <c r="LW817" s="2672">
        <f t="shared" si="352"/>
        <v>0</v>
      </c>
      <c r="LX817" s="2672">
        <f t="shared" si="352"/>
        <v>0</v>
      </c>
      <c r="LY817" s="2672">
        <f t="shared" si="352"/>
        <v>0</v>
      </c>
      <c r="LZ817" s="2672">
        <f t="shared" si="352"/>
        <v>0</v>
      </c>
      <c r="MA817" s="2672">
        <f t="shared" si="352"/>
        <v>0</v>
      </c>
      <c r="MB817" s="2672">
        <f t="shared" si="352"/>
        <v>0</v>
      </c>
      <c r="MC817" s="2672">
        <f t="shared" si="352"/>
        <v>0</v>
      </c>
      <c r="MD817" s="2672">
        <f t="shared" si="352"/>
        <v>0</v>
      </c>
      <c r="ME817" s="2672">
        <f t="shared" si="352"/>
        <v>0</v>
      </c>
      <c r="MF817" s="2672">
        <f t="shared" si="352"/>
        <v>0</v>
      </c>
      <c r="MG817" s="2672">
        <f t="shared" si="352"/>
        <v>0</v>
      </c>
      <c r="MH817" s="2672">
        <f t="shared" si="352"/>
        <v>0</v>
      </c>
      <c r="MI817" s="2672">
        <f t="shared" si="352"/>
        <v>0</v>
      </c>
      <c r="MJ817" s="2672">
        <f t="shared" si="352"/>
        <v>0</v>
      </c>
      <c r="MK817" s="2672">
        <f t="shared" si="352"/>
        <v>0</v>
      </c>
      <c r="ML817" s="2672">
        <f t="shared" si="352"/>
        <v>0</v>
      </c>
      <c r="MM817" s="2672">
        <f t="shared" si="352"/>
        <v>0</v>
      </c>
      <c r="MN817" s="2672">
        <f t="shared" si="352"/>
        <v>0</v>
      </c>
      <c r="MO817" s="2672">
        <f t="shared" si="352"/>
        <v>0</v>
      </c>
      <c r="MP817" s="2672">
        <f t="shared" si="352"/>
        <v>0</v>
      </c>
      <c r="MQ817" s="2672">
        <f t="shared" si="352"/>
        <v>0</v>
      </c>
      <c r="MR817" s="2672">
        <f t="shared" si="352"/>
        <v>0</v>
      </c>
      <c r="MS817" s="2672">
        <f t="shared" si="352"/>
        <v>0</v>
      </c>
      <c r="MT817" s="2672">
        <f t="shared" si="352"/>
        <v>0</v>
      </c>
      <c r="MU817" s="2672">
        <f t="shared" si="352"/>
        <v>0</v>
      </c>
      <c r="MV817" s="2672">
        <f t="shared" si="352"/>
        <v>18</v>
      </c>
      <c r="MW817" s="2672">
        <f t="shared" si="352"/>
        <v>106</v>
      </c>
      <c r="MX817" s="2672">
        <f t="shared" si="352"/>
        <v>76</v>
      </c>
      <c r="MY817" s="2672">
        <f t="shared" si="352"/>
        <v>0</v>
      </c>
      <c r="MZ817" s="2672">
        <f t="shared" si="352"/>
        <v>0</v>
      </c>
      <c r="NA817" s="2672">
        <f t="shared" si="352"/>
        <v>0</v>
      </c>
      <c r="NB817" s="2672">
        <f t="shared" si="352"/>
        <v>0</v>
      </c>
      <c r="NC817" s="2672">
        <f t="shared" si="352"/>
        <v>0</v>
      </c>
      <c r="ND817" s="2672">
        <f t="shared" si="352"/>
        <v>0</v>
      </c>
      <c r="NE817" s="2672">
        <f t="shared" si="352"/>
        <v>0</v>
      </c>
    </row>
    <row r="818" spans="1:369" ht="13.8" customHeight="1">
      <c r="B818" s="2679">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79"/>
      <c r="D818" s="2652" t="s">
        <v>4126</v>
      </c>
      <c r="E818" s="2674">
        <f>SUM(E786:E816)</f>
        <v>200</v>
      </c>
      <c r="F818" s="2675">
        <f>(E786*F786+E787*F787+E788*F788+E789*F789+E790*F790+E791*F791+E792*F792+E793*F793+E794*F794+E795*F795+E796*F796+E797*F797+E798*F798+E799*F799+E800*F800+E801*F801+E802*F802+E803*F803+E804*F804+E805*F805+E806*F806+E807*F807+E808*F808+E809*F809+E810*F810+E811*F811+E812*F812+E813*F813+E814*F814+E815*F815+E816*F816)</f>
        <v>222230</v>
      </c>
      <c r="H818" s="2676"/>
      <c r="I818" s="1550" t="s">
        <v>4218</v>
      </c>
      <c r="J818" s="2677" t="str">
        <f>IF(P836=0,"",IF(SUM(P825:P831)/P836&gt;=0.2,"Pass","Fail"))</f>
        <v>Pass</v>
      </c>
      <c r="K818" s="513"/>
      <c r="L818" s="2673" t="s">
        <v>794</v>
      </c>
      <c r="M818" s="2678">
        <f>M817*12</f>
        <v>1968000</v>
      </c>
      <c r="N818" s="2408"/>
      <c r="O818" s="2408"/>
      <c r="P818" s="2408"/>
      <c r="Q818" s="2408"/>
      <c r="R818" s="2408"/>
      <c r="S818" s="2408"/>
      <c r="T818" s="2408"/>
      <c r="U818" s="2408"/>
      <c r="V818" s="2408"/>
      <c r="W818" s="2672"/>
      <c r="X818" s="2672"/>
      <c r="Y818" s="2672"/>
      <c r="Z818" s="2672"/>
      <c r="AA818" s="2672"/>
      <c r="AB818" s="2672"/>
      <c r="AC818" s="2672"/>
      <c r="AD818" s="2672"/>
      <c r="AE818" s="2672"/>
      <c r="AF818" s="2672"/>
      <c r="AG818" s="2672"/>
      <c r="AH818" s="2672"/>
      <c r="AI818" s="2672"/>
      <c r="AJ818" s="2672"/>
      <c r="AK818" s="2672"/>
      <c r="AL818" s="2672"/>
      <c r="AM818" s="2672"/>
      <c r="AN818" s="2672"/>
      <c r="AO818" s="2672"/>
      <c r="AP818" s="2672"/>
      <c r="AQ818" s="2672"/>
      <c r="AR818" s="2672"/>
      <c r="AS818" s="2672"/>
      <c r="AT818" s="2672"/>
      <c r="AU818" s="2672"/>
      <c r="AV818" s="2672"/>
      <c r="AW818" s="2672"/>
      <c r="AX818" s="2672"/>
      <c r="AY818" s="2672"/>
      <c r="AZ818" s="2672"/>
      <c r="BA818" s="2672"/>
      <c r="BB818" s="2672"/>
      <c r="BC818" s="2672"/>
      <c r="BD818" s="2672"/>
      <c r="BE818" s="2672"/>
      <c r="BF818" s="2672"/>
      <c r="BG818" s="2672"/>
      <c r="BH818" s="2672"/>
      <c r="BI818" s="2672"/>
      <c r="BJ818" s="2672"/>
      <c r="BK818" s="2672"/>
      <c r="BL818" s="2672"/>
      <c r="BM818" s="2672"/>
      <c r="BN818" s="2672"/>
      <c r="BO818" s="2672"/>
      <c r="BP818" s="2672"/>
      <c r="BQ818" s="2672"/>
      <c r="BR818" s="2672"/>
      <c r="BS818" s="2672"/>
      <c r="BT818" s="2672"/>
      <c r="BU818" s="2672"/>
      <c r="BV818" s="2672"/>
      <c r="BW818" s="2672"/>
      <c r="BX818" s="2672"/>
      <c r="BY818" s="2672"/>
      <c r="BZ818" s="2672"/>
      <c r="CA818" s="2672"/>
      <c r="CB818" s="2672"/>
      <c r="CC818" s="2672"/>
      <c r="CD818" s="2672"/>
      <c r="CE818" s="2672"/>
      <c r="CF818" s="2672"/>
      <c r="CG818" s="2672"/>
      <c r="CH818" s="2672"/>
      <c r="CI818" s="2672"/>
      <c r="CJ818" s="2672"/>
      <c r="CK818" s="2672"/>
      <c r="CL818" s="2672"/>
      <c r="CM818" s="2672"/>
      <c r="CN818" s="2672"/>
      <c r="CO818" s="2672"/>
      <c r="CP818" s="2672"/>
      <c r="CQ818" s="2672"/>
      <c r="CR818" s="2672"/>
      <c r="CS818" s="2672"/>
      <c r="CT818" s="2672"/>
      <c r="CU818" s="2672"/>
      <c r="CV818" s="2672"/>
      <c r="CW818" s="2672"/>
      <c r="CX818" s="2672"/>
      <c r="CY818" s="2672"/>
      <c r="CZ818" s="2672"/>
      <c r="DA818" s="2672"/>
      <c r="DB818" s="2672"/>
      <c r="DC818" s="2672"/>
      <c r="DD818" s="2672"/>
      <c r="DE818" s="2672"/>
      <c r="DF818" s="2672"/>
      <c r="DG818" s="2672"/>
      <c r="DH818" s="2672"/>
      <c r="DI818" s="2672"/>
      <c r="DJ818" s="2672"/>
      <c r="DK818" s="2672"/>
      <c r="DL818" s="2672"/>
      <c r="DM818" s="2672"/>
      <c r="DN818" s="2672"/>
      <c r="DO818" s="2672"/>
      <c r="DP818" s="2672"/>
      <c r="DQ818" s="2672"/>
      <c r="DR818" s="2672"/>
      <c r="DS818" s="2672"/>
      <c r="DT818" s="2672"/>
      <c r="DU818" s="2672"/>
      <c r="DV818" s="2672"/>
      <c r="DW818" s="2672"/>
      <c r="DX818" s="2672"/>
      <c r="DY818" s="2672"/>
      <c r="DZ818" s="2672"/>
      <c r="EA818" s="2672"/>
      <c r="EB818" s="2672"/>
      <c r="EC818" s="2672"/>
      <c r="ED818" s="2672"/>
      <c r="EE818" s="2672"/>
      <c r="EF818" s="2672"/>
      <c r="EG818" s="2672"/>
      <c r="EH818" s="2672"/>
      <c r="EI818" s="2672"/>
      <c r="EJ818" s="2672"/>
      <c r="EK818" s="2672"/>
      <c r="EL818" s="2672"/>
      <c r="EM818" s="2672"/>
      <c r="EN818" s="2672"/>
      <c r="EO818" s="2672"/>
      <c r="EP818" s="2672"/>
      <c r="EQ818" s="2672"/>
      <c r="ER818" s="2672"/>
      <c r="ES818" s="2672"/>
      <c r="ET818" s="2672"/>
      <c r="EU818" s="2672"/>
      <c r="EV818" s="2672"/>
      <c r="EW818" s="2672"/>
      <c r="EX818" s="2672"/>
      <c r="EY818" s="2672"/>
      <c r="EZ818" s="2672"/>
      <c r="FA818" s="2672"/>
      <c r="FB818" s="2672"/>
      <c r="FC818" s="2672"/>
      <c r="FD818" s="2672"/>
      <c r="FE818" s="2672"/>
      <c r="FF818" s="2672"/>
      <c r="FG818" s="2672"/>
      <c r="FH818" s="2672"/>
      <c r="FI818" s="2672"/>
      <c r="FJ818" s="2672"/>
      <c r="FK818" s="2672"/>
      <c r="FL818" s="2672"/>
      <c r="FM818" s="2672"/>
      <c r="FN818" s="2672"/>
      <c r="FO818" s="2672"/>
      <c r="FP818" s="2672"/>
      <c r="FQ818" s="2672"/>
      <c r="FR818" s="2672"/>
      <c r="FS818" s="2672"/>
      <c r="FT818" s="2672"/>
      <c r="FU818" s="2672"/>
      <c r="FV818" s="2672"/>
      <c r="FW818" s="2672"/>
      <c r="FX818" s="2672"/>
      <c r="FY818" s="2672"/>
      <c r="FZ818" s="2672"/>
      <c r="GA818" s="2672"/>
      <c r="GB818" s="2672"/>
      <c r="GC818" s="2672"/>
      <c r="GD818" s="2672"/>
      <c r="GE818" s="2672"/>
      <c r="GF818" s="2672"/>
      <c r="GG818" s="2672"/>
      <c r="GH818" s="2672"/>
      <c r="GI818" s="2672"/>
      <c r="GJ818" s="2672"/>
      <c r="GK818" s="2672"/>
      <c r="GL818" s="2672"/>
      <c r="GM818" s="2672"/>
      <c r="GN818" s="2672"/>
      <c r="GO818" s="2672"/>
      <c r="GP818" s="2672"/>
      <c r="GQ818" s="2672"/>
      <c r="GR818" s="2672"/>
      <c r="GS818" s="2672"/>
      <c r="GT818" s="2672"/>
      <c r="GU818" s="2672"/>
      <c r="GV818" s="2672"/>
      <c r="GW818" s="2672"/>
      <c r="GX818" s="2672"/>
      <c r="GY818" s="2672"/>
      <c r="GZ818" s="2672"/>
      <c r="HA818" s="2672"/>
      <c r="HB818" s="2672"/>
      <c r="HC818" s="2672"/>
      <c r="HD818" s="2672"/>
      <c r="HE818" s="2672"/>
      <c r="HF818" s="2672"/>
      <c r="HG818" s="2672"/>
      <c r="HH818" s="2672"/>
      <c r="HI818" s="2672"/>
      <c r="HJ818" s="2672"/>
      <c r="HK818" s="2672"/>
      <c r="HL818" s="2672"/>
      <c r="HM818" s="2672"/>
      <c r="HN818" s="2672"/>
      <c r="HO818" s="2672"/>
      <c r="HP818" s="2672"/>
      <c r="HQ818" s="2672"/>
      <c r="HR818" s="2672"/>
      <c r="HS818" s="2672"/>
      <c r="HT818" s="2672"/>
      <c r="HU818" s="2672"/>
      <c r="HV818" s="2672"/>
      <c r="HW818" s="2672"/>
      <c r="HX818" s="2672"/>
      <c r="HY818" s="2672"/>
      <c r="HZ818" s="2672"/>
      <c r="IA818" s="2672"/>
      <c r="IB818" s="2672"/>
      <c r="IC818" s="2672"/>
      <c r="ID818" s="2672"/>
      <c r="IE818" s="2672"/>
      <c r="IF818" s="2672"/>
      <c r="IG818" s="2672"/>
      <c r="IH818" s="2672"/>
      <c r="II818" s="2672"/>
      <c r="IJ818" s="2672"/>
      <c r="IK818" s="2672"/>
      <c r="IL818" s="2672"/>
      <c r="IM818" s="2672"/>
      <c r="IN818" s="2672"/>
      <c r="IO818" s="2672"/>
      <c r="IP818" s="2672"/>
      <c r="IQ818" s="2672"/>
      <c r="IR818" s="2672"/>
      <c r="IS818" s="2672"/>
      <c r="IT818" s="2672"/>
      <c r="IU818" s="2672"/>
      <c r="IV818" s="2672"/>
      <c r="IW818" s="2672"/>
      <c r="IX818" s="2672"/>
      <c r="IY818" s="2672"/>
      <c r="IZ818" s="2672"/>
      <c r="JA818" s="2672"/>
      <c r="JB818" s="2672"/>
      <c r="JC818" s="2672"/>
      <c r="JD818" s="2672"/>
      <c r="JE818" s="2672"/>
      <c r="JF818" s="2672"/>
      <c r="JG818" s="2672"/>
      <c r="JH818" s="2672"/>
      <c r="JI818" s="2672"/>
      <c r="JJ818" s="2672"/>
      <c r="JK818" s="2672"/>
      <c r="JL818" s="2672"/>
      <c r="JM818" s="2672"/>
      <c r="JN818" s="2672"/>
      <c r="JO818" s="2672"/>
      <c r="JP818" s="2672"/>
      <c r="JQ818" s="2672"/>
      <c r="JR818" s="2672"/>
      <c r="JS818" s="2672"/>
      <c r="JT818" s="2672"/>
      <c r="JU818" s="2672"/>
      <c r="JV818" s="2672"/>
      <c r="JW818" s="2672"/>
      <c r="JX818" s="2672"/>
      <c r="JY818" s="2672"/>
      <c r="JZ818" s="2672"/>
      <c r="KA818" s="2672"/>
      <c r="KB818" s="2672"/>
      <c r="KC818" s="2672"/>
      <c r="KD818" s="2672"/>
      <c r="KE818" s="2672"/>
      <c r="KF818" s="2672"/>
      <c r="KG818" s="2672"/>
      <c r="KH818" s="2672"/>
      <c r="KI818" s="2672"/>
      <c r="KJ818" s="2672"/>
      <c r="KK818" s="2672"/>
      <c r="KL818" s="2672"/>
      <c r="KM818" s="2672"/>
      <c r="KN818" s="2672"/>
      <c r="KO818" s="2672"/>
      <c r="KP818" s="2672"/>
      <c r="KQ818" s="2672"/>
      <c r="KR818" s="2672"/>
      <c r="KS818" s="2672"/>
      <c r="KT818" s="2672"/>
      <c r="KU818" s="2672"/>
      <c r="KV818" s="2672"/>
      <c r="KW818" s="2672"/>
      <c r="KX818" s="2672"/>
      <c r="KY818" s="2672"/>
      <c r="KZ818" s="2672"/>
      <c r="LA818" s="2672"/>
      <c r="LB818" s="2672"/>
      <c r="LC818" s="2672"/>
      <c r="LD818" s="2672"/>
      <c r="LE818" s="2672"/>
      <c r="LF818" s="2672"/>
      <c r="LG818" s="2672"/>
      <c r="LH818" s="2672"/>
      <c r="LI818" s="2672"/>
      <c r="LJ818" s="2672"/>
      <c r="LK818" s="2672"/>
      <c r="LL818" s="2672"/>
      <c r="LM818" s="2672"/>
      <c r="LN818" s="2672"/>
      <c r="LO818" s="2672"/>
      <c r="LP818" s="2672"/>
      <c r="LQ818" s="2672"/>
      <c r="LR818" s="2672"/>
      <c r="LS818" s="2672"/>
      <c r="LT818" s="2672"/>
      <c r="LU818" s="2672"/>
      <c r="LV818" s="2672"/>
      <c r="LW818" s="2672"/>
      <c r="LX818" s="2672"/>
      <c r="LY818" s="2672"/>
      <c r="LZ818" s="2672"/>
      <c r="MA818" s="2672"/>
      <c r="MB818" s="2672"/>
      <c r="MC818" s="2672"/>
      <c r="MD818" s="2672"/>
      <c r="ME818" s="2672"/>
      <c r="MF818" s="2672"/>
      <c r="MG818" s="2672"/>
      <c r="MH818" s="2672"/>
      <c r="MI818" s="2672"/>
      <c r="MJ818" s="2672"/>
      <c r="MK818" s="2672"/>
      <c r="ML818" s="2672"/>
      <c r="MM818" s="2672"/>
      <c r="MN818" s="2672"/>
      <c r="MO818" s="2672"/>
    </row>
    <row r="819" spans="1:369" ht="3" customHeight="1">
      <c r="A819" s="512"/>
      <c r="B819" s="2408"/>
      <c r="D819" s="2680"/>
      <c r="E819" s="2678"/>
      <c r="F819" s="2678"/>
      <c r="G819" s="513"/>
      <c r="H819" s="513"/>
      <c r="I819" s="513"/>
      <c r="J819" s="513"/>
      <c r="K819" s="513"/>
      <c r="L819" s="2680"/>
      <c r="M819" s="2678"/>
      <c r="N819" s="2408"/>
      <c r="O819" s="2408"/>
      <c r="P819" s="2408"/>
      <c r="Q819" s="2408"/>
      <c r="R819" s="2408"/>
      <c r="S819" s="2408"/>
      <c r="T819" s="2408"/>
      <c r="U819" s="2408"/>
      <c r="V819" s="2408"/>
      <c r="W819" s="2672"/>
      <c r="X819" s="2672"/>
      <c r="Y819" s="2672"/>
      <c r="Z819" s="2672"/>
      <c r="AA819" s="2672"/>
      <c r="AB819" s="2672"/>
      <c r="AC819" s="2672"/>
      <c r="AD819" s="2672"/>
      <c r="AE819" s="2672"/>
      <c r="AF819" s="2672"/>
      <c r="AG819" s="2672"/>
      <c r="AH819" s="2672"/>
      <c r="AI819" s="2672"/>
      <c r="AJ819" s="2672"/>
      <c r="AK819" s="2672"/>
      <c r="AL819" s="2672"/>
      <c r="AM819" s="2672"/>
      <c r="AN819" s="2672"/>
      <c r="AO819" s="2672"/>
      <c r="AP819" s="2672"/>
      <c r="AQ819" s="2672"/>
      <c r="AR819" s="2672"/>
      <c r="AS819" s="2672"/>
      <c r="AT819" s="2672"/>
      <c r="AU819" s="2672"/>
      <c r="AV819" s="2672"/>
      <c r="AW819" s="2672"/>
      <c r="AX819" s="2672"/>
      <c r="AY819" s="2672"/>
      <c r="AZ819" s="2672"/>
      <c r="BA819" s="2672"/>
      <c r="BB819" s="2672"/>
      <c r="BC819" s="2672"/>
      <c r="BD819" s="2672"/>
      <c r="BE819" s="2672"/>
      <c r="BF819" s="2672"/>
      <c r="BG819" s="2672"/>
      <c r="BH819" s="2672"/>
      <c r="BI819" s="2672"/>
      <c r="BJ819" s="2672"/>
      <c r="BK819" s="2672"/>
      <c r="BL819" s="2672"/>
      <c r="BM819" s="2672"/>
      <c r="BN819" s="2672"/>
      <c r="BO819" s="2672"/>
      <c r="BP819" s="2672"/>
      <c r="BQ819" s="2672"/>
      <c r="BR819" s="2672"/>
      <c r="BS819" s="2672"/>
      <c r="BT819" s="2672"/>
      <c r="BU819" s="2672"/>
      <c r="BV819" s="2672"/>
      <c r="BW819" s="2672"/>
      <c r="BX819" s="2672"/>
      <c r="BY819" s="2672"/>
      <c r="BZ819" s="2672"/>
      <c r="CA819" s="2672"/>
      <c r="CB819" s="2672"/>
      <c r="CC819" s="2672"/>
      <c r="CD819" s="2672"/>
      <c r="CE819" s="2672"/>
      <c r="CF819" s="2672"/>
      <c r="CG819" s="2672"/>
      <c r="CH819" s="2672"/>
      <c r="CI819" s="2672"/>
      <c r="CJ819" s="2672"/>
      <c r="CK819" s="2672"/>
      <c r="CL819" s="2672"/>
      <c r="CM819" s="2672"/>
      <c r="CN819" s="2672"/>
      <c r="CO819" s="2672"/>
      <c r="CP819" s="2672"/>
      <c r="CQ819" s="2672"/>
      <c r="CR819" s="2672"/>
      <c r="CS819" s="2672"/>
      <c r="CT819" s="2672"/>
      <c r="CU819" s="2672"/>
      <c r="CV819" s="2672"/>
      <c r="CW819" s="2672"/>
      <c r="CX819" s="2672"/>
      <c r="CY819" s="2672"/>
      <c r="CZ819" s="2672"/>
      <c r="DA819" s="2672"/>
      <c r="DB819" s="2672"/>
      <c r="DC819" s="2672"/>
      <c r="DD819" s="2672"/>
      <c r="DE819" s="2672"/>
      <c r="DF819" s="2672"/>
      <c r="DG819" s="2672"/>
      <c r="DH819" s="2672"/>
      <c r="DI819" s="2672"/>
      <c r="DJ819" s="2672"/>
      <c r="DK819" s="2672"/>
      <c r="DL819" s="2672"/>
      <c r="DM819" s="2672"/>
      <c r="DN819" s="2672"/>
      <c r="DO819" s="2672"/>
      <c r="DP819" s="2672"/>
      <c r="DQ819" s="2672"/>
      <c r="DR819" s="2672"/>
      <c r="DS819" s="2672"/>
      <c r="DT819" s="2672"/>
      <c r="DU819" s="2672"/>
      <c r="DV819" s="2672"/>
      <c r="DW819" s="2672"/>
      <c r="DX819" s="2672"/>
      <c r="DY819" s="2672"/>
      <c r="DZ819" s="2672"/>
      <c r="EA819" s="2672"/>
      <c r="EB819" s="2672"/>
      <c r="EC819" s="2672"/>
      <c r="ED819" s="2672"/>
      <c r="EE819" s="2672"/>
      <c r="EF819" s="2672"/>
      <c r="EG819" s="2672"/>
      <c r="EH819" s="2672"/>
      <c r="EI819" s="2672"/>
      <c r="EJ819" s="2672"/>
      <c r="EK819" s="2672"/>
      <c r="EL819" s="2672"/>
      <c r="EM819" s="2672"/>
      <c r="EN819" s="2672"/>
      <c r="EO819" s="2672"/>
      <c r="EP819" s="2672"/>
      <c r="EQ819" s="2672"/>
      <c r="ER819" s="2672"/>
      <c r="ES819" s="2672"/>
      <c r="ET819" s="2672"/>
      <c r="EU819" s="2672"/>
      <c r="EV819" s="2672"/>
      <c r="EW819" s="2672"/>
      <c r="EX819" s="2672"/>
      <c r="EY819" s="2672"/>
      <c r="EZ819" s="2672"/>
      <c r="FA819" s="2672"/>
      <c r="FB819" s="2672"/>
      <c r="FC819" s="2672"/>
      <c r="FD819" s="2672"/>
      <c r="FE819" s="2672"/>
      <c r="FF819" s="2672"/>
      <c r="FG819" s="2672"/>
      <c r="FH819" s="2672"/>
      <c r="FI819" s="2672"/>
      <c r="FJ819" s="2672"/>
      <c r="FK819" s="2672"/>
      <c r="FL819" s="2672"/>
      <c r="FM819" s="2672"/>
      <c r="FN819" s="2672"/>
      <c r="FO819" s="2672"/>
      <c r="FP819" s="2672"/>
      <c r="FQ819" s="2672"/>
      <c r="FR819" s="2672"/>
      <c r="FS819" s="2672"/>
      <c r="FT819" s="2672"/>
      <c r="FU819" s="2672"/>
      <c r="FV819" s="2672"/>
      <c r="FW819" s="2672"/>
      <c r="FX819" s="2672"/>
      <c r="FY819" s="2672"/>
      <c r="FZ819" s="2672"/>
      <c r="GA819" s="2672"/>
      <c r="GB819" s="2672"/>
      <c r="GC819" s="2672"/>
      <c r="GD819" s="2672"/>
      <c r="GE819" s="2672"/>
      <c r="GF819" s="2672"/>
      <c r="GG819" s="2672"/>
      <c r="GH819" s="2672"/>
      <c r="GI819" s="2672"/>
      <c r="GJ819" s="2672"/>
      <c r="GK819" s="2672"/>
      <c r="GL819" s="2672"/>
      <c r="GM819" s="2672"/>
      <c r="GN819" s="2672"/>
      <c r="GO819" s="2672"/>
      <c r="GP819" s="2672"/>
      <c r="GQ819" s="2672"/>
      <c r="GR819" s="2672"/>
      <c r="GS819" s="2672"/>
      <c r="GT819" s="2672"/>
      <c r="GU819" s="2672"/>
      <c r="GV819" s="2672"/>
      <c r="GW819" s="2672"/>
      <c r="GX819" s="2672"/>
      <c r="GY819" s="2672"/>
      <c r="GZ819" s="2672"/>
      <c r="HA819" s="2672"/>
      <c r="HB819" s="2672"/>
      <c r="HC819" s="2672"/>
      <c r="HD819" s="2672"/>
      <c r="HE819" s="2672"/>
      <c r="HF819" s="2672"/>
      <c r="HG819" s="2672"/>
      <c r="HH819" s="2672"/>
      <c r="HI819" s="2672"/>
      <c r="HJ819" s="2672"/>
      <c r="HK819" s="2672"/>
      <c r="HL819" s="2672"/>
      <c r="HM819" s="2672"/>
      <c r="HN819" s="2672"/>
      <c r="HO819" s="2672"/>
      <c r="HP819" s="2672"/>
      <c r="HQ819" s="2672"/>
      <c r="HR819" s="2672"/>
      <c r="HS819" s="2672"/>
      <c r="HT819" s="2672"/>
      <c r="HU819" s="2672"/>
      <c r="HV819" s="2672"/>
      <c r="HW819" s="2672"/>
      <c r="HX819" s="2672"/>
      <c r="HY819" s="2672"/>
      <c r="HZ819" s="2672"/>
      <c r="IA819" s="2672"/>
      <c r="IB819" s="2672"/>
      <c r="IC819" s="2672"/>
      <c r="ID819" s="2672"/>
      <c r="IE819" s="2672"/>
      <c r="IF819" s="2672"/>
      <c r="IG819" s="2672"/>
      <c r="IH819" s="2672"/>
      <c r="II819" s="2672"/>
      <c r="IJ819" s="2672"/>
      <c r="IK819" s="2672"/>
      <c r="IL819" s="2672"/>
      <c r="IM819" s="2672"/>
      <c r="IN819" s="2672"/>
      <c r="IO819" s="2672"/>
      <c r="IP819" s="2672"/>
      <c r="IQ819" s="2672"/>
      <c r="IR819" s="2672"/>
      <c r="IS819" s="2672"/>
      <c r="IT819" s="2672"/>
      <c r="IU819" s="2672"/>
      <c r="IV819" s="2672"/>
      <c r="IW819" s="2672"/>
      <c r="IX819" s="2672"/>
      <c r="IY819" s="2672"/>
      <c r="IZ819" s="2672"/>
      <c r="JA819" s="2672"/>
      <c r="JB819" s="2672"/>
      <c r="JC819" s="2672"/>
      <c r="JD819" s="2672"/>
      <c r="JE819" s="2672"/>
      <c r="JF819" s="2672"/>
      <c r="JG819" s="2672"/>
      <c r="JH819" s="2672"/>
      <c r="JI819" s="2672"/>
      <c r="JJ819" s="2672"/>
      <c r="JK819" s="2672"/>
      <c r="JL819" s="2672"/>
      <c r="JM819" s="2672"/>
      <c r="JN819" s="2672"/>
      <c r="JO819" s="2672"/>
      <c r="JP819" s="2672"/>
      <c r="JQ819" s="2672"/>
      <c r="JR819" s="2672"/>
      <c r="JS819" s="2672"/>
      <c r="JT819" s="2672"/>
      <c r="JU819" s="2672"/>
      <c r="JV819" s="2672"/>
      <c r="JW819" s="2672"/>
      <c r="JX819" s="2672"/>
      <c r="JY819" s="2672"/>
      <c r="JZ819" s="2672"/>
      <c r="KA819" s="2672"/>
      <c r="KB819" s="2672"/>
      <c r="KC819" s="2672"/>
      <c r="KD819" s="2672"/>
      <c r="KE819" s="2672"/>
      <c r="KF819" s="2672"/>
      <c r="KG819" s="2672"/>
      <c r="KH819" s="2672"/>
      <c r="KI819" s="2672"/>
      <c r="KJ819" s="2672"/>
      <c r="KK819" s="2672"/>
      <c r="KL819" s="2672"/>
      <c r="KM819" s="2672"/>
      <c r="KN819" s="2672"/>
      <c r="KO819" s="2672"/>
      <c r="KP819" s="2672"/>
      <c r="KQ819" s="2672"/>
      <c r="KR819" s="2672"/>
      <c r="KS819" s="2672"/>
      <c r="KT819" s="2672"/>
      <c r="KU819" s="2672"/>
      <c r="KV819" s="2672"/>
      <c r="KW819" s="2672"/>
      <c r="KX819" s="2672"/>
      <c r="KY819" s="2672"/>
      <c r="KZ819" s="2672"/>
      <c r="LA819" s="2672"/>
      <c r="LB819" s="2672"/>
      <c r="LC819" s="2672"/>
      <c r="LD819" s="2672"/>
      <c r="LE819" s="2672"/>
      <c r="LF819" s="2672"/>
      <c r="LG819" s="2672"/>
      <c r="LH819" s="2672"/>
      <c r="LI819" s="2672"/>
      <c r="LJ819" s="2672"/>
      <c r="LK819" s="2672"/>
      <c r="LL819" s="2672"/>
      <c r="LM819" s="2672"/>
      <c r="LN819" s="2672"/>
      <c r="LO819" s="2672"/>
      <c r="LP819" s="2672"/>
      <c r="LQ819" s="2672"/>
      <c r="LR819" s="2672"/>
      <c r="LS819" s="2672"/>
      <c r="LT819" s="2672"/>
      <c r="LU819" s="2672"/>
      <c r="LV819" s="2672"/>
      <c r="LW819" s="2672"/>
      <c r="LX819" s="2672"/>
      <c r="LY819" s="2672"/>
      <c r="LZ819" s="2672"/>
      <c r="MA819" s="2672"/>
      <c r="MB819" s="2672"/>
      <c r="MC819" s="2672"/>
      <c r="MD819" s="2672"/>
      <c r="ME819" s="2672"/>
      <c r="MF819" s="2672"/>
      <c r="MG819" s="2672"/>
      <c r="MH819" s="2672"/>
      <c r="MI819" s="2672"/>
      <c r="MJ819" s="2672"/>
      <c r="MK819" s="2672"/>
      <c r="ML819" s="2672"/>
      <c r="MM819" s="2672"/>
      <c r="MN819" s="2672"/>
      <c r="MO819" s="2672"/>
    </row>
    <row r="820" spans="1:369" ht="12" customHeight="1">
      <c r="A820" s="2505" t="s">
        <v>6915</v>
      </c>
      <c r="B820" s="2505"/>
      <c r="C820" s="2505"/>
      <c r="D820" s="2505"/>
      <c r="E820" s="2505"/>
      <c r="F820" s="2505"/>
      <c r="G820" s="2505"/>
      <c r="H820" s="2505"/>
      <c r="I820" s="2505"/>
      <c r="J820" s="2505"/>
      <c r="K820" s="2505"/>
      <c r="L820" s="2505"/>
      <c r="M820" s="2505"/>
      <c r="N820" s="2505"/>
      <c r="O820" s="2505"/>
      <c r="P820" s="2505"/>
      <c r="Q820" s="2505"/>
      <c r="R820" s="2542"/>
      <c r="S820" s="2408"/>
      <c r="T820" s="2408"/>
      <c r="U820" s="2408"/>
      <c r="V820" s="2408"/>
      <c r="W820" s="2672"/>
      <c r="X820" s="2672"/>
      <c r="Y820" s="2672"/>
      <c r="Z820" s="2672"/>
      <c r="AA820" s="2672"/>
      <c r="AB820" s="2672"/>
      <c r="AC820" s="2672"/>
      <c r="AD820" s="2672"/>
      <c r="AE820" s="2672"/>
      <c r="AF820" s="2672"/>
      <c r="AG820" s="2672"/>
      <c r="AH820" s="2672"/>
      <c r="AI820" s="2672"/>
      <c r="AJ820" s="2672"/>
      <c r="AK820" s="2672"/>
      <c r="AL820" s="2672"/>
      <c r="AM820" s="2672"/>
      <c r="AN820" s="2672"/>
      <c r="AO820" s="2672"/>
      <c r="AP820" s="2672"/>
      <c r="AQ820" s="2672"/>
      <c r="AR820" s="2672"/>
      <c r="AS820" s="2672"/>
      <c r="AT820" s="2672"/>
      <c r="AU820" s="2672"/>
      <c r="AV820" s="2672"/>
      <c r="AW820" s="2672"/>
      <c r="AX820" s="2672"/>
      <c r="AY820" s="2672"/>
      <c r="AZ820" s="2672"/>
      <c r="BA820" s="2672"/>
      <c r="BB820" s="2672"/>
      <c r="BC820" s="2672"/>
      <c r="BD820" s="2672"/>
      <c r="BE820" s="2672"/>
      <c r="BF820" s="2672"/>
      <c r="BG820" s="2672"/>
      <c r="BH820" s="2672"/>
      <c r="BI820" s="2672"/>
      <c r="BJ820" s="2672"/>
      <c r="BK820" s="2672"/>
      <c r="BL820" s="2672"/>
      <c r="BM820" s="2672"/>
      <c r="BN820" s="2672"/>
      <c r="BO820" s="2672"/>
      <c r="BP820" s="2672"/>
      <c r="BQ820" s="2672"/>
      <c r="BR820" s="2672"/>
      <c r="BS820" s="2672"/>
      <c r="BT820" s="2672"/>
      <c r="BU820" s="2672"/>
      <c r="BV820" s="2672"/>
      <c r="BW820" s="2672"/>
      <c r="BX820" s="2672"/>
      <c r="BY820" s="2672"/>
      <c r="BZ820" s="2672"/>
      <c r="CA820" s="2672"/>
      <c r="CB820" s="2672"/>
      <c r="CC820" s="2672"/>
      <c r="CD820" s="2672"/>
      <c r="CE820" s="2672"/>
      <c r="CF820" s="2672"/>
      <c r="CG820" s="2672"/>
      <c r="CH820" s="2672"/>
      <c r="CI820" s="2672"/>
      <c r="CJ820" s="2672"/>
      <c r="CK820" s="2672"/>
      <c r="CL820" s="2672"/>
      <c r="CM820" s="2672"/>
      <c r="CN820" s="2672"/>
      <c r="CO820" s="2672"/>
      <c r="CP820" s="2672"/>
      <c r="CQ820" s="2672"/>
      <c r="CR820" s="2672"/>
      <c r="CS820" s="2672"/>
      <c r="CT820" s="2672"/>
      <c r="CU820" s="2672"/>
      <c r="CV820" s="2672"/>
      <c r="CW820" s="2672"/>
      <c r="CX820" s="2672"/>
      <c r="CY820" s="2672"/>
      <c r="CZ820" s="2672"/>
      <c r="DA820" s="2672"/>
      <c r="DB820" s="2672"/>
      <c r="DC820" s="2672"/>
      <c r="DD820" s="2672"/>
      <c r="DE820" s="2672"/>
      <c r="DF820" s="2672"/>
      <c r="DG820" s="2672"/>
      <c r="DH820" s="2672"/>
      <c r="DI820" s="2672"/>
      <c r="DJ820" s="2672"/>
      <c r="DK820" s="2672"/>
      <c r="DL820" s="2672"/>
      <c r="DM820" s="2672"/>
      <c r="DN820" s="2672"/>
      <c r="DO820" s="2672"/>
      <c r="DP820" s="2672"/>
      <c r="DQ820" s="2672"/>
      <c r="DR820" s="2672"/>
      <c r="DS820" s="2672"/>
      <c r="DT820" s="2672"/>
      <c r="DU820" s="2672"/>
      <c r="DV820" s="2672"/>
      <c r="DW820" s="2672"/>
      <c r="DX820" s="2672"/>
      <c r="DY820" s="2672"/>
      <c r="DZ820" s="2672"/>
      <c r="EA820" s="2672"/>
      <c r="EB820" s="2672"/>
      <c r="EC820" s="2672"/>
      <c r="ED820" s="2672"/>
      <c r="EE820" s="2672"/>
      <c r="EF820" s="2672"/>
      <c r="EG820" s="2672"/>
      <c r="EH820" s="2672"/>
      <c r="EI820" s="2672"/>
      <c r="EJ820" s="2672"/>
      <c r="EK820" s="2672"/>
      <c r="EL820" s="2672"/>
      <c r="EM820" s="2672"/>
      <c r="EN820" s="2672"/>
      <c r="EO820" s="2672"/>
      <c r="EP820" s="2672"/>
      <c r="EQ820" s="2672"/>
      <c r="ER820" s="2672"/>
      <c r="ES820" s="2672"/>
      <c r="ET820" s="2672"/>
      <c r="EU820" s="2672"/>
      <c r="EV820" s="2672"/>
      <c r="EW820" s="2672"/>
      <c r="EX820" s="2672"/>
      <c r="EY820" s="2672"/>
      <c r="EZ820" s="2672"/>
      <c r="FA820" s="2672"/>
      <c r="FB820" s="2672"/>
      <c r="FC820" s="2672"/>
      <c r="FD820" s="2672"/>
      <c r="FE820" s="2672"/>
      <c r="FF820" s="2672"/>
      <c r="FG820" s="2672"/>
      <c r="FH820" s="2672"/>
      <c r="FI820" s="2672"/>
      <c r="FJ820" s="2672"/>
      <c r="FK820" s="2672"/>
      <c r="FL820" s="2672"/>
      <c r="FM820" s="2672"/>
      <c r="FN820" s="2672"/>
      <c r="FO820" s="2672"/>
      <c r="FP820" s="2672"/>
      <c r="FQ820" s="2672"/>
      <c r="FR820" s="2672"/>
      <c r="FS820" s="2672"/>
      <c r="FT820" s="2672"/>
      <c r="FU820" s="2672"/>
      <c r="FV820" s="2672"/>
      <c r="FW820" s="2672"/>
      <c r="FX820" s="2672"/>
      <c r="FY820" s="2672"/>
      <c r="FZ820" s="2672"/>
      <c r="GA820" s="2672"/>
      <c r="GB820" s="2672"/>
      <c r="GC820" s="2672"/>
      <c r="GD820" s="2672"/>
      <c r="GE820" s="2672"/>
      <c r="GF820" s="2672"/>
      <c r="GG820" s="2672"/>
      <c r="GH820" s="2672"/>
      <c r="GI820" s="2672"/>
      <c r="GJ820" s="2672"/>
      <c r="GK820" s="2672"/>
      <c r="GL820" s="2672"/>
      <c r="GM820" s="2672"/>
      <c r="GN820" s="2672"/>
      <c r="GO820" s="2672"/>
      <c r="GP820" s="2672"/>
      <c r="GQ820" s="2672"/>
      <c r="GR820" s="2672"/>
      <c r="GS820" s="2672"/>
      <c r="GT820" s="2672"/>
      <c r="GU820" s="2672"/>
      <c r="GV820" s="2672"/>
      <c r="GW820" s="2672"/>
      <c r="GX820" s="2672"/>
      <c r="GY820" s="2672"/>
      <c r="GZ820" s="2672"/>
      <c r="HA820" s="2672"/>
      <c r="HB820" s="2672"/>
      <c r="HC820" s="2672"/>
      <c r="HD820" s="2672"/>
      <c r="HE820" s="2672"/>
      <c r="HF820" s="2672"/>
      <c r="HG820" s="2672"/>
      <c r="HH820" s="2672"/>
      <c r="HI820" s="2672"/>
      <c r="HJ820" s="2672"/>
      <c r="HK820" s="2672"/>
      <c r="HL820" s="2672"/>
      <c r="HM820" s="2672"/>
      <c r="HN820" s="2672"/>
      <c r="HO820" s="2672"/>
      <c r="HP820" s="2672"/>
      <c r="HQ820" s="2672"/>
      <c r="HR820" s="2672"/>
      <c r="HS820" s="2672"/>
      <c r="HT820" s="2672"/>
      <c r="HU820" s="2672"/>
      <c r="HV820" s="2672"/>
      <c r="HW820" s="2672"/>
      <c r="HX820" s="2672"/>
      <c r="HY820" s="2672"/>
      <c r="HZ820" s="2672"/>
      <c r="IA820" s="2672"/>
      <c r="IB820" s="2672"/>
      <c r="IC820" s="2672"/>
      <c r="ID820" s="2672"/>
      <c r="IE820" s="2672"/>
      <c r="IF820" s="2672"/>
      <c r="IG820" s="2672"/>
      <c r="IH820" s="2672"/>
      <c r="II820" s="2672"/>
      <c r="IJ820" s="2672"/>
      <c r="IK820" s="2672"/>
      <c r="IL820" s="2672"/>
      <c r="IM820" s="2672"/>
      <c r="IN820" s="2672"/>
      <c r="IO820" s="2672"/>
      <c r="IP820" s="2672"/>
      <c r="IQ820" s="2672"/>
      <c r="IR820" s="2672"/>
      <c r="IS820" s="2672"/>
      <c r="IT820" s="2672"/>
      <c r="IU820" s="2672"/>
      <c r="IV820" s="2672"/>
      <c r="IW820" s="2672"/>
      <c r="IX820" s="2672"/>
      <c r="IY820" s="2672"/>
      <c r="IZ820" s="2672"/>
      <c r="JA820" s="2672"/>
      <c r="JB820" s="2672"/>
      <c r="JC820" s="2672"/>
      <c r="JD820" s="2672"/>
      <c r="JE820" s="2672"/>
      <c r="JF820" s="2672"/>
      <c r="JG820" s="2672"/>
      <c r="JH820" s="2672"/>
      <c r="JI820" s="2672"/>
      <c r="JJ820" s="2672"/>
      <c r="JK820" s="2672"/>
      <c r="JL820" s="2672"/>
      <c r="JM820" s="2672"/>
      <c r="JN820" s="2672"/>
      <c r="JO820" s="2672"/>
      <c r="JP820" s="2672"/>
      <c r="JQ820" s="2672"/>
      <c r="JR820" s="2672"/>
      <c r="JS820" s="2672"/>
      <c r="JT820" s="2672"/>
      <c r="JU820" s="2672"/>
      <c r="JV820" s="2672"/>
      <c r="JW820" s="2672"/>
      <c r="JX820" s="2672"/>
      <c r="JY820" s="2672"/>
      <c r="JZ820" s="2672"/>
      <c r="KA820" s="2672"/>
      <c r="KB820" s="2672"/>
      <c r="KC820" s="2672"/>
      <c r="KD820" s="2672"/>
      <c r="KE820" s="2672"/>
      <c r="KF820" s="2672"/>
      <c r="KG820" s="2672"/>
      <c r="KH820" s="2672"/>
      <c r="KI820" s="2672"/>
      <c r="KJ820" s="2672"/>
      <c r="KK820" s="2672"/>
      <c r="KL820" s="2672"/>
      <c r="KM820" s="2672"/>
      <c r="KN820" s="2672"/>
      <c r="KO820" s="2672"/>
      <c r="KP820" s="2672"/>
      <c r="KQ820" s="2672"/>
      <c r="KR820" s="2672"/>
      <c r="KS820" s="2672"/>
      <c r="KT820" s="2672"/>
      <c r="KU820" s="2672"/>
      <c r="KV820" s="2672"/>
      <c r="KW820" s="2672"/>
      <c r="KX820" s="2672"/>
      <c r="KY820" s="2672"/>
      <c r="KZ820" s="2672"/>
      <c r="LA820" s="2672"/>
      <c r="LB820" s="2672"/>
      <c r="LC820" s="2672"/>
      <c r="LD820" s="2672"/>
      <c r="LE820" s="2672"/>
      <c r="LF820" s="2672"/>
      <c r="LG820" s="2672"/>
      <c r="LH820" s="2672"/>
      <c r="LI820" s="2672"/>
      <c r="LJ820" s="2672"/>
      <c r="LK820" s="2672"/>
      <c r="LL820" s="2672"/>
      <c r="LM820" s="2672"/>
      <c r="LN820" s="2672"/>
      <c r="LO820" s="2672"/>
      <c r="LP820" s="2672"/>
      <c r="LQ820" s="2672"/>
      <c r="LR820" s="2672"/>
      <c r="LS820" s="2672"/>
      <c r="LT820" s="2672"/>
      <c r="LU820" s="2672"/>
      <c r="LV820" s="2672"/>
      <c r="LW820" s="2672"/>
      <c r="LX820" s="2672"/>
      <c r="LY820" s="2672"/>
      <c r="LZ820" s="2672"/>
      <c r="MA820" s="2672"/>
      <c r="MB820" s="2672"/>
      <c r="MC820" s="2672"/>
      <c r="MD820" s="2672"/>
      <c r="ME820" s="2672"/>
      <c r="MF820" s="2672"/>
      <c r="MG820" s="2672"/>
      <c r="MH820" s="2672"/>
      <c r="MI820" s="2672"/>
      <c r="MJ820" s="2672"/>
      <c r="MK820" s="2672"/>
      <c r="ML820" s="2672"/>
      <c r="MM820" s="2672"/>
      <c r="MN820" s="2672"/>
      <c r="MO820" s="2672"/>
    </row>
    <row r="821" spans="1:369" ht="12" customHeight="1">
      <c r="A821" s="2505"/>
      <c r="B821" s="2505"/>
      <c r="C821" s="2505"/>
      <c r="D821" s="2505"/>
      <c r="E821" s="2505"/>
      <c r="F821" s="2505"/>
      <c r="G821" s="2505"/>
      <c r="H821" s="2505"/>
      <c r="I821" s="2505"/>
      <c r="J821" s="2505"/>
      <c r="K821" s="2505"/>
      <c r="L821" s="2505"/>
      <c r="M821" s="2505"/>
      <c r="N821" s="2505"/>
      <c r="O821" s="2505"/>
      <c r="P821" s="2505"/>
      <c r="Q821" s="2505"/>
      <c r="R821" s="2542"/>
      <c r="S821" s="2408"/>
      <c r="T821" s="2408"/>
      <c r="U821" s="2408"/>
      <c r="V821" s="2408"/>
      <c r="W821" s="2672"/>
      <c r="X821" s="2672"/>
      <c r="Y821" s="2672"/>
      <c r="Z821" s="2672"/>
      <c r="AA821" s="2672"/>
      <c r="AB821" s="2672"/>
      <c r="AC821" s="2672"/>
      <c r="AD821" s="2672"/>
      <c r="AE821" s="2672"/>
      <c r="AF821" s="2672"/>
      <c r="AG821" s="2672"/>
      <c r="AH821" s="2672"/>
      <c r="AI821" s="2672"/>
      <c r="AJ821" s="2672"/>
      <c r="AK821" s="2672"/>
      <c r="AL821" s="2672"/>
      <c r="AM821" s="2672"/>
      <c r="AN821" s="2672"/>
      <c r="AO821" s="2672"/>
      <c r="AP821" s="2672"/>
      <c r="AQ821" s="2672"/>
      <c r="AR821" s="2672"/>
      <c r="AS821" s="2672"/>
      <c r="AT821" s="2672"/>
      <c r="AU821" s="2672"/>
      <c r="AV821" s="2672"/>
      <c r="AW821" s="2672"/>
      <c r="AX821" s="2672"/>
      <c r="AY821" s="2672"/>
      <c r="AZ821" s="2672"/>
      <c r="BA821" s="2672"/>
      <c r="BB821" s="2672"/>
      <c r="BC821" s="2672"/>
      <c r="BD821" s="2672"/>
      <c r="BE821" s="2672"/>
      <c r="BF821" s="2672"/>
      <c r="BG821" s="2672"/>
      <c r="BH821" s="2672"/>
      <c r="BI821" s="2672"/>
      <c r="BJ821" s="2672"/>
      <c r="BK821" s="2672"/>
      <c r="BL821" s="2672"/>
      <c r="BM821" s="2672"/>
      <c r="BN821" s="2672"/>
      <c r="BO821" s="2672"/>
      <c r="BP821" s="2672"/>
      <c r="BQ821" s="2672"/>
      <c r="BR821" s="2672"/>
      <c r="BS821" s="2672"/>
      <c r="BT821" s="2672"/>
      <c r="BU821" s="2672"/>
      <c r="BV821" s="2672"/>
      <c r="BW821" s="2672"/>
      <c r="BX821" s="2672"/>
      <c r="BY821" s="2672"/>
      <c r="BZ821" s="2672"/>
      <c r="CA821" s="2672"/>
      <c r="CB821" s="2672"/>
      <c r="CC821" s="2672"/>
      <c r="CD821" s="2672"/>
      <c r="CE821" s="2672"/>
      <c r="CF821" s="2672"/>
      <c r="CG821" s="2672"/>
      <c r="CH821" s="2672"/>
      <c r="CI821" s="2672"/>
      <c r="CJ821" s="2672"/>
      <c r="CK821" s="2672"/>
      <c r="CL821" s="2672"/>
      <c r="CM821" s="2672"/>
      <c r="CN821" s="2672"/>
      <c r="CO821" s="2672"/>
      <c r="CP821" s="2672"/>
      <c r="CQ821" s="2672"/>
      <c r="CR821" s="2672"/>
      <c r="CS821" s="2672"/>
      <c r="CT821" s="2672"/>
      <c r="CU821" s="2672"/>
      <c r="CV821" s="2672"/>
      <c r="CW821" s="2672"/>
      <c r="CX821" s="2672"/>
      <c r="CY821" s="2672"/>
      <c r="CZ821" s="2672"/>
      <c r="DA821" s="2672"/>
      <c r="DB821" s="2672"/>
      <c r="DC821" s="2672"/>
      <c r="DD821" s="2672"/>
      <c r="DE821" s="2672"/>
      <c r="DF821" s="2672"/>
      <c r="DG821" s="2672"/>
      <c r="DH821" s="2672"/>
      <c r="DI821" s="2672"/>
      <c r="DJ821" s="2672"/>
      <c r="DK821" s="2672"/>
      <c r="DL821" s="2672"/>
      <c r="DM821" s="2672"/>
      <c r="DN821" s="2672"/>
      <c r="DO821" s="2672"/>
      <c r="DP821" s="2672"/>
      <c r="DQ821" s="2672"/>
      <c r="DR821" s="2672"/>
      <c r="DS821" s="2672"/>
      <c r="DT821" s="2672"/>
      <c r="DU821" s="2672"/>
      <c r="DV821" s="2672"/>
      <c r="DW821" s="2672"/>
      <c r="DX821" s="2672"/>
      <c r="DY821" s="2672"/>
      <c r="DZ821" s="2672"/>
      <c r="EA821" s="2672"/>
      <c r="EB821" s="2672"/>
      <c r="EC821" s="2672"/>
      <c r="ED821" s="2672"/>
      <c r="EE821" s="2672"/>
      <c r="EF821" s="2672"/>
      <c r="EG821" s="2672"/>
      <c r="EH821" s="2672"/>
      <c r="EI821" s="2672"/>
      <c r="EJ821" s="2672"/>
      <c r="EK821" s="2672"/>
      <c r="EL821" s="2672"/>
      <c r="EM821" s="2672"/>
      <c r="EN821" s="2672"/>
      <c r="EO821" s="2672"/>
      <c r="EP821" s="2672"/>
      <c r="EQ821" s="2672"/>
      <c r="ER821" s="2672"/>
      <c r="ES821" s="2672"/>
      <c r="ET821" s="2672"/>
      <c r="EU821" s="2672"/>
      <c r="EV821" s="2672"/>
      <c r="EW821" s="2672"/>
      <c r="EX821" s="2672"/>
      <c r="EY821" s="2672"/>
      <c r="EZ821" s="2672"/>
      <c r="FA821" s="2672"/>
      <c r="FB821" s="2672"/>
      <c r="FC821" s="2672"/>
      <c r="FD821" s="2672"/>
      <c r="FE821" s="2672"/>
      <c r="FF821" s="2672"/>
      <c r="FG821" s="2672"/>
      <c r="FH821" s="2672"/>
      <c r="FI821" s="2672"/>
      <c r="FJ821" s="2672"/>
      <c r="FK821" s="2672"/>
      <c r="FL821" s="2672"/>
      <c r="FM821" s="2672"/>
      <c r="FN821" s="2672"/>
      <c r="FO821" s="2672"/>
      <c r="FP821" s="2672"/>
      <c r="FQ821" s="2672"/>
      <c r="FR821" s="2672"/>
      <c r="FS821" s="2672"/>
      <c r="FT821" s="2672"/>
      <c r="FU821" s="2672"/>
      <c r="FV821" s="2672"/>
      <c r="FW821" s="2672"/>
      <c r="FX821" s="2672"/>
      <c r="FY821" s="2672"/>
      <c r="FZ821" s="2672"/>
      <c r="GA821" s="2672"/>
      <c r="GB821" s="2672"/>
      <c r="GC821" s="2672"/>
      <c r="GD821" s="2672"/>
      <c r="GE821" s="2672"/>
      <c r="GF821" s="2672"/>
      <c r="GG821" s="2672"/>
      <c r="GH821" s="2672"/>
      <c r="GI821" s="2672"/>
      <c r="GJ821" s="2672"/>
      <c r="GK821" s="2672"/>
      <c r="GL821" s="2672"/>
      <c r="GM821" s="2672"/>
      <c r="GN821" s="2672"/>
      <c r="GO821" s="2672"/>
      <c r="GP821" s="2672"/>
      <c r="GQ821" s="2672"/>
      <c r="GR821" s="2672"/>
      <c r="GS821" s="2672"/>
      <c r="GT821" s="2672"/>
      <c r="GU821" s="2672"/>
      <c r="GV821" s="2672"/>
      <c r="GW821" s="2672"/>
      <c r="GX821" s="2672"/>
      <c r="GY821" s="2672"/>
      <c r="GZ821" s="2672"/>
      <c r="HA821" s="2672"/>
      <c r="HB821" s="2672"/>
      <c r="HC821" s="2672"/>
      <c r="HD821" s="2672"/>
      <c r="HE821" s="2672"/>
      <c r="HF821" s="2672"/>
      <c r="HG821" s="2672"/>
      <c r="HH821" s="2672"/>
      <c r="HI821" s="2672"/>
      <c r="HJ821" s="2672"/>
      <c r="HK821" s="2672"/>
      <c r="HL821" s="2672"/>
      <c r="HM821" s="2672"/>
      <c r="HN821" s="2672"/>
      <c r="HO821" s="2672"/>
      <c r="HP821" s="2672"/>
      <c r="HQ821" s="2672"/>
      <c r="HR821" s="2672"/>
      <c r="HS821" s="2672"/>
      <c r="HT821" s="2672"/>
      <c r="HU821" s="2672"/>
      <c r="HV821" s="2672"/>
      <c r="HW821" s="2672"/>
      <c r="HX821" s="2672"/>
      <c r="HY821" s="2672"/>
      <c r="HZ821" s="2672"/>
      <c r="IA821" s="2672"/>
      <c r="IB821" s="2672"/>
      <c r="IC821" s="2672"/>
      <c r="ID821" s="2672"/>
      <c r="IE821" s="2672"/>
      <c r="IF821" s="2672"/>
      <c r="IG821" s="2672"/>
      <c r="IH821" s="2672"/>
      <c r="II821" s="2672"/>
      <c r="IJ821" s="2672"/>
      <c r="IK821" s="2672"/>
      <c r="IL821" s="2672"/>
      <c r="IM821" s="2672"/>
      <c r="IN821" s="2672"/>
      <c r="IO821" s="2672"/>
      <c r="IP821" s="2672"/>
      <c r="IQ821" s="2672"/>
      <c r="IR821" s="2672"/>
      <c r="IS821" s="2672"/>
      <c r="IT821" s="2672"/>
      <c r="IU821" s="2672"/>
      <c r="IV821" s="2672"/>
      <c r="IW821" s="2672"/>
      <c r="IX821" s="2672"/>
      <c r="IY821" s="2672"/>
      <c r="IZ821" s="2672"/>
      <c r="JA821" s="2672"/>
      <c r="JB821" s="2672"/>
      <c r="JC821" s="2672"/>
      <c r="JD821" s="2672"/>
      <c r="JE821" s="2672"/>
      <c r="JF821" s="2672"/>
      <c r="JG821" s="2672"/>
      <c r="JH821" s="2672"/>
      <c r="JI821" s="2672"/>
      <c r="JJ821" s="2672"/>
      <c r="JK821" s="2672"/>
      <c r="JL821" s="2672"/>
      <c r="JM821" s="2672"/>
      <c r="JN821" s="2672"/>
      <c r="JO821" s="2672"/>
      <c r="JP821" s="2672"/>
      <c r="JQ821" s="2672"/>
      <c r="JR821" s="2672"/>
      <c r="JS821" s="2672"/>
      <c r="JT821" s="2672"/>
      <c r="JU821" s="2672"/>
      <c r="JV821" s="2672"/>
      <c r="JW821" s="2672"/>
      <c r="JX821" s="2672"/>
      <c r="JY821" s="2672"/>
      <c r="JZ821" s="2672"/>
      <c r="KA821" s="2672"/>
      <c r="KB821" s="2672"/>
      <c r="KC821" s="2672"/>
      <c r="KD821" s="2672"/>
      <c r="KE821" s="2672"/>
      <c r="KF821" s="2672"/>
      <c r="KG821" s="2672"/>
      <c r="KH821" s="2672"/>
      <c r="KI821" s="2672"/>
      <c r="KJ821" s="2672"/>
      <c r="KK821" s="2672"/>
      <c r="KL821" s="2672"/>
      <c r="KM821" s="2672"/>
      <c r="KN821" s="2672"/>
      <c r="KO821" s="2672"/>
      <c r="KP821" s="2672"/>
      <c r="KQ821" s="2672"/>
      <c r="KR821" s="2672"/>
      <c r="KS821" s="2672"/>
      <c r="KT821" s="2672"/>
      <c r="KU821" s="2672"/>
      <c r="KV821" s="2672"/>
      <c r="KW821" s="2672"/>
      <c r="KX821" s="2672"/>
      <c r="KY821" s="2672"/>
      <c r="KZ821" s="2672"/>
      <c r="LA821" s="2672"/>
      <c r="LB821" s="2672"/>
      <c r="LC821" s="2672"/>
      <c r="LD821" s="2672"/>
      <c r="LE821" s="2672"/>
      <c r="LF821" s="2672"/>
      <c r="LG821" s="2672"/>
      <c r="LH821" s="2672"/>
      <c r="LI821" s="2672"/>
      <c r="LJ821" s="2672"/>
      <c r="LK821" s="2672"/>
      <c r="LL821" s="2672"/>
      <c r="LM821" s="2672"/>
      <c r="LN821" s="2672"/>
      <c r="LO821" s="2672"/>
      <c r="LP821" s="2672"/>
      <c r="LQ821" s="2672"/>
      <c r="LR821" s="2672"/>
      <c r="LS821" s="2672"/>
      <c r="LT821" s="2672"/>
      <c r="LU821" s="2672"/>
      <c r="LV821" s="2672"/>
      <c r="LW821" s="2672"/>
      <c r="LX821" s="2672"/>
      <c r="LY821" s="2672"/>
      <c r="LZ821" s="2672"/>
      <c r="MA821" s="2672"/>
      <c r="MB821" s="2672"/>
      <c r="MC821" s="2672"/>
      <c r="MD821" s="2672"/>
      <c r="ME821" s="2672"/>
      <c r="MF821" s="2672"/>
      <c r="MG821" s="2672"/>
      <c r="MH821" s="2672"/>
      <c r="MI821" s="2672"/>
      <c r="MJ821" s="2672"/>
      <c r="MK821" s="2672"/>
      <c r="ML821" s="2672"/>
      <c r="MM821" s="2672"/>
      <c r="MN821" s="2672"/>
      <c r="MO821" s="2672"/>
    </row>
    <row r="822" spans="1:369" ht="14.4" customHeight="1">
      <c r="A822" s="2494" t="s">
        <v>722</v>
      </c>
      <c r="B822" s="2494" t="s">
        <v>519</v>
      </c>
      <c r="L822" s="2681" t="str">
        <f>'Part I-Project Information'!$K$94</f>
        <v>40% of Units at 60% of AMI</v>
      </c>
      <c r="M822" s="2681"/>
      <c r="N822" s="2681"/>
      <c r="O822" s="2681"/>
      <c r="S822" s="2408" t="str">
        <f>B822</f>
        <v>UNIT SUMMARY</v>
      </c>
      <c r="T822" s="2408"/>
      <c r="U822" s="2408"/>
      <c r="V822" s="2408"/>
      <c r="AY822" s="2408"/>
      <c r="BD822" s="2408"/>
      <c r="JW822" s="2613"/>
      <c r="KB822" s="2613"/>
      <c r="KC822" s="2613"/>
      <c r="KD822" s="2613"/>
      <c r="KE822" s="2613"/>
      <c r="KF822" s="2613"/>
      <c r="KG822" s="2613"/>
      <c r="KH822" s="2613"/>
      <c r="KI822" s="2613"/>
      <c r="KJ822" s="2613"/>
      <c r="KK822" s="2613"/>
      <c r="KL822" s="2613"/>
      <c r="KM822" s="2613"/>
      <c r="KN822" s="2613"/>
      <c r="KO822" s="2613"/>
      <c r="KP822" s="2613"/>
      <c r="KQ822" s="2613"/>
      <c r="KR822" s="2613"/>
      <c r="KS822" s="2613"/>
      <c r="KT822" s="2613"/>
      <c r="KU822" s="2613"/>
      <c r="KV822" s="2613"/>
      <c r="KW822" s="2613"/>
      <c r="KX822" s="2613"/>
      <c r="KY822" s="2613"/>
      <c r="KZ822" s="2613"/>
      <c r="LA822" s="2613"/>
      <c r="LB822" s="2613"/>
      <c r="LC822" s="2613"/>
      <c r="LD822" s="2613"/>
      <c r="LE822" s="2613"/>
      <c r="LF822" s="2613"/>
      <c r="LG822" s="2613"/>
      <c r="LH822" s="2613"/>
      <c r="LI822" s="2613"/>
      <c r="LJ822" s="2613"/>
      <c r="LK822" s="2613"/>
      <c r="LL822" s="2613"/>
      <c r="LM822" s="2613"/>
      <c r="LN822" s="2613"/>
      <c r="LO822" s="2613"/>
      <c r="LP822" s="2613"/>
      <c r="LQ822" s="2613"/>
    </row>
    <row r="823" spans="1:369" ht="6" customHeight="1">
      <c r="U823" s="2653"/>
      <c r="AY823" s="2408"/>
      <c r="BD823" s="2408"/>
      <c r="JW823" s="2613"/>
      <c r="KB823" s="2613"/>
      <c r="KC823" s="2613"/>
      <c r="KD823" s="2613"/>
      <c r="KE823" s="2613"/>
      <c r="KF823" s="2613"/>
      <c r="KG823" s="2613"/>
      <c r="KH823" s="2613"/>
      <c r="KI823" s="2613"/>
      <c r="KJ823" s="2613"/>
      <c r="KK823" s="2613"/>
      <c r="KL823" s="2613"/>
      <c r="KM823" s="2613"/>
      <c r="KN823" s="2613"/>
      <c r="KO823" s="2613"/>
      <c r="KP823" s="2613"/>
      <c r="KQ823" s="2613"/>
      <c r="KR823" s="2613"/>
      <c r="KS823" s="2613"/>
      <c r="KT823" s="2613"/>
      <c r="KU823" s="2613"/>
      <c r="KV823" s="2613"/>
      <c r="KW823" s="2613"/>
      <c r="KX823" s="2613"/>
      <c r="KY823" s="2613"/>
      <c r="KZ823" s="2613"/>
      <c r="LA823" s="2613"/>
      <c r="LB823" s="2613"/>
      <c r="LC823" s="2613"/>
      <c r="LD823" s="2613"/>
      <c r="LE823" s="2613"/>
      <c r="LF823" s="2613"/>
      <c r="LG823" s="2613"/>
      <c r="LH823" s="2613"/>
      <c r="LI823" s="2613"/>
      <c r="LJ823" s="2613"/>
      <c r="LK823" s="2613"/>
      <c r="LL823" s="2613"/>
      <c r="LM823" s="2613"/>
      <c r="LN823" s="2613"/>
      <c r="LO823" s="2613"/>
      <c r="LP823" s="2613"/>
      <c r="LQ823" s="2613"/>
    </row>
    <row r="824" spans="1:369" ht="14.4" customHeight="1">
      <c r="B824" s="2494" t="s">
        <v>1114</v>
      </c>
      <c r="H824" s="2494" t="s">
        <v>1018</v>
      </c>
      <c r="K824" s="2682" t="s">
        <v>551</v>
      </c>
      <c r="L824" s="2682" t="s">
        <v>520</v>
      </c>
      <c r="M824" s="2682" t="s">
        <v>521</v>
      </c>
      <c r="N824" s="2682" t="s">
        <v>522</v>
      </c>
      <c r="O824" s="2682" t="s">
        <v>523</v>
      </c>
      <c r="P824" s="2682" t="s">
        <v>524</v>
      </c>
      <c r="S824" s="2494" t="s">
        <v>1799</v>
      </c>
      <c r="U824" s="2653"/>
      <c r="AR824" s="2682"/>
      <c r="AS824" s="2682"/>
      <c r="AT824" s="2682"/>
      <c r="AU824" s="2682"/>
      <c r="AV824" s="2682"/>
      <c r="AW824" s="2682"/>
      <c r="AY824" s="2408"/>
      <c r="BB824" s="2682"/>
      <c r="BD824" s="2408"/>
      <c r="JW824" s="2613"/>
      <c r="KB824" s="2613"/>
      <c r="KC824" s="2613"/>
      <c r="KD824" s="2613"/>
      <c r="KE824" s="2613"/>
      <c r="KF824" s="2613"/>
      <c r="KG824" s="2613"/>
      <c r="KH824" s="2613"/>
      <c r="KI824" s="2613"/>
      <c r="KJ824" s="2613"/>
      <c r="KK824" s="2613"/>
      <c r="KL824" s="2613"/>
      <c r="KM824" s="2613"/>
      <c r="KN824" s="2613"/>
      <c r="KO824" s="2613"/>
      <c r="KP824" s="2613"/>
      <c r="KQ824" s="2613"/>
      <c r="KR824" s="2613"/>
      <c r="KS824" s="2613"/>
      <c r="KT824" s="2613"/>
      <c r="KU824" s="2613"/>
      <c r="KV824" s="2613"/>
      <c r="KW824" s="2613"/>
      <c r="KX824" s="2613"/>
      <c r="KY824" s="2613"/>
      <c r="KZ824" s="2613"/>
      <c r="LA824" s="2613"/>
      <c r="LB824" s="2613"/>
      <c r="LC824" s="2613"/>
      <c r="LD824" s="2613"/>
      <c r="LE824" s="2613"/>
      <c r="LF824" s="2613"/>
      <c r="LG824" s="2613"/>
      <c r="LH824" s="2613"/>
      <c r="LI824" s="2613"/>
      <c r="LJ824" s="2613"/>
      <c r="LK824" s="2613"/>
      <c r="LL824" s="2613"/>
      <c r="LM824" s="2613"/>
      <c r="LN824" s="2613"/>
      <c r="LO824" s="2613"/>
      <c r="LP824" s="2613"/>
      <c r="LQ824" s="2613"/>
    </row>
    <row r="825" spans="1:369" ht="15" customHeight="1">
      <c r="A825" s="2359" t="s">
        <v>4814</v>
      </c>
      <c r="B825" s="2359"/>
      <c r="C825" s="2408" t="s">
        <v>1115</v>
      </c>
      <c r="D825" s="2408"/>
      <c r="E825" s="2408"/>
      <c r="F825" s="2408"/>
      <c r="H825" s="2654" t="s">
        <v>4127</v>
      </c>
      <c r="I825" s="512"/>
      <c r="K825" s="2683">
        <f>X817</f>
        <v>0</v>
      </c>
      <c r="L825" s="2683">
        <f>Y817</f>
        <v>0</v>
      </c>
      <c r="M825" s="2683">
        <f>Z817</f>
        <v>0</v>
      </c>
      <c r="N825" s="2683">
        <f>AA817</f>
        <v>0</v>
      </c>
      <c r="O825" s="2683">
        <f>AB817</f>
        <v>0</v>
      </c>
      <c r="P825" s="2683">
        <f t="shared" ref="P825:P836" si="353">SUM(K825:O825)</f>
        <v>0</v>
      </c>
      <c r="Q825" s="2505" t="s">
        <v>3498</v>
      </c>
      <c r="R825" s="2684"/>
      <c r="S825" s="2607"/>
      <c r="T825" s="2607"/>
      <c r="U825" s="2607"/>
      <c r="V825" s="2607"/>
      <c r="W825" s="2607"/>
      <c r="X825" s="2408"/>
      <c r="AA825" s="2408"/>
      <c r="AB825" s="512"/>
      <c r="AC825" s="2408"/>
      <c r="AF825" s="2408"/>
      <c r="AG825" s="512"/>
      <c r="AH825" s="2408"/>
      <c r="AK825" s="2408"/>
      <c r="AL825" s="512"/>
      <c r="AM825" s="2408"/>
      <c r="AP825" s="2408"/>
      <c r="AQ825" s="512"/>
      <c r="AR825" s="513"/>
      <c r="AS825" s="513"/>
      <c r="AT825" s="513"/>
      <c r="AU825" s="513"/>
      <c r="AV825" s="513"/>
      <c r="AW825" s="513"/>
      <c r="AX825" s="512"/>
      <c r="AY825" s="2408"/>
      <c r="BB825" s="513"/>
      <c r="BC825" s="512"/>
      <c r="BD825" s="2408"/>
      <c r="JW825" s="2613"/>
      <c r="KB825" s="2613"/>
      <c r="KC825" s="2613"/>
      <c r="KD825" s="2613"/>
      <c r="KE825" s="2613"/>
      <c r="KF825" s="2613"/>
      <c r="KG825" s="2613"/>
      <c r="KH825" s="2613"/>
      <c r="KI825" s="2613"/>
      <c r="KJ825" s="2613"/>
      <c r="KK825" s="2613"/>
      <c r="KL825" s="2613"/>
      <c r="KM825" s="2613"/>
      <c r="KN825" s="2613"/>
      <c r="KO825" s="2613"/>
      <c r="KP825" s="2613"/>
      <c r="KQ825" s="2613"/>
      <c r="KR825" s="2613"/>
      <c r="KS825" s="2613"/>
      <c r="KT825" s="2613"/>
      <c r="KU825" s="2613"/>
      <c r="KV825" s="2613"/>
      <c r="KW825" s="2613"/>
      <c r="KX825" s="2613"/>
      <c r="KY825" s="2613"/>
      <c r="KZ825" s="2613"/>
      <c r="LA825" s="2613"/>
      <c r="LB825" s="2613"/>
      <c r="LC825" s="2613"/>
      <c r="LD825" s="2613"/>
      <c r="LE825" s="2613"/>
      <c r="LF825" s="2613"/>
      <c r="LG825" s="2613"/>
      <c r="LH825" s="2613"/>
      <c r="LI825" s="2613"/>
      <c r="LJ825" s="2613"/>
      <c r="LK825" s="2613"/>
      <c r="LL825" s="2613"/>
      <c r="LM825" s="2613"/>
      <c r="LN825" s="2613"/>
      <c r="LO825" s="2613"/>
      <c r="LP825" s="2613"/>
      <c r="LQ825" s="2613"/>
    </row>
    <row r="826" spans="1:369" ht="15" customHeight="1">
      <c r="A826" s="2359"/>
      <c r="B826" s="2359"/>
      <c r="C826" s="2408"/>
      <c r="D826" s="2408"/>
      <c r="E826" s="2408"/>
      <c r="F826" s="2408"/>
      <c r="H826" s="2654" t="s">
        <v>4128</v>
      </c>
      <c r="I826" s="512"/>
      <c r="K826" s="2683">
        <f>AC817</f>
        <v>0</v>
      </c>
      <c r="L826" s="2683">
        <f>AD817</f>
        <v>0</v>
      </c>
      <c r="M826" s="2683">
        <f>AE817</f>
        <v>0</v>
      </c>
      <c r="N826" s="2683">
        <f>AF817</f>
        <v>0</v>
      </c>
      <c r="O826" s="2683">
        <f>AG817</f>
        <v>0</v>
      </c>
      <c r="P826" s="2683">
        <f t="shared" si="353"/>
        <v>0</v>
      </c>
      <c r="Q826" s="2505"/>
      <c r="R826" s="2684"/>
      <c r="S826" s="2607"/>
      <c r="T826" s="2607"/>
      <c r="U826" s="2607"/>
      <c r="V826" s="2607"/>
      <c r="W826" s="2607"/>
      <c r="X826" s="2408"/>
      <c r="AA826" s="2408"/>
      <c r="AB826" s="512"/>
      <c r="AC826" s="2408"/>
      <c r="AF826" s="2408"/>
      <c r="AG826" s="512"/>
      <c r="AH826" s="2408"/>
      <c r="AK826" s="2408"/>
      <c r="AL826" s="512"/>
      <c r="AM826" s="2408"/>
      <c r="AP826" s="2408"/>
      <c r="AQ826" s="512"/>
      <c r="AR826" s="513"/>
      <c r="AS826" s="513"/>
      <c r="AT826" s="513"/>
      <c r="AU826" s="513"/>
      <c r="AV826" s="513"/>
      <c r="AW826" s="513"/>
      <c r="AX826" s="512"/>
      <c r="AY826" s="2408"/>
      <c r="BB826" s="513"/>
      <c r="BC826" s="512"/>
      <c r="BD826" s="2408"/>
      <c r="JW826" s="2613"/>
      <c r="KB826" s="2613"/>
      <c r="KC826" s="2613"/>
      <c r="KD826" s="2613"/>
      <c r="KE826" s="2613"/>
      <c r="KF826" s="2613"/>
      <c r="KG826" s="2613"/>
      <c r="KH826" s="2613"/>
      <c r="KI826" s="2613"/>
      <c r="KJ826" s="2613"/>
      <c r="KK826" s="2613"/>
      <c r="KL826" s="2613"/>
      <c r="KM826" s="2613"/>
      <c r="KN826" s="2613"/>
      <c r="KO826" s="2613"/>
      <c r="KP826" s="2613"/>
      <c r="KQ826" s="2613"/>
      <c r="KR826" s="2613"/>
      <c r="KS826" s="2613"/>
      <c r="KT826" s="2613"/>
      <c r="KU826" s="2613"/>
      <c r="KV826" s="2613"/>
      <c r="KW826" s="2613"/>
      <c r="KX826" s="2613"/>
      <c r="KY826" s="2613"/>
      <c r="KZ826" s="2613"/>
      <c r="LA826" s="2613"/>
      <c r="LB826" s="2613"/>
      <c r="LC826" s="2613"/>
      <c r="LD826" s="2613"/>
      <c r="LE826" s="2613"/>
      <c r="LF826" s="2613"/>
      <c r="LG826" s="2613"/>
      <c r="LH826" s="2613"/>
      <c r="LI826" s="2613"/>
      <c r="LJ826" s="2613"/>
      <c r="LK826" s="2613"/>
      <c r="LL826" s="2613"/>
      <c r="LM826" s="2613"/>
      <c r="LN826" s="2613"/>
      <c r="LO826" s="2613"/>
      <c r="LP826" s="2613"/>
      <c r="LQ826" s="2613"/>
    </row>
    <row r="827" spans="1:369" ht="15" customHeight="1">
      <c r="A827" s="2359"/>
      <c r="B827" s="2359"/>
      <c r="C827" s="2408"/>
      <c r="D827" s="2408"/>
      <c r="E827" s="2408"/>
      <c r="F827" s="2408"/>
      <c r="H827" s="2654" t="s">
        <v>1127</v>
      </c>
      <c r="I827" s="512"/>
      <c r="K827" s="2683">
        <f>AH817</f>
        <v>0</v>
      </c>
      <c r="L827" s="2683">
        <f>AI817</f>
        <v>18</v>
      </c>
      <c r="M827" s="2683">
        <f>AJ817</f>
        <v>106</v>
      </c>
      <c r="N827" s="2683">
        <f>AK817</f>
        <v>76</v>
      </c>
      <c r="O827" s="2683">
        <f>AL817</f>
        <v>0</v>
      </c>
      <c r="P827" s="2683">
        <f t="shared" si="353"/>
        <v>200</v>
      </c>
      <c r="Q827" s="2505"/>
      <c r="R827" s="2684"/>
      <c r="S827" s="2607"/>
      <c r="T827" s="2607"/>
      <c r="U827" s="2607"/>
      <c r="V827" s="2607"/>
      <c r="W827" s="2607"/>
      <c r="X827" s="2408"/>
      <c r="AA827" s="2408"/>
      <c r="AB827" s="512"/>
      <c r="AC827" s="2408"/>
      <c r="AF827" s="2408"/>
      <c r="AG827" s="512"/>
      <c r="AH827" s="2408"/>
      <c r="AK827" s="2408"/>
      <c r="AL827" s="512"/>
      <c r="AM827" s="2408"/>
      <c r="AP827" s="2408"/>
      <c r="AQ827" s="512"/>
      <c r="AR827" s="513"/>
      <c r="AS827" s="513"/>
      <c r="AT827" s="513"/>
      <c r="AU827" s="513"/>
      <c r="AV827" s="513"/>
      <c r="AW827" s="513"/>
      <c r="AX827" s="512"/>
      <c r="AY827" s="2408"/>
      <c r="BB827" s="513"/>
      <c r="BC827" s="512"/>
      <c r="BD827" s="2408"/>
      <c r="JW827" s="2613"/>
      <c r="KB827" s="2613"/>
      <c r="KC827" s="2613"/>
      <c r="KD827" s="2613"/>
      <c r="KE827" s="2613"/>
      <c r="KF827" s="2613"/>
      <c r="KG827" s="2613"/>
      <c r="KH827" s="2613"/>
      <c r="KI827" s="2613"/>
      <c r="KJ827" s="2613"/>
      <c r="KK827" s="2613"/>
      <c r="KL827" s="2613"/>
      <c r="KM827" s="2613"/>
      <c r="KN827" s="2613"/>
      <c r="KO827" s="2613"/>
      <c r="KP827" s="2613"/>
      <c r="KQ827" s="2613"/>
      <c r="KR827" s="2613"/>
      <c r="KS827" s="2613"/>
      <c r="KT827" s="2613"/>
      <c r="KU827" s="2613"/>
      <c r="KV827" s="2613"/>
      <c r="KW827" s="2613"/>
      <c r="KX827" s="2613"/>
      <c r="KY827" s="2613"/>
      <c r="KZ827" s="2613"/>
      <c r="LA827" s="2613"/>
      <c r="LB827" s="2613"/>
      <c r="LC827" s="2613"/>
      <c r="LD827" s="2613"/>
      <c r="LE827" s="2613"/>
      <c r="LF827" s="2613"/>
      <c r="LG827" s="2613"/>
      <c r="LH827" s="2613"/>
      <c r="LI827" s="2613"/>
      <c r="LJ827" s="2613"/>
      <c r="LK827" s="2613"/>
      <c r="LL827" s="2613"/>
      <c r="LM827" s="2613"/>
      <c r="LN827" s="2613"/>
      <c r="LO827" s="2613"/>
      <c r="LP827" s="2613"/>
      <c r="LQ827" s="2613"/>
    </row>
    <row r="828" spans="1:369" ht="15" customHeight="1">
      <c r="A828" s="2359"/>
      <c r="B828" s="2359"/>
      <c r="C828" s="2408"/>
      <c r="D828" s="2408"/>
      <c r="E828" s="2408"/>
      <c r="F828" s="2408"/>
      <c r="H828" s="2654" t="s">
        <v>115</v>
      </c>
      <c r="I828" s="512"/>
      <c r="K828" s="2683">
        <f>AM817</f>
        <v>0</v>
      </c>
      <c r="L828" s="2683">
        <f>AN817</f>
        <v>0</v>
      </c>
      <c r="M828" s="2683">
        <f>AO817</f>
        <v>0</v>
      </c>
      <c r="N828" s="2683">
        <f>AP817</f>
        <v>0</v>
      </c>
      <c r="O828" s="2683">
        <f>AQ817</f>
        <v>0</v>
      </c>
      <c r="P828" s="2683">
        <f t="shared" si="353"/>
        <v>0</v>
      </c>
      <c r="Q828" s="2505"/>
      <c r="R828" s="2684"/>
      <c r="S828" s="2607"/>
      <c r="T828" s="2607"/>
      <c r="U828" s="2607"/>
      <c r="V828" s="2607"/>
      <c r="W828" s="2607"/>
      <c r="X828" s="2408"/>
      <c r="AA828" s="2408"/>
      <c r="AB828" s="512"/>
      <c r="AC828" s="2408"/>
      <c r="AF828" s="2408"/>
      <c r="AG828" s="512"/>
      <c r="AH828" s="2408"/>
      <c r="AK828" s="2408"/>
      <c r="AL828" s="512"/>
      <c r="AM828" s="2408"/>
      <c r="AP828" s="2408"/>
      <c r="AQ828" s="512"/>
      <c r="AR828" s="513"/>
      <c r="AS828" s="513"/>
      <c r="AT828" s="513"/>
      <c r="AU828" s="513"/>
      <c r="AV828" s="513"/>
      <c r="AW828" s="513"/>
      <c r="AX828" s="512"/>
      <c r="AY828" s="2408"/>
      <c r="BB828" s="513"/>
      <c r="BC828" s="512"/>
      <c r="BD828" s="2408"/>
      <c r="JW828" s="2613"/>
      <c r="KB828" s="2613"/>
      <c r="KC828" s="2613"/>
      <c r="KD828" s="2613"/>
      <c r="KE828" s="2613"/>
      <c r="KF828" s="2613"/>
      <c r="KG828" s="2613"/>
      <c r="KH828" s="2613"/>
      <c r="KI828" s="2613"/>
      <c r="KJ828" s="2613"/>
      <c r="KK828" s="2613"/>
      <c r="KL828" s="2613"/>
      <c r="KM828" s="2613"/>
      <c r="KN828" s="2613"/>
      <c r="KO828" s="2613"/>
      <c r="KP828" s="2613"/>
      <c r="KQ828" s="2613"/>
      <c r="KR828" s="2613"/>
      <c r="KS828" s="2613"/>
      <c r="KT828" s="2613"/>
      <c r="KU828" s="2613"/>
      <c r="KV828" s="2613"/>
      <c r="KW828" s="2613"/>
      <c r="KX828" s="2613"/>
      <c r="KY828" s="2613"/>
      <c r="KZ828" s="2613"/>
      <c r="LA828" s="2613"/>
      <c r="LB828" s="2613"/>
      <c r="LC828" s="2613"/>
      <c r="LD828" s="2613"/>
      <c r="LE828" s="2613"/>
      <c r="LF828" s="2613"/>
      <c r="LG828" s="2613"/>
      <c r="LH828" s="2613"/>
      <c r="LI828" s="2613"/>
      <c r="LJ828" s="2613"/>
      <c r="LK828" s="2613"/>
      <c r="LL828" s="2613"/>
      <c r="LM828" s="2613"/>
      <c r="LN828" s="2613"/>
      <c r="LO828" s="2613"/>
      <c r="LP828" s="2613"/>
      <c r="LQ828" s="2613"/>
    </row>
    <row r="829" spans="1:369" ht="15" customHeight="1">
      <c r="A829" s="2359"/>
      <c r="B829" s="2359"/>
      <c r="C829" s="2408"/>
      <c r="D829" s="2408"/>
      <c r="E829" s="2408"/>
      <c r="F829" s="2408"/>
      <c r="H829" s="2654" t="s">
        <v>4129</v>
      </c>
      <c r="I829" s="512"/>
      <c r="K829" s="2683">
        <f>AR817</f>
        <v>0</v>
      </c>
      <c r="L829" s="2683">
        <f>AS817</f>
        <v>0</v>
      </c>
      <c r="M829" s="2683">
        <f>AT817</f>
        <v>0</v>
      </c>
      <c r="N829" s="2683">
        <f>AU817</f>
        <v>0</v>
      </c>
      <c r="O829" s="2683">
        <f>AV817</f>
        <v>0</v>
      </c>
      <c r="P829" s="2683">
        <f t="shared" si="353"/>
        <v>0</v>
      </c>
      <c r="Q829" s="2505"/>
      <c r="R829" s="2684"/>
      <c r="S829" s="2607"/>
      <c r="T829" s="2607"/>
      <c r="U829" s="2607"/>
      <c r="V829" s="2607"/>
      <c r="W829" s="2607"/>
      <c r="X829" s="2408"/>
      <c r="AA829" s="2408"/>
      <c r="AB829" s="512"/>
      <c r="AC829" s="2408"/>
      <c r="AF829" s="2408"/>
      <c r="AG829" s="512"/>
      <c r="AH829" s="2408"/>
      <c r="AK829" s="2408"/>
      <c r="AL829" s="512"/>
      <c r="AM829" s="2408"/>
      <c r="AP829" s="2408"/>
      <c r="AQ829" s="512"/>
      <c r="AR829" s="513"/>
      <c r="AS829" s="513"/>
      <c r="AT829" s="513"/>
      <c r="AU829" s="513"/>
      <c r="AV829" s="513"/>
      <c r="AW829" s="513"/>
      <c r="AX829" s="512"/>
      <c r="AY829" s="2408"/>
      <c r="BB829" s="513"/>
      <c r="BC829" s="512"/>
      <c r="BD829" s="2408"/>
      <c r="JW829" s="2613"/>
      <c r="KB829" s="2613"/>
      <c r="KC829" s="2613"/>
      <c r="KD829" s="2613"/>
      <c r="KE829" s="2613"/>
      <c r="KF829" s="2613"/>
      <c r="KG829" s="2613"/>
      <c r="KH829" s="2613"/>
      <c r="KI829" s="2613"/>
      <c r="KJ829" s="2613"/>
      <c r="KK829" s="2613"/>
      <c r="KL829" s="2613"/>
      <c r="KM829" s="2613"/>
      <c r="KN829" s="2613"/>
      <c r="KO829" s="2613"/>
      <c r="KP829" s="2613"/>
      <c r="KQ829" s="2613"/>
      <c r="KR829" s="2613"/>
      <c r="KS829" s="2613"/>
      <c r="KT829" s="2613"/>
      <c r="KU829" s="2613"/>
      <c r="KV829" s="2613"/>
      <c r="KW829" s="2613"/>
      <c r="KX829" s="2613"/>
      <c r="KY829" s="2613"/>
      <c r="KZ829" s="2613"/>
      <c r="LA829" s="2613"/>
      <c r="LB829" s="2613"/>
      <c r="LC829" s="2613"/>
      <c r="LD829" s="2613"/>
      <c r="LE829" s="2613"/>
      <c r="LF829" s="2613"/>
      <c r="LG829" s="2613"/>
      <c r="LH829" s="2613"/>
      <c r="LI829" s="2613"/>
      <c r="LJ829" s="2613"/>
      <c r="LK829" s="2613"/>
      <c r="LL829" s="2613"/>
      <c r="LM829" s="2613"/>
      <c r="LN829" s="2613"/>
      <c r="LO829" s="2613"/>
      <c r="LP829" s="2613"/>
      <c r="LQ829" s="2613"/>
    </row>
    <row r="830" spans="1:369" ht="15" customHeight="1">
      <c r="A830" s="2359"/>
      <c r="B830" s="2359"/>
      <c r="C830" s="2408"/>
      <c r="D830" s="2408"/>
      <c r="E830" s="2408"/>
      <c r="F830" s="2408"/>
      <c r="H830" s="2654" t="s">
        <v>4130</v>
      </c>
      <c r="I830" s="512"/>
      <c r="K830" s="2683">
        <f>AW817</f>
        <v>0</v>
      </c>
      <c r="L830" s="2683">
        <f>AX817</f>
        <v>0</v>
      </c>
      <c r="M830" s="2683">
        <f>AY817</f>
        <v>0</v>
      </c>
      <c r="N830" s="2683">
        <f>AZ817</f>
        <v>0</v>
      </c>
      <c r="O830" s="2683">
        <f>BA817</f>
        <v>0</v>
      </c>
      <c r="P830" s="2683">
        <f t="shared" si="353"/>
        <v>0</v>
      </c>
      <c r="Q830" s="2505"/>
      <c r="R830" s="2684"/>
      <c r="S830" s="2607"/>
      <c r="T830" s="2607"/>
      <c r="U830" s="2607"/>
      <c r="V830" s="2607"/>
      <c r="W830" s="2607"/>
      <c r="X830" s="2408"/>
      <c r="AA830" s="2408"/>
      <c r="AB830" s="512"/>
      <c r="AC830" s="2408"/>
      <c r="AF830" s="2408"/>
      <c r="AG830" s="512"/>
      <c r="AH830" s="2408"/>
      <c r="AK830" s="2408"/>
      <c r="AL830" s="512"/>
      <c r="AM830" s="2408"/>
      <c r="AP830" s="2408"/>
      <c r="AQ830" s="512"/>
      <c r="AR830" s="513"/>
      <c r="AS830" s="513"/>
      <c r="AT830" s="513"/>
      <c r="AU830" s="513"/>
      <c r="AV830" s="513"/>
      <c r="AW830" s="513"/>
      <c r="AX830" s="512"/>
      <c r="AY830" s="2408"/>
      <c r="BB830" s="513"/>
      <c r="BC830" s="512"/>
      <c r="BD830" s="2408"/>
      <c r="JW830" s="2613"/>
      <c r="KB830" s="2613"/>
      <c r="KC830" s="2613"/>
      <c r="KD830" s="2613"/>
      <c r="KE830" s="2613"/>
      <c r="KF830" s="2613"/>
      <c r="KG830" s="2613"/>
      <c r="KH830" s="2613"/>
      <c r="KI830" s="2613"/>
      <c r="KJ830" s="2613"/>
      <c r="KK830" s="2613"/>
      <c r="KL830" s="2613"/>
      <c r="KM830" s="2613"/>
      <c r="KN830" s="2613"/>
      <c r="KO830" s="2613"/>
      <c r="KP830" s="2613"/>
      <c r="KQ830" s="2613"/>
      <c r="KR830" s="2613"/>
      <c r="KS830" s="2613"/>
      <c r="KT830" s="2613"/>
      <c r="KU830" s="2613"/>
      <c r="KV830" s="2613"/>
      <c r="KW830" s="2613"/>
      <c r="KX830" s="2613"/>
      <c r="KY830" s="2613"/>
      <c r="KZ830" s="2613"/>
      <c r="LA830" s="2613"/>
      <c r="LB830" s="2613"/>
      <c r="LC830" s="2613"/>
      <c r="LD830" s="2613"/>
      <c r="LE830" s="2613"/>
      <c r="LF830" s="2613"/>
      <c r="LG830" s="2613"/>
      <c r="LH830" s="2613"/>
      <c r="LI830" s="2613"/>
      <c r="LJ830" s="2613"/>
      <c r="LK830" s="2613"/>
      <c r="LL830" s="2613"/>
      <c r="LM830" s="2613"/>
      <c r="LN830" s="2613"/>
      <c r="LO830" s="2613"/>
      <c r="LP830" s="2613"/>
      <c r="LQ830" s="2613"/>
    </row>
    <row r="831" spans="1:369" ht="15" customHeight="1">
      <c r="A831" s="2359"/>
      <c r="B831" s="2359"/>
      <c r="C831" s="2408"/>
      <c r="D831" s="2408"/>
      <c r="E831" s="2408"/>
      <c r="F831" s="2408"/>
      <c r="H831" s="2654" t="s">
        <v>4131</v>
      </c>
      <c r="I831" s="512"/>
      <c r="K831" s="2683">
        <f>BB817</f>
        <v>0</v>
      </c>
      <c r="L831" s="2683">
        <f>BC817</f>
        <v>0</v>
      </c>
      <c r="M831" s="2683">
        <f>BD817</f>
        <v>0</v>
      </c>
      <c r="N831" s="2683">
        <f>BE817</f>
        <v>0</v>
      </c>
      <c r="O831" s="2683">
        <f>BF817</f>
        <v>0</v>
      </c>
      <c r="P831" s="2683">
        <f t="shared" si="353"/>
        <v>0</v>
      </c>
      <c r="Q831" s="2505"/>
      <c r="R831" s="2684"/>
      <c r="S831" s="2607"/>
      <c r="T831" s="2607"/>
      <c r="U831" s="2607"/>
      <c r="V831" s="2607"/>
      <c r="W831" s="2607"/>
      <c r="X831" s="2408"/>
      <c r="AA831" s="2408"/>
      <c r="AB831" s="512"/>
      <c r="AC831" s="2408"/>
      <c r="AF831" s="2408"/>
      <c r="AG831" s="512"/>
      <c r="AH831" s="2408"/>
      <c r="AK831" s="2408"/>
      <c r="AL831" s="512"/>
      <c r="AM831" s="2408"/>
      <c r="AP831" s="2408"/>
      <c r="AQ831" s="512"/>
      <c r="AR831" s="513"/>
      <c r="AS831" s="513"/>
      <c r="AT831" s="513"/>
      <c r="AU831" s="513"/>
      <c r="AV831" s="513"/>
      <c r="AW831" s="513"/>
      <c r="AX831" s="512"/>
      <c r="AY831" s="2408"/>
      <c r="BB831" s="513"/>
      <c r="BC831" s="512"/>
      <c r="BD831" s="2408"/>
      <c r="JW831" s="2613"/>
      <c r="KB831" s="2613"/>
      <c r="KC831" s="2613"/>
      <c r="KD831" s="2613"/>
      <c r="KE831" s="2613"/>
      <c r="KF831" s="2613"/>
      <c r="KG831" s="2613"/>
      <c r="KH831" s="2613"/>
      <c r="KI831" s="2613"/>
      <c r="KJ831" s="2613"/>
      <c r="KK831" s="2613"/>
      <c r="KL831" s="2613"/>
      <c r="KM831" s="2613"/>
      <c r="KN831" s="2613"/>
      <c r="KO831" s="2613"/>
      <c r="KP831" s="2613"/>
      <c r="KQ831" s="2613"/>
      <c r="KR831" s="2613"/>
      <c r="KS831" s="2613"/>
      <c r="KT831" s="2613"/>
      <c r="KU831" s="2613"/>
      <c r="KV831" s="2613"/>
      <c r="KW831" s="2613"/>
      <c r="KX831" s="2613"/>
      <c r="KY831" s="2613"/>
      <c r="KZ831" s="2613"/>
      <c r="LA831" s="2613"/>
      <c r="LB831" s="2613"/>
      <c r="LC831" s="2613"/>
      <c r="LD831" s="2613"/>
      <c r="LE831" s="2613"/>
      <c r="LF831" s="2613"/>
      <c r="LG831" s="2613"/>
      <c r="LH831" s="2613"/>
      <c r="LI831" s="2613"/>
      <c r="LJ831" s="2613"/>
      <c r="LK831" s="2613"/>
      <c r="LL831" s="2613"/>
      <c r="LM831" s="2613"/>
      <c r="LN831" s="2613"/>
      <c r="LO831" s="2613"/>
      <c r="LP831" s="2613"/>
      <c r="LQ831" s="2613"/>
    </row>
    <row r="832" spans="1:369" ht="15" customHeight="1">
      <c r="A832" s="2359"/>
      <c r="B832" s="2359"/>
      <c r="C832" s="2654" t="s">
        <v>4213</v>
      </c>
      <c r="D832" s="2408"/>
      <c r="E832" s="2408"/>
      <c r="F832" s="2408"/>
      <c r="H832" s="2650"/>
      <c r="I832" s="2618"/>
      <c r="K832" s="2683">
        <f>SUM(K825:K831)</f>
        <v>0</v>
      </c>
      <c r="L832" s="2683">
        <f>SUM(L825:L831)</f>
        <v>18</v>
      </c>
      <c r="M832" s="2683">
        <f>SUM(M825:M831)</f>
        <v>106</v>
      </c>
      <c r="N832" s="2683">
        <f>SUM(N825:N831)</f>
        <v>76</v>
      </c>
      <c r="O832" s="2683">
        <f>SUM(O825:O831)</f>
        <v>0</v>
      </c>
      <c r="P832" s="2683">
        <f t="shared" si="353"/>
        <v>200</v>
      </c>
      <c r="Q832" s="2505"/>
      <c r="S832" s="2607"/>
      <c r="T832" s="2607"/>
      <c r="U832" s="2607"/>
      <c r="V832" s="2607"/>
      <c r="W832" s="2607"/>
      <c r="X832" s="2408"/>
      <c r="AA832" s="2408"/>
      <c r="AB832" s="512"/>
      <c r="AC832" s="2408"/>
      <c r="AF832" s="2408"/>
      <c r="AG832" s="512"/>
      <c r="AH832" s="2408"/>
      <c r="AK832" s="2408"/>
      <c r="AL832" s="512"/>
      <c r="AM832" s="2408"/>
      <c r="AP832" s="2408"/>
      <c r="AQ832" s="512"/>
      <c r="AR832" s="513"/>
      <c r="AS832" s="513"/>
      <c r="AT832" s="513"/>
      <c r="AU832" s="513"/>
      <c r="AV832" s="513"/>
      <c r="AW832" s="513"/>
      <c r="AX832" s="512"/>
      <c r="AY832" s="2408"/>
      <c r="BB832" s="513"/>
      <c r="BC832" s="512"/>
      <c r="BD832" s="2408"/>
      <c r="JW832" s="2613"/>
      <c r="KB832" s="2613"/>
      <c r="KC832" s="2613"/>
      <c r="KD832" s="2613"/>
      <c r="KE832" s="2613"/>
      <c r="KF832" s="2613"/>
      <c r="KG832" s="2613"/>
      <c r="KH832" s="2613"/>
      <c r="KI832" s="2613"/>
      <c r="KJ832" s="2613"/>
      <c r="KK832" s="2613"/>
      <c r="KL832" s="2613"/>
      <c r="KM832" s="2613"/>
      <c r="KN832" s="2613"/>
      <c r="KO832" s="2613"/>
      <c r="KP832" s="2613"/>
      <c r="KQ832" s="2613"/>
      <c r="KR832" s="2613"/>
      <c r="KS832" s="2613"/>
      <c r="KT832" s="2613"/>
      <c r="KU832" s="2613"/>
      <c r="KV832" s="2613"/>
      <c r="KW832" s="2613"/>
      <c r="KX832" s="2613"/>
      <c r="KY832" s="2613"/>
      <c r="KZ832" s="2613"/>
      <c r="LA832" s="2613"/>
      <c r="LB832" s="2613"/>
      <c r="LC832" s="2613"/>
      <c r="LD832" s="2613"/>
      <c r="LE832" s="2613"/>
      <c r="LF832" s="2613"/>
      <c r="LG832" s="2613"/>
      <c r="LH832" s="2613"/>
      <c r="LI832" s="2613"/>
      <c r="LJ832" s="2613"/>
      <c r="LK832" s="2613"/>
      <c r="LL832" s="2613"/>
      <c r="LM832" s="2613"/>
      <c r="LN832" s="2613"/>
      <c r="LO832" s="2613"/>
      <c r="LP832" s="2613"/>
      <c r="LQ832" s="2613"/>
    </row>
    <row r="833" spans="1:329" ht="15" customHeight="1">
      <c r="A833" s="2359"/>
      <c r="B833" s="2359"/>
      <c r="D833" s="2408"/>
      <c r="E833" s="2408"/>
      <c r="F833" s="2408"/>
      <c r="H833" s="2654" t="s">
        <v>298</v>
      </c>
      <c r="I833" s="512"/>
      <c r="K833" s="2683">
        <f>BG817</f>
        <v>0</v>
      </c>
      <c r="L833" s="2683">
        <f>BH817</f>
        <v>0</v>
      </c>
      <c r="M833" s="2683">
        <f>BI817</f>
        <v>0</v>
      </c>
      <c r="N833" s="2683">
        <f>BJ817</f>
        <v>0</v>
      </c>
      <c r="O833" s="2683">
        <f>BK817</f>
        <v>0</v>
      </c>
      <c r="P833" s="2683">
        <f t="shared" si="353"/>
        <v>0</v>
      </c>
      <c r="S833" s="2607"/>
      <c r="T833" s="2607"/>
      <c r="U833" s="2607"/>
      <c r="V833" s="2607"/>
      <c r="W833" s="2607"/>
      <c r="X833" s="2408"/>
      <c r="AA833" s="2408"/>
      <c r="AB833" s="512"/>
      <c r="AC833" s="2408"/>
      <c r="AF833" s="2408"/>
      <c r="AG833" s="512"/>
      <c r="AH833" s="2408"/>
      <c r="AK833" s="2408"/>
      <c r="AL833" s="512"/>
      <c r="AM833" s="2408"/>
      <c r="AP833" s="2408"/>
      <c r="AQ833" s="512"/>
      <c r="AR833" s="513"/>
      <c r="AS833" s="513"/>
      <c r="AT833" s="513"/>
      <c r="AU833" s="513"/>
      <c r="AV833" s="513"/>
      <c r="AW833" s="513"/>
      <c r="AX833" s="2618"/>
      <c r="AY833" s="2408"/>
      <c r="BB833" s="513"/>
      <c r="BC833" s="2618"/>
      <c r="BD833" s="2408"/>
      <c r="JW833" s="2613"/>
      <c r="KB833" s="2613"/>
      <c r="KC833" s="2613"/>
      <c r="KD833" s="2613"/>
      <c r="KE833" s="2613"/>
      <c r="KF833" s="2613"/>
      <c r="KG833" s="2613"/>
      <c r="KH833" s="2613"/>
      <c r="KI833" s="2613"/>
      <c r="KJ833" s="2613"/>
      <c r="KK833" s="2613"/>
      <c r="KL833" s="2613"/>
      <c r="KM833" s="2613"/>
      <c r="KN833" s="2613"/>
      <c r="KO833" s="2613"/>
      <c r="KP833" s="2613"/>
      <c r="KQ833" s="2613"/>
      <c r="KR833" s="2613"/>
      <c r="KS833" s="2613"/>
      <c r="KT833" s="2613"/>
      <c r="KU833" s="2613"/>
      <c r="KV833" s="2613"/>
      <c r="KW833" s="2613"/>
      <c r="KX833" s="2613"/>
      <c r="KY833" s="2613"/>
      <c r="KZ833" s="2613"/>
      <c r="LA833" s="2613"/>
      <c r="LB833" s="2613"/>
      <c r="LC833" s="2613"/>
      <c r="LD833" s="2613"/>
      <c r="LE833" s="2613"/>
      <c r="LF833" s="2613"/>
      <c r="LG833" s="2613"/>
      <c r="LH833" s="2613"/>
      <c r="LI833" s="2613"/>
      <c r="LJ833" s="2613"/>
      <c r="LK833" s="2613"/>
      <c r="LL833" s="2613"/>
      <c r="LM833" s="2613"/>
      <c r="LN833" s="2613"/>
      <c r="LO833" s="2613"/>
      <c r="LP833" s="2613"/>
      <c r="LQ833" s="2613"/>
    </row>
    <row r="834" spans="1:329" ht="15" customHeight="1">
      <c r="A834" s="2359"/>
      <c r="B834" s="2359"/>
      <c r="C834" s="2408" t="s">
        <v>1116</v>
      </c>
      <c r="D834" s="2408"/>
      <c r="E834" s="2408"/>
      <c r="F834" s="2408"/>
      <c r="H834" s="2654"/>
      <c r="I834" s="512"/>
      <c r="K834" s="2683">
        <f>SUM(K832:K833)</f>
        <v>0</v>
      </c>
      <c r="L834" s="2683">
        <f>SUM(L832:L833)</f>
        <v>18</v>
      </c>
      <c r="M834" s="2683">
        <f>SUM(M832:M833)</f>
        <v>106</v>
      </c>
      <c r="N834" s="2683">
        <f>SUM(N832:N833)</f>
        <v>76</v>
      </c>
      <c r="O834" s="2683">
        <f>SUM(O832:O833)</f>
        <v>0</v>
      </c>
      <c r="P834" s="2683">
        <f t="shared" si="353"/>
        <v>200</v>
      </c>
      <c r="S834" s="2607"/>
      <c r="T834" s="2607"/>
      <c r="U834" s="2607"/>
      <c r="V834" s="2607"/>
      <c r="W834" s="2607"/>
      <c r="X834" s="2408"/>
      <c r="AA834" s="2408"/>
      <c r="AB834" s="512"/>
      <c r="AC834" s="2408"/>
      <c r="AF834" s="2408"/>
      <c r="AG834" s="512"/>
      <c r="AH834" s="2408"/>
      <c r="AK834" s="2408"/>
      <c r="AL834" s="512"/>
      <c r="AM834" s="2408"/>
      <c r="AP834" s="2408"/>
      <c r="AQ834" s="512"/>
      <c r="AR834" s="513"/>
      <c r="AS834" s="513"/>
      <c r="AT834" s="513"/>
      <c r="AU834" s="513"/>
      <c r="AV834" s="513"/>
      <c r="AW834" s="513"/>
      <c r="AX834" s="2618"/>
      <c r="AY834" s="2408"/>
      <c r="BB834" s="513"/>
      <c r="BC834" s="2618"/>
      <c r="BD834" s="2408"/>
      <c r="JW834" s="2613"/>
      <c r="KB834" s="2613"/>
      <c r="KC834" s="2613"/>
      <c r="KD834" s="2613"/>
      <c r="KE834" s="2613"/>
      <c r="KF834" s="2613"/>
      <c r="KG834" s="2613"/>
      <c r="KH834" s="2613"/>
      <c r="KI834" s="2613"/>
      <c r="KJ834" s="2613"/>
      <c r="KK834" s="2613"/>
      <c r="KL834" s="2613"/>
      <c r="KM834" s="2613"/>
      <c r="KN834" s="2613"/>
      <c r="KO834" s="2613"/>
      <c r="KP834" s="2613"/>
      <c r="KQ834" s="2613"/>
      <c r="KR834" s="2613"/>
      <c r="KS834" s="2613"/>
      <c r="KT834" s="2613"/>
      <c r="KU834" s="2613"/>
      <c r="KV834" s="2613"/>
      <c r="KW834" s="2613"/>
      <c r="KX834" s="2613"/>
      <c r="KY834" s="2613"/>
      <c r="KZ834" s="2613"/>
      <c r="LA834" s="2613"/>
      <c r="LB834" s="2613"/>
      <c r="LC834" s="2613"/>
      <c r="LD834" s="2613"/>
      <c r="LE834" s="2613"/>
      <c r="LF834" s="2613"/>
      <c r="LG834" s="2613"/>
      <c r="LH834" s="2613"/>
      <c r="LI834" s="2613"/>
      <c r="LJ834" s="2613"/>
      <c r="LK834" s="2613"/>
      <c r="LL834" s="2613"/>
      <c r="LM834" s="2613"/>
      <c r="LN834" s="2613"/>
      <c r="LO834" s="2613"/>
      <c r="LP834" s="2613"/>
      <c r="LQ834" s="2613"/>
    </row>
    <row r="835" spans="1:329" ht="15" customHeight="1">
      <c r="A835" s="2359"/>
      <c r="B835" s="2359"/>
      <c r="D835" s="2408"/>
      <c r="E835" s="2408"/>
      <c r="F835" s="2408"/>
      <c r="H835" s="2654" t="s">
        <v>2445</v>
      </c>
      <c r="I835" s="512"/>
      <c r="K835" s="2683">
        <f>ED817</f>
        <v>0</v>
      </c>
      <c r="L835" s="2683">
        <f>EE817</f>
        <v>0</v>
      </c>
      <c r="M835" s="2683">
        <f>EF817</f>
        <v>0</v>
      </c>
      <c r="N835" s="2683">
        <f>EG817</f>
        <v>0</v>
      </c>
      <c r="O835" s="2683">
        <f>EH817</f>
        <v>0</v>
      </c>
      <c r="P835" s="2683">
        <f t="shared" si="353"/>
        <v>0</v>
      </c>
      <c r="Q835" s="2505" t="s">
        <v>3499</v>
      </c>
      <c r="S835" s="2607"/>
      <c r="T835" s="2607"/>
      <c r="U835" s="2607"/>
      <c r="V835" s="2607"/>
      <c r="W835" s="2607"/>
      <c r="X835" s="2408"/>
      <c r="AA835" s="2408"/>
      <c r="AB835" s="512"/>
      <c r="AC835" s="2408"/>
      <c r="AF835" s="2408"/>
      <c r="AG835" s="512"/>
      <c r="AH835" s="2408"/>
      <c r="AK835" s="2408"/>
      <c r="AL835" s="512"/>
      <c r="AM835" s="2408"/>
      <c r="AP835" s="2408"/>
      <c r="AQ835" s="512"/>
      <c r="AR835" s="513"/>
      <c r="AS835" s="513"/>
      <c r="AT835" s="513"/>
      <c r="AU835" s="513"/>
      <c r="AV835" s="513"/>
      <c r="AW835" s="513"/>
      <c r="AX835" s="512"/>
      <c r="AY835" s="2408"/>
      <c r="BB835" s="513"/>
      <c r="BC835" s="512"/>
      <c r="BD835" s="2408"/>
      <c r="JW835" s="2613"/>
      <c r="KB835" s="2613"/>
      <c r="KC835" s="2613"/>
      <c r="KD835" s="2613"/>
      <c r="KE835" s="2613"/>
      <c r="KF835" s="2613"/>
      <c r="KG835" s="2613"/>
      <c r="KH835" s="2613"/>
      <c r="KI835" s="2613"/>
      <c r="KJ835" s="2613"/>
      <c r="KK835" s="2613"/>
      <c r="KL835" s="2613"/>
      <c r="KM835" s="2613"/>
      <c r="KN835" s="2613"/>
      <c r="KO835" s="2613"/>
      <c r="KP835" s="2613"/>
      <c r="KQ835" s="2613"/>
      <c r="KR835" s="2613"/>
      <c r="KS835" s="2613"/>
      <c r="KT835" s="2613"/>
      <c r="KU835" s="2613"/>
      <c r="KV835" s="2613"/>
      <c r="KW835" s="2613"/>
      <c r="KX835" s="2613"/>
      <c r="KY835" s="2613"/>
      <c r="KZ835" s="2613"/>
      <c r="LA835" s="2613"/>
      <c r="LB835" s="2613"/>
      <c r="LC835" s="2613"/>
      <c r="LD835" s="2613"/>
      <c r="LE835" s="2613"/>
      <c r="LF835" s="2613"/>
      <c r="LG835" s="2613"/>
      <c r="LH835" s="2613"/>
      <c r="LI835" s="2613"/>
      <c r="LJ835" s="2613"/>
      <c r="LK835" s="2613"/>
      <c r="LL835" s="2613"/>
      <c r="LM835" s="2613"/>
      <c r="LN835" s="2613"/>
      <c r="LO835" s="2613"/>
      <c r="LP835" s="2613"/>
      <c r="LQ835" s="2613"/>
    </row>
    <row r="836" spans="1:329" ht="15" customHeight="1">
      <c r="A836" s="2359"/>
      <c r="B836" s="2359"/>
      <c r="C836" s="2408" t="s">
        <v>1749</v>
      </c>
      <c r="D836" s="2408"/>
      <c r="E836" s="2408"/>
      <c r="F836" s="2408"/>
      <c r="H836" s="2654"/>
      <c r="I836" s="512"/>
      <c r="K836" s="2683">
        <f>SUM(K834:K835)</f>
        <v>0</v>
      </c>
      <c r="L836" s="2683">
        <f>SUM(L834:L835)</f>
        <v>18</v>
      </c>
      <c r="M836" s="2683">
        <f>SUM(M834:M835)</f>
        <v>106</v>
      </c>
      <c r="N836" s="2683">
        <f>SUM(N834:N835)</f>
        <v>76</v>
      </c>
      <c r="O836" s="2683">
        <f>SUM(O834:O835)</f>
        <v>0</v>
      </c>
      <c r="P836" s="2683">
        <f t="shared" si="353"/>
        <v>200</v>
      </c>
      <c r="S836" s="2607"/>
      <c r="T836" s="2607"/>
      <c r="U836" s="2607"/>
      <c r="V836" s="2607"/>
      <c r="W836" s="2607"/>
      <c r="X836" s="2408"/>
      <c r="AA836" s="2408"/>
      <c r="AB836" s="512"/>
      <c r="AC836" s="2408"/>
      <c r="AF836" s="2408"/>
      <c r="AG836" s="512"/>
      <c r="AH836" s="2408"/>
      <c r="AK836" s="2408"/>
      <c r="AL836" s="512"/>
      <c r="AM836" s="2408"/>
      <c r="AP836" s="2408"/>
      <c r="AQ836" s="512"/>
      <c r="AR836" s="513"/>
      <c r="AS836" s="513"/>
      <c r="AT836" s="513"/>
      <c r="AU836" s="513"/>
      <c r="AV836" s="513"/>
      <c r="AW836" s="513"/>
      <c r="AY836" s="2408"/>
      <c r="BB836" s="513"/>
      <c r="BD836" s="2408"/>
      <c r="JW836" s="2613"/>
      <c r="KB836" s="2613"/>
      <c r="KC836" s="2613"/>
      <c r="KD836" s="2613"/>
      <c r="KE836" s="2613"/>
      <c r="KF836" s="2613"/>
      <c r="KG836" s="2613"/>
      <c r="KH836" s="2613"/>
      <c r="KI836" s="2613"/>
      <c r="KJ836" s="2613"/>
      <c r="KK836" s="2613"/>
      <c r="KL836" s="2613"/>
      <c r="KM836" s="2613"/>
      <c r="KN836" s="2613"/>
      <c r="KO836" s="2613"/>
      <c r="KP836" s="2613"/>
      <c r="KQ836" s="2613"/>
      <c r="KR836" s="2613"/>
      <c r="KS836" s="2613"/>
      <c r="KT836" s="2613"/>
      <c r="KU836" s="2613"/>
      <c r="KV836" s="2613"/>
      <c r="KW836" s="2613"/>
      <c r="KX836" s="2613"/>
      <c r="KY836" s="2613"/>
      <c r="KZ836" s="2613"/>
      <c r="LA836" s="2613"/>
      <c r="LB836" s="2613"/>
      <c r="LC836" s="2613"/>
      <c r="LD836" s="2613"/>
      <c r="LE836" s="2613"/>
      <c r="LF836" s="2613"/>
      <c r="LG836" s="2613"/>
      <c r="LH836" s="2613"/>
      <c r="LI836" s="2613"/>
      <c r="LJ836" s="2613"/>
      <c r="LK836" s="2613"/>
      <c r="LL836" s="2613"/>
      <c r="LM836" s="2613"/>
      <c r="LN836" s="2613"/>
      <c r="LO836" s="2613"/>
      <c r="LP836" s="2613"/>
      <c r="LQ836" s="2613"/>
    </row>
    <row r="837" spans="1:329" ht="16.2" customHeight="1">
      <c r="A837" s="2359"/>
      <c r="B837" s="2359"/>
      <c r="C837" s="2607"/>
      <c r="D837" s="2607"/>
      <c r="E837" s="2607"/>
      <c r="F837" s="2607"/>
      <c r="G837" s="2607"/>
      <c r="H837" s="2359"/>
      <c r="I837" s="2607"/>
      <c r="J837" s="2607"/>
      <c r="K837" s="2607"/>
      <c r="L837" s="2607"/>
      <c r="M837" s="2607"/>
      <c r="N837" s="2607"/>
      <c r="O837" s="2607"/>
      <c r="P837" s="2607"/>
      <c r="X837" s="2408"/>
      <c r="AA837" s="2408"/>
      <c r="AB837" s="512"/>
      <c r="AC837" s="2408"/>
      <c r="AF837" s="2408"/>
      <c r="AG837" s="512"/>
      <c r="AH837" s="2408"/>
      <c r="AK837" s="2408"/>
      <c r="AL837" s="512"/>
      <c r="AM837" s="2408"/>
      <c r="AP837" s="2408"/>
      <c r="AQ837" s="512"/>
      <c r="AR837" s="2408"/>
      <c r="AS837" s="2408"/>
      <c r="AT837" s="2408"/>
      <c r="AU837" s="2408"/>
      <c r="AV837" s="2408"/>
      <c r="AW837" s="2408"/>
      <c r="AY837" s="2408"/>
      <c r="BB837" s="2408"/>
      <c r="BD837" s="2408"/>
      <c r="JW837" s="2613"/>
      <c r="KB837" s="2613"/>
      <c r="KC837" s="2613"/>
      <c r="KD837" s="2613"/>
      <c r="KE837" s="2613"/>
      <c r="KF837" s="2613"/>
      <c r="KG837" s="2613"/>
      <c r="KH837" s="2613"/>
      <c r="KI837" s="2613"/>
      <c r="KJ837" s="2613"/>
      <c r="KK837" s="2613"/>
      <c r="KL837" s="2613"/>
      <c r="KM837" s="2613"/>
      <c r="KN837" s="2613"/>
      <c r="KO837" s="2613"/>
      <c r="KP837" s="2613"/>
      <c r="KQ837" s="2613"/>
      <c r="KR837" s="2613"/>
      <c r="KS837" s="2613"/>
      <c r="KT837" s="2613"/>
      <c r="KU837" s="2613"/>
      <c r="KV837" s="2613"/>
      <c r="KW837" s="2613"/>
      <c r="KX837" s="2613"/>
      <c r="KY837" s="2613"/>
      <c r="KZ837" s="2613"/>
      <c r="LA837" s="2613"/>
      <c r="LB837" s="2613"/>
      <c r="LC837" s="2613"/>
      <c r="LD837" s="2613"/>
      <c r="LE837" s="2613"/>
      <c r="LF837" s="2613"/>
      <c r="LG837" s="2613"/>
      <c r="LH837" s="2613"/>
      <c r="LI837" s="2613"/>
      <c r="LJ837" s="2613"/>
      <c r="LK837" s="2613"/>
      <c r="LL837" s="2613"/>
      <c r="LM837" s="2613"/>
      <c r="LN837" s="2613"/>
      <c r="LO837" s="2613"/>
      <c r="LP837" s="2613"/>
      <c r="LQ837" s="2613"/>
    </row>
    <row r="838" spans="1:329" ht="12" customHeight="1">
      <c r="A838" s="2359"/>
      <c r="B838" s="2359"/>
      <c r="C838" s="2607" t="s">
        <v>4231</v>
      </c>
      <c r="D838" s="2607"/>
      <c r="E838" s="2607"/>
      <c r="F838" s="2607"/>
      <c r="G838" s="2607"/>
      <c r="H838" s="2359"/>
      <c r="I838" s="2607"/>
      <c r="J838" s="2607"/>
      <c r="K838" s="2607"/>
      <c r="L838" s="2607"/>
      <c r="M838" s="2607"/>
      <c r="N838" s="2607"/>
      <c r="O838" s="2607"/>
      <c r="P838" s="2607"/>
      <c r="S838" s="2509" t="str">
        <f>C838</f>
        <v xml:space="preserve">Income Limit Distribution among Bedroom Sizes </v>
      </c>
      <c r="U838" s="2489"/>
      <c r="X838" s="2408"/>
      <c r="AA838" s="2408"/>
      <c r="AB838" s="512"/>
      <c r="AC838" s="2408"/>
      <c r="AF838" s="2408"/>
      <c r="AG838" s="512"/>
      <c r="AH838" s="2408"/>
      <c r="AK838" s="2408"/>
      <c r="AL838" s="512"/>
      <c r="AM838" s="2408"/>
      <c r="AP838" s="2408"/>
      <c r="AQ838" s="512"/>
      <c r="AR838" s="2408"/>
      <c r="AS838" s="2408"/>
      <c r="AT838" s="2408"/>
      <c r="AU838" s="2408"/>
      <c r="AV838" s="2408"/>
      <c r="AW838" s="2408"/>
      <c r="AY838" s="2408"/>
      <c r="BB838" s="2408"/>
      <c r="BD838" s="2408"/>
      <c r="JW838" s="2613"/>
      <c r="KB838" s="2613"/>
      <c r="KC838" s="2613"/>
      <c r="KD838" s="2613"/>
      <c r="KE838" s="2613"/>
      <c r="KF838" s="2613"/>
      <c r="KG838" s="2613"/>
      <c r="KH838" s="2613"/>
      <c r="KI838" s="2613"/>
      <c r="KJ838" s="2613"/>
      <c r="KK838" s="2613"/>
      <c r="KL838" s="2613"/>
      <c r="KM838" s="2613"/>
      <c r="KN838" s="2613"/>
      <c r="KO838" s="2613"/>
      <c r="KP838" s="2613"/>
      <c r="KQ838" s="2613"/>
      <c r="KR838" s="2613"/>
      <c r="KS838" s="2613"/>
      <c r="KT838" s="2613"/>
      <c r="KU838" s="2613"/>
      <c r="KV838" s="2613"/>
      <c r="KW838" s="2613"/>
      <c r="KX838" s="2613"/>
      <c r="KY838" s="2613"/>
      <c r="KZ838" s="2613"/>
      <c r="LA838" s="2613"/>
      <c r="LB838" s="2613"/>
      <c r="LC838" s="2613"/>
      <c r="LD838" s="2613"/>
      <c r="LE838" s="2613"/>
      <c r="LF838" s="2613"/>
      <c r="LG838" s="2613"/>
      <c r="LH838" s="2613"/>
      <c r="LI838" s="2613"/>
      <c r="LJ838" s="2613"/>
      <c r="LK838" s="2613"/>
      <c r="LL838" s="2613"/>
      <c r="LM838" s="2613"/>
      <c r="LN838" s="2613"/>
      <c r="LO838" s="2613"/>
      <c r="LP838" s="2613"/>
      <c r="LQ838" s="2613"/>
    </row>
    <row r="839" spans="1:329" ht="13.2" customHeight="1">
      <c r="A839" s="2359"/>
      <c r="B839" s="2359"/>
      <c r="C839" s="2607"/>
      <c r="D839" s="2607"/>
      <c r="E839" s="2607"/>
      <c r="F839" s="2607"/>
      <c r="H839" s="2654" t="s">
        <v>4127</v>
      </c>
      <c r="I839" s="512"/>
      <c r="J839" s="2685"/>
      <c r="K839" s="2686" t="str">
        <f t="shared" ref="K839:P839" si="354">IF(OR(K825=0,K$67=0),"",K825/K$67)</f>
        <v/>
      </c>
      <c r="L839" s="2686" t="str">
        <f t="shared" si="354"/>
        <v/>
      </c>
      <c r="M839" s="2686" t="str">
        <f t="shared" si="354"/>
        <v/>
      </c>
      <c r="N839" s="2686" t="str">
        <f t="shared" si="354"/>
        <v/>
      </c>
      <c r="O839" s="2686" t="str">
        <f t="shared" si="354"/>
        <v/>
      </c>
      <c r="P839" s="2686" t="str">
        <f t="shared" si="354"/>
        <v/>
      </c>
      <c r="Q839" s="2684" t="s">
        <v>4787</v>
      </c>
      <c r="S839" s="2607"/>
      <c r="T839" s="2607"/>
      <c r="U839" s="2607"/>
      <c r="V839" s="2607"/>
      <c r="W839" s="2607"/>
    </row>
    <row r="840" spans="1:329">
      <c r="A840" s="2359"/>
      <c r="B840" s="2359"/>
      <c r="C840" s="2408"/>
      <c r="H840" s="2654" t="s">
        <v>6916</v>
      </c>
      <c r="I840" s="512"/>
      <c r="J840" s="2408"/>
      <c r="K840" s="2687" t="str">
        <f>IF(OR(K825=0,$P839="",K$67=0),"",$P839*K$67)</f>
        <v/>
      </c>
      <c r="L840" s="2687" t="str">
        <f>IF(OR(L825=0,$P839="",L$67=0),"",$P839*L$67)</f>
        <v/>
      </c>
      <c r="M840" s="2687" t="str">
        <f>IF(OR(M825=0,$P839="",M$67=0),"",$P839*M$67)</f>
        <v/>
      </c>
      <c r="N840" s="2687" t="str">
        <f>IF(OR(N825=0,$P839="",N$67=0),"",$P839*N$67)</f>
        <v/>
      </c>
      <c r="O840" s="2687" t="str">
        <f>IF(OR(O825=0,$P839="",O$67=0),"",$P839*O$67)</f>
        <v/>
      </c>
      <c r="P840" s="2687" t="str">
        <f t="shared" ref="P840" si="355">IF(OR($P839="",P$67=0),"",$P839*P$67)</f>
        <v/>
      </c>
      <c r="S840" s="2607"/>
      <c r="T840" s="2607"/>
      <c r="U840" s="2607"/>
      <c r="V840" s="2607"/>
      <c r="W840" s="2607"/>
    </row>
    <row r="841" spans="1:329">
      <c r="C841" s="2408"/>
      <c r="H841" s="2654" t="s">
        <v>6917</v>
      </c>
      <c r="I841" s="512"/>
      <c r="J841" s="2408"/>
      <c r="K841" s="2687" t="str">
        <f t="shared" ref="K841:P841" si="356">IF(OR(K840="",K825=0),"", K825-K840)</f>
        <v/>
      </c>
      <c r="L841" s="2687" t="str">
        <f t="shared" si="356"/>
        <v/>
      </c>
      <c r="M841" s="2687" t="str">
        <f t="shared" si="356"/>
        <v/>
      </c>
      <c r="N841" s="2687" t="str">
        <f t="shared" si="356"/>
        <v/>
      </c>
      <c r="O841" s="2687" t="str">
        <f t="shared" si="356"/>
        <v/>
      </c>
      <c r="P841" s="2687" t="str">
        <f t="shared" si="356"/>
        <v/>
      </c>
      <c r="S841" s="2607"/>
      <c r="T841" s="2607"/>
      <c r="U841" s="2607"/>
      <c r="V841" s="2607"/>
      <c r="W841" s="2607"/>
    </row>
    <row r="842" spans="1:329" ht="13.2" customHeight="1">
      <c r="C842" s="2408"/>
      <c r="D842" s="2408" t="s">
        <v>6981</v>
      </c>
      <c r="E842" s="2408"/>
      <c r="F842" s="2408"/>
      <c r="H842" s="2654" t="s">
        <v>4128</v>
      </c>
      <c r="I842" s="512"/>
      <c r="J842" s="2408"/>
      <c r="K842" s="2686" t="str">
        <f t="shared" ref="K842:P842" si="357">IF(OR(K826=0,K$67=0),"",K826/K$67)</f>
        <v/>
      </c>
      <c r="L842" s="2686" t="str">
        <f t="shared" si="357"/>
        <v/>
      </c>
      <c r="M842" s="2686" t="str">
        <f t="shared" si="357"/>
        <v/>
      </c>
      <c r="N842" s="2686" t="str">
        <f t="shared" si="357"/>
        <v/>
      </c>
      <c r="O842" s="2686" t="str">
        <f t="shared" si="357"/>
        <v/>
      </c>
      <c r="P842" s="2686" t="str">
        <f t="shared" si="357"/>
        <v/>
      </c>
      <c r="S842" s="2607"/>
      <c r="T842" s="2607"/>
      <c r="U842" s="2607"/>
      <c r="V842" s="2607"/>
      <c r="W842" s="2607"/>
    </row>
    <row r="843" spans="1:329">
      <c r="C843" s="2408"/>
      <c r="D843" s="2408"/>
      <c r="E843" s="2408"/>
      <c r="F843" s="2408"/>
      <c r="H843" s="2654" t="s">
        <v>6916</v>
      </c>
      <c r="I843" s="512"/>
      <c r="J843" s="2408"/>
      <c r="K843" s="2687" t="str">
        <f>IF(OR(K826=0,$P842="",K$67=0),"",$P842*K$67)</f>
        <v/>
      </c>
      <c r="L843" s="2687" t="str">
        <f>IF(OR(L826=0,$P842="",L$67=0),"",$P842*L$67)</f>
        <v/>
      </c>
      <c r="M843" s="2687" t="str">
        <f>IF(OR(M826=0,$P842="",M$67=0),"",$P842*M$67)</f>
        <v/>
      </c>
      <c r="N843" s="2687" t="str">
        <f>IF(OR(N826=0,$P842="",N$67=0),"",$P842*N$67)</f>
        <v/>
      </c>
      <c r="O843" s="2687" t="str">
        <f>IF(OR(O826=0,$P842="",O$67=0),"",$P842*O$67)</f>
        <v/>
      </c>
      <c r="P843" s="2687" t="str">
        <f t="shared" ref="P843" si="358">IF(OR($P842="",P$67=0),"",$P842*P$67)</f>
        <v/>
      </c>
      <c r="S843" s="2607"/>
      <c r="T843" s="2607"/>
      <c r="U843" s="2607"/>
      <c r="V843" s="2607"/>
      <c r="W843" s="2607"/>
    </row>
    <row r="844" spans="1:329">
      <c r="C844" s="2408"/>
      <c r="D844" s="2408"/>
      <c r="E844" s="2408"/>
      <c r="F844" s="2408"/>
      <c r="H844" s="2654" t="s">
        <v>6917</v>
      </c>
      <c r="I844" s="512"/>
      <c r="J844" s="2408"/>
      <c r="K844" s="2687" t="str">
        <f t="shared" ref="K844:P844" si="359">IF(OR(K843="",K826=0),"", K826-K843)</f>
        <v/>
      </c>
      <c r="L844" s="2687" t="str">
        <f t="shared" si="359"/>
        <v/>
      </c>
      <c r="M844" s="2687" t="str">
        <f t="shared" si="359"/>
        <v/>
      </c>
      <c r="N844" s="2687" t="str">
        <f t="shared" si="359"/>
        <v/>
      </c>
      <c r="O844" s="2687" t="str">
        <f t="shared" si="359"/>
        <v/>
      </c>
      <c r="P844" s="2687" t="str">
        <f t="shared" si="359"/>
        <v/>
      </c>
      <c r="S844" s="2607"/>
      <c r="T844" s="2607"/>
      <c r="U844" s="2607"/>
      <c r="V844" s="2607"/>
      <c r="W844" s="2607"/>
    </row>
    <row r="845" spans="1:329">
      <c r="C845" s="2494" t="s">
        <v>4785</v>
      </c>
      <c r="D845" s="2408"/>
      <c r="E845" s="2408"/>
      <c r="F845" s="2408"/>
      <c r="H845" s="2654" t="s">
        <v>1127</v>
      </c>
      <c r="I845" s="512"/>
      <c r="J845" s="2408"/>
      <c r="K845" s="2686" t="str">
        <f t="shared" ref="K845:P845" si="360">IF(OR(K827=0,K$67=0),"",K827/K$67)</f>
        <v/>
      </c>
      <c r="L845" s="2686" t="e">
        <f t="shared" si="360"/>
        <v>#VALUE!</v>
      </c>
      <c r="M845" s="2686" t="str">
        <f t="shared" si="360"/>
        <v/>
      </c>
      <c r="N845" s="2686" t="str">
        <f t="shared" si="360"/>
        <v/>
      </c>
      <c r="O845" s="2686" t="str">
        <f t="shared" si="360"/>
        <v/>
      </c>
      <c r="P845" s="2686" t="str">
        <f t="shared" si="360"/>
        <v/>
      </c>
      <c r="S845" s="2607"/>
      <c r="T845" s="2607"/>
      <c r="U845" s="2607"/>
      <c r="V845" s="2607"/>
      <c r="W845" s="2607"/>
    </row>
    <row r="846" spans="1:329" ht="15.75" customHeight="1">
      <c r="D846" s="2408"/>
      <c r="E846" s="2408"/>
      <c r="F846" s="2408"/>
      <c r="H846" s="2654" t="s">
        <v>6916</v>
      </c>
      <c r="I846" s="512"/>
      <c r="J846" s="2408"/>
      <c r="K846" s="2687" t="str">
        <f>IF(OR(K827=0,$P845="",K$67=0),"",$P845*K$67)</f>
        <v/>
      </c>
      <c r="L846" s="2687" t="str">
        <f>IF(OR(L827=0,$P845="",L$67=0),"",$P845*L$67)</f>
        <v/>
      </c>
      <c r="M846" s="2687" t="str">
        <f>IF(OR(M827=0,$P845="",M$67=0),"",$P845*M$67)</f>
        <v/>
      </c>
      <c r="N846" s="2687" t="str">
        <f>IF(OR(N827=0,$P845="",N$67=0),"",$P845*N$67)</f>
        <v/>
      </c>
      <c r="O846" s="2687" t="str">
        <f>IF(OR(O827=0,$P845="",O$67=0),"",$P845*O$67)</f>
        <v/>
      </c>
      <c r="P846" s="2687" t="str">
        <f t="shared" ref="P846" si="361">IF(OR($P845="",P$67=0),"",$P845*P$67)</f>
        <v/>
      </c>
      <c r="S846" s="2607"/>
      <c r="T846" s="2607"/>
      <c r="U846" s="2607"/>
      <c r="V846" s="2607"/>
      <c r="W846" s="2607"/>
    </row>
    <row r="847" spans="1:329" ht="15.75" customHeight="1">
      <c r="D847" s="2408"/>
      <c r="E847" s="2408"/>
      <c r="H847" s="2654" t="s">
        <v>6917</v>
      </c>
      <c r="I847" s="512"/>
      <c r="J847" s="2408"/>
      <c r="K847" s="2687" t="str">
        <f t="shared" ref="K847:P847" si="362">IF(OR(K846="",K827=0),"", K827-K846)</f>
        <v/>
      </c>
      <c r="L847" s="2687" t="str">
        <f t="shared" si="362"/>
        <v/>
      </c>
      <c r="M847" s="2687" t="str">
        <f t="shared" si="362"/>
        <v/>
      </c>
      <c r="N847" s="2687" t="str">
        <f t="shared" si="362"/>
        <v/>
      </c>
      <c r="O847" s="2687" t="str">
        <f t="shared" si="362"/>
        <v/>
      </c>
      <c r="P847" s="2687" t="str">
        <f t="shared" si="362"/>
        <v/>
      </c>
    </row>
    <row r="848" spans="1:329">
      <c r="C848" s="2494" t="s">
        <v>4785</v>
      </c>
      <c r="H848" s="2654" t="s">
        <v>115</v>
      </c>
      <c r="I848" s="512"/>
      <c r="J848" s="2408"/>
      <c r="K848" s="2686" t="str">
        <f t="shared" ref="K848:P848" si="363">IF(OR(K828=0,K$67=0),"",K828/K$67)</f>
        <v/>
      </c>
      <c r="L848" s="2686" t="str">
        <f t="shared" si="363"/>
        <v/>
      </c>
      <c r="M848" s="2686" t="str">
        <f t="shared" si="363"/>
        <v/>
      </c>
      <c r="N848" s="2686" t="str">
        <f t="shared" si="363"/>
        <v/>
      </c>
      <c r="O848" s="2686" t="str">
        <f t="shared" si="363"/>
        <v/>
      </c>
      <c r="P848" s="2686" t="str">
        <f t="shared" si="363"/>
        <v/>
      </c>
    </row>
    <row r="849" spans="1:329">
      <c r="H849" s="2654" t="s">
        <v>6916</v>
      </c>
      <c r="I849" s="512"/>
      <c r="J849" s="2408"/>
      <c r="K849" s="2687" t="str">
        <f>IF(OR(K828=0,$P848="",K$67=0),"",$P848*K$67)</f>
        <v/>
      </c>
      <c r="L849" s="2687" t="str">
        <f>IF(OR(L828=0,$P848="",L$67=0),"",$P848*L$67)</f>
        <v/>
      </c>
      <c r="M849" s="2687" t="str">
        <f>IF(OR(M828=0,$P848="",M$67=0),"",$P848*M$67)</f>
        <v/>
      </c>
      <c r="N849" s="2687" t="str">
        <f>IF(OR(N828=0,$P848="",N$67=0),"",$P848*N$67)</f>
        <v/>
      </c>
      <c r="O849" s="2687" t="str">
        <f>IF(OR(O828=0,$P848="",O$67=0),"",$P848*O$67)</f>
        <v/>
      </c>
      <c r="P849" s="2687" t="str">
        <f t="shared" ref="P849" si="364">IF(OR($P848="",P$67=0),"",$P848*P$67)</f>
        <v/>
      </c>
    </row>
    <row r="850" spans="1:329">
      <c r="H850" s="2654" t="s">
        <v>6917</v>
      </c>
      <c r="I850" s="512"/>
      <c r="J850" s="2408"/>
      <c r="K850" s="2687" t="str">
        <f t="shared" ref="K850:P850" si="365">IF(OR(K849="",K828=0),"", K828-K849)</f>
        <v/>
      </c>
      <c r="L850" s="2687" t="str">
        <f t="shared" si="365"/>
        <v/>
      </c>
      <c r="M850" s="2687" t="str">
        <f t="shared" si="365"/>
        <v/>
      </c>
      <c r="N850" s="2687" t="str">
        <f t="shared" si="365"/>
        <v/>
      </c>
      <c r="O850" s="2687" t="str">
        <f t="shared" si="365"/>
        <v/>
      </c>
      <c r="P850" s="2687" t="str">
        <f t="shared" si="365"/>
        <v/>
      </c>
    </row>
    <row r="851" spans="1:329">
      <c r="C851" s="2494" t="s">
        <v>4785</v>
      </c>
      <c r="H851" s="2654" t="s">
        <v>4129</v>
      </c>
      <c r="I851" s="512"/>
      <c r="J851" s="2408"/>
      <c r="K851" s="2686" t="str">
        <f t="shared" ref="K851:P851" si="366">IF(OR(K829=0,K$67=0),"",K829/K$67)</f>
        <v/>
      </c>
      <c r="L851" s="2686" t="str">
        <f t="shared" si="366"/>
        <v/>
      </c>
      <c r="M851" s="2686" t="str">
        <f t="shared" si="366"/>
        <v/>
      </c>
      <c r="N851" s="2686" t="str">
        <f t="shared" si="366"/>
        <v/>
      </c>
      <c r="O851" s="2686" t="str">
        <f t="shared" si="366"/>
        <v/>
      </c>
      <c r="P851" s="2686" t="str">
        <f t="shared" si="366"/>
        <v/>
      </c>
    </row>
    <row r="852" spans="1:329">
      <c r="H852" s="2654" t="s">
        <v>6916</v>
      </c>
      <c r="I852" s="512"/>
      <c r="J852" s="2408"/>
      <c r="K852" s="2687" t="str">
        <f>IF(OR(K829=0,$P851="",K$67=0),"",$P851*K$67)</f>
        <v/>
      </c>
      <c r="L852" s="2687" t="str">
        <f>IF(OR(L829=0,$P851="",L$67=0),"",$P851*L$67)</f>
        <v/>
      </c>
      <c r="M852" s="2687" t="str">
        <f>IF(OR(M829=0,$P851="",M$67=0),"",$P851*M$67)</f>
        <v/>
      </c>
      <c r="N852" s="2687" t="str">
        <f>IF(OR(N829=0,$P851="",N$67=0),"",$P851*N$67)</f>
        <v/>
      </c>
      <c r="O852" s="2687" t="str">
        <f>IF(OR(O829=0,$P851="",O$67=0),"",$P851*O$67)</f>
        <v/>
      </c>
      <c r="P852" s="2687" t="str">
        <f t="shared" ref="P852" si="367">IF(OR($P851="",P$67=0),"",$P851*P$67)</f>
        <v/>
      </c>
    </row>
    <row r="853" spans="1:329">
      <c r="H853" s="2654" t="s">
        <v>6917</v>
      </c>
      <c r="I853" s="512"/>
      <c r="J853" s="2408"/>
      <c r="K853" s="2687" t="str">
        <f t="shared" ref="K853:P853" si="368">IF(OR(K852="",K829=0),"", K829-K852)</f>
        <v/>
      </c>
      <c r="L853" s="2687" t="str">
        <f t="shared" si="368"/>
        <v/>
      </c>
      <c r="M853" s="2687" t="str">
        <f t="shared" si="368"/>
        <v/>
      </c>
      <c r="N853" s="2687" t="str">
        <f t="shared" si="368"/>
        <v/>
      </c>
      <c r="O853" s="2687" t="str">
        <f t="shared" si="368"/>
        <v/>
      </c>
      <c r="P853" s="2687" t="str">
        <f t="shared" si="368"/>
        <v/>
      </c>
    </row>
    <row r="854" spans="1:329">
      <c r="C854" s="2494" t="s">
        <v>4785</v>
      </c>
      <c r="H854" s="2654" t="s">
        <v>4130</v>
      </c>
      <c r="I854" s="512"/>
      <c r="J854" s="2408"/>
      <c r="K854" s="2686" t="str">
        <f t="shared" ref="K854:P854" si="369">IF(OR(K830=0,K$67=0),"",K830/K$67)</f>
        <v/>
      </c>
      <c r="L854" s="2686" t="str">
        <f t="shared" si="369"/>
        <v/>
      </c>
      <c r="M854" s="2686" t="str">
        <f t="shared" si="369"/>
        <v/>
      </c>
      <c r="N854" s="2686" t="str">
        <f t="shared" si="369"/>
        <v/>
      </c>
      <c r="O854" s="2686" t="str">
        <f t="shared" si="369"/>
        <v/>
      </c>
      <c r="P854" s="2686" t="str">
        <f t="shared" si="369"/>
        <v/>
      </c>
    </row>
    <row r="855" spans="1:329">
      <c r="H855" s="2654" t="s">
        <v>6916</v>
      </c>
      <c r="I855" s="512"/>
      <c r="J855" s="2408"/>
      <c r="K855" s="2687" t="str">
        <f>IF(OR(K830=0,$P854="",K$67=0),"",$P854*K$67)</f>
        <v/>
      </c>
      <c r="L855" s="2687" t="str">
        <f>IF(OR(L830=0,$P854="",L$67=0),"",$P854*L$67)</f>
        <v/>
      </c>
      <c r="M855" s="2687" t="str">
        <f>IF(OR(M830=0,$P854="",M$67=0),"",$P854*M$67)</f>
        <v/>
      </c>
      <c r="N855" s="2687" t="str">
        <f>IF(OR(N830=0,$P854="",N$67=0),"",$P854*N$67)</f>
        <v/>
      </c>
      <c r="O855" s="2687" t="str">
        <f>IF(OR(O830=0,$P854="",O$67=0),"",$P854*O$67)</f>
        <v/>
      </c>
      <c r="P855" s="2687" t="str">
        <f t="shared" ref="P855" si="370">IF(OR($P854="",P$67=0),"",$P854*P$67)</f>
        <v/>
      </c>
    </row>
    <row r="856" spans="1:329">
      <c r="H856" s="2654" t="s">
        <v>6917</v>
      </c>
      <c r="I856" s="512"/>
      <c r="J856" s="2408"/>
      <c r="K856" s="2687" t="str">
        <f t="shared" ref="K856:P856" si="371">IF(OR(K855="",K830=0),"", K830-K855)</f>
        <v/>
      </c>
      <c r="L856" s="2687" t="str">
        <f t="shared" si="371"/>
        <v/>
      </c>
      <c r="M856" s="2687" t="str">
        <f t="shared" si="371"/>
        <v/>
      </c>
      <c r="N856" s="2687" t="str">
        <f t="shared" si="371"/>
        <v/>
      </c>
      <c r="O856" s="2687" t="str">
        <f t="shared" si="371"/>
        <v/>
      </c>
      <c r="P856" s="2687" t="str">
        <f t="shared" si="371"/>
        <v/>
      </c>
    </row>
    <row r="857" spans="1:329">
      <c r="C857" s="2494" t="s">
        <v>4785</v>
      </c>
      <c r="H857" s="2654" t="s">
        <v>4131</v>
      </c>
      <c r="I857" s="512"/>
      <c r="J857" s="2408"/>
      <c r="K857" s="2686" t="str">
        <f t="shared" ref="K857:P857" si="372">IF(OR(K831=0,K$67=0),"",K831/K$67)</f>
        <v/>
      </c>
      <c r="L857" s="2686" t="str">
        <f t="shared" si="372"/>
        <v/>
      </c>
      <c r="M857" s="2686" t="str">
        <f t="shared" si="372"/>
        <v/>
      </c>
      <c r="N857" s="2686" t="str">
        <f t="shared" si="372"/>
        <v/>
      </c>
      <c r="O857" s="2686" t="str">
        <f t="shared" si="372"/>
        <v/>
      </c>
      <c r="P857" s="2686" t="str">
        <f t="shared" si="372"/>
        <v/>
      </c>
    </row>
    <row r="858" spans="1:329">
      <c r="H858" s="2654" t="s">
        <v>6916</v>
      </c>
      <c r="I858" s="512"/>
      <c r="J858" s="2408"/>
      <c r="K858" s="2687" t="str">
        <f>IF(OR(K831=0,$P857="",K$67=0),"",$P857*K$67)</f>
        <v/>
      </c>
      <c r="L858" s="2687" t="str">
        <f>IF(OR(L831=0,$P857="",L$67=0),"",$P857*L$67)</f>
        <v/>
      </c>
      <c r="M858" s="2687" t="str">
        <f>IF(OR(M831=0,$P857="",M$67=0),"",$P857*M$67)</f>
        <v/>
      </c>
      <c r="N858" s="2687" t="str">
        <f>IF(OR(N831=0,$P857="",N$67=0),"",$P857*N$67)</f>
        <v/>
      </c>
      <c r="O858" s="2687" t="str">
        <f>IF(OR(O831=0,$P857="",O$67=0),"",$P857*O$67)</f>
        <v/>
      </c>
      <c r="P858" s="2687" t="str">
        <f t="shared" ref="P858" si="373">IF(OR($P857="",P$67=0),"",$P857*P$67)</f>
        <v/>
      </c>
    </row>
    <row r="859" spans="1:329">
      <c r="H859" s="2654" t="s">
        <v>6917</v>
      </c>
      <c r="I859" s="512"/>
      <c r="J859" s="2408"/>
      <c r="K859" s="2686" t="str">
        <f t="shared" ref="K859:P859" si="374">IF(OR(K858="",K831=0),"", K831-K858)</f>
        <v/>
      </c>
      <c r="L859" s="2686" t="str">
        <f t="shared" si="374"/>
        <v/>
      </c>
      <c r="M859" s="2686" t="str">
        <f t="shared" si="374"/>
        <v/>
      </c>
      <c r="N859" s="2686" t="str">
        <f t="shared" si="374"/>
        <v/>
      </c>
      <c r="O859" s="2686" t="str">
        <f t="shared" si="374"/>
        <v/>
      </c>
      <c r="P859" s="2686" t="str">
        <f t="shared" si="374"/>
        <v/>
      </c>
    </row>
    <row r="860" spans="1:329" ht="12" customHeight="1">
      <c r="A860" s="2359"/>
      <c r="B860" s="2359"/>
      <c r="C860" s="2408"/>
      <c r="D860" s="2408"/>
      <c r="E860" s="2408"/>
      <c r="F860" s="2408"/>
      <c r="H860" s="2654"/>
      <c r="I860" s="512"/>
      <c r="K860" s="2688"/>
      <c r="L860" s="2688"/>
      <c r="M860" s="2688"/>
      <c r="N860" s="2688"/>
      <c r="O860" s="2688"/>
      <c r="P860" s="2688"/>
      <c r="U860" s="2489"/>
      <c r="X860" s="2408"/>
      <c r="AA860" s="2408"/>
      <c r="AB860" s="512"/>
      <c r="AC860" s="2408"/>
      <c r="AF860" s="2408"/>
      <c r="AG860" s="512"/>
      <c r="AH860" s="2408"/>
      <c r="AK860" s="2408"/>
      <c r="AL860" s="512"/>
      <c r="AM860" s="2408"/>
      <c r="AP860" s="2408"/>
      <c r="AQ860" s="512"/>
      <c r="AR860" s="2408"/>
      <c r="AS860" s="2408"/>
      <c r="AT860" s="2408"/>
      <c r="AU860" s="2408"/>
      <c r="AV860" s="2408"/>
      <c r="AW860" s="2408"/>
      <c r="AY860" s="2408"/>
      <c r="BB860" s="2408"/>
      <c r="BD860" s="2408"/>
      <c r="JW860" s="2613"/>
      <c r="KB860" s="2613"/>
      <c r="KC860" s="2613"/>
      <c r="KD860" s="2613"/>
      <c r="KE860" s="2613"/>
      <c r="KF860" s="2613"/>
      <c r="KG860" s="2613"/>
      <c r="KH860" s="2613"/>
      <c r="KI860" s="2613"/>
      <c r="KJ860" s="2613"/>
      <c r="KK860" s="2613"/>
      <c r="KL860" s="2613"/>
      <c r="KM860" s="2613"/>
      <c r="KN860" s="2613"/>
      <c r="KO860" s="2613"/>
      <c r="KP860" s="2613"/>
      <c r="KQ860" s="2613"/>
      <c r="KR860" s="2613"/>
      <c r="KS860" s="2613"/>
      <c r="KT860" s="2613"/>
      <c r="KU860" s="2613"/>
      <c r="KV860" s="2613"/>
      <c r="KW860" s="2613"/>
      <c r="KX860" s="2613"/>
      <c r="KY860" s="2613"/>
      <c r="KZ860" s="2613"/>
      <c r="LA860" s="2613"/>
      <c r="LB860" s="2613"/>
      <c r="LC860" s="2613"/>
      <c r="LD860" s="2613"/>
      <c r="LE860" s="2613"/>
      <c r="LF860" s="2613"/>
      <c r="LG860" s="2613"/>
      <c r="LH860" s="2613"/>
      <c r="LI860" s="2613"/>
      <c r="LJ860" s="2613"/>
      <c r="LK860" s="2613"/>
      <c r="LL860" s="2613"/>
      <c r="LM860" s="2613"/>
      <c r="LN860" s="2613"/>
      <c r="LO860" s="2613"/>
      <c r="LP860" s="2613"/>
      <c r="LQ860" s="2613"/>
    </row>
    <row r="861" spans="1:329" ht="9" customHeight="1">
      <c r="A861" s="2359"/>
      <c r="B861" s="2359"/>
      <c r="C861" s="2408"/>
      <c r="D861" s="2408"/>
      <c r="E861" s="2408"/>
      <c r="F861" s="2408"/>
      <c r="H861" s="2654"/>
      <c r="I861" s="512"/>
      <c r="K861" s="2688"/>
      <c r="L861" s="2688"/>
      <c r="M861" s="2688"/>
      <c r="N861" s="2688"/>
      <c r="O861" s="2688"/>
      <c r="P861" s="2688"/>
      <c r="S861" s="2509" t="str">
        <f>C862</f>
        <v>PBRA-Assisted</v>
      </c>
      <c r="U861" s="2489"/>
      <c r="X861" s="2408"/>
      <c r="AA861" s="2408"/>
      <c r="AB861" s="512"/>
      <c r="AC861" s="2408"/>
      <c r="AF861" s="2408"/>
      <c r="AG861" s="512"/>
      <c r="AH861" s="2408"/>
      <c r="AK861" s="2408"/>
      <c r="AL861" s="512"/>
      <c r="AM861" s="2408"/>
      <c r="AP861" s="2408"/>
      <c r="AQ861" s="512"/>
      <c r="AR861" s="2408"/>
      <c r="AS861" s="2408"/>
      <c r="AT861" s="2408"/>
      <c r="AU861" s="2408"/>
      <c r="AV861" s="2408"/>
      <c r="AW861" s="2408"/>
      <c r="AY861" s="2408"/>
      <c r="BB861" s="2408"/>
      <c r="BD861" s="2408"/>
      <c r="JW861" s="2613"/>
      <c r="KB861" s="2613"/>
      <c r="KC861" s="2613"/>
      <c r="KD861" s="2613"/>
      <c r="KE861" s="2613"/>
      <c r="KF861" s="2613"/>
      <c r="KG861" s="2613"/>
      <c r="KH861" s="2613"/>
      <c r="KI861" s="2613"/>
      <c r="KJ861" s="2613"/>
      <c r="KK861" s="2613"/>
      <c r="KL861" s="2613"/>
      <c r="KM861" s="2613"/>
      <c r="KN861" s="2613"/>
      <c r="KO861" s="2613"/>
      <c r="KP861" s="2613"/>
      <c r="KQ861" s="2613"/>
      <c r="KR861" s="2613"/>
      <c r="KS861" s="2613"/>
      <c r="KT861" s="2613"/>
      <c r="KU861" s="2613"/>
      <c r="KV861" s="2613"/>
      <c r="KW861" s="2613"/>
      <c r="KX861" s="2613"/>
      <c r="KY861" s="2613"/>
      <c r="KZ861" s="2613"/>
      <c r="LA861" s="2613"/>
      <c r="LB861" s="2613"/>
      <c r="LC861" s="2613"/>
      <c r="LD861" s="2613"/>
      <c r="LE861" s="2613"/>
      <c r="LF861" s="2613"/>
      <c r="LG861" s="2613"/>
      <c r="LH861" s="2613"/>
      <c r="LI861" s="2613"/>
      <c r="LJ861" s="2613"/>
      <c r="LK861" s="2613"/>
      <c r="LL861" s="2613"/>
      <c r="LM861" s="2613"/>
      <c r="LN861" s="2613"/>
      <c r="LO861" s="2613"/>
      <c r="LP861" s="2613"/>
      <c r="LQ861" s="2613"/>
    </row>
    <row r="862" spans="1:329" ht="15" customHeight="1">
      <c r="A862" s="2359"/>
      <c r="B862" s="2359"/>
      <c r="C862" s="2408" t="s">
        <v>912</v>
      </c>
      <c r="D862" s="2408"/>
      <c r="E862" s="2654"/>
      <c r="F862" s="2408"/>
      <c r="H862" s="2654" t="s">
        <v>4127</v>
      </c>
      <c r="I862" s="512"/>
      <c r="K862" s="2689">
        <f>CP817</f>
        <v>0</v>
      </c>
      <c r="L862" s="2689">
        <f>CQ817</f>
        <v>0</v>
      </c>
      <c r="M862" s="2689">
        <f>CR817</f>
        <v>0</v>
      </c>
      <c r="N862" s="2689">
        <f>CS817</f>
        <v>0</v>
      </c>
      <c r="O862" s="2689">
        <f>CT817</f>
        <v>0</v>
      </c>
      <c r="P862" s="2683">
        <f t="shared" ref="P862:P869" si="375">SUM(K862:O862)</f>
        <v>0</v>
      </c>
      <c r="S862" s="2607"/>
      <c r="T862" s="2607"/>
      <c r="U862" s="2607"/>
      <c r="V862" s="2607"/>
      <c r="W862" s="2607"/>
      <c r="X862" s="2408"/>
      <c r="AA862" s="2408"/>
      <c r="AB862" s="512"/>
      <c r="AC862" s="2408"/>
      <c r="AF862" s="2408"/>
      <c r="AG862" s="512"/>
      <c r="AH862" s="2408"/>
      <c r="AK862" s="2408"/>
      <c r="AL862" s="512"/>
      <c r="AM862" s="2408"/>
      <c r="AP862" s="2408"/>
      <c r="AQ862" s="512"/>
      <c r="AR862" s="513"/>
      <c r="AS862" s="513"/>
      <c r="AT862" s="513"/>
      <c r="AU862" s="513"/>
      <c r="AV862" s="513"/>
      <c r="AW862" s="513"/>
      <c r="AX862" s="512"/>
      <c r="AY862" s="2408"/>
      <c r="BB862" s="513"/>
      <c r="BC862" s="512"/>
      <c r="BD862" s="2408"/>
      <c r="JW862" s="2613"/>
      <c r="KB862" s="2613"/>
      <c r="KC862" s="2613"/>
      <c r="KD862" s="2613"/>
      <c r="KE862" s="2613"/>
      <c r="KF862" s="2613"/>
      <c r="KG862" s="2613"/>
      <c r="KH862" s="2613"/>
      <c r="KI862" s="2613"/>
      <c r="KJ862" s="2613"/>
      <c r="KK862" s="2613"/>
      <c r="KL862" s="2613"/>
      <c r="KM862" s="2613"/>
      <c r="KN862" s="2613"/>
      <c r="KO862" s="2613"/>
      <c r="KP862" s="2613"/>
      <c r="KQ862" s="2613"/>
      <c r="KR862" s="2613"/>
      <c r="KS862" s="2613"/>
      <c r="KT862" s="2613"/>
      <c r="KU862" s="2613"/>
      <c r="KV862" s="2613"/>
      <c r="KW862" s="2613"/>
      <c r="KX862" s="2613"/>
      <c r="KY862" s="2613"/>
      <c r="KZ862" s="2613"/>
      <c r="LA862" s="2613"/>
      <c r="LB862" s="2613"/>
      <c r="LC862" s="2613"/>
      <c r="LD862" s="2613"/>
      <c r="LE862" s="2613"/>
      <c r="LF862" s="2613"/>
      <c r="LG862" s="2613"/>
      <c r="LH862" s="2613"/>
      <c r="LI862" s="2613"/>
      <c r="LJ862" s="2613"/>
      <c r="LK862" s="2613"/>
      <c r="LL862" s="2613"/>
      <c r="LM862" s="2613"/>
      <c r="LN862" s="2613"/>
      <c r="LO862" s="2613"/>
      <c r="LP862" s="2613"/>
      <c r="LQ862" s="2613"/>
    </row>
    <row r="863" spans="1:329" ht="15" customHeight="1">
      <c r="A863" s="2359"/>
      <c r="B863" s="2359"/>
      <c r="C863" s="512" t="s">
        <v>2446</v>
      </c>
      <c r="D863" s="2408"/>
      <c r="E863" s="2654"/>
      <c r="F863" s="2408"/>
      <c r="H863" s="2654" t="s">
        <v>4128</v>
      </c>
      <c r="I863" s="512"/>
      <c r="K863" s="2683">
        <f>CK817</f>
        <v>0</v>
      </c>
      <c r="L863" s="2683">
        <f>CL817</f>
        <v>0</v>
      </c>
      <c r="M863" s="2683">
        <f>CM817</f>
        <v>0</v>
      </c>
      <c r="N863" s="2683">
        <f>CN817</f>
        <v>0</v>
      </c>
      <c r="O863" s="2683">
        <f>CO817</f>
        <v>0</v>
      </c>
      <c r="P863" s="2683">
        <f t="shared" si="375"/>
        <v>0</v>
      </c>
      <c r="S863" s="2607"/>
      <c r="T863" s="2607"/>
      <c r="U863" s="2607"/>
      <c r="V863" s="2607"/>
      <c r="W863" s="2607"/>
      <c r="X863" s="2408"/>
      <c r="AA863" s="2408"/>
      <c r="AB863" s="512"/>
      <c r="AC863" s="2408"/>
      <c r="AF863" s="2408"/>
      <c r="AG863" s="512"/>
      <c r="AH863" s="2408"/>
      <c r="AK863" s="2408"/>
      <c r="AL863" s="512"/>
      <c r="AM863" s="2408"/>
      <c r="AP863" s="2408"/>
      <c r="AQ863" s="512"/>
      <c r="AR863" s="513"/>
      <c r="AS863" s="513"/>
      <c r="AT863" s="513"/>
      <c r="AU863" s="513"/>
      <c r="AV863" s="513"/>
      <c r="AW863" s="513"/>
      <c r="AX863" s="512"/>
      <c r="AY863" s="2408"/>
      <c r="BB863" s="513"/>
      <c r="BC863" s="512"/>
      <c r="BD863" s="2408"/>
      <c r="JW863" s="2613"/>
      <c r="KB863" s="2613"/>
      <c r="KC863" s="2613"/>
      <c r="KD863" s="2613"/>
      <c r="KE863" s="2613"/>
      <c r="KF863" s="2613"/>
      <c r="KG863" s="2613"/>
      <c r="KH863" s="2613"/>
      <c r="KI863" s="2613"/>
      <c r="KJ863" s="2613"/>
      <c r="KK863" s="2613"/>
      <c r="KL863" s="2613"/>
      <c r="KM863" s="2613"/>
      <c r="KN863" s="2613"/>
      <c r="KO863" s="2613"/>
      <c r="KP863" s="2613"/>
      <c r="KQ863" s="2613"/>
      <c r="KR863" s="2613"/>
      <c r="KS863" s="2613"/>
      <c r="KT863" s="2613"/>
      <c r="KU863" s="2613"/>
      <c r="KV863" s="2613"/>
      <c r="KW863" s="2613"/>
      <c r="KX863" s="2613"/>
      <c r="KY863" s="2613"/>
      <c r="KZ863" s="2613"/>
      <c r="LA863" s="2613"/>
      <c r="LB863" s="2613"/>
      <c r="LC863" s="2613"/>
      <c r="LD863" s="2613"/>
      <c r="LE863" s="2613"/>
      <c r="LF863" s="2613"/>
      <c r="LG863" s="2613"/>
      <c r="LH863" s="2613"/>
      <c r="LI863" s="2613"/>
      <c r="LJ863" s="2613"/>
      <c r="LK863" s="2613"/>
      <c r="LL863" s="2613"/>
      <c r="LM863" s="2613"/>
      <c r="LN863" s="2613"/>
      <c r="LO863" s="2613"/>
      <c r="LP863" s="2613"/>
      <c r="LQ863" s="2613"/>
    </row>
    <row r="864" spans="1:329" ht="15" customHeight="1">
      <c r="A864" s="2359"/>
      <c r="B864" s="2359"/>
      <c r="C864" s="2408"/>
      <c r="D864" s="2408"/>
      <c r="E864" s="2654"/>
      <c r="F864" s="2408"/>
      <c r="H864" s="2654" t="s">
        <v>1127</v>
      </c>
      <c r="I864" s="512"/>
      <c r="K864" s="2683">
        <f>CF817</f>
        <v>0</v>
      </c>
      <c r="L864" s="2683">
        <f>CG817</f>
        <v>0</v>
      </c>
      <c r="M864" s="2683">
        <f>CH817</f>
        <v>0</v>
      </c>
      <c r="N864" s="2683">
        <f>CI817</f>
        <v>0</v>
      </c>
      <c r="O864" s="2683">
        <f>CJ817</f>
        <v>0</v>
      </c>
      <c r="P864" s="2683">
        <f t="shared" si="375"/>
        <v>0</v>
      </c>
      <c r="S864" s="2607"/>
      <c r="T864" s="2607"/>
      <c r="U864" s="2607"/>
      <c r="V864" s="2607"/>
      <c r="W864" s="2607"/>
      <c r="X864" s="2408"/>
      <c r="AA864" s="2408"/>
      <c r="AB864" s="512"/>
      <c r="AC864" s="2408"/>
      <c r="AF864" s="2408"/>
      <c r="AG864" s="512"/>
      <c r="AH864" s="2408"/>
      <c r="AK864" s="2408"/>
      <c r="AL864" s="512"/>
      <c r="AM864" s="2408"/>
      <c r="AP864" s="2408"/>
      <c r="AQ864" s="512"/>
      <c r="AR864" s="513"/>
      <c r="AS864" s="513"/>
      <c r="AT864" s="513"/>
      <c r="AU864" s="513"/>
      <c r="AV864" s="513"/>
      <c r="AW864" s="513"/>
      <c r="AX864" s="512"/>
      <c r="AY864" s="2408"/>
      <c r="BB864" s="513"/>
      <c r="BC864" s="512"/>
      <c r="BD864" s="2408"/>
      <c r="JW864" s="2613"/>
      <c r="KB864" s="2613"/>
      <c r="KC864" s="2613"/>
      <c r="KD864" s="2613"/>
      <c r="KE864" s="2613"/>
      <c r="KF864" s="2613"/>
      <c r="KG864" s="2613"/>
      <c r="KH864" s="2613"/>
      <c r="KI864" s="2613"/>
      <c r="KJ864" s="2613"/>
      <c r="KK864" s="2613"/>
      <c r="KL864" s="2613"/>
      <c r="KM864" s="2613"/>
      <c r="KN864" s="2613"/>
      <c r="KO864" s="2613"/>
      <c r="KP864" s="2613"/>
      <c r="KQ864" s="2613"/>
      <c r="KR864" s="2613"/>
      <c r="KS864" s="2613"/>
      <c r="KT864" s="2613"/>
      <c r="KU864" s="2613"/>
      <c r="KV864" s="2613"/>
      <c r="KW864" s="2613"/>
      <c r="KX864" s="2613"/>
      <c r="KY864" s="2613"/>
      <c r="KZ864" s="2613"/>
      <c r="LA864" s="2613"/>
      <c r="LB864" s="2613"/>
      <c r="LC864" s="2613"/>
      <c r="LD864" s="2613"/>
      <c r="LE864" s="2613"/>
      <c r="LF864" s="2613"/>
      <c r="LG864" s="2613"/>
      <c r="LH864" s="2613"/>
      <c r="LI864" s="2613"/>
      <c r="LJ864" s="2613"/>
      <c r="LK864" s="2613"/>
      <c r="LL864" s="2613"/>
      <c r="LM864" s="2613"/>
      <c r="LN864" s="2613"/>
      <c r="LO864" s="2613"/>
      <c r="LP864" s="2613"/>
      <c r="LQ864" s="2613"/>
    </row>
    <row r="865" spans="1:329" ht="15" customHeight="1">
      <c r="A865" s="2359"/>
      <c r="B865" s="2359"/>
      <c r="C865" s="2408"/>
      <c r="D865" s="2408"/>
      <c r="E865" s="2654"/>
      <c r="F865" s="2408"/>
      <c r="H865" s="2654" t="s">
        <v>115</v>
      </c>
      <c r="I865" s="512"/>
      <c r="K865" s="2683">
        <f>CA817</f>
        <v>0</v>
      </c>
      <c r="L865" s="2683">
        <f>CB817</f>
        <v>0</v>
      </c>
      <c r="M865" s="2683">
        <f>CC817</f>
        <v>0</v>
      </c>
      <c r="N865" s="2683">
        <f>CD817</f>
        <v>0</v>
      </c>
      <c r="O865" s="2683">
        <f>CE817</f>
        <v>0</v>
      </c>
      <c r="P865" s="2683">
        <f t="shared" si="375"/>
        <v>0</v>
      </c>
      <c r="S865" s="2607"/>
      <c r="T865" s="2607"/>
      <c r="U865" s="2607"/>
      <c r="V865" s="2607"/>
      <c r="W865" s="2607"/>
      <c r="X865" s="2408"/>
      <c r="AA865" s="2408"/>
      <c r="AB865" s="512"/>
      <c r="AC865" s="2408"/>
      <c r="AF865" s="2408"/>
      <c r="AG865" s="512"/>
      <c r="AH865" s="2408"/>
      <c r="AK865" s="2408"/>
      <c r="AL865" s="512"/>
      <c r="AM865" s="2408"/>
      <c r="AP865" s="2408"/>
      <c r="AQ865" s="512"/>
      <c r="AR865" s="513"/>
      <c r="AS865" s="513"/>
      <c r="AT865" s="513"/>
      <c r="AU865" s="513"/>
      <c r="AV865" s="513"/>
      <c r="AW865" s="513"/>
      <c r="AX865" s="512"/>
      <c r="AY865" s="2408"/>
      <c r="BB865" s="513"/>
      <c r="BC865" s="512"/>
      <c r="BD865" s="2408"/>
      <c r="JW865" s="2613"/>
      <c r="KB865" s="2613"/>
      <c r="KC865" s="2613"/>
      <c r="KD865" s="2613"/>
      <c r="KE865" s="2613"/>
      <c r="KF865" s="2613"/>
      <c r="KG865" s="2613"/>
      <c r="KH865" s="2613"/>
      <c r="KI865" s="2613"/>
      <c r="KJ865" s="2613"/>
      <c r="KK865" s="2613"/>
      <c r="KL865" s="2613"/>
      <c r="KM865" s="2613"/>
      <c r="KN865" s="2613"/>
      <c r="KO865" s="2613"/>
      <c r="KP865" s="2613"/>
      <c r="KQ865" s="2613"/>
      <c r="KR865" s="2613"/>
      <c r="KS865" s="2613"/>
      <c r="KT865" s="2613"/>
      <c r="KU865" s="2613"/>
      <c r="KV865" s="2613"/>
      <c r="KW865" s="2613"/>
      <c r="KX865" s="2613"/>
      <c r="KY865" s="2613"/>
      <c r="KZ865" s="2613"/>
      <c r="LA865" s="2613"/>
      <c r="LB865" s="2613"/>
      <c r="LC865" s="2613"/>
      <c r="LD865" s="2613"/>
      <c r="LE865" s="2613"/>
      <c r="LF865" s="2613"/>
      <c r="LG865" s="2613"/>
      <c r="LH865" s="2613"/>
      <c r="LI865" s="2613"/>
      <c r="LJ865" s="2613"/>
      <c r="LK865" s="2613"/>
      <c r="LL865" s="2613"/>
      <c r="LM865" s="2613"/>
      <c r="LN865" s="2613"/>
      <c r="LO865" s="2613"/>
      <c r="LP865" s="2613"/>
      <c r="LQ865" s="2613"/>
    </row>
    <row r="866" spans="1:329" ht="15" customHeight="1">
      <c r="A866" s="2359"/>
      <c r="B866" s="2359"/>
      <c r="C866" s="2408"/>
      <c r="D866" s="2408"/>
      <c r="E866" s="2654"/>
      <c r="F866" s="2408"/>
      <c r="H866" s="2654" t="s">
        <v>4129</v>
      </c>
      <c r="I866" s="512"/>
      <c r="K866" s="2683">
        <f>BV817</f>
        <v>0</v>
      </c>
      <c r="L866" s="2683">
        <f>BW817</f>
        <v>0</v>
      </c>
      <c r="M866" s="2683">
        <f>BX817</f>
        <v>0</v>
      </c>
      <c r="N866" s="2683">
        <f>BY817</f>
        <v>0</v>
      </c>
      <c r="O866" s="2683">
        <f>BZ817</f>
        <v>0</v>
      </c>
      <c r="P866" s="2683">
        <f t="shared" si="375"/>
        <v>0</v>
      </c>
      <c r="S866" s="2607"/>
      <c r="T866" s="2607"/>
      <c r="U866" s="2607"/>
      <c r="V866" s="2607"/>
      <c r="W866" s="2607"/>
      <c r="X866" s="2408"/>
      <c r="AA866" s="2408"/>
      <c r="AB866" s="512"/>
      <c r="AC866" s="2408"/>
      <c r="AF866" s="2408"/>
      <c r="AG866" s="512"/>
      <c r="AH866" s="2408"/>
      <c r="AK866" s="2408"/>
      <c r="AL866" s="512"/>
      <c r="AM866" s="2408"/>
      <c r="AP866" s="2408"/>
      <c r="AQ866" s="512"/>
      <c r="AR866" s="513"/>
      <c r="AS866" s="513"/>
      <c r="AT866" s="513"/>
      <c r="AU866" s="513"/>
      <c r="AV866" s="513"/>
      <c r="AW866" s="513"/>
      <c r="AX866" s="512"/>
      <c r="AY866" s="2408"/>
      <c r="BB866" s="513"/>
      <c r="BC866" s="512"/>
      <c r="BD866" s="2408"/>
      <c r="JW866" s="2613"/>
      <c r="KB866" s="2613"/>
      <c r="KC866" s="2613"/>
      <c r="KD866" s="2613"/>
      <c r="KE866" s="2613"/>
      <c r="KF866" s="2613"/>
      <c r="KG866" s="2613"/>
      <c r="KH866" s="2613"/>
      <c r="KI866" s="2613"/>
      <c r="KJ866" s="2613"/>
      <c r="KK866" s="2613"/>
      <c r="KL866" s="2613"/>
      <c r="KM866" s="2613"/>
      <c r="KN866" s="2613"/>
      <c r="KO866" s="2613"/>
      <c r="KP866" s="2613"/>
      <c r="KQ866" s="2613"/>
      <c r="KR866" s="2613"/>
      <c r="KS866" s="2613"/>
      <c r="KT866" s="2613"/>
      <c r="KU866" s="2613"/>
      <c r="KV866" s="2613"/>
      <c r="KW866" s="2613"/>
      <c r="KX866" s="2613"/>
      <c r="KY866" s="2613"/>
      <c r="KZ866" s="2613"/>
      <c r="LA866" s="2613"/>
      <c r="LB866" s="2613"/>
      <c r="LC866" s="2613"/>
      <c r="LD866" s="2613"/>
      <c r="LE866" s="2613"/>
      <c r="LF866" s="2613"/>
      <c r="LG866" s="2613"/>
      <c r="LH866" s="2613"/>
      <c r="LI866" s="2613"/>
      <c r="LJ866" s="2613"/>
      <c r="LK866" s="2613"/>
      <c r="LL866" s="2613"/>
      <c r="LM866" s="2613"/>
      <c r="LN866" s="2613"/>
      <c r="LO866" s="2613"/>
      <c r="LP866" s="2613"/>
      <c r="LQ866" s="2613"/>
    </row>
    <row r="867" spans="1:329" ht="15" customHeight="1">
      <c r="A867" s="2654"/>
      <c r="B867" s="2654"/>
      <c r="C867" s="2408"/>
      <c r="D867" s="2408"/>
      <c r="E867" s="2654"/>
      <c r="F867" s="2408"/>
      <c r="H867" s="2654" t="s">
        <v>4130</v>
      </c>
      <c r="I867" s="512"/>
      <c r="K867" s="2683">
        <f>BQ817</f>
        <v>0</v>
      </c>
      <c r="L867" s="2683">
        <f>BR817</f>
        <v>0</v>
      </c>
      <c r="M867" s="2683">
        <f>BS817</f>
        <v>0</v>
      </c>
      <c r="N867" s="2683">
        <f>BT817</f>
        <v>0</v>
      </c>
      <c r="O867" s="2683">
        <f>BU817</f>
        <v>0</v>
      </c>
      <c r="P867" s="2683">
        <f t="shared" si="375"/>
        <v>0</v>
      </c>
      <c r="S867" s="2607"/>
      <c r="T867" s="2607"/>
      <c r="U867" s="2607"/>
      <c r="V867" s="2607"/>
      <c r="W867" s="2607"/>
      <c r="X867" s="2408"/>
      <c r="AA867" s="2408"/>
      <c r="AB867" s="512"/>
      <c r="AC867" s="2408"/>
      <c r="AF867" s="2408"/>
      <c r="AG867" s="512"/>
      <c r="AH867" s="2408"/>
      <c r="AK867" s="2408"/>
      <c r="AL867" s="512"/>
      <c r="AM867" s="2408"/>
      <c r="AP867" s="2408"/>
      <c r="AQ867" s="512"/>
      <c r="AR867" s="513"/>
      <c r="AS867" s="513"/>
      <c r="AT867" s="513"/>
      <c r="AU867" s="513"/>
      <c r="AV867" s="513"/>
      <c r="AW867" s="513"/>
      <c r="AX867" s="512"/>
      <c r="AY867" s="2408"/>
      <c r="BB867" s="513"/>
      <c r="BC867" s="512"/>
      <c r="BD867" s="2408"/>
      <c r="JW867" s="2613"/>
      <c r="KB867" s="2613"/>
      <c r="KC867" s="2613"/>
      <c r="KD867" s="2613"/>
      <c r="KE867" s="2613"/>
      <c r="KF867" s="2613"/>
      <c r="KG867" s="2613"/>
      <c r="KH867" s="2613"/>
      <c r="KI867" s="2613"/>
      <c r="KJ867" s="2613"/>
      <c r="KK867" s="2613"/>
      <c r="KL867" s="2613"/>
      <c r="KM867" s="2613"/>
      <c r="KN867" s="2613"/>
      <c r="KO867" s="2613"/>
      <c r="KP867" s="2613"/>
      <c r="KQ867" s="2613"/>
      <c r="KR867" s="2613"/>
      <c r="KS867" s="2613"/>
      <c r="KT867" s="2613"/>
      <c r="KU867" s="2613"/>
      <c r="KV867" s="2613"/>
      <c r="KW867" s="2613"/>
      <c r="KX867" s="2613"/>
      <c r="KY867" s="2613"/>
      <c r="KZ867" s="2613"/>
      <c r="LA867" s="2613"/>
      <c r="LB867" s="2613"/>
      <c r="LC867" s="2613"/>
      <c r="LD867" s="2613"/>
      <c r="LE867" s="2613"/>
      <c r="LF867" s="2613"/>
      <c r="LG867" s="2613"/>
      <c r="LH867" s="2613"/>
      <c r="LI867" s="2613"/>
      <c r="LJ867" s="2613"/>
      <c r="LK867" s="2613"/>
      <c r="LL867" s="2613"/>
      <c r="LM867" s="2613"/>
      <c r="LN867" s="2613"/>
      <c r="LO867" s="2613"/>
      <c r="LP867" s="2613"/>
      <c r="LQ867" s="2613"/>
    </row>
    <row r="868" spans="1:329" ht="15" customHeight="1">
      <c r="A868" s="2654"/>
      <c r="B868" s="2654"/>
      <c r="D868" s="2408"/>
      <c r="E868" s="2654"/>
      <c r="F868" s="2408"/>
      <c r="H868" s="2654" t="s">
        <v>4131</v>
      </c>
      <c r="I868" s="512"/>
      <c r="K868" s="2689">
        <f>BL817</f>
        <v>0</v>
      </c>
      <c r="L868" s="2689">
        <f>BM817</f>
        <v>0</v>
      </c>
      <c r="M868" s="2689">
        <f>BN817</f>
        <v>0</v>
      </c>
      <c r="N868" s="2689">
        <f>BO817</f>
        <v>0</v>
      </c>
      <c r="O868" s="2689">
        <f>BP817</f>
        <v>0</v>
      </c>
      <c r="P868" s="2683">
        <f t="shared" si="375"/>
        <v>0</v>
      </c>
      <c r="S868" s="2607"/>
      <c r="T868" s="2607"/>
      <c r="U868" s="2607"/>
      <c r="V868" s="2607"/>
      <c r="W868" s="2607"/>
      <c r="X868" s="512"/>
      <c r="AA868" s="2408"/>
      <c r="AB868" s="512"/>
      <c r="AC868" s="512"/>
      <c r="AF868" s="2408"/>
      <c r="AG868" s="512"/>
      <c r="AH868" s="512"/>
      <c r="AK868" s="2408"/>
      <c r="AL868" s="512"/>
      <c r="AM868" s="512"/>
      <c r="AP868" s="2408"/>
      <c r="AQ868" s="512"/>
      <c r="AR868" s="513"/>
      <c r="AS868" s="513"/>
      <c r="AT868" s="513"/>
      <c r="AU868" s="513"/>
      <c r="AV868" s="513"/>
      <c r="AW868" s="513"/>
      <c r="AX868" s="512"/>
      <c r="AY868" s="2408"/>
      <c r="BB868" s="513"/>
      <c r="BC868" s="512"/>
      <c r="BD868" s="2408"/>
      <c r="JW868" s="2613"/>
      <c r="KB868" s="2613"/>
      <c r="KC868" s="2613"/>
      <c r="KD868" s="2613"/>
      <c r="KE868" s="2613"/>
      <c r="KF868" s="2613"/>
      <c r="KG868" s="2613"/>
      <c r="KH868" s="2613"/>
      <c r="KI868" s="2613"/>
      <c r="KJ868" s="2613"/>
      <c r="KK868" s="2613"/>
      <c r="KL868" s="2613"/>
      <c r="KM868" s="2613"/>
      <c r="KN868" s="2613"/>
      <c r="KO868" s="2613"/>
      <c r="KP868" s="2613"/>
      <c r="KQ868" s="2613"/>
      <c r="KR868" s="2613"/>
      <c r="KS868" s="2613"/>
      <c r="KT868" s="2613"/>
      <c r="KU868" s="2613"/>
      <c r="KV868" s="2613"/>
      <c r="KW868" s="2613"/>
      <c r="KX868" s="2613"/>
      <c r="KY868" s="2613"/>
      <c r="KZ868" s="2613"/>
      <c r="LA868" s="2613"/>
      <c r="LB868" s="2613"/>
      <c r="LC868" s="2613"/>
      <c r="LD868" s="2613"/>
      <c r="LE868" s="2613"/>
      <c r="LF868" s="2613"/>
      <c r="LG868" s="2613"/>
      <c r="LH868" s="2613"/>
      <c r="LI868" s="2613"/>
      <c r="LJ868" s="2613"/>
      <c r="LK868" s="2613"/>
      <c r="LL868" s="2613"/>
      <c r="LM868" s="2613"/>
      <c r="LN868" s="2613"/>
      <c r="LO868" s="2613"/>
      <c r="LP868" s="2613"/>
      <c r="LQ868" s="2613"/>
    </row>
    <row r="869" spans="1:329" ht="15" customHeight="1">
      <c r="A869" s="2654"/>
      <c r="B869" s="2654"/>
      <c r="C869" s="2408"/>
      <c r="D869" s="2408"/>
      <c r="E869" s="2654"/>
      <c r="F869" s="2408"/>
      <c r="H869" s="2654" t="s">
        <v>524</v>
      </c>
      <c r="I869" s="512"/>
      <c r="K869" s="2683">
        <f>SUM(K862:K868)</f>
        <v>0</v>
      </c>
      <c r="L869" s="2683">
        <f>SUM(L862:L868)</f>
        <v>0</v>
      </c>
      <c r="M869" s="2683">
        <f>SUM(M862:M868)</f>
        <v>0</v>
      </c>
      <c r="N869" s="2683">
        <f>SUM(N862:N868)</f>
        <v>0</v>
      </c>
      <c r="O869" s="2683">
        <f>SUM(O862:O868)</f>
        <v>0</v>
      </c>
      <c r="P869" s="2683">
        <f t="shared" si="375"/>
        <v>0</v>
      </c>
      <c r="S869" s="2607"/>
      <c r="T869" s="2607"/>
      <c r="U869" s="2607"/>
      <c r="V869" s="2607"/>
      <c r="W869" s="2607"/>
      <c r="X869" s="2408"/>
      <c r="AA869" s="2408"/>
      <c r="AB869" s="512"/>
      <c r="AC869" s="2408"/>
      <c r="AF869" s="2408"/>
      <c r="AG869" s="512"/>
      <c r="AH869" s="2408"/>
      <c r="AK869" s="2408"/>
      <c r="AL869" s="512"/>
      <c r="AM869" s="2408"/>
      <c r="AP869" s="2408"/>
      <c r="AQ869" s="512"/>
      <c r="AR869" s="513"/>
      <c r="AS869" s="513"/>
      <c r="AT869" s="513"/>
      <c r="AU869" s="513"/>
      <c r="AV869" s="513"/>
      <c r="AW869" s="513"/>
      <c r="AX869" s="512"/>
      <c r="AY869" s="2408"/>
      <c r="BB869" s="513"/>
      <c r="BC869" s="512"/>
      <c r="BD869" s="2408"/>
      <c r="JW869" s="2613"/>
      <c r="KB869" s="2613"/>
      <c r="KC869" s="2613"/>
      <c r="KD869" s="2613"/>
      <c r="KE869" s="2613"/>
      <c r="KF869" s="2613"/>
      <c r="KG869" s="2613"/>
      <c r="KH869" s="2613"/>
      <c r="KI869" s="2613"/>
      <c r="KJ869" s="2613"/>
      <c r="KK869" s="2613"/>
      <c r="KL869" s="2613"/>
      <c r="KM869" s="2613"/>
      <c r="KN869" s="2613"/>
      <c r="KO869" s="2613"/>
      <c r="KP869" s="2613"/>
      <c r="KQ869" s="2613"/>
      <c r="KR869" s="2613"/>
      <c r="KS869" s="2613"/>
      <c r="KT869" s="2613"/>
      <c r="KU869" s="2613"/>
      <c r="KV869" s="2613"/>
      <c r="KW869" s="2613"/>
      <c r="KX869" s="2613"/>
      <c r="KY869" s="2613"/>
      <c r="KZ869" s="2613"/>
      <c r="LA869" s="2613"/>
      <c r="LB869" s="2613"/>
      <c r="LC869" s="2613"/>
      <c r="LD869" s="2613"/>
      <c r="LE869" s="2613"/>
      <c r="LF869" s="2613"/>
      <c r="LG869" s="2613"/>
      <c r="LH869" s="2613"/>
      <c r="LI869" s="2613"/>
      <c r="LJ869" s="2613"/>
      <c r="LK869" s="2613"/>
      <c r="LL869" s="2613"/>
      <c r="LM869" s="2613"/>
      <c r="LN869" s="2613"/>
      <c r="LO869" s="2613"/>
      <c r="LP869" s="2613"/>
      <c r="LQ869" s="2613"/>
    </row>
    <row r="870" spans="1:329" ht="9" customHeight="1">
      <c r="A870" s="2654"/>
      <c r="B870" s="2654"/>
      <c r="C870" s="2408"/>
      <c r="D870" s="2408"/>
      <c r="E870" s="2408"/>
      <c r="F870" s="2408"/>
      <c r="H870" s="2654"/>
      <c r="I870" s="512"/>
      <c r="K870" s="2688"/>
      <c r="L870" s="2688"/>
      <c r="M870" s="2688"/>
      <c r="N870" s="2688"/>
      <c r="O870" s="2688"/>
      <c r="P870" s="2688"/>
      <c r="U870" s="2489"/>
      <c r="X870" s="2408"/>
      <c r="AA870" s="2408"/>
      <c r="AB870" s="512"/>
      <c r="AC870" s="2408"/>
      <c r="AF870" s="2408"/>
      <c r="AG870" s="512"/>
      <c r="AH870" s="2408"/>
      <c r="AK870" s="2408"/>
      <c r="AL870" s="512"/>
      <c r="AM870" s="2408"/>
      <c r="AP870" s="2408"/>
      <c r="AQ870" s="512"/>
      <c r="AR870" s="2408"/>
      <c r="AS870" s="2408"/>
      <c r="AT870" s="2408"/>
      <c r="AU870" s="2408"/>
      <c r="AV870" s="2408"/>
      <c r="AW870" s="2408"/>
      <c r="AY870" s="2408"/>
      <c r="BB870" s="2408"/>
      <c r="BD870" s="2408"/>
      <c r="JW870" s="2613"/>
      <c r="KB870" s="2613"/>
      <c r="KC870" s="2613"/>
      <c r="KD870" s="2613"/>
      <c r="KE870" s="2613"/>
      <c r="KF870" s="2613"/>
      <c r="KG870" s="2613"/>
      <c r="KH870" s="2613"/>
      <c r="KI870" s="2613"/>
      <c r="KJ870" s="2613"/>
      <c r="KK870" s="2613"/>
      <c r="KL870" s="2613"/>
      <c r="KM870" s="2613"/>
      <c r="KN870" s="2613"/>
      <c r="KO870" s="2613"/>
      <c r="KP870" s="2613"/>
      <c r="KQ870" s="2613"/>
      <c r="KR870" s="2613"/>
      <c r="KS870" s="2613"/>
      <c r="KT870" s="2613"/>
      <c r="KU870" s="2613"/>
      <c r="KV870" s="2613"/>
      <c r="KW870" s="2613"/>
      <c r="KX870" s="2613"/>
      <c r="KY870" s="2613"/>
      <c r="KZ870" s="2613"/>
      <c r="LA870" s="2613"/>
      <c r="LB870" s="2613"/>
      <c r="LC870" s="2613"/>
      <c r="LD870" s="2613"/>
      <c r="LE870" s="2613"/>
      <c r="LF870" s="2613"/>
      <c r="LG870" s="2613"/>
      <c r="LH870" s="2613"/>
      <c r="LI870" s="2613"/>
      <c r="LJ870" s="2613"/>
      <c r="LK870" s="2613"/>
      <c r="LL870" s="2613"/>
      <c r="LM870" s="2613"/>
      <c r="LN870" s="2613"/>
      <c r="LO870" s="2613"/>
      <c r="LP870" s="2613"/>
      <c r="LQ870" s="2613"/>
    </row>
    <row r="871" spans="1:329" ht="14.4" customHeight="1">
      <c r="A871" s="2494" t="s">
        <v>722</v>
      </c>
      <c r="B871" s="2494" t="s">
        <v>6982</v>
      </c>
      <c r="H871" s="2650"/>
      <c r="L871" s="2681">
        <f>$L$53</f>
        <v>0</v>
      </c>
      <c r="M871" s="2681"/>
      <c r="N871" s="2681"/>
      <c r="O871" s="2681"/>
      <c r="S871" s="2408" t="str">
        <f>B871</f>
        <v>UNIT SUMMARY (Continued)</v>
      </c>
      <c r="T871" s="2408"/>
      <c r="U871" s="2408"/>
      <c r="V871" s="2408"/>
      <c r="AY871" s="2408"/>
      <c r="BD871" s="2408"/>
      <c r="JW871" s="2613"/>
      <c r="KB871" s="2613"/>
      <c r="KC871" s="2613"/>
      <c r="KD871" s="2613"/>
      <c r="KE871" s="2613"/>
      <c r="KF871" s="2613"/>
      <c r="KG871" s="2613"/>
      <c r="KH871" s="2613"/>
      <c r="KI871" s="2613"/>
      <c r="KJ871" s="2613"/>
      <c r="KK871" s="2613"/>
      <c r="KL871" s="2613"/>
      <c r="KM871" s="2613"/>
      <c r="KN871" s="2613"/>
      <c r="KO871" s="2613"/>
      <c r="KP871" s="2613"/>
      <c r="KQ871" s="2613"/>
      <c r="KR871" s="2613"/>
      <c r="KS871" s="2613"/>
      <c r="KT871" s="2613"/>
      <c r="KU871" s="2613"/>
      <c r="KV871" s="2613"/>
      <c r="KW871" s="2613"/>
      <c r="KX871" s="2613"/>
      <c r="KY871" s="2613"/>
      <c r="KZ871" s="2613"/>
      <c r="LA871" s="2613"/>
      <c r="LB871" s="2613"/>
      <c r="LC871" s="2613"/>
      <c r="LD871" s="2613"/>
      <c r="LE871" s="2613"/>
      <c r="LF871" s="2613"/>
      <c r="LG871" s="2613"/>
      <c r="LH871" s="2613"/>
      <c r="LI871" s="2613"/>
      <c r="LJ871" s="2613"/>
      <c r="LK871" s="2613"/>
      <c r="LL871" s="2613"/>
      <c r="LM871" s="2613"/>
      <c r="LN871" s="2613"/>
      <c r="LO871" s="2613"/>
      <c r="LP871" s="2613"/>
      <c r="LQ871" s="2613"/>
    </row>
    <row r="872" spans="1:329" ht="9" customHeight="1">
      <c r="H872" s="2650"/>
      <c r="S872" s="2509" t="str">
        <f>C873</f>
        <v>PHA Operating Subsidy-Assisted</v>
      </c>
      <c r="U872" s="2653"/>
      <c r="AY872" s="2408"/>
      <c r="BD872" s="2408"/>
      <c r="JW872" s="2613"/>
      <c r="KB872" s="2613"/>
      <c r="KC872" s="2613"/>
      <c r="KD872" s="2613"/>
      <c r="KE872" s="2613"/>
      <c r="KF872" s="2613"/>
      <c r="KG872" s="2613"/>
      <c r="KH872" s="2613"/>
      <c r="KI872" s="2613"/>
      <c r="KJ872" s="2613"/>
      <c r="KK872" s="2613"/>
      <c r="KL872" s="2613"/>
      <c r="KM872" s="2613"/>
      <c r="KN872" s="2613"/>
      <c r="KO872" s="2613"/>
      <c r="KP872" s="2613"/>
      <c r="KQ872" s="2613"/>
      <c r="KR872" s="2613"/>
      <c r="KS872" s="2613"/>
      <c r="KT872" s="2613"/>
      <c r="KU872" s="2613"/>
      <c r="KV872" s="2613"/>
      <c r="KW872" s="2613"/>
      <c r="KX872" s="2613"/>
      <c r="KY872" s="2613"/>
      <c r="KZ872" s="2613"/>
      <c r="LA872" s="2613"/>
      <c r="LB872" s="2613"/>
      <c r="LC872" s="2613"/>
      <c r="LD872" s="2613"/>
      <c r="LE872" s="2613"/>
      <c r="LF872" s="2613"/>
      <c r="LG872" s="2613"/>
      <c r="LH872" s="2613"/>
      <c r="LI872" s="2613"/>
      <c r="LJ872" s="2613"/>
      <c r="LK872" s="2613"/>
      <c r="LL872" s="2613"/>
      <c r="LM872" s="2613"/>
      <c r="LN872" s="2613"/>
      <c r="LO872" s="2613"/>
      <c r="LP872" s="2613"/>
      <c r="LQ872" s="2613"/>
    </row>
    <row r="873" spans="1:329" ht="15" customHeight="1">
      <c r="A873" s="2654"/>
      <c r="B873" s="2654"/>
      <c r="C873" s="2607" t="s">
        <v>869</v>
      </c>
      <c r="D873" s="2607"/>
      <c r="E873" s="2607"/>
      <c r="F873" s="2408"/>
      <c r="H873" s="2654" t="s">
        <v>4127</v>
      </c>
      <c r="I873" s="512"/>
      <c r="K873" s="2689">
        <f>DY817</f>
        <v>0</v>
      </c>
      <c r="L873" s="2689">
        <f>DZ817</f>
        <v>0</v>
      </c>
      <c r="M873" s="2689">
        <f>EA817</f>
        <v>0</v>
      </c>
      <c r="N873" s="2689">
        <f>EB817</f>
        <v>0</v>
      </c>
      <c r="O873" s="2689">
        <f>EC817</f>
        <v>0</v>
      </c>
      <c r="P873" s="2683">
        <f t="shared" ref="P873:P880" si="376">SUM(K873:O873)</f>
        <v>0</v>
      </c>
      <c r="S873" s="2607"/>
      <c r="T873" s="2607"/>
      <c r="U873" s="2607"/>
      <c r="V873" s="2607"/>
      <c r="W873" s="2607"/>
      <c r="X873" s="2408"/>
      <c r="AA873" s="2408"/>
      <c r="AB873" s="512"/>
      <c r="AC873" s="2408"/>
      <c r="AF873" s="2408"/>
      <c r="AG873" s="512"/>
      <c r="AH873" s="2408"/>
      <c r="AK873" s="2408"/>
      <c r="AL873" s="512"/>
      <c r="AM873" s="2408"/>
      <c r="AP873" s="2408"/>
      <c r="AQ873" s="512"/>
      <c r="AR873" s="513"/>
      <c r="AS873" s="513"/>
      <c r="AT873" s="513"/>
      <c r="AU873" s="513"/>
      <c r="AV873" s="513"/>
      <c r="AW873" s="513"/>
      <c r="AX873" s="512"/>
      <c r="AY873" s="2408"/>
      <c r="BB873" s="513"/>
      <c r="BC873" s="512"/>
      <c r="BD873" s="2408"/>
      <c r="JW873" s="2613"/>
      <c r="KB873" s="2613"/>
      <c r="KC873" s="2613"/>
      <c r="KD873" s="2613"/>
      <c r="KE873" s="2613"/>
      <c r="KF873" s="2613"/>
      <c r="KG873" s="2613"/>
      <c r="KH873" s="2613"/>
      <c r="KI873" s="2613"/>
      <c r="KJ873" s="2613"/>
      <c r="KK873" s="2613"/>
      <c r="KL873" s="2613"/>
      <c r="KM873" s="2613"/>
      <c r="KN873" s="2613"/>
      <c r="KO873" s="2613"/>
      <c r="KP873" s="2613"/>
      <c r="KQ873" s="2613"/>
      <c r="KR873" s="2613"/>
      <c r="KS873" s="2613"/>
      <c r="KT873" s="2613"/>
      <c r="KU873" s="2613"/>
      <c r="KV873" s="2613"/>
      <c r="KW873" s="2613"/>
      <c r="KX873" s="2613"/>
      <c r="KY873" s="2613"/>
      <c r="KZ873" s="2613"/>
      <c r="LA873" s="2613"/>
      <c r="LB873" s="2613"/>
      <c r="LC873" s="2613"/>
      <c r="LD873" s="2613"/>
      <c r="LE873" s="2613"/>
      <c r="LF873" s="2613"/>
      <c r="LG873" s="2613"/>
      <c r="LH873" s="2613"/>
      <c r="LI873" s="2613"/>
      <c r="LJ873" s="2613"/>
      <c r="LK873" s="2613"/>
      <c r="LL873" s="2613"/>
      <c r="LM873" s="2613"/>
      <c r="LN873" s="2613"/>
      <c r="LO873" s="2613"/>
      <c r="LP873" s="2613"/>
      <c r="LQ873" s="2613"/>
    </row>
    <row r="874" spans="1:329" ht="15" customHeight="1">
      <c r="A874" s="2654"/>
      <c r="B874" s="2654"/>
      <c r="C874" s="512" t="s">
        <v>2446</v>
      </c>
      <c r="D874" s="2607"/>
      <c r="E874" s="2607"/>
      <c r="F874" s="2408"/>
      <c r="H874" s="2654" t="s">
        <v>4128</v>
      </c>
      <c r="I874" s="512"/>
      <c r="K874" s="2683">
        <f>DT817</f>
        <v>0</v>
      </c>
      <c r="L874" s="2683">
        <f>DU817</f>
        <v>0</v>
      </c>
      <c r="M874" s="2683">
        <f>DV817</f>
        <v>0</v>
      </c>
      <c r="N874" s="2683">
        <f>DW817</f>
        <v>0</v>
      </c>
      <c r="O874" s="2683">
        <f>DX817</f>
        <v>0</v>
      </c>
      <c r="P874" s="2683">
        <f t="shared" si="376"/>
        <v>0</v>
      </c>
      <c r="S874" s="2607"/>
      <c r="T874" s="2607"/>
      <c r="U874" s="2607"/>
      <c r="V874" s="2607"/>
      <c r="W874" s="2607"/>
      <c r="X874" s="2408"/>
      <c r="AA874" s="2408"/>
      <c r="AB874" s="512"/>
      <c r="AC874" s="2408"/>
      <c r="AF874" s="2408"/>
      <c r="AG874" s="512"/>
      <c r="AH874" s="2408"/>
      <c r="AK874" s="2408"/>
      <c r="AL874" s="512"/>
      <c r="AM874" s="2408"/>
      <c r="AP874" s="2408"/>
      <c r="AQ874" s="512"/>
      <c r="AR874" s="513"/>
      <c r="AS874" s="513"/>
      <c r="AT874" s="513"/>
      <c r="AU874" s="513"/>
      <c r="AV874" s="513"/>
      <c r="AW874" s="513"/>
      <c r="AX874" s="512"/>
      <c r="AY874" s="2408"/>
      <c r="BB874" s="513"/>
      <c r="BC874" s="512"/>
      <c r="BD874" s="2408"/>
      <c r="JW874" s="2613"/>
      <c r="KB874" s="2613"/>
      <c r="KC874" s="2613"/>
      <c r="KD874" s="2613"/>
      <c r="KE874" s="2613"/>
      <c r="KF874" s="2613"/>
      <c r="KG874" s="2613"/>
      <c r="KH874" s="2613"/>
      <c r="KI874" s="2613"/>
      <c r="KJ874" s="2613"/>
      <c r="KK874" s="2613"/>
      <c r="KL874" s="2613"/>
      <c r="KM874" s="2613"/>
      <c r="KN874" s="2613"/>
      <c r="KO874" s="2613"/>
      <c r="KP874" s="2613"/>
      <c r="KQ874" s="2613"/>
      <c r="KR874" s="2613"/>
      <c r="KS874" s="2613"/>
      <c r="KT874" s="2613"/>
      <c r="KU874" s="2613"/>
      <c r="KV874" s="2613"/>
      <c r="KW874" s="2613"/>
      <c r="KX874" s="2613"/>
      <c r="KY874" s="2613"/>
      <c r="KZ874" s="2613"/>
      <c r="LA874" s="2613"/>
      <c r="LB874" s="2613"/>
      <c r="LC874" s="2613"/>
      <c r="LD874" s="2613"/>
      <c r="LE874" s="2613"/>
      <c r="LF874" s="2613"/>
      <c r="LG874" s="2613"/>
      <c r="LH874" s="2613"/>
      <c r="LI874" s="2613"/>
      <c r="LJ874" s="2613"/>
      <c r="LK874" s="2613"/>
      <c r="LL874" s="2613"/>
      <c r="LM874" s="2613"/>
      <c r="LN874" s="2613"/>
      <c r="LO874" s="2613"/>
      <c r="LP874" s="2613"/>
      <c r="LQ874" s="2613"/>
    </row>
    <row r="875" spans="1:329" ht="15" customHeight="1">
      <c r="A875" s="2654"/>
      <c r="B875" s="2654"/>
      <c r="C875" s="2607"/>
      <c r="D875" s="2607"/>
      <c r="E875" s="2607"/>
      <c r="F875" s="2408"/>
      <c r="H875" s="2654" t="s">
        <v>1127</v>
      </c>
      <c r="I875" s="512"/>
      <c r="K875" s="2683">
        <f>DO817</f>
        <v>0</v>
      </c>
      <c r="L875" s="2683">
        <f>DP817</f>
        <v>0</v>
      </c>
      <c r="M875" s="2683">
        <f>DQ817</f>
        <v>0</v>
      </c>
      <c r="N875" s="2683">
        <f>DR817</f>
        <v>0</v>
      </c>
      <c r="O875" s="2683">
        <f>DS817</f>
        <v>0</v>
      </c>
      <c r="P875" s="2683">
        <f t="shared" si="376"/>
        <v>0</v>
      </c>
      <c r="S875" s="2607"/>
      <c r="T875" s="2607"/>
      <c r="U875" s="2607"/>
      <c r="V875" s="2607"/>
      <c r="W875" s="2607"/>
      <c r="X875" s="2408"/>
      <c r="AA875" s="2408"/>
      <c r="AB875" s="512"/>
      <c r="AC875" s="2408"/>
      <c r="AF875" s="2408"/>
      <c r="AG875" s="512"/>
      <c r="AH875" s="2408"/>
      <c r="AK875" s="2408"/>
      <c r="AL875" s="512"/>
      <c r="AM875" s="2408"/>
      <c r="AP875" s="2408"/>
      <c r="AQ875" s="512"/>
      <c r="AR875" s="513"/>
      <c r="AS875" s="513"/>
      <c r="AT875" s="513"/>
      <c r="AU875" s="513"/>
      <c r="AV875" s="513"/>
      <c r="AW875" s="513"/>
      <c r="AX875" s="512"/>
      <c r="AY875" s="2408"/>
      <c r="BB875" s="513"/>
      <c r="BC875" s="512"/>
      <c r="BD875" s="2408"/>
      <c r="JW875" s="2613"/>
      <c r="KB875" s="2613"/>
      <c r="KC875" s="2613"/>
      <c r="KD875" s="2613"/>
      <c r="KE875" s="2613"/>
      <c r="KF875" s="2613"/>
      <c r="KG875" s="2613"/>
      <c r="KH875" s="2613"/>
      <c r="KI875" s="2613"/>
      <c r="KJ875" s="2613"/>
      <c r="KK875" s="2613"/>
      <c r="KL875" s="2613"/>
      <c r="KM875" s="2613"/>
      <c r="KN875" s="2613"/>
      <c r="KO875" s="2613"/>
      <c r="KP875" s="2613"/>
      <c r="KQ875" s="2613"/>
      <c r="KR875" s="2613"/>
      <c r="KS875" s="2613"/>
      <c r="KT875" s="2613"/>
      <c r="KU875" s="2613"/>
      <c r="KV875" s="2613"/>
      <c r="KW875" s="2613"/>
      <c r="KX875" s="2613"/>
      <c r="KY875" s="2613"/>
      <c r="KZ875" s="2613"/>
      <c r="LA875" s="2613"/>
      <c r="LB875" s="2613"/>
      <c r="LC875" s="2613"/>
      <c r="LD875" s="2613"/>
      <c r="LE875" s="2613"/>
      <c r="LF875" s="2613"/>
      <c r="LG875" s="2613"/>
      <c r="LH875" s="2613"/>
      <c r="LI875" s="2613"/>
      <c r="LJ875" s="2613"/>
      <c r="LK875" s="2613"/>
      <c r="LL875" s="2613"/>
      <c r="LM875" s="2613"/>
      <c r="LN875" s="2613"/>
      <c r="LO875" s="2613"/>
      <c r="LP875" s="2613"/>
      <c r="LQ875" s="2613"/>
    </row>
    <row r="876" spans="1:329" ht="15" customHeight="1">
      <c r="A876" s="2654"/>
      <c r="B876" s="2654"/>
      <c r="C876" s="2607"/>
      <c r="D876" s="2607"/>
      <c r="E876" s="2607"/>
      <c r="F876" s="2408"/>
      <c r="H876" s="2654" t="s">
        <v>115</v>
      </c>
      <c r="I876" s="512"/>
      <c r="K876" s="2683">
        <f>DJ817</f>
        <v>0</v>
      </c>
      <c r="L876" s="2683">
        <f>DK817</f>
        <v>0</v>
      </c>
      <c r="M876" s="2683">
        <f>DL817</f>
        <v>0</v>
      </c>
      <c r="N876" s="2683">
        <f>DM817</f>
        <v>0</v>
      </c>
      <c r="O876" s="2683">
        <f>DN817</f>
        <v>0</v>
      </c>
      <c r="P876" s="2683">
        <f t="shared" si="376"/>
        <v>0</v>
      </c>
      <c r="S876" s="2607"/>
      <c r="T876" s="2607"/>
      <c r="U876" s="2607"/>
      <c r="V876" s="2607"/>
      <c r="W876" s="2607"/>
      <c r="X876" s="2408"/>
      <c r="AA876" s="2408"/>
      <c r="AB876" s="512"/>
      <c r="AC876" s="2408"/>
      <c r="AF876" s="2408"/>
      <c r="AG876" s="512"/>
      <c r="AH876" s="2408"/>
      <c r="AK876" s="2408"/>
      <c r="AL876" s="512"/>
      <c r="AM876" s="2408"/>
      <c r="AP876" s="2408"/>
      <c r="AQ876" s="512"/>
      <c r="AR876" s="513"/>
      <c r="AS876" s="513"/>
      <c r="AT876" s="513"/>
      <c r="AU876" s="513"/>
      <c r="AV876" s="513"/>
      <c r="AW876" s="513"/>
      <c r="AX876" s="512"/>
      <c r="AY876" s="2408"/>
      <c r="BB876" s="513"/>
      <c r="BC876" s="512"/>
      <c r="BD876" s="2408"/>
      <c r="JW876" s="2613"/>
      <c r="KB876" s="2613"/>
      <c r="KC876" s="2613"/>
      <c r="KD876" s="2613"/>
      <c r="KE876" s="2613"/>
      <c r="KF876" s="2613"/>
      <c r="KG876" s="2613"/>
      <c r="KH876" s="2613"/>
      <c r="KI876" s="2613"/>
      <c r="KJ876" s="2613"/>
      <c r="KK876" s="2613"/>
      <c r="KL876" s="2613"/>
      <c r="KM876" s="2613"/>
      <c r="KN876" s="2613"/>
      <c r="KO876" s="2613"/>
      <c r="KP876" s="2613"/>
      <c r="KQ876" s="2613"/>
      <c r="KR876" s="2613"/>
      <c r="KS876" s="2613"/>
      <c r="KT876" s="2613"/>
      <c r="KU876" s="2613"/>
      <c r="KV876" s="2613"/>
      <c r="KW876" s="2613"/>
      <c r="KX876" s="2613"/>
      <c r="KY876" s="2613"/>
      <c r="KZ876" s="2613"/>
      <c r="LA876" s="2613"/>
      <c r="LB876" s="2613"/>
      <c r="LC876" s="2613"/>
      <c r="LD876" s="2613"/>
      <c r="LE876" s="2613"/>
      <c r="LF876" s="2613"/>
      <c r="LG876" s="2613"/>
      <c r="LH876" s="2613"/>
      <c r="LI876" s="2613"/>
      <c r="LJ876" s="2613"/>
      <c r="LK876" s="2613"/>
      <c r="LL876" s="2613"/>
      <c r="LM876" s="2613"/>
      <c r="LN876" s="2613"/>
      <c r="LO876" s="2613"/>
      <c r="LP876" s="2613"/>
      <c r="LQ876" s="2613"/>
    </row>
    <row r="877" spans="1:329" ht="15" customHeight="1">
      <c r="A877" s="2654"/>
      <c r="B877" s="2654"/>
      <c r="C877" s="2607"/>
      <c r="D877" s="2607"/>
      <c r="E877" s="2607"/>
      <c r="F877" s="2408"/>
      <c r="H877" s="2654" t="s">
        <v>4129</v>
      </c>
      <c r="I877" s="512"/>
      <c r="K877" s="2683">
        <f>DE817</f>
        <v>0</v>
      </c>
      <c r="L877" s="2683">
        <f>DF817</f>
        <v>0</v>
      </c>
      <c r="M877" s="2683">
        <f>DG817</f>
        <v>0</v>
      </c>
      <c r="N877" s="2683">
        <f>DH817</f>
        <v>0</v>
      </c>
      <c r="O877" s="2683">
        <f>DI817</f>
        <v>0</v>
      </c>
      <c r="P877" s="2683">
        <f t="shared" si="376"/>
        <v>0</v>
      </c>
      <c r="S877" s="2607"/>
      <c r="T877" s="2607"/>
      <c r="U877" s="2607"/>
      <c r="V877" s="2607"/>
      <c r="W877" s="2607"/>
      <c r="X877" s="2408"/>
      <c r="AA877" s="2408"/>
      <c r="AB877" s="512"/>
      <c r="AC877" s="2408"/>
      <c r="AF877" s="2408"/>
      <c r="AG877" s="512"/>
      <c r="AH877" s="2408"/>
      <c r="AK877" s="2408"/>
      <c r="AL877" s="512"/>
      <c r="AM877" s="2408"/>
      <c r="AP877" s="2408"/>
      <c r="AQ877" s="512"/>
      <c r="AR877" s="513"/>
      <c r="AS877" s="513"/>
      <c r="AT877" s="513"/>
      <c r="AU877" s="513"/>
      <c r="AV877" s="513"/>
      <c r="AW877" s="513"/>
      <c r="AX877" s="512"/>
      <c r="AY877" s="2408"/>
      <c r="BB877" s="513"/>
      <c r="BC877" s="512"/>
      <c r="BD877" s="2408"/>
      <c r="JW877" s="2613"/>
      <c r="KB877" s="2613"/>
      <c r="KC877" s="2613"/>
      <c r="KD877" s="2613"/>
      <c r="KE877" s="2613"/>
      <c r="KF877" s="2613"/>
      <c r="KG877" s="2613"/>
      <c r="KH877" s="2613"/>
      <c r="KI877" s="2613"/>
      <c r="KJ877" s="2613"/>
      <c r="KK877" s="2613"/>
      <c r="KL877" s="2613"/>
      <c r="KM877" s="2613"/>
      <c r="KN877" s="2613"/>
      <c r="KO877" s="2613"/>
      <c r="KP877" s="2613"/>
      <c r="KQ877" s="2613"/>
      <c r="KR877" s="2613"/>
      <c r="KS877" s="2613"/>
      <c r="KT877" s="2613"/>
      <c r="KU877" s="2613"/>
      <c r="KV877" s="2613"/>
      <c r="KW877" s="2613"/>
      <c r="KX877" s="2613"/>
      <c r="KY877" s="2613"/>
      <c r="KZ877" s="2613"/>
      <c r="LA877" s="2613"/>
      <c r="LB877" s="2613"/>
      <c r="LC877" s="2613"/>
      <c r="LD877" s="2613"/>
      <c r="LE877" s="2613"/>
      <c r="LF877" s="2613"/>
      <c r="LG877" s="2613"/>
      <c r="LH877" s="2613"/>
      <c r="LI877" s="2613"/>
      <c r="LJ877" s="2613"/>
      <c r="LK877" s="2613"/>
      <c r="LL877" s="2613"/>
      <c r="LM877" s="2613"/>
      <c r="LN877" s="2613"/>
      <c r="LO877" s="2613"/>
      <c r="LP877" s="2613"/>
      <c r="LQ877" s="2613"/>
    </row>
    <row r="878" spans="1:329" ht="15" customHeight="1">
      <c r="A878" s="2654"/>
      <c r="B878" s="2654"/>
      <c r="C878" s="2607"/>
      <c r="D878" s="2607"/>
      <c r="E878" s="2607"/>
      <c r="F878" s="2408"/>
      <c r="H878" s="2654" t="s">
        <v>4130</v>
      </c>
      <c r="I878" s="512"/>
      <c r="K878" s="2683">
        <f>CZ817</f>
        <v>0</v>
      </c>
      <c r="L878" s="2683">
        <f>DA817</f>
        <v>0</v>
      </c>
      <c r="M878" s="2683">
        <f>DB817</f>
        <v>0</v>
      </c>
      <c r="N878" s="2683">
        <f>DC817</f>
        <v>0</v>
      </c>
      <c r="O878" s="2683">
        <f>DD817</f>
        <v>0</v>
      </c>
      <c r="P878" s="2683">
        <f t="shared" si="376"/>
        <v>0</v>
      </c>
      <c r="S878" s="2607"/>
      <c r="T878" s="2607"/>
      <c r="U878" s="2607"/>
      <c r="V878" s="2607"/>
      <c r="W878" s="2607"/>
      <c r="X878" s="2408"/>
      <c r="AA878" s="2408"/>
      <c r="AB878" s="512"/>
      <c r="AC878" s="2408"/>
      <c r="AF878" s="2408"/>
      <c r="AG878" s="512"/>
      <c r="AH878" s="2408"/>
      <c r="AK878" s="2408"/>
      <c r="AL878" s="512"/>
      <c r="AM878" s="2408"/>
      <c r="AP878" s="2408"/>
      <c r="AQ878" s="512"/>
      <c r="AR878" s="513"/>
      <c r="AS878" s="513"/>
      <c r="AT878" s="513"/>
      <c r="AU878" s="513"/>
      <c r="AV878" s="513"/>
      <c r="AW878" s="513"/>
      <c r="AX878" s="512"/>
      <c r="AY878" s="2408"/>
      <c r="BB878" s="513"/>
      <c r="BC878" s="512"/>
      <c r="BD878" s="2408"/>
      <c r="JW878" s="2613"/>
      <c r="KB878" s="2613"/>
      <c r="KC878" s="2613"/>
      <c r="KD878" s="2613"/>
      <c r="KE878" s="2613"/>
      <c r="KF878" s="2613"/>
      <c r="KG878" s="2613"/>
      <c r="KH878" s="2613"/>
      <c r="KI878" s="2613"/>
      <c r="KJ878" s="2613"/>
      <c r="KK878" s="2613"/>
      <c r="KL878" s="2613"/>
      <c r="KM878" s="2613"/>
      <c r="KN878" s="2613"/>
      <c r="KO878" s="2613"/>
      <c r="KP878" s="2613"/>
      <c r="KQ878" s="2613"/>
      <c r="KR878" s="2613"/>
      <c r="KS878" s="2613"/>
      <c r="KT878" s="2613"/>
      <c r="KU878" s="2613"/>
      <c r="KV878" s="2613"/>
      <c r="KW878" s="2613"/>
      <c r="KX878" s="2613"/>
      <c r="KY878" s="2613"/>
      <c r="KZ878" s="2613"/>
      <c r="LA878" s="2613"/>
      <c r="LB878" s="2613"/>
      <c r="LC878" s="2613"/>
      <c r="LD878" s="2613"/>
      <c r="LE878" s="2613"/>
      <c r="LF878" s="2613"/>
      <c r="LG878" s="2613"/>
      <c r="LH878" s="2613"/>
      <c r="LI878" s="2613"/>
      <c r="LJ878" s="2613"/>
      <c r="LK878" s="2613"/>
      <c r="LL878" s="2613"/>
      <c r="LM878" s="2613"/>
      <c r="LN878" s="2613"/>
      <c r="LO878" s="2613"/>
      <c r="LP878" s="2613"/>
      <c r="LQ878" s="2613"/>
    </row>
    <row r="879" spans="1:329" ht="15" customHeight="1">
      <c r="A879" s="2654"/>
      <c r="B879" s="2654"/>
      <c r="C879" s="2607"/>
      <c r="D879" s="2607"/>
      <c r="E879" s="2607"/>
      <c r="F879" s="2408"/>
      <c r="H879" s="2654" t="s">
        <v>4131</v>
      </c>
      <c r="I879" s="512"/>
      <c r="K879" s="2689">
        <f>CU817</f>
        <v>0</v>
      </c>
      <c r="L879" s="2689">
        <f>CV817</f>
        <v>0</v>
      </c>
      <c r="M879" s="2689">
        <f>CW817</f>
        <v>0</v>
      </c>
      <c r="N879" s="2689">
        <f>CX817</f>
        <v>0</v>
      </c>
      <c r="O879" s="2689">
        <f>CY817</f>
        <v>0</v>
      </c>
      <c r="P879" s="2683">
        <f t="shared" si="376"/>
        <v>0</v>
      </c>
      <c r="S879" s="2607"/>
      <c r="T879" s="2607"/>
      <c r="U879" s="2607"/>
      <c r="V879" s="2607"/>
      <c r="W879" s="2607"/>
      <c r="X879" s="512"/>
      <c r="AA879" s="2408"/>
      <c r="AB879" s="512"/>
      <c r="AC879" s="512"/>
      <c r="AF879" s="2408"/>
      <c r="AG879" s="512"/>
      <c r="AH879" s="512"/>
      <c r="AK879" s="2408"/>
      <c r="AL879" s="512"/>
      <c r="AM879" s="512"/>
      <c r="AP879" s="2408"/>
      <c r="AQ879" s="512"/>
      <c r="AR879" s="513"/>
      <c r="AS879" s="513"/>
      <c r="AT879" s="513"/>
      <c r="AU879" s="513"/>
      <c r="AV879" s="513"/>
      <c r="AW879" s="513"/>
      <c r="AX879" s="512"/>
      <c r="AY879" s="2408"/>
      <c r="BB879" s="513"/>
      <c r="BC879" s="512"/>
      <c r="BD879" s="2408"/>
      <c r="JW879" s="2613"/>
      <c r="KB879" s="2613"/>
      <c r="KC879" s="2613"/>
      <c r="KD879" s="2613"/>
      <c r="KE879" s="2613"/>
      <c r="KF879" s="2613"/>
      <c r="KG879" s="2613"/>
      <c r="KH879" s="2613"/>
      <c r="KI879" s="2613"/>
      <c r="KJ879" s="2613"/>
      <c r="KK879" s="2613"/>
      <c r="KL879" s="2613"/>
      <c r="KM879" s="2613"/>
      <c r="KN879" s="2613"/>
      <c r="KO879" s="2613"/>
      <c r="KP879" s="2613"/>
      <c r="KQ879" s="2613"/>
      <c r="KR879" s="2613"/>
      <c r="KS879" s="2613"/>
      <c r="KT879" s="2613"/>
      <c r="KU879" s="2613"/>
      <c r="KV879" s="2613"/>
      <c r="KW879" s="2613"/>
      <c r="KX879" s="2613"/>
      <c r="KY879" s="2613"/>
      <c r="KZ879" s="2613"/>
      <c r="LA879" s="2613"/>
      <c r="LB879" s="2613"/>
      <c r="LC879" s="2613"/>
      <c r="LD879" s="2613"/>
      <c r="LE879" s="2613"/>
      <c r="LF879" s="2613"/>
      <c r="LG879" s="2613"/>
      <c r="LH879" s="2613"/>
      <c r="LI879" s="2613"/>
      <c r="LJ879" s="2613"/>
      <c r="LK879" s="2613"/>
      <c r="LL879" s="2613"/>
      <c r="LM879" s="2613"/>
      <c r="LN879" s="2613"/>
      <c r="LO879" s="2613"/>
      <c r="LP879" s="2613"/>
      <c r="LQ879" s="2613"/>
    </row>
    <row r="880" spans="1:329" ht="15" customHeight="1">
      <c r="A880" s="2654"/>
      <c r="B880" s="2654"/>
      <c r="D880" s="2408"/>
      <c r="E880" s="2654"/>
      <c r="F880" s="2408"/>
      <c r="H880" s="2654" t="s">
        <v>524</v>
      </c>
      <c r="I880" s="512"/>
      <c r="K880" s="2683">
        <f>SUM(K873:K879)</f>
        <v>0</v>
      </c>
      <c r="L880" s="2683">
        <f>SUM(L873:L879)</f>
        <v>0</v>
      </c>
      <c r="M880" s="2683">
        <f>SUM(M873:M879)</f>
        <v>0</v>
      </c>
      <c r="N880" s="2683">
        <f>SUM(N873:N879)</f>
        <v>0</v>
      </c>
      <c r="O880" s="2683">
        <f>SUM(O873:O879)</f>
        <v>0</v>
      </c>
      <c r="P880" s="2683">
        <f t="shared" si="376"/>
        <v>0</v>
      </c>
      <c r="S880" s="2607"/>
      <c r="T880" s="2607"/>
      <c r="U880" s="2607"/>
      <c r="V880" s="2607"/>
      <c r="W880" s="2607"/>
      <c r="X880" s="2408"/>
      <c r="AA880" s="2408"/>
      <c r="AB880" s="512"/>
      <c r="AC880" s="2408"/>
      <c r="AF880" s="2408"/>
      <c r="AG880" s="512"/>
      <c r="AH880" s="2408"/>
      <c r="AK880" s="2408"/>
      <c r="AL880" s="512"/>
      <c r="AM880" s="2408"/>
      <c r="AP880" s="2408"/>
      <c r="AQ880" s="512"/>
      <c r="AR880" s="513"/>
      <c r="AS880" s="513"/>
      <c r="AT880" s="513"/>
      <c r="AU880" s="513"/>
      <c r="AV880" s="513"/>
      <c r="AW880" s="513"/>
      <c r="AX880" s="512"/>
      <c r="AY880" s="2408"/>
      <c r="BB880" s="513"/>
      <c r="BC880" s="512"/>
      <c r="BD880" s="2408"/>
      <c r="JW880" s="2613"/>
      <c r="KB880" s="2613"/>
      <c r="KC880" s="2613"/>
      <c r="KD880" s="2613"/>
      <c r="KE880" s="2613"/>
      <c r="KF880" s="2613"/>
      <c r="KG880" s="2613"/>
      <c r="KH880" s="2613"/>
      <c r="KI880" s="2613"/>
      <c r="KJ880" s="2613"/>
      <c r="KK880" s="2613"/>
      <c r="KL880" s="2613"/>
      <c r="KM880" s="2613"/>
      <c r="KN880" s="2613"/>
      <c r="KO880" s="2613"/>
      <c r="KP880" s="2613"/>
      <c r="KQ880" s="2613"/>
      <c r="KR880" s="2613"/>
      <c r="KS880" s="2613"/>
      <c r="KT880" s="2613"/>
      <c r="KU880" s="2613"/>
      <c r="KV880" s="2613"/>
      <c r="KW880" s="2613"/>
      <c r="KX880" s="2613"/>
      <c r="KY880" s="2613"/>
      <c r="KZ880" s="2613"/>
      <c r="LA880" s="2613"/>
      <c r="LB880" s="2613"/>
      <c r="LC880" s="2613"/>
      <c r="LD880" s="2613"/>
      <c r="LE880" s="2613"/>
      <c r="LF880" s="2613"/>
      <c r="LG880" s="2613"/>
      <c r="LH880" s="2613"/>
      <c r="LI880" s="2613"/>
      <c r="LJ880" s="2613"/>
      <c r="LK880" s="2613"/>
      <c r="LL880" s="2613"/>
      <c r="LM880" s="2613"/>
      <c r="LN880" s="2613"/>
      <c r="LO880" s="2613"/>
      <c r="LP880" s="2613"/>
      <c r="LQ880" s="2613"/>
    </row>
    <row r="881" spans="1:329" ht="9" customHeight="1">
      <c r="A881" s="2654"/>
      <c r="B881" s="2654"/>
      <c r="D881" s="2408"/>
      <c r="E881" s="2654"/>
      <c r="F881" s="2408"/>
      <c r="H881" s="2654"/>
      <c r="I881" s="512"/>
      <c r="K881" s="2688"/>
      <c r="L881" s="2688"/>
      <c r="M881" s="2688"/>
      <c r="N881" s="2688"/>
      <c r="O881" s="2688"/>
      <c r="P881" s="2688"/>
      <c r="S881" s="2509" t="str">
        <f>C882</f>
        <v>Type of Construction Activity</v>
      </c>
      <c r="U881" s="2489"/>
      <c r="X881" s="2408"/>
      <c r="AA881" s="2408"/>
      <c r="AB881" s="512"/>
      <c r="AC881" s="2408"/>
      <c r="AF881" s="2408"/>
      <c r="AG881" s="512"/>
      <c r="AH881" s="2408"/>
      <c r="AK881" s="2408"/>
      <c r="AL881" s="512"/>
      <c r="AM881" s="2408"/>
      <c r="AP881" s="2408"/>
      <c r="AQ881" s="512"/>
      <c r="AR881" s="2408"/>
      <c r="AS881" s="2408"/>
      <c r="AT881" s="2408"/>
      <c r="AU881" s="2408"/>
      <c r="AV881" s="2408"/>
      <c r="AW881" s="2408"/>
      <c r="AY881" s="2408"/>
      <c r="BB881" s="2408"/>
      <c r="BD881" s="2408"/>
      <c r="JW881" s="2613"/>
      <c r="KB881" s="2613"/>
      <c r="KC881" s="2613"/>
      <c r="KD881" s="2613"/>
      <c r="KE881" s="2613"/>
      <c r="KF881" s="2613"/>
      <c r="KG881" s="2613"/>
      <c r="KH881" s="2613"/>
      <c r="KI881" s="2613"/>
      <c r="KJ881" s="2613"/>
      <c r="KK881" s="2613"/>
      <c r="KL881" s="2613"/>
      <c r="KM881" s="2613"/>
      <c r="KN881" s="2613"/>
      <c r="KO881" s="2613"/>
      <c r="KP881" s="2613"/>
      <c r="KQ881" s="2613"/>
      <c r="KR881" s="2613"/>
      <c r="KS881" s="2613"/>
      <c r="KT881" s="2613"/>
      <c r="KU881" s="2613"/>
      <c r="KV881" s="2613"/>
      <c r="KW881" s="2613"/>
      <c r="KX881" s="2613"/>
      <c r="KY881" s="2613"/>
      <c r="KZ881" s="2613"/>
      <c r="LA881" s="2613"/>
      <c r="LB881" s="2613"/>
      <c r="LC881" s="2613"/>
      <c r="LD881" s="2613"/>
      <c r="LE881" s="2613"/>
      <c r="LF881" s="2613"/>
      <c r="LG881" s="2613"/>
      <c r="LH881" s="2613"/>
      <c r="LI881" s="2613"/>
      <c r="LJ881" s="2613"/>
      <c r="LK881" s="2613"/>
      <c r="LL881" s="2613"/>
      <c r="LM881" s="2613"/>
      <c r="LN881" s="2613"/>
      <c r="LO881" s="2613"/>
      <c r="LP881" s="2613"/>
      <c r="LQ881" s="2613"/>
    </row>
    <row r="882" spans="1:329" ht="14.25" customHeight="1">
      <c r="A882" s="2654"/>
      <c r="B882" s="2654"/>
      <c r="C882" s="2607" t="s">
        <v>36</v>
      </c>
      <c r="D882" s="2607"/>
      <c r="E882" s="2654" t="s">
        <v>2237</v>
      </c>
      <c r="F882" s="2408"/>
      <c r="H882" s="2654" t="s">
        <v>1404</v>
      </c>
      <c r="I882" s="512"/>
      <c r="K882" s="2683">
        <f>GG817</f>
        <v>0</v>
      </c>
      <c r="L882" s="2683">
        <f>GH817</f>
        <v>18</v>
      </c>
      <c r="M882" s="2683">
        <f>GI817</f>
        <v>106</v>
      </c>
      <c r="N882" s="2683">
        <f>GJ817</f>
        <v>76</v>
      </c>
      <c r="O882" s="2683">
        <f>GK817</f>
        <v>0</v>
      </c>
      <c r="P882" s="2683">
        <f t="shared" ref="P882:P892" si="377">SUM(K882:O882)</f>
        <v>200</v>
      </c>
      <c r="S882" s="2607"/>
      <c r="T882" s="2607"/>
      <c r="U882" s="2607"/>
      <c r="V882" s="2607"/>
      <c r="W882" s="2607"/>
      <c r="X882" s="2408"/>
      <c r="AA882" s="2408"/>
      <c r="AB882" s="512"/>
      <c r="AC882" s="2408"/>
      <c r="AF882" s="2408"/>
      <c r="AG882" s="512"/>
      <c r="AH882" s="2408"/>
      <c r="AK882" s="2408"/>
      <c r="AL882" s="512"/>
      <c r="AM882" s="2408"/>
      <c r="AP882" s="2408"/>
      <c r="AQ882" s="512"/>
      <c r="AR882" s="513"/>
      <c r="AS882" s="513"/>
      <c r="AT882" s="513"/>
      <c r="AU882" s="513"/>
      <c r="AV882" s="513"/>
      <c r="AW882" s="513"/>
      <c r="BB882" s="513"/>
    </row>
    <row r="883" spans="1:329" ht="14.25" customHeight="1">
      <c r="A883" s="2654"/>
      <c r="B883" s="2654"/>
      <c r="C883" s="2607"/>
      <c r="D883" s="2607"/>
      <c r="E883" s="2654"/>
      <c r="F883" s="2408"/>
      <c r="H883" s="2654" t="s">
        <v>298</v>
      </c>
      <c r="I883" s="512"/>
      <c r="K883" s="2683">
        <f>GL817</f>
        <v>0</v>
      </c>
      <c r="L883" s="2683">
        <f>GM817</f>
        <v>0</v>
      </c>
      <c r="M883" s="2683">
        <f>GN817</f>
        <v>0</v>
      </c>
      <c r="N883" s="2683">
        <f>GO817</f>
        <v>0</v>
      </c>
      <c r="O883" s="2683">
        <f>GP817</f>
        <v>0</v>
      </c>
      <c r="P883" s="2683">
        <f t="shared" si="377"/>
        <v>0</v>
      </c>
      <c r="S883" s="2607"/>
      <c r="T883" s="2607"/>
      <c r="U883" s="2607"/>
      <c r="V883" s="2607"/>
      <c r="W883" s="2607"/>
      <c r="X883" s="2408"/>
      <c r="AA883" s="2408"/>
      <c r="AB883" s="512"/>
      <c r="AC883" s="2408"/>
      <c r="AF883" s="2408"/>
      <c r="AG883" s="512"/>
      <c r="AH883" s="2408"/>
      <c r="AK883" s="2408"/>
      <c r="AL883" s="512"/>
      <c r="AM883" s="2408"/>
      <c r="AP883" s="2408"/>
      <c r="AQ883" s="512"/>
      <c r="AR883" s="513"/>
      <c r="AS883" s="513"/>
      <c r="AT883" s="513"/>
      <c r="AU883" s="513"/>
      <c r="AV883" s="513"/>
      <c r="AW883" s="513"/>
      <c r="AX883" s="2618"/>
      <c r="AY883" s="2408"/>
      <c r="BB883" s="513"/>
      <c r="BC883" s="2618"/>
      <c r="BD883" s="2408"/>
      <c r="JW883" s="2613"/>
      <c r="KB883" s="2613"/>
      <c r="KC883" s="2613"/>
      <c r="KD883" s="2613"/>
      <c r="KE883" s="2613"/>
      <c r="KF883" s="2613"/>
      <c r="KG883" s="2613"/>
      <c r="KH883" s="2613"/>
      <c r="KI883" s="2613"/>
      <c r="KJ883" s="2613"/>
      <c r="KK883" s="2613"/>
      <c r="KL883" s="2613"/>
      <c r="KM883" s="2613"/>
      <c r="KN883" s="2613"/>
      <c r="KO883" s="2613"/>
      <c r="KP883" s="2613"/>
      <c r="KQ883" s="2613"/>
      <c r="KR883" s="2613"/>
      <c r="KS883" s="2613"/>
      <c r="KT883" s="2613"/>
      <c r="KU883" s="2613"/>
      <c r="KV883" s="2613"/>
      <c r="KW883" s="2613"/>
      <c r="KX883" s="2613"/>
      <c r="KY883" s="2613"/>
      <c r="KZ883" s="2613"/>
      <c r="LA883" s="2613"/>
      <c r="LB883" s="2613"/>
      <c r="LC883" s="2613"/>
      <c r="LD883" s="2613"/>
      <c r="LE883" s="2613"/>
      <c r="LF883" s="2613"/>
      <c r="LG883" s="2613"/>
      <c r="LH883" s="2613"/>
      <c r="LI883" s="2613"/>
      <c r="LJ883" s="2613"/>
      <c r="LK883" s="2613"/>
      <c r="LL883" s="2613"/>
      <c r="LM883" s="2613"/>
      <c r="LN883" s="2613"/>
      <c r="LO883" s="2613"/>
      <c r="LP883" s="2613"/>
      <c r="LQ883" s="2613"/>
    </row>
    <row r="884" spans="1:329" ht="14.25" customHeight="1">
      <c r="A884" s="2654"/>
      <c r="B884" s="2654"/>
      <c r="C884" s="2607"/>
      <c r="D884" s="2607"/>
      <c r="E884" s="2654"/>
      <c r="F884" s="2408"/>
      <c r="H884" s="2654" t="s">
        <v>30</v>
      </c>
      <c r="I884" s="512"/>
      <c r="K884" s="2683">
        <f>SUM(K882:K883)+GQ817</f>
        <v>0</v>
      </c>
      <c r="L884" s="2683">
        <f>SUM(L882:L883)+GR817</f>
        <v>18</v>
      </c>
      <c r="M884" s="2683">
        <f>SUM(M882:M883)+GS817</f>
        <v>106</v>
      </c>
      <c r="N884" s="2683">
        <f>SUM(N882:N883)+GT817</f>
        <v>76</v>
      </c>
      <c r="O884" s="2683">
        <f>SUM(O882:O883)+GU817</f>
        <v>0</v>
      </c>
      <c r="P884" s="2683">
        <f t="shared" si="377"/>
        <v>200</v>
      </c>
      <c r="S884" s="2607"/>
      <c r="T884" s="2607"/>
      <c r="U884" s="2607"/>
      <c r="V884" s="2607"/>
      <c r="W884" s="2607"/>
      <c r="X884" s="2408"/>
      <c r="AA884" s="2408"/>
      <c r="AB884" s="512"/>
      <c r="AC884" s="2408"/>
      <c r="AF884" s="2408"/>
      <c r="AG884" s="512"/>
      <c r="AH884" s="2408"/>
      <c r="AK884" s="2408"/>
      <c r="AL884" s="512"/>
      <c r="AM884" s="2408"/>
      <c r="AP884" s="2408"/>
      <c r="AQ884" s="512"/>
      <c r="AR884" s="513"/>
      <c r="AS884" s="513"/>
      <c r="AT884" s="513"/>
      <c r="AU884" s="513"/>
      <c r="AV884" s="513"/>
      <c r="AW884" s="513"/>
      <c r="AX884" s="512"/>
      <c r="AY884" s="2408"/>
      <c r="BB884" s="513"/>
      <c r="BC884" s="512"/>
      <c r="BD884" s="2408"/>
      <c r="JW884" s="2613"/>
      <c r="KB884" s="2613"/>
      <c r="KC884" s="2613"/>
      <c r="KD884" s="2613"/>
      <c r="KE884" s="2613"/>
      <c r="KF884" s="2613"/>
      <c r="KG884" s="2613"/>
      <c r="KH884" s="2613"/>
      <c r="KI884" s="2613"/>
      <c r="KJ884" s="2613"/>
      <c r="KK884" s="2613"/>
      <c r="KL884" s="2613"/>
      <c r="KM884" s="2613"/>
      <c r="KN884" s="2613"/>
      <c r="KO884" s="2613"/>
      <c r="KP884" s="2613"/>
      <c r="KQ884" s="2613"/>
      <c r="KR884" s="2613"/>
      <c r="KS884" s="2613"/>
      <c r="KT884" s="2613"/>
      <c r="KU884" s="2613"/>
      <c r="KV884" s="2613"/>
      <c r="KW884" s="2613"/>
      <c r="KX884" s="2613"/>
      <c r="KY884" s="2613"/>
      <c r="KZ884" s="2613"/>
      <c r="LA884" s="2613"/>
      <c r="LB884" s="2613"/>
      <c r="LC884" s="2613"/>
      <c r="LD884" s="2613"/>
      <c r="LE884" s="2613"/>
      <c r="LF884" s="2613"/>
      <c r="LG884" s="2613"/>
      <c r="LH884" s="2613"/>
      <c r="LI884" s="2613"/>
      <c r="LJ884" s="2613"/>
      <c r="LK884" s="2613"/>
      <c r="LL884" s="2613"/>
      <c r="LM884" s="2613"/>
      <c r="LN884" s="2613"/>
      <c r="LO884" s="2613"/>
      <c r="LP884" s="2613"/>
      <c r="LQ884" s="2613"/>
    </row>
    <row r="885" spans="1:329" ht="14.25" customHeight="1">
      <c r="A885" s="2654"/>
      <c r="B885" s="2654"/>
      <c r="C885" s="2607"/>
      <c r="D885" s="2607"/>
      <c r="E885" s="2654" t="s">
        <v>2087</v>
      </c>
      <c r="F885" s="2408"/>
      <c r="H885" s="2654" t="s">
        <v>1404</v>
      </c>
      <c r="I885" s="512"/>
      <c r="K885" s="2683">
        <f>GV817</f>
        <v>0</v>
      </c>
      <c r="L885" s="2683">
        <f>GW817</f>
        <v>0</v>
      </c>
      <c r="M885" s="2683">
        <f>GX817</f>
        <v>0</v>
      </c>
      <c r="N885" s="2683">
        <f>GY817</f>
        <v>0</v>
      </c>
      <c r="O885" s="2683">
        <f>GZ817</f>
        <v>0</v>
      </c>
      <c r="P885" s="2683">
        <f t="shared" si="377"/>
        <v>0</v>
      </c>
      <c r="S885" s="2607"/>
      <c r="T885" s="2607"/>
      <c r="U885" s="2607"/>
      <c r="V885" s="2607"/>
      <c r="W885" s="2607"/>
      <c r="X885" s="2408"/>
      <c r="AA885" s="2408"/>
      <c r="AB885" s="512"/>
      <c r="AC885" s="2408"/>
      <c r="AF885" s="2408"/>
      <c r="AG885" s="512"/>
      <c r="AH885" s="2408"/>
      <c r="AK885" s="2408"/>
      <c r="AL885" s="512"/>
      <c r="AM885" s="2408"/>
      <c r="AP885" s="2408"/>
      <c r="AQ885" s="512"/>
      <c r="AR885" s="513"/>
      <c r="AS885" s="513"/>
      <c r="AT885" s="513"/>
      <c r="AU885" s="513"/>
      <c r="AV885" s="513"/>
      <c r="AW885" s="513"/>
      <c r="BB885" s="513"/>
    </row>
    <row r="886" spans="1:329" ht="14.25" customHeight="1">
      <c r="A886" s="2654"/>
      <c r="B886" s="2654"/>
      <c r="C886" s="2607"/>
      <c r="D886" s="2607"/>
      <c r="E886" s="2654"/>
      <c r="F886" s="2408"/>
      <c r="H886" s="2654" t="s">
        <v>298</v>
      </c>
      <c r="I886" s="512"/>
      <c r="K886" s="2683">
        <f>HA817</f>
        <v>0</v>
      </c>
      <c r="L886" s="2683">
        <f>HB817</f>
        <v>0</v>
      </c>
      <c r="M886" s="2683">
        <f>HC817</f>
        <v>0</v>
      </c>
      <c r="N886" s="2683">
        <f>HD817</f>
        <v>0</v>
      </c>
      <c r="O886" s="2683">
        <f>HE817</f>
        <v>0</v>
      </c>
      <c r="P886" s="2683">
        <f t="shared" si="377"/>
        <v>0</v>
      </c>
      <c r="S886" s="2607"/>
      <c r="T886" s="2607"/>
      <c r="U886" s="2607"/>
      <c r="V886" s="2607"/>
      <c r="W886" s="2607"/>
      <c r="X886" s="2408"/>
      <c r="AA886" s="2408"/>
      <c r="AB886" s="512"/>
      <c r="AC886" s="2408"/>
      <c r="AF886" s="2408"/>
      <c r="AG886" s="512"/>
      <c r="AH886" s="2408"/>
      <c r="AK886" s="2408"/>
      <c r="AL886" s="512"/>
      <c r="AM886" s="2408"/>
      <c r="AP886" s="2408"/>
      <c r="AQ886" s="512"/>
      <c r="AR886" s="513"/>
      <c r="AS886" s="513"/>
      <c r="AT886" s="513"/>
      <c r="AU886" s="513"/>
      <c r="AV886" s="513"/>
      <c r="AW886" s="513"/>
      <c r="AX886" s="2618"/>
      <c r="AY886" s="2408"/>
      <c r="BB886" s="513"/>
      <c r="BC886" s="2618"/>
      <c r="BD886" s="2408"/>
      <c r="JW886" s="2613"/>
      <c r="KB886" s="2613"/>
      <c r="KC886" s="2613"/>
      <c r="KD886" s="2613"/>
      <c r="KE886" s="2613"/>
      <c r="KF886" s="2613"/>
      <c r="KG886" s="2613"/>
      <c r="KH886" s="2613"/>
      <c r="KI886" s="2613"/>
      <c r="KJ886" s="2613"/>
      <c r="KK886" s="2613"/>
      <c r="KL886" s="2613"/>
      <c r="KM886" s="2613"/>
      <c r="KN886" s="2613"/>
      <c r="KO886" s="2613"/>
      <c r="KP886" s="2613"/>
      <c r="KQ886" s="2613"/>
      <c r="KR886" s="2613"/>
      <c r="KS886" s="2613"/>
      <c r="KT886" s="2613"/>
      <c r="KU886" s="2613"/>
      <c r="KV886" s="2613"/>
      <c r="KW886" s="2613"/>
      <c r="KX886" s="2613"/>
      <c r="KY886" s="2613"/>
      <c r="KZ886" s="2613"/>
      <c r="LA886" s="2613"/>
      <c r="LB886" s="2613"/>
      <c r="LC886" s="2613"/>
      <c r="LD886" s="2613"/>
      <c r="LE886" s="2613"/>
      <c r="LF886" s="2613"/>
      <c r="LG886" s="2613"/>
      <c r="LH886" s="2613"/>
      <c r="LI886" s="2613"/>
      <c r="LJ886" s="2613"/>
      <c r="LK886" s="2613"/>
      <c r="LL886" s="2613"/>
      <c r="LM886" s="2613"/>
      <c r="LN886" s="2613"/>
      <c r="LO886" s="2613"/>
      <c r="LP886" s="2613"/>
      <c r="LQ886" s="2613"/>
    </row>
    <row r="887" spans="1:329" ht="14.25" customHeight="1">
      <c r="A887" s="2654"/>
      <c r="B887" s="2654"/>
      <c r="C887" s="2607"/>
      <c r="D887" s="2607"/>
      <c r="E887" s="2654"/>
      <c r="F887" s="2408"/>
      <c r="H887" s="2654" t="s">
        <v>30</v>
      </c>
      <c r="I887" s="512"/>
      <c r="K887" s="2683">
        <f>SUM(K885:K886)+HF817</f>
        <v>0</v>
      </c>
      <c r="L887" s="2683">
        <f>SUM(L885:L886)+HG817</f>
        <v>0</v>
      </c>
      <c r="M887" s="2683">
        <f>SUM(M885:M886)+HH817</f>
        <v>0</v>
      </c>
      <c r="N887" s="2683">
        <f>SUM(N885:N886)+HI817</f>
        <v>0</v>
      </c>
      <c r="O887" s="2683">
        <f>SUM(O885:O886)+HJ817</f>
        <v>0</v>
      </c>
      <c r="P887" s="2683">
        <f t="shared" si="377"/>
        <v>0</v>
      </c>
      <c r="S887" s="2607"/>
      <c r="T887" s="2607"/>
      <c r="U887" s="2607"/>
      <c r="V887" s="2607"/>
      <c r="W887" s="2607"/>
      <c r="X887" s="2408"/>
      <c r="AA887" s="2408"/>
      <c r="AB887" s="512"/>
      <c r="AC887" s="2408"/>
      <c r="AF887" s="2408"/>
      <c r="AG887" s="512"/>
      <c r="AH887" s="2408"/>
      <c r="AK887" s="2408"/>
      <c r="AL887" s="512"/>
      <c r="AM887" s="2408"/>
      <c r="AP887" s="2408"/>
      <c r="AQ887" s="512"/>
      <c r="AR887" s="513"/>
      <c r="AS887" s="513"/>
      <c r="AT887" s="513"/>
      <c r="AU887" s="513"/>
      <c r="AV887" s="513"/>
      <c r="AW887" s="513"/>
      <c r="AX887" s="512"/>
      <c r="AY887" s="2408"/>
      <c r="BB887" s="513"/>
      <c r="BC887" s="512"/>
      <c r="BD887" s="2408"/>
      <c r="JW887" s="2613"/>
      <c r="KB887" s="2613"/>
      <c r="KC887" s="2613"/>
      <c r="KD887" s="2613"/>
      <c r="KE887" s="2613"/>
      <c r="KF887" s="2613"/>
      <c r="KG887" s="2613"/>
      <c r="KH887" s="2613"/>
      <c r="KI887" s="2613"/>
      <c r="KJ887" s="2613"/>
      <c r="KK887" s="2613"/>
      <c r="KL887" s="2613"/>
      <c r="KM887" s="2613"/>
      <c r="KN887" s="2613"/>
      <c r="KO887" s="2613"/>
      <c r="KP887" s="2613"/>
      <c r="KQ887" s="2613"/>
      <c r="KR887" s="2613"/>
      <c r="KS887" s="2613"/>
      <c r="KT887" s="2613"/>
      <c r="KU887" s="2613"/>
      <c r="KV887" s="2613"/>
      <c r="KW887" s="2613"/>
      <c r="KX887" s="2613"/>
      <c r="KY887" s="2613"/>
      <c r="KZ887" s="2613"/>
      <c r="LA887" s="2613"/>
      <c r="LB887" s="2613"/>
      <c r="LC887" s="2613"/>
      <c r="LD887" s="2613"/>
      <c r="LE887" s="2613"/>
      <c r="LF887" s="2613"/>
      <c r="LG887" s="2613"/>
      <c r="LH887" s="2613"/>
      <c r="LI887" s="2613"/>
      <c r="LJ887" s="2613"/>
      <c r="LK887" s="2613"/>
      <c r="LL887" s="2613"/>
      <c r="LM887" s="2613"/>
      <c r="LN887" s="2613"/>
      <c r="LO887" s="2613"/>
      <c r="LP887" s="2613"/>
      <c r="LQ887" s="2613"/>
    </row>
    <row r="888" spans="1:329" ht="14.25" customHeight="1">
      <c r="A888" s="2654"/>
      <c r="B888" s="2654"/>
      <c r="C888" s="2359"/>
      <c r="D888" s="2408"/>
      <c r="E888" s="2359" t="s">
        <v>1391</v>
      </c>
      <c r="F888" s="2359"/>
      <c r="H888" s="2654" t="s">
        <v>1404</v>
      </c>
      <c r="I888" s="512"/>
      <c r="K888" s="2683">
        <f>HK817</f>
        <v>0</v>
      </c>
      <c r="L888" s="2683">
        <f>HL817</f>
        <v>0</v>
      </c>
      <c r="M888" s="2683">
        <f>HM817</f>
        <v>0</v>
      </c>
      <c r="N888" s="2683">
        <f>HN817</f>
        <v>0</v>
      </c>
      <c r="O888" s="2683">
        <f>HO817</f>
        <v>0</v>
      </c>
      <c r="P888" s="2683">
        <f t="shared" si="377"/>
        <v>0</v>
      </c>
      <c r="S888" s="2607"/>
      <c r="T888" s="2607"/>
      <c r="U888" s="2607"/>
      <c r="V888" s="2607"/>
      <c r="W888" s="2607"/>
      <c r="X888" s="2408"/>
      <c r="AA888" s="2408"/>
      <c r="AB888" s="512"/>
      <c r="AC888" s="2408"/>
      <c r="AF888" s="2408"/>
      <c r="AG888" s="512"/>
      <c r="AH888" s="2408"/>
      <c r="AK888" s="2408"/>
      <c r="AL888" s="512"/>
      <c r="AM888" s="2408"/>
      <c r="AP888" s="2408"/>
      <c r="AQ888" s="512"/>
      <c r="AR888" s="513"/>
      <c r="AS888" s="513"/>
      <c r="AT888" s="513"/>
      <c r="AU888" s="513"/>
      <c r="AV888" s="513"/>
      <c r="AW888" s="513"/>
      <c r="BB888" s="513"/>
    </row>
    <row r="889" spans="1:329" ht="14.25" customHeight="1">
      <c r="A889" s="2654"/>
      <c r="B889" s="2654"/>
      <c r="C889" s="2359"/>
      <c r="D889" s="2408"/>
      <c r="E889" s="2359"/>
      <c r="F889" s="2359"/>
      <c r="H889" s="2654" t="s">
        <v>298</v>
      </c>
      <c r="I889" s="512"/>
      <c r="K889" s="2683">
        <f>HP817</f>
        <v>0</v>
      </c>
      <c r="L889" s="2683">
        <f>HQ817</f>
        <v>0</v>
      </c>
      <c r="M889" s="2683">
        <f>HR817</f>
        <v>0</v>
      </c>
      <c r="N889" s="2683">
        <f>HS817</f>
        <v>0</v>
      </c>
      <c r="O889" s="2683">
        <f>HT817</f>
        <v>0</v>
      </c>
      <c r="P889" s="2683">
        <f t="shared" si="377"/>
        <v>0</v>
      </c>
      <c r="S889" s="2607"/>
      <c r="T889" s="2607"/>
      <c r="U889" s="2607"/>
      <c r="V889" s="2607"/>
      <c r="W889" s="2607"/>
      <c r="X889" s="2408"/>
      <c r="AA889" s="2408"/>
      <c r="AB889" s="512"/>
      <c r="AC889" s="2408"/>
      <c r="AF889" s="2408"/>
      <c r="AG889" s="512"/>
      <c r="AH889" s="2408"/>
      <c r="AK889" s="2408"/>
      <c r="AL889" s="512"/>
      <c r="AM889" s="2408"/>
      <c r="AP889" s="2408"/>
      <c r="AQ889" s="512"/>
      <c r="AR889" s="513"/>
      <c r="AS889" s="513"/>
      <c r="AT889" s="513"/>
      <c r="AU889" s="513"/>
      <c r="AV889" s="513"/>
      <c r="AW889" s="513"/>
      <c r="AX889" s="2618"/>
      <c r="AY889" s="2408"/>
      <c r="BB889" s="513"/>
      <c r="BC889" s="2618"/>
      <c r="BD889" s="2408"/>
      <c r="JW889" s="2613"/>
      <c r="KB889" s="2613"/>
      <c r="KC889" s="2613"/>
      <c r="KD889" s="2613"/>
      <c r="KE889" s="2613"/>
      <c r="KF889" s="2613"/>
      <c r="KG889" s="2613"/>
      <c r="KH889" s="2613"/>
      <c r="KI889" s="2613"/>
      <c r="KJ889" s="2613"/>
      <c r="KK889" s="2613"/>
      <c r="KL889" s="2613"/>
      <c r="KM889" s="2613"/>
      <c r="KN889" s="2613"/>
      <c r="KO889" s="2613"/>
      <c r="KP889" s="2613"/>
      <c r="KQ889" s="2613"/>
      <c r="KR889" s="2613"/>
      <c r="KS889" s="2613"/>
      <c r="KT889" s="2613"/>
      <c r="KU889" s="2613"/>
      <c r="KV889" s="2613"/>
      <c r="KW889" s="2613"/>
      <c r="KX889" s="2613"/>
      <c r="KY889" s="2613"/>
      <c r="KZ889" s="2613"/>
      <c r="LA889" s="2613"/>
      <c r="LB889" s="2613"/>
      <c r="LC889" s="2613"/>
      <c r="LD889" s="2613"/>
      <c r="LE889" s="2613"/>
      <c r="LF889" s="2613"/>
      <c r="LG889" s="2613"/>
      <c r="LH889" s="2613"/>
      <c r="LI889" s="2613"/>
      <c r="LJ889" s="2613"/>
      <c r="LK889" s="2613"/>
      <c r="LL889" s="2613"/>
      <c r="LM889" s="2613"/>
      <c r="LN889" s="2613"/>
      <c r="LO889" s="2613"/>
      <c r="LP889" s="2613"/>
      <c r="LQ889" s="2613"/>
    </row>
    <row r="890" spans="1:329" ht="14.25" customHeight="1">
      <c r="A890" s="2654"/>
      <c r="B890" s="2654"/>
      <c r="C890" s="2359"/>
      <c r="D890" s="2408"/>
      <c r="E890" s="2654"/>
      <c r="F890" s="2408"/>
      <c r="H890" s="2654" t="s">
        <v>30</v>
      </c>
      <c r="I890" s="512"/>
      <c r="K890" s="2683">
        <f>SUM(K888:K889)+HU817</f>
        <v>0</v>
      </c>
      <c r="L890" s="2683">
        <f>SUM(L888:L889)+HV817</f>
        <v>0</v>
      </c>
      <c r="M890" s="2683">
        <f>SUM(M888:M889)+HW817</f>
        <v>0</v>
      </c>
      <c r="N890" s="2683">
        <f>SUM(N888:N889)+HX817</f>
        <v>0</v>
      </c>
      <c r="O890" s="2683">
        <f>SUM(O888:O889)+HY817</f>
        <v>0</v>
      </c>
      <c r="P890" s="2683">
        <f t="shared" si="377"/>
        <v>0</v>
      </c>
      <c r="S890" s="2607"/>
      <c r="T890" s="2607"/>
      <c r="U890" s="2607"/>
      <c r="V890" s="2607"/>
      <c r="W890" s="2607"/>
      <c r="X890" s="2408"/>
      <c r="AA890" s="2408"/>
      <c r="AB890" s="512"/>
      <c r="AC890" s="2408"/>
      <c r="AF890" s="2408"/>
      <c r="AG890" s="512"/>
      <c r="AH890" s="2408"/>
      <c r="AK890" s="2408"/>
      <c r="AL890" s="512"/>
      <c r="AM890" s="2408"/>
      <c r="AP890" s="2408"/>
      <c r="AQ890" s="512"/>
      <c r="AR890" s="513"/>
      <c r="AS890" s="513"/>
      <c r="AT890" s="513"/>
      <c r="AU890" s="513"/>
      <c r="AV890" s="513"/>
      <c r="AW890" s="513"/>
      <c r="AX890" s="512"/>
      <c r="AY890" s="2408"/>
      <c r="BB890" s="513"/>
      <c r="BC890" s="512"/>
      <c r="BD890" s="2408"/>
      <c r="JW890" s="2613"/>
      <c r="KB890" s="2613"/>
      <c r="KC890" s="2613"/>
      <c r="KD890" s="2613"/>
      <c r="KE890" s="2613"/>
      <c r="KF890" s="2613"/>
      <c r="KG890" s="2613"/>
      <c r="KH890" s="2613"/>
      <c r="KI890" s="2613"/>
      <c r="KJ890" s="2613"/>
      <c r="KK890" s="2613"/>
      <c r="KL890" s="2613"/>
      <c r="KM890" s="2613"/>
      <c r="KN890" s="2613"/>
      <c r="KO890" s="2613"/>
      <c r="KP890" s="2613"/>
      <c r="KQ890" s="2613"/>
      <c r="KR890" s="2613"/>
      <c r="KS890" s="2613"/>
      <c r="KT890" s="2613"/>
      <c r="KU890" s="2613"/>
      <c r="KV890" s="2613"/>
      <c r="KW890" s="2613"/>
      <c r="KX890" s="2613"/>
      <c r="KY890" s="2613"/>
      <c r="KZ890" s="2613"/>
      <c r="LA890" s="2613"/>
      <c r="LB890" s="2613"/>
      <c r="LC890" s="2613"/>
      <c r="LD890" s="2613"/>
      <c r="LE890" s="2613"/>
      <c r="LF890" s="2613"/>
      <c r="LG890" s="2613"/>
      <c r="LH890" s="2613"/>
      <c r="LI890" s="2613"/>
      <c r="LJ890" s="2613"/>
      <c r="LK890" s="2613"/>
      <c r="LL890" s="2613"/>
      <c r="LM890" s="2613"/>
      <c r="LN890" s="2613"/>
      <c r="LO890" s="2613"/>
      <c r="LP890" s="2613"/>
      <c r="LQ890" s="2613"/>
    </row>
    <row r="891" spans="1:329" ht="14.25" customHeight="1">
      <c r="A891" s="2654"/>
      <c r="B891" s="2654"/>
      <c r="C891" s="2359"/>
      <c r="D891" s="2408"/>
      <c r="E891" s="2654" t="s">
        <v>359</v>
      </c>
      <c r="F891" s="2408"/>
      <c r="G891" s="2505"/>
      <c r="H891" s="2650"/>
      <c r="K891" s="2683">
        <f>'Part VI-Revenues &amp; Expenses'!K122</f>
        <v>0</v>
      </c>
      <c r="L891" s="2683">
        <f>'Part VI-Revenues &amp; Expenses'!L122</f>
        <v>0</v>
      </c>
      <c r="M891" s="2683">
        <f>'Part VI-Revenues &amp; Expenses'!M122</f>
        <v>0</v>
      </c>
      <c r="N891" s="2683">
        <f>'Part VI-Revenues &amp; Expenses'!N122</f>
        <v>0</v>
      </c>
      <c r="O891" s="2683">
        <f>'Part VI-Revenues &amp; Expenses'!O122</f>
        <v>0</v>
      </c>
      <c r="P891" s="2683">
        <f t="shared" si="377"/>
        <v>0</v>
      </c>
      <c r="S891" s="2607"/>
      <c r="T891" s="2607"/>
      <c r="U891" s="2607"/>
      <c r="V891" s="2607"/>
      <c r="W891" s="2607"/>
      <c r="X891" s="2408"/>
      <c r="AA891" s="2408"/>
      <c r="AB891" s="512"/>
      <c r="AC891" s="2408"/>
      <c r="AF891" s="2408"/>
      <c r="AG891" s="512"/>
      <c r="AH891" s="2408"/>
      <c r="AK891" s="2408"/>
      <c r="AL891" s="512"/>
      <c r="AM891" s="2408"/>
      <c r="AP891" s="2408"/>
      <c r="AQ891" s="512"/>
      <c r="AR891" s="513"/>
      <c r="AS891" s="513"/>
      <c r="AT891" s="513"/>
      <c r="AU891" s="513"/>
      <c r="AV891" s="513"/>
      <c r="AW891" s="513"/>
      <c r="AX891" s="2618"/>
      <c r="AY891" s="2408"/>
      <c r="BB891" s="513"/>
      <c r="BC891" s="2618"/>
      <c r="BD891" s="2408"/>
      <c r="JW891" s="2613"/>
      <c r="KB891" s="2613"/>
      <c r="KC891" s="2613"/>
      <c r="KD891" s="2613"/>
      <c r="KE891" s="2613"/>
      <c r="KF891" s="2613"/>
      <c r="KG891" s="2613"/>
      <c r="KH891" s="2613"/>
      <c r="KI891" s="2613"/>
      <c r="KJ891" s="2613"/>
      <c r="KK891" s="2613"/>
      <c r="KL891" s="2613"/>
      <c r="KM891" s="2613"/>
      <c r="KN891" s="2613"/>
      <c r="KO891" s="2613"/>
      <c r="KP891" s="2613"/>
      <c r="KQ891" s="2613"/>
      <c r="KR891" s="2613"/>
      <c r="KS891" s="2613"/>
      <c r="KT891" s="2613"/>
      <c r="KU891" s="2613"/>
      <c r="KV891" s="2613"/>
      <c r="KW891" s="2613"/>
      <c r="KX891" s="2613"/>
      <c r="KY891" s="2613"/>
      <c r="KZ891" s="2613"/>
      <c r="LA891" s="2613"/>
      <c r="LB891" s="2613"/>
      <c r="LC891" s="2613"/>
      <c r="LD891" s="2613"/>
      <c r="LE891" s="2613"/>
      <c r="LF891" s="2613"/>
      <c r="LG891" s="2613"/>
      <c r="LH891" s="2613"/>
      <c r="LI891" s="2613"/>
      <c r="LJ891" s="2613"/>
      <c r="LK891" s="2613"/>
      <c r="LL891" s="2613"/>
      <c r="LM891" s="2613"/>
      <c r="LN891" s="2613"/>
      <c r="LO891" s="2613"/>
      <c r="LP891" s="2613"/>
      <c r="LQ891" s="2613"/>
    </row>
    <row r="892" spans="1:329" ht="14.25" customHeight="1">
      <c r="A892" s="2650" t="str">
        <f>IF(AND('Part IV-A-Uses of Funds'!$T$172="Yes",'Part IX Scoring Criteria'!$O$411&gt;0,P892&lt;1),"SHOW HISTORIC UNITS HERE &gt;&gt;&gt;&gt;","")</f>
        <v/>
      </c>
      <c r="B892" s="2650"/>
      <c r="C892" s="2650"/>
      <c r="D892" s="2650"/>
      <c r="E892" s="2654" t="s">
        <v>6819</v>
      </c>
      <c r="F892" s="2408"/>
      <c r="G892" s="2505"/>
      <c r="H892" s="2650"/>
      <c r="K892" s="2683">
        <f>'Part VI-Revenues &amp; Expenses'!K123</f>
        <v>0</v>
      </c>
      <c r="L892" s="2683">
        <f>'Part VI-Revenues &amp; Expenses'!L123</f>
        <v>0</v>
      </c>
      <c r="M892" s="2683">
        <f>'Part VI-Revenues &amp; Expenses'!M123</f>
        <v>0</v>
      </c>
      <c r="N892" s="2683">
        <f>'Part VI-Revenues &amp; Expenses'!N123</f>
        <v>0</v>
      </c>
      <c r="O892" s="2683">
        <f>'Part VI-Revenues &amp; Expenses'!O123</f>
        <v>0</v>
      </c>
      <c r="P892" s="2683">
        <f t="shared" si="377"/>
        <v>0</v>
      </c>
      <c r="S892" s="2607"/>
      <c r="T892" s="2607"/>
      <c r="U892" s="2607"/>
      <c r="V892" s="2607"/>
      <c r="W892" s="2607"/>
      <c r="X892" s="2408"/>
      <c r="AA892" s="2408"/>
      <c r="AB892" s="512"/>
      <c r="AC892" s="2408"/>
      <c r="AF892" s="2408"/>
      <c r="AG892" s="512"/>
      <c r="AH892" s="2408"/>
      <c r="AK892" s="2408"/>
      <c r="AL892" s="512"/>
      <c r="AM892" s="2408"/>
      <c r="AP892" s="2408"/>
      <c r="AQ892" s="512"/>
      <c r="AR892" s="513"/>
      <c r="AS892" s="513"/>
      <c r="AT892" s="513"/>
      <c r="AU892" s="513"/>
      <c r="AV892" s="513"/>
      <c r="AW892" s="513"/>
      <c r="AX892" s="2618"/>
      <c r="AY892" s="2408"/>
      <c r="BB892" s="513"/>
      <c r="BC892" s="2618"/>
      <c r="BD892" s="2408"/>
      <c r="JW892" s="2613"/>
      <c r="KB892" s="2613"/>
      <c r="KC892" s="2613"/>
      <c r="KD892" s="2613"/>
      <c r="KE892" s="2613"/>
      <c r="KF892" s="2613"/>
      <c r="KG892" s="2613"/>
      <c r="KH892" s="2613"/>
      <c r="KI892" s="2613"/>
      <c r="KJ892" s="2613"/>
      <c r="KK892" s="2613"/>
      <c r="KL892" s="2613"/>
      <c r="KM892" s="2613"/>
      <c r="KN892" s="2613"/>
      <c r="KO892" s="2613"/>
      <c r="KP892" s="2613"/>
      <c r="KQ892" s="2613"/>
      <c r="KR892" s="2613"/>
      <c r="KS892" s="2613"/>
      <c r="KT892" s="2613"/>
      <c r="KU892" s="2613"/>
      <c r="KV892" s="2613"/>
      <c r="KW892" s="2613"/>
      <c r="KX892" s="2613"/>
      <c r="KY892" s="2613"/>
      <c r="KZ892" s="2613"/>
      <c r="LA892" s="2613"/>
      <c r="LB892" s="2613"/>
      <c r="LC892" s="2613"/>
      <c r="LD892" s="2613"/>
      <c r="LE892" s="2613"/>
      <c r="LF892" s="2613"/>
      <c r="LG892" s="2613"/>
      <c r="LH892" s="2613"/>
      <c r="LI892" s="2613"/>
      <c r="LJ892" s="2613"/>
      <c r="LK892" s="2613"/>
      <c r="LL892" s="2613"/>
      <c r="LM892" s="2613"/>
      <c r="LN892" s="2613"/>
      <c r="LO892" s="2613"/>
      <c r="LP892" s="2613"/>
      <c r="LQ892" s="2613"/>
    </row>
    <row r="893" spans="1:329" ht="9" customHeight="1">
      <c r="A893" s="2690"/>
      <c r="B893" s="2690"/>
      <c r="C893" s="2690"/>
      <c r="D893" s="2690"/>
      <c r="E893" s="2654"/>
      <c r="F893" s="2408"/>
      <c r="G893" s="2505"/>
      <c r="H893" s="2650"/>
      <c r="K893" s="512"/>
      <c r="L893" s="512"/>
      <c r="M893" s="512"/>
      <c r="N893" s="512"/>
      <c r="O893" s="512"/>
      <c r="P893" s="512"/>
      <c r="S893" s="2607"/>
      <c r="T893" s="2607"/>
      <c r="U893" s="2607"/>
      <c r="V893" s="2607"/>
      <c r="W893" s="2607"/>
      <c r="X893" s="2408"/>
      <c r="AA893" s="2408"/>
      <c r="AB893" s="512"/>
      <c r="AC893" s="2408"/>
      <c r="AF893" s="2408"/>
      <c r="AG893" s="512"/>
      <c r="AH893" s="2408"/>
      <c r="AK893" s="2408"/>
      <c r="AL893" s="512"/>
      <c r="AM893" s="2408"/>
      <c r="AP893" s="2408"/>
      <c r="AQ893" s="512"/>
      <c r="AR893" s="513"/>
      <c r="AS893" s="513"/>
      <c r="AT893" s="513"/>
      <c r="AU893" s="513"/>
      <c r="AV893" s="513"/>
      <c r="AW893" s="513"/>
      <c r="AX893" s="2618"/>
      <c r="AY893" s="2408"/>
      <c r="BB893" s="513"/>
      <c r="BC893" s="2618"/>
      <c r="BD893" s="2408"/>
      <c r="JW893" s="2613"/>
      <c r="KB893" s="2613"/>
      <c r="KC893" s="2613"/>
      <c r="KD893" s="2613"/>
      <c r="KE893" s="2613"/>
      <c r="KF893" s="2613"/>
      <c r="KG893" s="2613"/>
      <c r="KH893" s="2613"/>
      <c r="KI893" s="2613"/>
      <c r="KJ893" s="2613"/>
      <c r="KK893" s="2613"/>
      <c r="KL893" s="2613"/>
      <c r="KM893" s="2613"/>
      <c r="KN893" s="2613"/>
      <c r="KO893" s="2613"/>
      <c r="KP893" s="2613"/>
      <c r="KQ893" s="2613"/>
      <c r="KR893" s="2613"/>
      <c r="KS893" s="2613"/>
      <c r="KT893" s="2613"/>
      <c r="KU893" s="2613"/>
      <c r="KV893" s="2613"/>
      <c r="KW893" s="2613"/>
      <c r="KX893" s="2613"/>
      <c r="KY893" s="2613"/>
      <c r="KZ893" s="2613"/>
      <c r="LA893" s="2613"/>
      <c r="LB893" s="2613"/>
      <c r="LC893" s="2613"/>
      <c r="LD893" s="2613"/>
      <c r="LE893" s="2613"/>
      <c r="LF893" s="2613"/>
      <c r="LG893" s="2613"/>
      <c r="LH893" s="2613"/>
      <c r="LI893" s="2613"/>
      <c r="LJ893" s="2613"/>
      <c r="LK893" s="2613"/>
      <c r="LL893" s="2613"/>
      <c r="LM893" s="2613"/>
      <c r="LN893" s="2613"/>
      <c r="LO893" s="2613"/>
      <c r="LP893" s="2613"/>
      <c r="LQ893" s="2613"/>
    </row>
    <row r="894" spans="1:329" ht="14.25" customHeight="1">
      <c r="A894" s="2690"/>
      <c r="B894" s="2690"/>
      <c r="C894" s="2690"/>
      <c r="D894" s="2690"/>
      <c r="E894" s="2654" t="s">
        <v>3251</v>
      </c>
      <c r="F894" s="2408"/>
      <c r="G894" s="2505"/>
      <c r="H894" s="2650"/>
      <c r="K894" s="2683">
        <f>K898+K900+K902+K904+K908+K910+K912+K914</f>
        <v>0</v>
      </c>
      <c r="L894" s="2683">
        <f>L898+L900+L902+L904+L908+L910+L912+L914</f>
        <v>0</v>
      </c>
      <c r="M894" s="2683">
        <f>M898+M900+M902+M904+M908+M910+M912+M914</f>
        <v>0</v>
      </c>
      <c r="N894" s="2683">
        <f>N898+N900+N902+N904+N908+N910+N912+N914</f>
        <v>0</v>
      </c>
      <c r="O894" s="2683">
        <f>O898+O900+O902+O904+O908+O910+O912+O914</f>
        <v>0</v>
      </c>
      <c r="P894" s="2683">
        <f>SUM(K894:O894)</f>
        <v>0</v>
      </c>
      <c r="S894" s="2607"/>
      <c r="T894" s="2607"/>
      <c r="U894" s="2607"/>
      <c r="V894" s="2607"/>
      <c r="W894" s="2607"/>
      <c r="X894" s="2408"/>
      <c r="AA894" s="2408"/>
      <c r="AB894" s="512"/>
      <c r="AC894" s="2408"/>
      <c r="AF894" s="2408"/>
      <c r="AG894" s="512"/>
      <c r="AH894" s="2408"/>
      <c r="AK894" s="2408"/>
      <c r="AL894" s="512"/>
      <c r="AM894" s="2408"/>
      <c r="AP894" s="2408"/>
      <c r="AQ894" s="512"/>
      <c r="AR894" s="513"/>
      <c r="AS894" s="513"/>
      <c r="AT894" s="513"/>
      <c r="AU894" s="513"/>
      <c r="AV894" s="513"/>
      <c r="AW894" s="513"/>
      <c r="AX894" s="2618"/>
      <c r="AY894" s="2408"/>
      <c r="BB894" s="513"/>
      <c r="BC894" s="2618"/>
      <c r="BD894" s="2408"/>
      <c r="JW894" s="2613"/>
      <c r="KB894" s="2613"/>
      <c r="KC894" s="2613"/>
      <c r="KD894" s="2613"/>
      <c r="KE894" s="2613"/>
      <c r="KF894" s="2613"/>
      <c r="KG894" s="2613"/>
      <c r="KH894" s="2613"/>
      <c r="KI894" s="2613"/>
      <c r="KJ894" s="2613"/>
      <c r="KK894" s="2613"/>
      <c r="KL894" s="2613"/>
      <c r="KM894" s="2613"/>
      <c r="KN894" s="2613"/>
      <c r="KO894" s="2613"/>
      <c r="KP894" s="2613"/>
      <c r="KQ894" s="2613"/>
      <c r="KR894" s="2613"/>
      <c r="KS894" s="2613"/>
      <c r="KT894" s="2613"/>
      <c r="KU894" s="2613"/>
      <c r="KV894" s="2613"/>
      <c r="KW894" s="2613"/>
      <c r="KX894" s="2613"/>
      <c r="KY894" s="2613"/>
      <c r="KZ894" s="2613"/>
      <c r="LA894" s="2613"/>
      <c r="LB894" s="2613"/>
      <c r="LC894" s="2613"/>
      <c r="LD894" s="2613"/>
      <c r="LE894" s="2613"/>
      <c r="LF894" s="2613"/>
      <c r="LG894" s="2613"/>
      <c r="LH894" s="2613"/>
      <c r="LI894" s="2613"/>
      <c r="LJ894" s="2613"/>
      <c r="LK894" s="2613"/>
      <c r="LL894" s="2613"/>
      <c r="LM894" s="2613"/>
      <c r="LN894" s="2613"/>
      <c r="LO894" s="2613"/>
      <c r="LP894" s="2613"/>
      <c r="LQ894" s="2613"/>
    </row>
    <row r="895" spans="1:329" ht="9.75" customHeight="1">
      <c r="D895" s="2408"/>
      <c r="E895" s="2654"/>
      <c r="F895" s="2408"/>
      <c r="G895" s="2505"/>
      <c r="H895" s="2650"/>
      <c r="K895" s="2688"/>
      <c r="L895" s="2688"/>
      <c r="M895" s="2688"/>
      <c r="N895" s="2688"/>
      <c r="O895" s="2688"/>
      <c r="P895" s="2688"/>
      <c r="S895" s="2509" t="str">
        <f>C896</f>
        <v>Building Type: (for Utility Allowance, Monitoring Fees and other purposes)</v>
      </c>
      <c r="U895" s="2489"/>
      <c r="X895" s="2408"/>
      <c r="AA895" s="2408"/>
      <c r="AB895" s="512"/>
      <c r="AC895" s="2408"/>
      <c r="AF895" s="2408"/>
      <c r="AG895" s="512"/>
      <c r="AH895" s="2408"/>
      <c r="AK895" s="2408"/>
      <c r="AL895" s="512"/>
      <c r="AM895" s="2408"/>
      <c r="AP895" s="2408"/>
      <c r="AQ895" s="512"/>
      <c r="AR895" s="2408"/>
      <c r="AS895" s="2408"/>
      <c r="AT895" s="2408"/>
      <c r="AU895" s="2408"/>
      <c r="AV895" s="2408"/>
      <c r="AW895" s="2408"/>
      <c r="AY895" s="2408"/>
      <c r="BB895" s="2408"/>
      <c r="BD895" s="2408"/>
      <c r="JW895" s="2613"/>
      <c r="KB895" s="2613"/>
      <c r="KC895" s="2613"/>
      <c r="KD895" s="2613"/>
      <c r="KE895" s="2613"/>
      <c r="KF895" s="2613"/>
      <c r="KG895" s="2613"/>
      <c r="KH895" s="2613"/>
      <c r="KI895" s="2613"/>
      <c r="KJ895" s="2613"/>
      <c r="KK895" s="2613"/>
      <c r="KL895" s="2613"/>
      <c r="KM895" s="2613"/>
      <c r="KN895" s="2613"/>
      <c r="KO895" s="2613"/>
      <c r="KP895" s="2613"/>
      <c r="KQ895" s="2613"/>
      <c r="KR895" s="2613"/>
      <c r="KS895" s="2613"/>
      <c r="KT895" s="2613"/>
      <c r="KU895" s="2613"/>
      <c r="KV895" s="2613"/>
      <c r="KW895" s="2613"/>
      <c r="KX895" s="2613"/>
      <c r="KY895" s="2613"/>
      <c r="KZ895" s="2613"/>
      <c r="LA895" s="2613"/>
      <c r="LB895" s="2613"/>
      <c r="LC895" s="2613"/>
      <c r="LD895" s="2613"/>
      <c r="LE895" s="2613"/>
      <c r="LF895" s="2613"/>
      <c r="LG895" s="2613"/>
      <c r="LH895" s="2613"/>
      <c r="LI895" s="2613"/>
      <c r="LJ895" s="2613"/>
      <c r="LK895" s="2613"/>
      <c r="LL895" s="2613"/>
      <c r="LM895" s="2613"/>
      <c r="LN895" s="2613"/>
      <c r="LO895" s="2613"/>
      <c r="LP895" s="2613"/>
      <c r="LQ895" s="2613"/>
    </row>
    <row r="896" spans="1:329" ht="14.25" customHeight="1">
      <c r="C896" s="2607" t="s">
        <v>6918</v>
      </c>
      <c r="D896" s="2607"/>
      <c r="E896" s="2654" t="s">
        <v>37</v>
      </c>
      <c r="F896" s="2408"/>
      <c r="G896" s="2505"/>
      <c r="H896" s="2650"/>
      <c r="K896" s="2683">
        <f>SUM(K897:K906)</f>
        <v>0</v>
      </c>
      <c r="L896" s="2683">
        <f>SUM(L897:L906)</f>
        <v>18</v>
      </c>
      <c r="M896" s="2683">
        <f t="shared" ref="M896:N896" si="378">SUM(M897:M906)</f>
        <v>106</v>
      </c>
      <c r="N896" s="2683">
        <f t="shared" si="378"/>
        <v>76</v>
      </c>
      <c r="O896" s="2683">
        <f>SUM(O897:O906)</f>
        <v>0</v>
      </c>
      <c r="P896" s="2683">
        <f>SUM(P897:P906)</f>
        <v>200</v>
      </c>
      <c r="S896" s="2607"/>
      <c r="T896" s="2607"/>
      <c r="U896" s="2607"/>
      <c r="V896" s="2607"/>
      <c r="W896" s="2607"/>
      <c r="X896" s="2408"/>
      <c r="AA896" s="2408"/>
      <c r="AB896" s="512"/>
      <c r="AC896" s="2408"/>
      <c r="AF896" s="2408"/>
      <c r="AG896" s="512"/>
      <c r="AH896" s="2408"/>
      <c r="AK896" s="2408"/>
      <c r="AL896" s="512"/>
      <c r="AM896" s="2408"/>
      <c r="AP896" s="2408"/>
      <c r="AQ896" s="512"/>
      <c r="AR896" s="513"/>
      <c r="AS896" s="513"/>
      <c r="AT896" s="513"/>
      <c r="AU896" s="513"/>
      <c r="AV896" s="513"/>
      <c r="AW896" s="513"/>
      <c r="BB896" s="513"/>
    </row>
    <row r="897" spans="3:329" ht="14.25" customHeight="1">
      <c r="C897" s="2607"/>
      <c r="D897" s="2607"/>
      <c r="E897" s="2654"/>
      <c r="F897" s="2408"/>
      <c r="H897" s="2691" t="s">
        <v>2537</v>
      </c>
      <c r="I897" s="2684"/>
      <c r="K897" s="2683">
        <f>JS817</f>
        <v>0</v>
      </c>
      <c r="L897" s="2683">
        <f>JT817</f>
        <v>0</v>
      </c>
      <c r="M897" s="2683">
        <f>JU817</f>
        <v>0</v>
      </c>
      <c r="N897" s="2683">
        <f>JV817</f>
        <v>0</v>
      </c>
      <c r="O897" s="2683">
        <f>JW817</f>
        <v>0</v>
      </c>
      <c r="P897" s="2683">
        <f t="shared" ref="P897:P914" si="379">SUM(K897:O897)</f>
        <v>0</v>
      </c>
      <c r="S897" s="2607"/>
      <c r="T897" s="2607"/>
      <c r="U897" s="2607"/>
      <c r="V897" s="2607"/>
      <c r="W897" s="2607"/>
      <c r="X897" s="2408"/>
      <c r="AA897" s="2408"/>
      <c r="AB897" s="512"/>
      <c r="AC897" s="2408"/>
      <c r="AF897" s="2408"/>
      <c r="AG897" s="512"/>
      <c r="AH897" s="2408"/>
      <c r="AK897" s="2408"/>
      <c r="AL897" s="512"/>
      <c r="AM897" s="2408"/>
      <c r="AP897" s="2408"/>
      <c r="AQ897" s="512"/>
      <c r="AR897" s="513"/>
      <c r="AS897" s="513"/>
      <c r="AT897" s="513"/>
      <c r="AU897" s="513"/>
      <c r="AV897" s="513"/>
      <c r="AW897" s="513"/>
      <c r="BB897" s="513"/>
    </row>
    <row r="898" spans="3:329" ht="14.25" customHeight="1">
      <c r="C898" s="2607"/>
      <c r="D898" s="2607"/>
      <c r="E898" s="2654"/>
      <c r="F898" s="2408"/>
      <c r="H898" s="2691" t="s">
        <v>3251</v>
      </c>
      <c r="I898" s="2684"/>
      <c r="K898" s="2683">
        <f>JX817</f>
        <v>0</v>
      </c>
      <c r="L898" s="2683">
        <f>JY817</f>
        <v>0</v>
      </c>
      <c r="M898" s="2683">
        <f>JZ817</f>
        <v>0</v>
      </c>
      <c r="N898" s="2683">
        <f>KA817</f>
        <v>0</v>
      </c>
      <c r="O898" s="2683">
        <f>KB817</f>
        <v>0</v>
      </c>
      <c r="P898" s="2683">
        <f t="shared" si="379"/>
        <v>0</v>
      </c>
      <c r="S898" s="2607"/>
      <c r="T898" s="2607"/>
      <c r="U898" s="2607"/>
      <c r="V898" s="2607"/>
      <c r="W898" s="2607"/>
      <c r="X898" s="2408"/>
      <c r="AA898" s="2408"/>
      <c r="AB898" s="512"/>
      <c r="AC898" s="2408"/>
      <c r="AF898" s="2408"/>
      <c r="AG898" s="512"/>
      <c r="AH898" s="2408"/>
      <c r="AK898" s="2408"/>
      <c r="AL898" s="512"/>
      <c r="AM898" s="2408"/>
      <c r="AP898" s="2408"/>
      <c r="AQ898" s="512"/>
      <c r="AR898" s="513"/>
      <c r="AS898" s="513"/>
      <c r="AT898" s="513"/>
      <c r="AU898" s="513"/>
      <c r="AV898" s="513"/>
      <c r="AW898" s="513"/>
      <c r="BB898" s="513"/>
    </row>
    <row r="899" spans="3:329" ht="14.25" customHeight="1">
      <c r="C899" s="2607"/>
      <c r="D899" s="2607"/>
      <c r="E899" s="2654"/>
      <c r="F899" s="2408"/>
      <c r="H899" s="2691" t="s">
        <v>2538</v>
      </c>
      <c r="I899" s="2684"/>
      <c r="K899" s="2683">
        <f>KC817</f>
        <v>0</v>
      </c>
      <c r="L899" s="2683">
        <f>KD817</f>
        <v>0</v>
      </c>
      <c r="M899" s="2683">
        <f>KE817</f>
        <v>0</v>
      </c>
      <c r="N899" s="2683">
        <f>KF817</f>
        <v>0</v>
      </c>
      <c r="O899" s="2683">
        <f>KG817</f>
        <v>0</v>
      </c>
      <c r="P899" s="2683">
        <f t="shared" si="379"/>
        <v>0</v>
      </c>
      <c r="S899" s="2607"/>
      <c r="T899" s="2607"/>
      <c r="U899" s="2607"/>
      <c r="V899" s="2607"/>
      <c r="W899" s="2607"/>
      <c r="X899" s="2408"/>
      <c r="AA899" s="2408"/>
      <c r="AB899" s="512"/>
      <c r="AC899" s="2408"/>
      <c r="AF899" s="2408"/>
      <c r="AG899" s="512"/>
      <c r="AH899" s="2408"/>
      <c r="AK899" s="2408"/>
      <c r="AL899" s="512"/>
      <c r="AM899" s="2408"/>
      <c r="AP899" s="2408"/>
      <c r="AQ899" s="512"/>
      <c r="AR899" s="513"/>
      <c r="AS899" s="513"/>
      <c r="AT899" s="513"/>
      <c r="AU899" s="513"/>
      <c r="AV899" s="513"/>
      <c r="AW899" s="513"/>
      <c r="BB899" s="513"/>
    </row>
    <row r="900" spans="3:329" ht="14.25" customHeight="1">
      <c r="C900" s="2607"/>
      <c r="D900" s="2607"/>
      <c r="E900" s="2654"/>
      <c r="F900" s="2408"/>
      <c r="H900" s="2691" t="s">
        <v>3251</v>
      </c>
      <c r="I900" s="2684"/>
      <c r="K900" s="2683">
        <f>KH817</f>
        <v>0</v>
      </c>
      <c r="L900" s="2683">
        <f>KI817</f>
        <v>0</v>
      </c>
      <c r="M900" s="2683">
        <f>KJ817</f>
        <v>0</v>
      </c>
      <c r="N900" s="2683">
        <f>KK817</f>
        <v>0</v>
      </c>
      <c r="O900" s="2683">
        <f>KL817</f>
        <v>0</v>
      </c>
      <c r="P900" s="2683">
        <f t="shared" si="379"/>
        <v>0</v>
      </c>
      <c r="S900" s="2607"/>
      <c r="T900" s="2607"/>
      <c r="U900" s="2607"/>
      <c r="V900" s="2607"/>
      <c r="W900" s="2607"/>
      <c r="X900" s="2408"/>
      <c r="AA900" s="2408"/>
      <c r="AB900" s="512"/>
      <c r="AC900" s="2408"/>
      <c r="AF900" s="2408"/>
      <c r="AG900" s="512"/>
      <c r="AH900" s="2408"/>
      <c r="AK900" s="2408"/>
      <c r="AL900" s="512"/>
      <c r="AM900" s="2408"/>
      <c r="AP900" s="2408"/>
      <c r="AQ900" s="512"/>
      <c r="AR900" s="513"/>
      <c r="AS900" s="513"/>
      <c r="AT900" s="513"/>
      <c r="AU900" s="513"/>
      <c r="AV900" s="513"/>
      <c r="AW900" s="513"/>
      <c r="BB900" s="513"/>
    </row>
    <row r="901" spans="3:329" ht="14.25" customHeight="1">
      <c r="C901" s="2607"/>
      <c r="D901" s="2607"/>
      <c r="E901" s="2654"/>
      <c r="F901" s="2408"/>
      <c r="H901" s="2691" t="s">
        <v>2540</v>
      </c>
      <c r="I901" s="2684"/>
      <c r="K901" s="2683">
        <f>KM817</f>
        <v>0</v>
      </c>
      <c r="L901" s="2683">
        <f>KN817</f>
        <v>0</v>
      </c>
      <c r="M901" s="2683">
        <f>KO817</f>
        <v>0</v>
      </c>
      <c r="N901" s="2683">
        <f>KP817</f>
        <v>0</v>
      </c>
      <c r="O901" s="2683">
        <f>KQ817</f>
        <v>0</v>
      </c>
      <c r="P901" s="2683">
        <f t="shared" si="379"/>
        <v>0</v>
      </c>
      <c r="S901" s="2607"/>
      <c r="T901" s="2607"/>
      <c r="U901" s="2607"/>
      <c r="V901" s="2607"/>
      <c r="W901" s="2607"/>
      <c r="X901" s="2408"/>
      <c r="AA901" s="2408"/>
      <c r="AB901" s="512"/>
      <c r="AC901" s="2408"/>
      <c r="AF901" s="2408"/>
      <c r="AG901" s="512"/>
      <c r="AH901" s="2408"/>
      <c r="AK901" s="2408"/>
      <c r="AL901" s="512"/>
      <c r="AM901" s="2408"/>
      <c r="AP901" s="2408"/>
      <c r="AQ901" s="512"/>
      <c r="AR901" s="513"/>
      <c r="AS901" s="513"/>
      <c r="AT901" s="513"/>
      <c r="AU901" s="513"/>
      <c r="AV901" s="513"/>
      <c r="AW901" s="513"/>
      <c r="BB901" s="513"/>
    </row>
    <row r="902" spans="3:329" ht="14.25" customHeight="1">
      <c r="C902" s="2607"/>
      <c r="D902" s="2607"/>
      <c r="E902" s="2654"/>
      <c r="F902" s="2408"/>
      <c r="H902" s="2691" t="s">
        <v>3251</v>
      </c>
      <c r="I902" s="2684"/>
      <c r="K902" s="2683">
        <f>KR817</f>
        <v>0</v>
      </c>
      <c r="L902" s="2683">
        <f>KS817</f>
        <v>0</v>
      </c>
      <c r="M902" s="2683">
        <f>KT817</f>
        <v>0</v>
      </c>
      <c r="N902" s="2683">
        <f>KU817</f>
        <v>0</v>
      </c>
      <c r="O902" s="2683">
        <f>KV817</f>
        <v>0</v>
      </c>
      <c r="P902" s="2683">
        <f t="shared" si="379"/>
        <v>0</v>
      </c>
      <c r="S902" s="2607"/>
      <c r="T902" s="2607"/>
      <c r="U902" s="2607"/>
      <c r="V902" s="2607"/>
      <c r="W902" s="2607"/>
      <c r="X902" s="2408"/>
      <c r="AA902" s="2408"/>
      <c r="AB902" s="512"/>
      <c r="AC902" s="2408"/>
      <c r="AF902" s="2408"/>
      <c r="AG902" s="512"/>
      <c r="AH902" s="2408"/>
      <c r="AK902" s="2408"/>
      <c r="AL902" s="512"/>
      <c r="AM902" s="2408"/>
      <c r="AP902" s="2408"/>
      <c r="AQ902" s="512"/>
      <c r="AR902" s="513"/>
      <c r="AS902" s="513"/>
      <c r="AT902" s="513"/>
      <c r="AU902" s="513"/>
      <c r="AV902" s="513"/>
      <c r="AW902" s="513"/>
      <c r="BB902" s="513"/>
    </row>
    <row r="903" spans="3:329" ht="14.25" customHeight="1">
      <c r="C903" s="2607"/>
      <c r="D903" s="2607"/>
      <c r="E903" s="2654"/>
      <c r="F903" s="2408"/>
      <c r="H903" s="2691" t="s">
        <v>2539</v>
      </c>
      <c r="I903" s="2684"/>
      <c r="K903" s="2683">
        <f>KW817</f>
        <v>0</v>
      </c>
      <c r="L903" s="2683">
        <f>KX817</f>
        <v>18</v>
      </c>
      <c r="M903" s="2683">
        <f>KY817</f>
        <v>106</v>
      </c>
      <c r="N903" s="2683">
        <f>KZ817</f>
        <v>76</v>
      </c>
      <c r="O903" s="2683">
        <f>LA817</f>
        <v>0</v>
      </c>
      <c r="P903" s="2683">
        <f t="shared" si="379"/>
        <v>200</v>
      </c>
      <c r="S903" s="2607"/>
      <c r="T903" s="2607"/>
      <c r="U903" s="2607"/>
      <c r="V903" s="2607"/>
      <c r="W903" s="2607"/>
      <c r="X903" s="2408"/>
      <c r="AA903" s="2408"/>
      <c r="AB903" s="512"/>
      <c r="AC903" s="2408"/>
      <c r="AF903" s="2408"/>
      <c r="AG903" s="512"/>
      <c r="AH903" s="2408"/>
      <c r="AK903" s="2408"/>
      <c r="AL903" s="512"/>
      <c r="AM903" s="2408"/>
      <c r="AP903" s="2408"/>
      <c r="AQ903" s="512"/>
      <c r="AR903" s="513"/>
      <c r="AS903" s="513"/>
      <c r="AT903" s="513"/>
      <c r="AU903" s="513"/>
      <c r="AV903" s="513"/>
      <c r="AW903" s="513"/>
      <c r="BB903" s="513"/>
    </row>
    <row r="904" spans="3:329" ht="14.25" customHeight="1">
      <c r="C904" s="2607"/>
      <c r="D904" s="2607"/>
      <c r="E904" s="2654"/>
      <c r="F904" s="2408"/>
      <c r="H904" s="2691" t="s">
        <v>3251</v>
      </c>
      <c r="I904" s="2684"/>
      <c r="K904" s="2683">
        <f>LB817</f>
        <v>0</v>
      </c>
      <c r="L904" s="2683">
        <f>LC817</f>
        <v>0</v>
      </c>
      <c r="M904" s="2683">
        <f>LD817</f>
        <v>0</v>
      </c>
      <c r="N904" s="2683">
        <f>LE817</f>
        <v>0</v>
      </c>
      <c r="O904" s="2683">
        <f>LF817</f>
        <v>0</v>
      </c>
      <c r="P904" s="2683">
        <f t="shared" si="379"/>
        <v>0</v>
      </c>
      <c r="S904" s="2607"/>
      <c r="T904" s="2607"/>
      <c r="U904" s="2607"/>
      <c r="V904" s="2607"/>
      <c r="W904" s="2607"/>
      <c r="X904" s="2408"/>
      <c r="AA904" s="2408"/>
      <c r="AB904" s="512"/>
      <c r="AC904" s="2408"/>
      <c r="AF904" s="2408"/>
      <c r="AG904" s="512"/>
      <c r="AH904" s="2408"/>
      <c r="AK904" s="2408"/>
      <c r="AL904" s="512"/>
      <c r="AM904" s="2408"/>
      <c r="AP904" s="2408"/>
      <c r="AQ904" s="512"/>
      <c r="AR904" s="513"/>
      <c r="AS904" s="513"/>
      <c r="AT904" s="513"/>
      <c r="AU904" s="513"/>
      <c r="AV904" s="513"/>
      <c r="AW904" s="513"/>
      <c r="BB904" s="513"/>
    </row>
    <row r="905" spans="3:329" ht="14.25" customHeight="1">
      <c r="C905" s="2692"/>
      <c r="D905" s="2692"/>
      <c r="E905" s="2654"/>
      <c r="F905" s="2408"/>
      <c r="H905" s="2691" t="s">
        <v>4804</v>
      </c>
      <c r="I905" s="2684"/>
      <c r="K905" s="2683">
        <f>LG817</f>
        <v>0</v>
      </c>
      <c r="L905" s="2683">
        <f>LH817</f>
        <v>0</v>
      </c>
      <c r="M905" s="2683">
        <f>LI817</f>
        <v>0</v>
      </c>
      <c r="N905" s="2683">
        <f>LJ817</f>
        <v>0</v>
      </c>
      <c r="O905" s="2683">
        <f>LK817</f>
        <v>0</v>
      </c>
      <c r="P905" s="2683">
        <f t="shared" si="379"/>
        <v>0</v>
      </c>
      <c r="S905" s="2607"/>
      <c r="T905" s="2607"/>
      <c r="U905" s="2607"/>
      <c r="V905" s="2607"/>
      <c r="W905" s="2607"/>
      <c r="X905" s="2408"/>
      <c r="AA905" s="2408"/>
      <c r="AB905" s="512"/>
      <c r="AC905" s="2408"/>
      <c r="AF905" s="2408"/>
      <c r="AG905" s="512"/>
      <c r="AH905" s="2408"/>
      <c r="AK905" s="2408"/>
      <c r="AL905" s="512"/>
      <c r="AM905" s="2408"/>
      <c r="AP905" s="2408"/>
      <c r="AQ905" s="512"/>
      <c r="AR905" s="513"/>
      <c r="AS905" s="513"/>
      <c r="AT905" s="513"/>
      <c r="AU905" s="513"/>
      <c r="AV905" s="513"/>
      <c r="AW905" s="513"/>
      <c r="BB905" s="513"/>
    </row>
    <row r="906" spans="3:329" ht="14.25" customHeight="1">
      <c r="C906" s="2692"/>
      <c r="D906" s="2692"/>
      <c r="E906" s="2654"/>
      <c r="F906" s="2408"/>
      <c r="H906" s="2691" t="s">
        <v>3251</v>
      </c>
      <c r="I906" s="2684"/>
      <c r="K906" s="2683">
        <f>LL817</f>
        <v>0</v>
      </c>
      <c r="L906" s="2683">
        <f>LM817</f>
        <v>0</v>
      </c>
      <c r="M906" s="2683">
        <f>LN817</f>
        <v>0</v>
      </c>
      <c r="N906" s="2683">
        <f>LO817</f>
        <v>0</v>
      </c>
      <c r="O906" s="2683">
        <f>LP817</f>
        <v>0</v>
      </c>
      <c r="P906" s="2683">
        <f t="shared" si="379"/>
        <v>0</v>
      </c>
      <c r="S906" s="2607"/>
      <c r="T906" s="2607"/>
      <c r="U906" s="2607"/>
      <c r="V906" s="2607"/>
      <c r="W906" s="2607"/>
      <c r="X906" s="2408"/>
      <c r="AA906" s="2408"/>
      <c r="AB906" s="512"/>
      <c r="AC906" s="2408"/>
      <c r="AF906" s="2408"/>
      <c r="AG906" s="512"/>
      <c r="AH906" s="2408"/>
      <c r="AK906" s="2408"/>
      <c r="AL906" s="512"/>
      <c r="AM906" s="2408"/>
      <c r="AP906" s="2408"/>
      <c r="AQ906" s="512"/>
      <c r="AR906" s="513"/>
      <c r="AS906" s="513"/>
      <c r="AT906" s="513"/>
      <c r="AU906" s="513"/>
      <c r="AV906" s="513"/>
      <c r="AW906" s="513"/>
      <c r="BB906" s="513"/>
    </row>
    <row r="907" spans="3:329" ht="14.25" customHeight="1">
      <c r="E907" s="2654" t="s">
        <v>38</v>
      </c>
      <c r="F907" s="2408"/>
      <c r="H907" s="2691"/>
      <c r="I907" s="2684"/>
      <c r="K907" s="2683">
        <f>IE817</f>
        <v>0</v>
      </c>
      <c r="L907" s="2683">
        <f>IF817</f>
        <v>0</v>
      </c>
      <c r="M907" s="2683">
        <f>IG817</f>
        <v>0</v>
      </c>
      <c r="N907" s="2683">
        <f>IH817</f>
        <v>0</v>
      </c>
      <c r="O907" s="2683">
        <f>II817</f>
        <v>0</v>
      </c>
      <c r="P907" s="2683">
        <f t="shared" si="379"/>
        <v>0</v>
      </c>
      <c r="S907" s="2607"/>
      <c r="T907" s="2607"/>
      <c r="U907" s="2607"/>
      <c r="V907" s="2607"/>
      <c r="W907" s="2607"/>
      <c r="X907" s="2408"/>
      <c r="AA907" s="2408"/>
      <c r="AB907" s="512"/>
      <c r="AC907" s="2408"/>
      <c r="AF907" s="2408"/>
      <c r="AG907" s="512"/>
      <c r="AH907" s="2408"/>
      <c r="AK907" s="2408"/>
      <c r="AL907" s="512"/>
      <c r="AM907" s="2408"/>
      <c r="AP907" s="2408"/>
      <c r="AQ907" s="512"/>
      <c r="AR907" s="513"/>
      <c r="AS907" s="513"/>
      <c r="AT907" s="513"/>
      <c r="AU907" s="513"/>
      <c r="AV907" s="513"/>
      <c r="AW907" s="513"/>
      <c r="AX907" s="2618"/>
      <c r="AY907" s="2408"/>
      <c r="BB907" s="513"/>
      <c r="BC907" s="2618"/>
      <c r="BD907" s="2408"/>
      <c r="JW907" s="2613"/>
      <c r="KB907" s="2613"/>
      <c r="KC907" s="2613"/>
      <c r="KD907" s="2613"/>
      <c r="KE907" s="2613"/>
      <c r="KF907" s="2613"/>
      <c r="KG907" s="2613"/>
      <c r="KH907" s="2613"/>
      <c r="KI907" s="2613"/>
      <c r="KJ907" s="2613"/>
      <c r="KK907" s="2613"/>
      <c r="KL907" s="2613"/>
      <c r="KM907" s="2613"/>
      <c r="KN907" s="2613"/>
      <c r="KO907" s="2613"/>
      <c r="KP907" s="2613"/>
      <c r="KQ907" s="2613"/>
      <c r="KR907" s="2613"/>
      <c r="KS907" s="2613"/>
      <c r="KT907" s="2613"/>
      <c r="KU907" s="2613"/>
      <c r="KV907" s="2613"/>
      <c r="KW907" s="2613"/>
      <c r="KX907" s="2613"/>
      <c r="KY907" s="2613"/>
      <c r="KZ907" s="2613"/>
      <c r="LA907" s="2613"/>
      <c r="LB907" s="2613"/>
      <c r="LC907" s="2613"/>
      <c r="LD907" s="2613"/>
      <c r="LE907" s="2613"/>
      <c r="LF907" s="2613"/>
      <c r="LG907" s="2613"/>
      <c r="LH907" s="2613"/>
      <c r="LI907" s="2613"/>
      <c r="LJ907" s="2613"/>
      <c r="LK907" s="2613"/>
      <c r="LL907" s="2613"/>
      <c r="LM907" s="2613"/>
      <c r="LN907" s="2613"/>
      <c r="LO907" s="2613"/>
      <c r="LP907" s="2613"/>
      <c r="LQ907" s="2613"/>
    </row>
    <row r="908" spans="3:329" ht="14.25" customHeight="1">
      <c r="E908" s="2654"/>
      <c r="F908" s="2408"/>
      <c r="H908" s="2691" t="s">
        <v>3251</v>
      </c>
      <c r="I908" s="2684"/>
      <c r="K908" s="2683">
        <f>IJ817</f>
        <v>0</v>
      </c>
      <c r="L908" s="2683">
        <f>IK817</f>
        <v>0</v>
      </c>
      <c r="M908" s="2683">
        <f>IL817</f>
        <v>0</v>
      </c>
      <c r="N908" s="2683">
        <f>IM817</f>
        <v>0</v>
      </c>
      <c r="O908" s="2683">
        <f>IN817</f>
        <v>0</v>
      </c>
      <c r="P908" s="2683">
        <f t="shared" si="379"/>
        <v>0</v>
      </c>
      <c r="S908" s="2607"/>
      <c r="T908" s="2607"/>
      <c r="U908" s="2607"/>
      <c r="V908" s="2607"/>
      <c r="W908" s="2607"/>
      <c r="X908" s="2408"/>
      <c r="AA908" s="2408"/>
      <c r="AB908" s="512"/>
      <c r="AC908" s="2408"/>
      <c r="AF908" s="2408"/>
      <c r="AG908" s="512"/>
      <c r="AH908" s="2408"/>
      <c r="AK908" s="2408"/>
      <c r="AL908" s="512"/>
      <c r="AM908" s="2408"/>
      <c r="AP908" s="2408"/>
      <c r="AQ908" s="512"/>
      <c r="AR908" s="513"/>
      <c r="AS908" s="513"/>
      <c r="AT908" s="513"/>
      <c r="AU908" s="513"/>
      <c r="AV908" s="513"/>
      <c r="AW908" s="513"/>
      <c r="AX908" s="2618"/>
      <c r="AY908" s="2408"/>
      <c r="BB908" s="513"/>
      <c r="BC908" s="2618"/>
      <c r="BD908" s="2408"/>
      <c r="JW908" s="2613"/>
      <c r="KB908" s="2613"/>
      <c r="KC908" s="2613"/>
      <c r="KD908" s="2613"/>
      <c r="KE908" s="2613"/>
      <c r="KF908" s="2613"/>
      <c r="KG908" s="2613"/>
      <c r="KH908" s="2613"/>
      <c r="KI908" s="2613"/>
      <c r="KJ908" s="2613"/>
      <c r="KK908" s="2613"/>
      <c r="KL908" s="2613"/>
      <c r="KM908" s="2613"/>
      <c r="KN908" s="2613"/>
      <c r="KO908" s="2613"/>
      <c r="KP908" s="2613"/>
      <c r="KQ908" s="2613"/>
      <c r="KR908" s="2613"/>
      <c r="KS908" s="2613"/>
      <c r="KT908" s="2613"/>
      <c r="KU908" s="2613"/>
      <c r="KV908" s="2613"/>
      <c r="KW908" s="2613"/>
      <c r="KX908" s="2613"/>
      <c r="KY908" s="2613"/>
      <c r="KZ908" s="2613"/>
      <c r="LA908" s="2613"/>
      <c r="LB908" s="2613"/>
      <c r="LC908" s="2613"/>
      <c r="LD908" s="2613"/>
      <c r="LE908" s="2613"/>
      <c r="LF908" s="2613"/>
      <c r="LG908" s="2613"/>
      <c r="LH908" s="2613"/>
      <c r="LI908" s="2613"/>
      <c r="LJ908" s="2613"/>
      <c r="LK908" s="2613"/>
      <c r="LL908" s="2613"/>
      <c r="LM908" s="2613"/>
      <c r="LN908" s="2613"/>
      <c r="LO908" s="2613"/>
      <c r="LP908" s="2613"/>
      <c r="LQ908" s="2613"/>
    </row>
    <row r="909" spans="3:329" ht="14.25" customHeight="1">
      <c r="C909" s="2408"/>
      <c r="D909" s="2408"/>
      <c r="E909" s="2654" t="s">
        <v>39</v>
      </c>
      <c r="F909" s="2408"/>
      <c r="H909" s="2691"/>
      <c r="I909" s="2684"/>
      <c r="K909" s="2683">
        <f>JI817</f>
        <v>0</v>
      </c>
      <c r="L909" s="2683">
        <f>JJ817</f>
        <v>0</v>
      </c>
      <c r="M909" s="2683">
        <f>JK817</f>
        <v>0</v>
      </c>
      <c r="N909" s="2683">
        <f>JL817</f>
        <v>0</v>
      </c>
      <c r="O909" s="2683">
        <f>JM817</f>
        <v>0</v>
      </c>
      <c r="P909" s="2683">
        <f t="shared" si="379"/>
        <v>0</v>
      </c>
      <c r="S909" s="2607"/>
      <c r="T909" s="2607"/>
      <c r="U909" s="2607"/>
      <c r="V909" s="2607"/>
      <c r="W909" s="2607"/>
      <c r="X909" s="2408"/>
      <c r="AA909" s="2408"/>
      <c r="AB909" s="512"/>
      <c r="AC909" s="2408"/>
      <c r="AF909" s="2408"/>
      <c r="AG909" s="512"/>
      <c r="AH909" s="2408"/>
      <c r="AK909" s="2408"/>
      <c r="AL909" s="512"/>
      <c r="AM909" s="2408"/>
      <c r="AP909" s="2408"/>
      <c r="AQ909" s="512"/>
      <c r="AR909" s="513"/>
      <c r="AS909" s="513"/>
      <c r="AT909" s="513"/>
      <c r="AU909" s="513"/>
      <c r="AV909" s="513"/>
      <c r="AW909" s="513"/>
      <c r="BB909" s="513"/>
    </row>
    <row r="910" spans="3:329" ht="14.25" customHeight="1">
      <c r="C910" s="2408"/>
      <c r="D910" s="2408"/>
      <c r="E910" s="2654"/>
      <c r="F910" s="2408"/>
      <c r="H910" s="2691" t="s">
        <v>3251</v>
      </c>
      <c r="I910" s="2684"/>
      <c r="K910" s="2683">
        <f>JN817</f>
        <v>0</v>
      </c>
      <c r="L910" s="2683">
        <f>JO817</f>
        <v>0</v>
      </c>
      <c r="M910" s="2683">
        <f>JP817</f>
        <v>0</v>
      </c>
      <c r="N910" s="2683">
        <f>JQ817</f>
        <v>0</v>
      </c>
      <c r="O910" s="2683">
        <f>JR817</f>
        <v>0</v>
      </c>
      <c r="P910" s="2683">
        <f t="shared" si="379"/>
        <v>0</v>
      </c>
      <c r="S910" s="2607"/>
      <c r="T910" s="2607"/>
      <c r="U910" s="2607"/>
      <c r="V910" s="2607"/>
      <c r="W910" s="2607"/>
      <c r="X910" s="2408"/>
      <c r="AA910" s="2408"/>
      <c r="AB910" s="512"/>
      <c r="AC910" s="2408"/>
      <c r="AF910" s="2408"/>
      <c r="AG910" s="512"/>
      <c r="AH910" s="2408"/>
      <c r="AK910" s="2408"/>
      <c r="AL910" s="512"/>
      <c r="AM910" s="2408"/>
      <c r="AP910" s="2408"/>
      <c r="AQ910" s="512"/>
      <c r="AR910" s="513"/>
      <c r="AS910" s="513"/>
      <c r="AT910" s="513"/>
      <c r="AU910" s="513"/>
      <c r="AV910" s="513"/>
      <c r="AW910" s="513"/>
      <c r="BB910" s="513"/>
    </row>
    <row r="911" spans="3:329" ht="14.25" customHeight="1">
      <c r="C911" s="2408"/>
      <c r="D911" s="2408"/>
      <c r="E911" s="2654" t="s">
        <v>548</v>
      </c>
      <c r="F911" s="2408"/>
      <c r="H911" s="2691"/>
      <c r="I911" s="2684"/>
      <c r="K911" s="2683">
        <f>IY817</f>
        <v>0</v>
      </c>
      <c r="L911" s="2683">
        <f>IZ817</f>
        <v>0</v>
      </c>
      <c r="M911" s="2683">
        <f>JA817</f>
        <v>0</v>
      </c>
      <c r="N911" s="2683">
        <f>JB817</f>
        <v>0</v>
      </c>
      <c r="O911" s="2683">
        <f>JC817</f>
        <v>0</v>
      </c>
      <c r="P911" s="2683">
        <f t="shared" si="379"/>
        <v>0</v>
      </c>
      <c r="S911" s="2607"/>
      <c r="T911" s="2607"/>
      <c r="U911" s="2607"/>
      <c r="V911" s="2607"/>
      <c r="W911" s="2607"/>
      <c r="X911" s="2408"/>
      <c r="AA911" s="2408"/>
      <c r="AB911" s="512"/>
      <c r="AC911" s="2408"/>
      <c r="AF911" s="2408"/>
      <c r="AG911" s="512"/>
      <c r="AH911" s="2408"/>
      <c r="AK911" s="2408"/>
      <c r="AL911" s="512"/>
      <c r="AM911" s="2408"/>
      <c r="AP911" s="2408"/>
      <c r="AQ911" s="512"/>
      <c r="AR911" s="513"/>
      <c r="AS911" s="513"/>
      <c r="AT911" s="513"/>
      <c r="AU911" s="513"/>
      <c r="AV911" s="513"/>
      <c r="AW911" s="513"/>
      <c r="AX911" s="2618"/>
      <c r="AY911" s="2408"/>
      <c r="BB911" s="513"/>
      <c r="BC911" s="2618"/>
      <c r="BD911" s="2408"/>
      <c r="JW911" s="2613"/>
      <c r="KB911" s="2613"/>
      <c r="KC911" s="2613"/>
      <c r="KD911" s="2613"/>
      <c r="KE911" s="2613"/>
      <c r="KF911" s="2613"/>
      <c r="KG911" s="2613"/>
      <c r="KH911" s="2613"/>
      <c r="KI911" s="2613"/>
      <c r="KJ911" s="2613"/>
      <c r="KK911" s="2613"/>
      <c r="KL911" s="2613"/>
      <c r="KM911" s="2613"/>
      <c r="KN911" s="2613"/>
      <c r="KO911" s="2613"/>
      <c r="KP911" s="2613"/>
      <c r="KQ911" s="2613"/>
      <c r="KR911" s="2613"/>
      <c r="KS911" s="2613"/>
      <c r="KT911" s="2613"/>
      <c r="KU911" s="2613"/>
      <c r="KV911" s="2613"/>
      <c r="KW911" s="2613"/>
      <c r="KX911" s="2613"/>
      <c r="KY911" s="2613"/>
      <c r="KZ911" s="2613"/>
      <c r="LA911" s="2613"/>
      <c r="LB911" s="2613"/>
      <c r="LC911" s="2613"/>
      <c r="LD911" s="2613"/>
      <c r="LE911" s="2613"/>
      <c r="LF911" s="2613"/>
      <c r="LG911" s="2613"/>
      <c r="LH911" s="2613"/>
      <c r="LI911" s="2613"/>
      <c r="LJ911" s="2613"/>
      <c r="LK911" s="2613"/>
      <c r="LL911" s="2613"/>
      <c r="LM911" s="2613"/>
      <c r="LN911" s="2613"/>
      <c r="LO911" s="2613"/>
      <c r="LP911" s="2613"/>
      <c r="LQ911" s="2613"/>
    </row>
    <row r="912" spans="3:329" ht="14.25" customHeight="1">
      <c r="C912" s="2408"/>
      <c r="D912" s="2408"/>
      <c r="E912" s="2654"/>
      <c r="F912" s="2408"/>
      <c r="H912" s="2691" t="s">
        <v>3251</v>
      </c>
      <c r="I912" s="2684"/>
      <c r="K912" s="2683">
        <f>JD817</f>
        <v>0</v>
      </c>
      <c r="L912" s="2683">
        <f>JE817</f>
        <v>0</v>
      </c>
      <c r="M912" s="2683">
        <f>JF817</f>
        <v>0</v>
      </c>
      <c r="N912" s="2683">
        <f>JG817</f>
        <v>0</v>
      </c>
      <c r="O912" s="2683">
        <f>JH817</f>
        <v>0</v>
      </c>
      <c r="P912" s="2683">
        <f t="shared" si="379"/>
        <v>0</v>
      </c>
      <c r="S912" s="2607"/>
      <c r="T912" s="2607"/>
      <c r="U912" s="2607"/>
      <c r="V912" s="2607"/>
      <c r="W912" s="2607"/>
      <c r="X912" s="2408"/>
      <c r="AA912" s="2408"/>
      <c r="AB912" s="512"/>
      <c r="AC912" s="2408"/>
      <c r="AF912" s="2408"/>
      <c r="AG912" s="512"/>
      <c r="AH912" s="2408"/>
      <c r="AK912" s="2408"/>
      <c r="AL912" s="512"/>
      <c r="AM912" s="2408"/>
      <c r="AP912" s="2408"/>
      <c r="AQ912" s="512"/>
      <c r="AR912" s="513"/>
      <c r="AS912" s="513"/>
      <c r="AT912" s="513"/>
      <c r="AU912" s="513"/>
      <c r="AV912" s="513"/>
      <c r="AW912" s="513"/>
      <c r="AX912" s="2618"/>
      <c r="AY912" s="2408"/>
      <c r="BB912" s="513"/>
      <c r="BC912" s="2618"/>
      <c r="BD912" s="2408"/>
      <c r="JW912" s="2613"/>
      <c r="KB912" s="2613"/>
      <c r="KC912" s="2613"/>
      <c r="KD912" s="2613"/>
      <c r="KE912" s="2613"/>
      <c r="KF912" s="2613"/>
      <c r="KG912" s="2613"/>
      <c r="KH912" s="2613"/>
      <c r="KI912" s="2613"/>
      <c r="KJ912" s="2613"/>
      <c r="KK912" s="2613"/>
      <c r="KL912" s="2613"/>
      <c r="KM912" s="2613"/>
      <c r="KN912" s="2613"/>
      <c r="KO912" s="2613"/>
      <c r="KP912" s="2613"/>
      <c r="KQ912" s="2613"/>
      <c r="KR912" s="2613"/>
      <c r="KS912" s="2613"/>
      <c r="KT912" s="2613"/>
      <c r="KU912" s="2613"/>
      <c r="KV912" s="2613"/>
      <c r="KW912" s="2613"/>
      <c r="KX912" s="2613"/>
      <c r="KY912" s="2613"/>
      <c r="KZ912" s="2613"/>
      <c r="LA912" s="2613"/>
      <c r="LB912" s="2613"/>
      <c r="LC912" s="2613"/>
      <c r="LD912" s="2613"/>
      <c r="LE912" s="2613"/>
      <c r="LF912" s="2613"/>
      <c r="LG912" s="2613"/>
      <c r="LH912" s="2613"/>
      <c r="LI912" s="2613"/>
      <c r="LJ912" s="2613"/>
      <c r="LK912" s="2613"/>
      <c r="LL912" s="2613"/>
      <c r="LM912" s="2613"/>
      <c r="LN912" s="2613"/>
      <c r="LO912" s="2613"/>
      <c r="LP912" s="2613"/>
      <c r="LQ912" s="2613"/>
    </row>
    <row r="913" spans="1:329" ht="14.25" customHeight="1">
      <c r="C913" s="2408"/>
      <c r="D913" s="2408"/>
      <c r="E913" s="2650" t="s">
        <v>549</v>
      </c>
      <c r="F913" s="2408"/>
      <c r="H913" s="2691"/>
      <c r="I913" s="2684"/>
      <c r="K913" s="2683">
        <f>IO817</f>
        <v>0</v>
      </c>
      <c r="L913" s="2683">
        <f>IP817</f>
        <v>0</v>
      </c>
      <c r="M913" s="2683">
        <f>IQ817</f>
        <v>0</v>
      </c>
      <c r="N913" s="2683">
        <f>IR817</f>
        <v>0</v>
      </c>
      <c r="O913" s="2683">
        <f>IS817</f>
        <v>0</v>
      </c>
      <c r="P913" s="2683">
        <f t="shared" si="379"/>
        <v>0</v>
      </c>
      <c r="S913" s="2607"/>
      <c r="T913" s="2607"/>
      <c r="U913" s="2607"/>
      <c r="V913" s="2607"/>
      <c r="W913" s="2607"/>
      <c r="X913" s="2408"/>
      <c r="AA913" s="2408"/>
      <c r="AB913" s="512"/>
      <c r="AC913" s="2408"/>
      <c r="AF913" s="2408"/>
      <c r="AG913" s="512"/>
      <c r="AH913" s="2408"/>
      <c r="AK913" s="2408"/>
      <c r="AL913" s="512"/>
      <c r="AM913" s="2408"/>
      <c r="AP913" s="2408"/>
      <c r="AQ913" s="512"/>
      <c r="AR913" s="513"/>
      <c r="AS913" s="513"/>
      <c r="AT913" s="513"/>
      <c r="AU913" s="513"/>
      <c r="AV913" s="513"/>
      <c r="AW913" s="513"/>
      <c r="BB913" s="513"/>
    </row>
    <row r="914" spans="1:329" ht="14.25" customHeight="1">
      <c r="C914" s="2408"/>
      <c r="D914" s="2408"/>
      <c r="E914" s="2650"/>
      <c r="F914" s="2408"/>
      <c r="H914" s="2691" t="s">
        <v>3251</v>
      </c>
      <c r="I914" s="2684"/>
      <c r="K914" s="2683">
        <f>IT817</f>
        <v>0</v>
      </c>
      <c r="L914" s="2683">
        <f>IU817</f>
        <v>0</v>
      </c>
      <c r="M914" s="2683">
        <f>IV817</f>
        <v>0</v>
      </c>
      <c r="N914" s="2683">
        <f>IW817</f>
        <v>0</v>
      </c>
      <c r="O914" s="2683">
        <f>IX817</f>
        <v>0</v>
      </c>
      <c r="P914" s="2683">
        <f t="shared" si="379"/>
        <v>0</v>
      </c>
      <c r="S914" s="2607"/>
      <c r="T914" s="2607"/>
      <c r="U914" s="2607"/>
      <c r="V914" s="2607"/>
      <c r="W914" s="2607"/>
      <c r="X914" s="2408"/>
      <c r="AA914" s="2408"/>
      <c r="AB914" s="512"/>
      <c r="AC914" s="2408"/>
      <c r="AF914" s="2408"/>
      <c r="AG914" s="512"/>
      <c r="AH914" s="2408"/>
      <c r="AK914" s="2408"/>
      <c r="AL914" s="512"/>
      <c r="AM914" s="2408"/>
      <c r="AP914" s="2408"/>
      <c r="AQ914" s="512"/>
      <c r="AR914" s="513"/>
      <c r="AS914" s="513"/>
      <c r="AT914" s="513"/>
      <c r="AU914" s="513"/>
      <c r="AV914" s="513"/>
      <c r="AW914" s="513"/>
      <c r="BB914" s="513"/>
    </row>
    <row r="915" spans="1:329" ht="10.5" customHeight="1">
      <c r="C915" s="2408"/>
      <c r="H915" s="2690"/>
      <c r="I915" s="2658"/>
      <c r="K915" s="2689"/>
      <c r="L915" s="2689"/>
      <c r="M915" s="2689"/>
      <c r="N915" s="2689"/>
      <c r="O915" s="2689"/>
      <c r="P915" s="2689"/>
      <c r="JW915" s="2613"/>
      <c r="KB915" s="2613"/>
      <c r="KC915" s="2613"/>
      <c r="KD915" s="2613"/>
      <c r="KE915" s="2613"/>
      <c r="KF915" s="2613"/>
      <c r="KG915" s="2613"/>
      <c r="KH915" s="2613"/>
      <c r="KI915" s="2613"/>
      <c r="KJ915" s="2613"/>
      <c r="KK915" s="2613"/>
      <c r="KL915" s="2613"/>
      <c r="KM915" s="2613"/>
      <c r="KN915" s="2613"/>
      <c r="KO915" s="2613"/>
      <c r="KP915" s="2613"/>
      <c r="KQ915" s="2613"/>
      <c r="KR915" s="2613"/>
      <c r="KS915" s="2613"/>
      <c r="KT915" s="2613"/>
      <c r="KU915" s="2613"/>
      <c r="KV915" s="2613"/>
      <c r="KW915" s="2613"/>
      <c r="KX915" s="2613"/>
      <c r="KY915" s="2613"/>
      <c r="KZ915" s="2613"/>
      <c r="LA915" s="2613"/>
      <c r="LB915" s="2613"/>
      <c r="LC915" s="2613"/>
      <c r="LD915" s="2613"/>
      <c r="LE915" s="2613"/>
      <c r="LF915" s="2613"/>
      <c r="LG915" s="2613"/>
      <c r="LH915" s="2613"/>
      <c r="LI915" s="2613"/>
      <c r="LJ915" s="2613"/>
      <c r="LK915" s="2613"/>
      <c r="LL915" s="2613"/>
      <c r="LM915" s="2613"/>
      <c r="LN915" s="2613"/>
      <c r="LO915" s="2613"/>
      <c r="LP915" s="2613"/>
      <c r="LQ915" s="2613"/>
    </row>
    <row r="916" spans="1:329" ht="14.4" customHeight="1">
      <c r="A916" s="2494" t="s">
        <v>722</v>
      </c>
      <c r="B916" s="2494" t="s">
        <v>6982</v>
      </c>
      <c r="H916" s="2650"/>
      <c r="L916" s="2681">
        <f>$L$53</f>
        <v>0</v>
      </c>
      <c r="M916" s="2681"/>
      <c r="N916" s="2681"/>
      <c r="O916" s="2681"/>
      <c r="S916" s="2408" t="str">
        <f>B916</f>
        <v>UNIT SUMMARY (Continued)</v>
      </c>
      <c r="T916" s="2408"/>
      <c r="U916" s="2408"/>
      <c r="V916" s="2408"/>
      <c r="AY916" s="2408"/>
      <c r="BD916" s="2408"/>
      <c r="JW916" s="2613"/>
      <c r="KB916" s="2613"/>
      <c r="KC916" s="2613"/>
      <c r="KD916" s="2613"/>
      <c r="KE916" s="2613"/>
      <c r="KF916" s="2613"/>
      <c r="KG916" s="2613"/>
      <c r="KH916" s="2613"/>
      <c r="KI916" s="2613"/>
      <c r="KJ916" s="2613"/>
      <c r="KK916" s="2613"/>
      <c r="KL916" s="2613"/>
      <c r="KM916" s="2613"/>
      <c r="KN916" s="2613"/>
      <c r="KO916" s="2613"/>
      <c r="KP916" s="2613"/>
      <c r="KQ916" s="2613"/>
      <c r="KR916" s="2613"/>
      <c r="KS916" s="2613"/>
      <c r="KT916" s="2613"/>
      <c r="KU916" s="2613"/>
      <c r="KV916" s="2613"/>
      <c r="KW916" s="2613"/>
      <c r="KX916" s="2613"/>
      <c r="KY916" s="2613"/>
      <c r="KZ916" s="2613"/>
      <c r="LA916" s="2613"/>
      <c r="LB916" s="2613"/>
      <c r="LC916" s="2613"/>
      <c r="LD916" s="2613"/>
      <c r="LE916" s="2613"/>
      <c r="LF916" s="2613"/>
      <c r="LG916" s="2613"/>
      <c r="LH916" s="2613"/>
      <c r="LI916" s="2613"/>
      <c r="LJ916" s="2613"/>
      <c r="LK916" s="2613"/>
      <c r="LL916" s="2613"/>
      <c r="LM916" s="2613"/>
      <c r="LN916" s="2613"/>
      <c r="LO916" s="2613"/>
      <c r="LP916" s="2613"/>
      <c r="LQ916" s="2613"/>
    </row>
    <row r="917" spans="1:329" ht="9" customHeight="1">
      <c r="H917" s="2650"/>
      <c r="Q917" s="2408"/>
      <c r="S917" s="2498" t="str">
        <f>C918</f>
        <v>Building Type:
(for Cost Limit purposes only - see Application Instructions for further detail)</v>
      </c>
      <c r="U917" s="2653"/>
      <c r="AY917" s="2408"/>
      <c r="BD917" s="2408"/>
      <c r="JW917" s="2613"/>
      <c r="KB917" s="2613"/>
      <c r="KC917" s="2613"/>
      <c r="KD917" s="2613"/>
      <c r="KE917" s="2613"/>
      <c r="KF917" s="2613"/>
      <c r="KG917" s="2613"/>
      <c r="KH917" s="2613"/>
      <c r="KI917" s="2613"/>
      <c r="KJ917" s="2613"/>
      <c r="KK917" s="2613"/>
      <c r="KL917" s="2613"/>
      <c r="KM917" s="2613"/>
      <c r="KN917" s="2613"/>
      <c r="KO917" s="2613"/>
      <c r="KP917" s="2613"/>
      <c r="KQ917" s="2613"/>
      <c r="KR917" s="2613"/>
      <c r="KS917" s="2613"/>
      <c r="KT917" s="2613"/>
      <c r="KU917" s="2613"/>
      <c r="KV917" s="2613"/>
      <c r="KW917" s="2613"/>
      <c r="KX917" s="2613"/>
      <c r="KY917" s="2613"/>
      <c r="KZ917" s="2613"/>
      <c r="LA917" s="2613"/>
      <c r="LB917" s="2613"/>
      <c r="LC917" s="2613"/>
      <c r="LD917" s="2613"/>
      <c r="LE917" s="2613"/>
      <c r="LF917" s="2613"/>
      <c r="LG917" s="2613"/>
      <c r="LH917" s="2613"/>
      <c r="LI917" s="2613"/>
      <c r="LJ917" s="2613"/>
      <c r="LK917" s="2613"/>
      <c r="LL917" s="2613"/>
      <c r="LM917" s="2613"/>
      <c r="LN917" s="2613"/>
      <c r="LO917" s="2613"/>
      <c r="LP917" s="2613"/>
      <c r="LQ917" s="2613"/>
    </row>
    <row r="918" spans="1:329" ht="14.25" customHeight="1">
      <c r="C918" s="2607" t="s">
        <v>6983</v>
      </c>
      <c r="D918" s="2607"/>
      <c r="E918" s="2654" t="s">
        <v>3246</v>
      </c>
      <c r="F918" s="2505"/>
      <c r="H918" s="2691"/>
      <c r="I918" s="2684"/>
      <c r="K918" s="2683">
        <f t="shared" ref="K918:O919" si="380">K907+K911+K913</f>
        <v>0</v>
      </c>
      <c r="L918" s="2683">
        <f>L907+L911+L913</f>
        <v>0</v>
      </c>
      <c r="M918" s="2683">
        <f t="shared" si="380"/>
        <v>0</v>
      </c>
      <c r="N918" s="2683">
        <f t="shared" si="380"/>
        <v>0</v>
      </c>
      <c r="O918" s="2683">
        <f t="shared" si="380"/>
        <v>0</v>
      </c>
      <c r="P918" s="2683">
        <f t="shared" ref="P918:P925" si="381">SUM(K918:O918)</f>
        <v>0</v>
      </c>
      <c r="S918" s="2607"/>
      <c r="T918" s="2607"/>
      <c r="U918" s="2607"/>
      <c r="V918" s="2607"/>
      <c r="W918" s="2607"/>
      <c r="X918" s="2408"/>
      <c r="AA918" s="2408"/>
      <c r="AB918" s="512"/>
      <c r="AC918" s="2408"/>
      <c r="AF918" s="2408"/>
      <c r="AG918" s="512"/>
      <c r="AH918" s="2408"/>
      <c r="AK918" s="2408"/>
      <c r="AL918" s="512"/>
      <c r="AM918" s="2408"/>
      <c r="AP918" s="2408"/>
      <c r="AQ918" s="512"/>
      <c r="AR918" s="513"/>
      <c r="AS918" s="513"/>
      <c r="AT918" s="513"/>
      <c r="AU918" s="513"/>
      <c r="AV918" s="513"/>
      <c r="AW918" s="513"/>
      <c r="BB918" s="513"/>
    </row>
    <row r="919" spans="1:329" ht="14.25" customHeight="1">
      <c r="C919" s="2607"/>
      <c r="D919" s="2607"/>
      <c r="E919" s="2654"/>
      <c r="F919" s="2505"/>
      <c r="H919" s="2691" t="s">
        <v>3251</v>
      </c>
      <c r="I919" s="2684"/>
      <c r="K919" s="2683">
        <f t="shared" si="380"/>
        <v>0</v>
      </c>
      <c r="L919" s="2683">
        <f t="shared" si="380"/>
        <v>0</v>
      </c>
      <c r="M919" s="2683">
        <f t="shared" si="380"/>
        <v>0</v>
      </c>
      <c r="N919" s="2683">
        <f t="shared" si="380"/>
        <v>0</v>
      </c>
      <c r="O919" s="2683">
        <f t="shared" si="380"/>
        <v>0</v>
      </c>
      <c r="P919" s="2683">
        <f t="shared" si="381"/>
        <v>0</v>
      </c>
      <c r="S919" s="2607"/>
      <c r="T919" s="2607"/>
      <c r="U919" s="2607"/>
      <c r="V919" s="2607"/>
      <c r="W919" s="2607"/>
      <c r="X919" s="2408"/>
      <c r="AA919" s="2408"/>
      <c r="AB919" s="512"/>
      <c r="AC919" s="2408"/>
      <c r="AF919" s="2408"/>
      <c r="AG919" s="512"/>
      <c r="AH919" s="2408"/>
      <c r="AK919" s="2408"/>
      <c r="AL919" s="512"/>
      <c r="AM919" s="2408"/>
      <c r="AP919" s="2408"/>
      <c r="AQ919" s="512"/>
      <c r="AR919" s="513"/>
      <c r="AS919" s="513"/>
      <c r="AT919" s="513"/>
      <c r="AU919" s="513"/>
      <c r="AV919" s="513"/>
      <c r="AW919" s="513"/>
      <c r="BB919" s="513"/>
    </row>
    <row r="920" spans="1:329" ht="14.25" customHeight="1">
      <c r="C920" s="2607"/>
      <c r="D920" s="2607"/>
      <c r="E920" s="2654" t="s">
        <v>3247</v>
      </c>
      <c r="F920" s="2505"/>
      <c r="H920" s="2509"/>
      <c r="I920" s="2505"/>
      <c r="K920" s="2683">
        <f t="shared" ref="K920:O921" si="382">K897+K909</f>
        <v>0</v>
      </c>
      <c r="L920" s="2683">
        <f t="shared" si="382"/>
        <v>0</v>
      </c>
      <c r="M920" s="2683">
        <f t="shared" si="382"/>
        <v>0</v>
      </c>
      <c r="N920" s="2683">
        <f t="shared" si="382"/>
        <v>0</v>
      </c>
      <c r="O920" s="2683">
        <f t="shared" si="382"/>
        <v>0</v>
      </c>
      <c r="P920" s="2683">
        <f t="shared" si="381"/>
        <v>0</v>
      </c>
      <c r="S920" s="2607"/>
      <c r="T920" s="2607"/>
      <c r="U920" s="2607"/>
      <c r="V920" s="2607"/>
      <c r="W920" s="2607"/>
      <c r="X920" s="2408"/>
      <c r="AA920" s="2408"/>
      <c r="AB920" s="512"/>
      <c r="AC920" s="2408"/>
      <c r="AF920" s="2408"/>
      <c r="AG920" s="512"/>
      <c r="AH920" s="2408"/>
      <c r="AK920" s="2408"/>
      <c r="AL920" s="512"/>
      <c r="AM920" s="2408"/>
      <c r="AP920" s="2408"/>
      <c r="AQ920" s="512"/>
      <c r="AR920" s="513"/>
      <c r="AS920" s="513"/>
      <c r="AT920" s="513"/>
      <c r="AU920" s="513"/>
      <c r="AV920" s="513"/>
      <c r="AW920" s="513"/>
      <c r="BB920" s="513"/>
    </row>
    <row r="921" spans="1:329" ht="14.25" customHeight="1">
      <c r="C921" s="2607"/>
      <c r="D921" s="2607"/>
      <c r="E921" s="2654"/>
      <c r="F921" s="2505"/>
      <c r="H921" s="2691" t="s">
        <v>3251</v>
      </c>
      <c r="I921" s="2684"/>
      <c r="K921" s="2683">
        <f t="shared" si="382"/>
        <v>0</v>
      </c>
      <c r="L921" s="2683">
        <f t="shared" si="382"/>
        <v>0</v>
      </c>
      <c r="M921" s="2683">
        <f t="shared" si="382"/>
        <v>0</v>
      </c>
      <c r="N921" s="2683">
        <f t="shared" si="382"/>
        <v>0</v>
      </c>
      <c r="O921" s="2683">
        <f t="shared" si="382"/>
        <v>0</v>
      </c>
      <c r="P921" s="2683">
        <f t="shared" si="381"/>
        <v>0</v>
      </c>
      <c r="S921" s="2607"/>
      <c r="T921" s="2607"/>
      <c r="U921" s="2607"/>
      <c r="V921" s="2607"/>
      <c r="W921" s="2607"/>
      <c r="X921" s="2408"/>
      <c r="AA921" s="2408"/>
      <c r="AB921" s="512"/>
      <c r="AC921" s="2408"/>
      <c r="AF921" s="2408"/>
      <c r="AG921" s="512"/>
      <c r="AH921" s="2408"/>
      <c r="AK921" s="2408"/>
      <c r="AL921" s="512"/>
      <c r="AM921" s="2408"/>
      <c r="AP921" s="2408"/>
      <c r="AQ921" s="512"/>
      <c r="AR921" s="513"/>
      <c r="AS921" s="513"/>
      <c r="AT921" s="513"/>
      <c r="AU921" s="513"/>
      <c r="AV921" s="513"/>
      <c r="AW921" s="513"/>
      <c r="BB921" s="513"/>
    </row>
    <row r="922" spans="1:329" ht="14.25" customHeight="1">
      <c r="C922" s="2607"/>
      <c r="D922" s="2607"/>
      <c r="E922" s="2654" t="s">
        <v>3248</v>
      </c>
      <c r="F922" s="2505"/>
      <c r="H922" s="2691"/>
      <c r="I922" s="2684"/>
      <c r="K922" s="2683">
        <f t="shared" ref="K922:O923" si="383">K901+K903</f>
        <v>0</v>
      </c>
      <c r="L922" s="2683">
        <f t="shared" si="383"/>
        <v>18</v>
      </c>
      <c r="M922" s="2683">
        <f t="shared" si="383"/>
        <v>106</v>
      </c>
      <c r="N922" s="2683">
        <f t="shared" si="383"/>
        <v>76</v>
      </c>
      <c r="O922" s="2683">
        <f t="shared" si="383"/>
        <v>0</v>
      </c>
      <c r="P922" s="2683">
        <f t="shared" si="381"/>
        <v>200</v>
      </c>
      <c r="S922" s="2607"/>
      <c r="T922" s="2607"/>
      <c r="U922" s="2607"/>
      <c r="V922" s="2607"/>
      <c r="W922" s="2607"/>
      <c r="X922" s="2408"/>
      <c r="AA922" s="2408"/>
      <c r="AB922" s="512"/>
      <c r="AC922" s="2408"/>
      <c r="AF922" s="2408"/>
      <c r="AG922" s="512"/>
      <c r="AH922" s="2408"/>
      <c r="AK922" s="2408"/>
      <c r="AL922" s="512"/>
      <c r="AM922" s="2408"/>
      <c r="AP922" s="2408"/>
      <c r="AQ922" s="512"/>
      <c r="AR922" s="513"/>
      <c r="AS922" s="513"/>
      <c r="AT922" s="513"/>
      <c r="AU922" s="513"/>
      <c r="AV922" s="513"/>
      <c r="AW922" s="513"/>
      <c r="BB922" s="513"/>
    </row>
    <row r="923" spans="1:329" ht="14.25" customHeight="1">
      <c r="C923" s="2607"/>
      <c r="D923" s="2607"/>
      <c r="E923" s="2654"/>
      <c r="F923" s="2505"/>
      <c r="H923" s="2691" t="s">
        <v>3251</v>
      </c>
      <c r="I923" s="2684"/>
      <c r="K923" s="2683">
        <f t="shared" si="383"/>
        <v>0</v>
      </c>
      <c r="L923" s="2683">
        <f t="shared" si="383"/>
        <v>0</v>
      </c>
      <c r="M923" s="2683">
        <f t="shared" si="383"/>
        <v>0</v>
      </c>
      <c r="N923" s="2683">
        <f t="shared" si="383"/>
        <v>0</v>
      </c>
      <c r="O923" s="2683">
        <f t="shared" si="383"/>
        <v>0</v>
      </c>
      <c r="P923" s="2683">
        <f t="shared" si="381"/>
        <v>0</v>
      </c>
      <c r="S923" s="2607"/>
      <c r="T923" s="2607"/>
      <c r="U923" s="2607"/>
      <c r="V923" s="2607"/>
      <c r="W923" s="2607"/>
      <c r="X923" s="2408"/>
      <c r="AA923" s="2408"/>
      <c r="AB923" s="512"/>
      <c r="AC923" s="2408"/>
      <c r="AF923" s="2408"/>
      <c r="AG923" s="512"/>
      <c r="AH923" s="2408"/>
      <c r="AK923" s="2408"/>
      <c r="AL923" s="512"/>
      <c r="AM923" s="2408"/>
      <c r="AP923" s="2408"/>
      <c r="AQ923" s="512"/>
      <c r="AR923" s="513"/>
      <c r="AS923" s="513"/>
      <c r="AT923" s="513"/>
      <c r="AU923" s="513"/>
      <c r="AV923" s="513"/>
      <c r="AW923" s="513"/>
      <c r="BB923" s="513"/>
    </row>
    <row r="924" spans="1:329" ht="14.25" customHeight="1">
      <c r="C924" s="2607"/>
      <c r="D924" s="2607"/>
      <c r="E924" s="2654" t="s">
        <v>3249</v>
      </c>
      <c r="F924" s="2505"/>
      <c r="H924" s="2691"/>
      <c r="I924" s="2684"/>
      <c r="K924" s="2683">
        <f t="shared" ref="K924:O925" si="384">K899+K905</f>
        <v>0</v>
      </c>
      <c r="L924" s="2683">
        <f t="shared" si="384"/>
        <v>0</v>
      </c>
      <c r="M924" s="2683">
        <f t="shared" si="384"/>
        <v>0</v>
      </c>
      <c r="N924" s="2683">
        <f t="shared" si="384"/>
        <v>0</v>
      </c>
      <c r="O924" s="2683">
        <f t="shared" si="384"/>
        <v>0</v>
      </c>
      <c r="P924" s="2683">
        <f t="shared" si="381"/>
        <v>0</v>
      </c>
      <c r="S924" s="2607"/>
      <c r="T924" s="2607"/>
      <c r="U924" s="2607"/>
      <c r="V924" s="2607"/>
      <c r="W924" s="2607"/>
      <c r="X924" s="2408"/>
      <c r="AA924" s="2408"/>
      <c r="AB924" s="512"/>
      <c r="AC924" s="2408"/>
      <c r="AF924" s="2408"/>
      <c r="AG924" s="512"/>
      <c r="AH924" s="2408"/>
      <c r="AK924" s="2408"/>
      <c r="AL924" s="512"/>
      <c r="AM924" s="2408"/>
      <c r="AP924" s="2408"/>
      <c r="AQ924" s="512"/>
      <c r="AR924" s="513"/>
      <c r="AS924" s="513"/>
      <c r="AT924" s="513"/>
      <c r="AU924" s="513"/>
      <c r="AV924" s="513"/>
      <c r="AW924" s="513"/>
      <c r="BB924" s="513"/>
    </row>
    <row r="925" spans="1:329" ht="14.25" customHeight="1">
      <c r="C925" s="2408"/>
      <c r="D925" s="2408"/>
      <c r="E925" s="2531"/>
      <c r="F925" s="2505"/>
      <c r="H925" s="2691" t="s">
        <v>3251</v>
      </c>
      <c r="I925" s="2684"/>
      <c r="K925" s="2683">
        <f t="shared" si="384"/>
        <v>0</v>
      </c>
      <c r="L925" s="2683">
        <f t="shared" si="384"/>
        <v>0</v>
      </c>
      <c r="M925" s="2683">
        <f t="shared" si="384"/>
        <v>0</v>
      </c>
      <c r="N925" s="2683">
        <f t="shared" si="384"/>
        <v>0</v>
      </c>
      <c r="O925" s="2683">
        <f t="shared" si="384"/>
        <v>0</v>
      </c>
      <c r="P925" s="2683">
        <f t="shared" si="381"/>
        <v>0</v>
      </c>
      <c r="Q925" s="2408" t="s">
        <v>6857</v>
      </c>
      <c r="S925" s="2607"/>
      <c r="T925" s="2607"/>
      <c r="U925" s="2607"/>
      <c r="V925" s="2607"/>
      <c r="W925" s="2607"/>
      <c r="X925" s="2408"/>
      <c r="AA925" s="2408"/>
      <c r="AB925" s="512"/>
      <c r="AC925" s="2408"/>
      <c r="AF925" s="2408"/>
      <c r="AG925" s="512"/>
      <c r="AH925" s="2408"/>
      <c r="AK925" s="2408"/>
      <c r="AL925" s="512"/>
      <c r="AM925" s="2408"/>
      <c r="AP925" s="2408"/>
      <c r="AQ925" s="512"/>
      <c r="AR925" s="513"/>
      <c r="AS925" s="513"/>
      <c r="AT925" s="513"/>
      <c r="AU925" s="513"/>
      <c r="AV925" s="513"/>
      <c r="AW925" s="513"/>
      <c r="BB925" s="513"/>
    </row>
    <row r="926" spans="1:329" ht="9" customHeight="1">
      <c r="A926" s="2654"/>
      <c r="B926" s="2654"/>
      <c r="D926" s="2408"/>
      <c r="E926" s="2654"/>
      <c r="F926" s="2408"/>
      <c r="H926" s="512"/>
      <c r="I926" s="512"/>
      <c r="K926" s="2688"/>
      <c r="L926" s="2688"/>
      <c r="M926" s="2688"/>
      <c r="N926" s="2688"/>
      <c r="O926" s="2688"/>
      <c r="P926" s="2688"/>
      <c r="Q926" s="2408"/>
      <c r="S926" s="2506"/>
      <c r="U926" s="2489"/>
      <c r="X926" s="2408"/>
      <c r="AA926" s="2408"/>
      <c r="AB926" s="512"/>
      <c r="AC926" s="2408"/>
      <c r="AF926" s="2408"/>
      <c r="AG926" s="512"/>
      <c r="AH926" s="2408"/>
      <c r="AK926" s="2408"/>
      <c r="AL926" s="512"/>
      <c r="AM926" s="2408"/>
      <c r="AP926" s="2408"/>
      <c r="AQ926" s="512"/>
      <c r="AR926" s="2408"/>
      <c r="AS926" s="2408"/>
      <c r="AT926" s="2408"/>
      <c r="AU926" s="2408"/>
      <c r="AV926" s="2408"/>
      <c r="AW926" s="2408"/>
      <c r="AY926" s="2408"/>
      <c r="BB926" s="2408"/>
      <c r="BD926" s="2408"/>
      <c r="JW926" s="2613"/>
      <c r="KB926" s="2613"/>
      <c r="KC926" s="2613"/>
      <c r="KD926" s="2613"/>
      <c r="KE926" s="2613"/>
      <c r="KF926" s="2613"/>
      <c r="KG926" s="2613"/>
      <c r="KH926" s="2613"/>
      <c r="KI926" s="2613"/>
      <c r="KJ926" s="2613"/>
      <c r="KK926" s="2613"/>
      <c r="KL926" s="2613"/>
      <c r="KM926" s="2613"/>
      <c r="KN926" s="2613"/>
      <c r="KO926" s="2613"/>
      <c r="KP926" s="2613"/>
      <c r="KQ926" s="2613"/>
      <c r="KR926" s="2613"/>
      <c r="KS926" s="2613"/>
      <c r="KT926" s="2613"/>
      <c r="KU926" s="2613"/>
      <c r="KV926" s="2613"/>
      <c r="KW926" s="2613"/>
      <c r="KX926" s="2613"/>
      <c r="KY926" s="2613"/>
      <c r="KZ926" s="2613"/>
      <c r="LA926" s="2613"/>
      <c r="LB926" s="2613"/>
      <c r="LC926" s="2613"/>
      <c r="LD926" s="2613"/>
      <c r="LE926" s="2613"/>
      <c r="LF926" s="2613"/>
      <c r="LG926" s="2613"/>
      <c r="LH926" s="2613"/>
      <c r="LI926" s="2613"/>
      <c r="LJ926" s="2613"/>
      <c r="LK926" s="2613"/>
      <c r="LL926" s="2613"/>
      <c r="LM926" s="2613"/>
      <c r="LN926" s="2613"/>
      <c r="LO926" s="2613"/>
      <c r="LP926" s="2613"/>
      <c r="LQ926" s="2613"/>
    </row>
    <row r="927" spans="1:329" ht="12" customHeight="1">
      <c r="B927" s="2494" t="s">
        <v>2115</v>
      </c>
      <c r="C927" s="2408"/>
      <c r="D927" s="2408"/>
      <c r="E927" s="2408"/>
      <c r="F927" s="2408"/>
      <c r="H927" s="2684"/>
      <c r="I927" s="2684"/>
      <c r="K927" s="2681"/>
      <c r="L927" s="2681"/>
      <c r="M927" s="2681"/>
      <c r="N927" s="2681"/>
      <c r="O927" s="2681"/>
      <c r="P927" s="2681"/>
      <c r="Q927" s="2408"/>
      <c r="S927" s="2498" t="str">
        <f>B927</f>
        <v>Unit Square Footage:</v>
      </c>
      <c r="T927" s="2498"/>
      <c r="U927" s="2498"/>
      <c r="X927" s="2408"/>
      <c r="AA927" s="2408"/>
      <c r="AB927" s="512"/>
      <c r="AC927" s="2408"/>
      <c r="AF927" s="2408"/>
      <c r="AG927" s="512"/>
      <c r="AH927" s="2408"/>
      <c r="AK927" s="2408"/>
      <c r="AL927" s="512"/>
      <c r="AM927" s="2408"/>
      <c r="AP927" s="2408"/>
      <c r="AQ927" s="512"/>
      <c r="AR927" s="2408"/>
      <c r="AS927" s="2408"/>
      <c r="AT927" s="2408"/>
      <c r="AU927" s="2408"/>
      <c r="AV927" s="2408"/>
      <c r="AW927" s="2408"/>
      <c r="AY927" s="2408"/>
      <c r="BB927" s="2408"/>
      <c r="BD927" s="2408"/>
      <c r="JW927" s="2613"/>
      <c r="KB927" s="2613"/>
      <c r="KC927" s="2613"/>
      <c r="KD927" s="2613"/>
      <c r="KE927" s="2613"/>
      <c r="KF927" s="2613"/>
      <c r="KG927" s="2613"/>
      <c r="KH927" s="2613"/>
      <c r="KI927" s="2613"/>
      <c r="KJ927" s="2613"/>
      <c r="KK927" s="2613"/>
      <c r="KL927" s="2613"/>
      <c r="KM927" s="2613"/>
      <c r="KN927" s="2613"/>
      <c r="KO927" s="2613"/>
      <c r="KP927" s="2613"/>
      <c r="KQ927" s="2613"/>
      <c r="KR927" s="2613"/>
      <c r="KS927" s="2613"/>
      <c r="KT927" s="2613"/>
      <c r="KU927" s="2613"/>
      <c r="KV927" s="2613"/>
      <c r="KW927" s="2613"/>
      <c r="KX927" s="2613"/>
      <c r="KY927" s="2613"/>
      <c r="KZ927" s="2613"/>
      <c r="LA927" s="2613"/>
      <c r="LB927" s="2613"/>
      <c r="LC927" s="2613"/>
      <c r="LD927" s="2613"/>
      <c r="LE927" s="2613"/>
      <c r="LF927" s="2613"/>
      <c r="LG927" s="2613"/>
      <c r="LH927" s="2613"/>
      <c r="LI927" s="2613"/>
      <c r="LJ927" s="2613"/>
      <c r="LK927" s="2613"/>
      <c r="LL927" s="2613"/>
      <c r="LM927" s="2613"/>
      <c r="LN927" s="2613"/>
      <c r="LO927" s="2613"/>
      <c r="LP927" s="2613"/>
      <c r="LQ927" s="2613"/>
    </row>
    <row r="928" spans="1:329" ht="14.25" customHeight="1">
      <c r="C928" s="2408" t="s">
        <v>2086</v>
      </c>
      <c r="D928" s="2408"/>
      <c r="E928" s="2408"/>
      <c r="F928" s="2408"/>
      <c r="H928" s="2650" t="s">
        <v>4127</v>
      </c>
      <c r="I928" s="2618"/>
      <c r="K928" s="2689">
        <f>EI817</f>
        <v>0</v>
      </c>
      <c r="L928" s="2689">
        <f>EJ817</f>
        <v>0</v>
      </c>
      <c r="M928" s="2689">
        <f>EK817</f>
        <v>0</v>
      </c>
      <c r="N928" s="2689">
        <f>EL817</f>
        <v>0</v>
      </c>
      <c r="O928" s="2689">
        <f>EM817</f>
        <v>0</v>
      </c>
      <c r="P928" s="2693">
        <f t="shared" ref="P928:P934" si="385">SUM(K928:O928)</f>
        <v>0</v>
      </c>
      <c r="Q928" s="2660" t="str">
        <f t="shared" ref="Q928:Q934" si="386">IF(OR(P825=0,P825=""),"",P928/P825)</f>
        <v/>
      </c>
      <c r="S928" s="2607"/>
      <c r="T928" s="2607"/>
      <c r="U928" s="2607"/>
      <c r="V928" s="2607"/>
      <c r="W928" s="2607"/>
      <c r="X928" s="2408"/>
      <c r="AA928" s="2408"/>
      <c r="AB928" s="512"/>
      <c r="AC928" s="2408"/>
      <c r="AF928" s="2408"/>
      <c r="AG928" s="512"/>
      <c r="AH928" s="2408"/>
      <c r="AK928" s="2408"/>
      <c r="AL928" s="512"/>
      <c r="AM928" s="2408"/>
      <c r="AP928" s="2408"/>
      <c r="AQ928" s="512"/>
      <c r="AR928" s="513"/>
      <c r="AS928" s="513"/>
      <c r="AT928" s="513"/>
      <c r="AU928" s="513"/>
      <c r="AV928" s="513"/>
      <c r="AW928" s="513"/>
      <c r="AY928" s="2408"/>
      <c r="BB928" s="513"/>
      <c r="BD928" s="2408"/>
      <c r="JW928" s="2613"/>
      <c r="KB928" s="2613"/>
      <c r="KC928" s="2613"/>
      <c r="KD928" s="2613"/>
      <c r="KE928" s="2613"/>
      <c r="KF928" s="2613"/>
      <c r="KG928" s="2613"/>
      <c r="KH928" s="2613"/>
      <c r="KI928" s="2613"/>
      <c r="KJ928" s="2613"/>
      <c r="KK928" s="2613"/>
      <c r="KL928" s="2613"/>
      <c r="KM928" s="2613"/>
      <c r="KN928" s="2613"/>
      <c r="KO928" s="2613"/>
      <c r="KP928" s="2613"/>
      <c r="KQ928" s="2613"/>
      <c r="KR928" s="2613"/>
      <c r="KS928" s="2613"/>
      <c r="KT928" s="2613"/>
      <c r="KU928" s="2613"/>
      <c r="KV928" s="2613"/>
      <c r="KW928" s="2613"/>
      <c r="KX928" s="2613"/>
      <c r="KY928" s="2613"/>
      <c r="KZ928" s="2613"/>
      <c r="LA928" s="2613"/>
      <c r="LB928" s="2613"/>
      <c r="LC928" s="2613"/>
      <c r="LD928" s="2613"/>
      <c r="LE928" s="2613"/>
      <c r="LF928" s="2613"/>
      <c r="LG928" s="2613"/>
      <c r="LH928" s="2613"/>
      <c r="LI928" s="2613"/>
      <c r="LJ928" s="2613"/>
      <c r="LK928" s="2613"/>
      <c r="LL928" s="2613"/>
      <c r="LM928" s="2613"/>
      <c r="LN928" s="2613"/>
      <c r="LO928" s="2613"/>
      <c r="LP928" s="2613"/>
      <c r="LQ928" s="2613"/>
    </row>
    <row r="929" spans="1:329" ht="14.25" customHeight="1">
      <c r="C929" s="2408"/>
      <c r="D929" s="2408"/>
      <c r="E929" s="2408"/>
      <c r="F929" s="2408"/>
      <c r="H929" s="2691" t="s">
        <v>4128</v>
      </c>
      <c r="I929" s="2684"/>
      <c r="K929" s="2693">
        <f>EN817</f>
        <v>0</v>
      </c>
      <c r="L929" s="2693">
        <f>EO817</f>
        <v>0</v>
      </c>
      <c r="M929" s="2693">
        <f>EP817</f>
        <v>0</v>
      </c>
      <c r="N929" s="2693">
        <f>EQ817</f>
        <v>0</v>
      </c>
      <c r="O929" s="2693">
        <f>ER817</f>
        <v>0</v>
      </c>
      <c r="P929" s="2693">
        <f t="shared" si="385"/>
        <v>0</v>
      </c>
      <c r="Q929" s="2660" t="str">
        <f t="shared" si="386"/>
        <v/>
      </c>
      <c r="S929" s="2607"/>
      <c r="T929" s="2607"/>
      <c r="U929" s="2607"/>
      <c r="V929" s="2607"/>
      <c r="W929" s="2607"/>
      <c r="X929" s="2408"/>
      <c r="AA929" s="2408"/>
      <c r="AB929" s="512"/>
      <c r="AC929" s="2408"/>
      <c r="AF929" s="2408"/>
      <c r="AG929" s="512"/>
      <c r="AH929" s="2408"/>
      <c r="AK929" s="2408"/>
      <c r="AL929" s="512"/>
      <c r="AM929" s="2408"/>
      <c r="AP929" s="2408"/>
      <c r="AQ929" s="512"/>
      <c r="AR929" s="513"/>
      <c r="AS929" s="513"/>
      <c r="AT929" s="513"/>
      <c r="AU929" s="513"/>
      <c r="AV929" s="513"/>
      <c r="AW929" s="513"/>
      <c r="AY929" s="2408"/>
      <c r="BB929" s="513"/>
      <c r="BD929" s="2408"/>
      <c r="JW929" s="2613"/>
      <c r="KB929" s="2613"/>
      <c r="KC929" s="2613"/>
      <c r="KD929" s="2613"/>
      <c r="KE929" s="2613"/>
      <c r="KF929" s="2613"/>
      <c r="KG929" s="2613"/>
      <c r="KH929" s="2613"/>
      <c r="KI929" s="2613"/>
      <c r="KJ929" s="2613"/>
      <c r="KK929" s="2613"/>
      <c r="KL929" s="2613"/>
      <c r="KM929" s="2613"/>
      <c r="KN929" s="2613"/>
      <c r="KO929" s="2613"/>
      <c r="KP929" s="2613"/>
      <c r="KQ929" s="2613"/>
      <c r="KR929" s="2613"/>
      <c r="KS929" s="2613"/>
      <c r="KT929" s="2613"/>
      <c r="KU929" s="2613"/>
      <c r="KV929" s="2613"/>
      <c r="KW929" s="2613"/>
      <c r="KX929" s="2613"/>
      <c r="KY929" s="2613"/>
      <c r="KZ929" s="2613"/>
      <c r="LA929" s="2613"/>
      <c r="LB929" s="2613"/>
      <c r="LC929" s="2613"/>
      <c r="LD929" s="2613"/>
      <c r="LE929" s="2613"/>
      <c r="LF929" s="2613"/>
      <c r="LG929" s="2613"/>
      <c r="LH929" s="2613"/>
      <c r="LI929" s="2613"/>
      <c r="LJ929" s="2613"/>
      <c r="LK929" s="2613"/>
      <c r="LL929" s="2613"/>
      <c r="LM929" s="2613"/>
      <c r="LN929" s="2613"/>
      <c r="LO929" s="2613"/>
      <c r="LP929" s="2613"/>
      <c r="LQ929" s="2613"/>
    </row>
    <row r="930" spans="1:329" ht="14.25" customHeight="1">
      <c r="C930" s="2408"/>
      <c r="D930" s="2408"/>
      <c r="E930" s="2408"/>
      <c r="F930" s="2408"/>
      <c r="H930" s="2691" t="s">
        <v>1127</v>
      </c>
      <c r="I930" s="2684"/>
      <c r="K930" s="2693">
        <f>ES817</f>
        <v>0</v>
      </c>
      <c r="L930" s="2693">
        <f>ET817</f>
        <v>14040</v>
      </c>
      <c r="M930" s="2693">
        <f>EU817</f>
        <v>113950</v>
      </c>
      <c r="N930" s="2693">
        <f>EV817</f>
        <v>94240</v>
      </c>
      <c r="O930" s="2693">
        <f>EW817</f>
        <v>0</v>
      </c>
      <c r="P930" s="2693">
        <f t="shared" si="385"/>
        <v>222230</v>
      </c>
      <c r="Q930" s="2660">
        <f t="shared" si="386"/>
        <v>1111.1500000000001</v>
      </c>
      <c r="S930" s="2607"/>
      <c r="T930" s="2607"/>
      <c r="U930" s="2607"/>
      <c r="V930" s="2607"/>
      <c r="W930" s="2607"/>
      <c r="X930" s="2408"/>
      <c r="AA930" s="2408"/>
      <c r="AB930" s="512"/>
      <c r="AC930" s="2408"/>
      <c r="AF930" s="2408"/>
      <c r="AG930" s="512"/>
      <c r="AH930" s="2408"/>
      <c r="AK930" s="2408"/>
      <c r="AL930" s="512"/>
      <c r="AM930" s="2408"/>
      <c r="AP930" s="2408"/>
      <c r="AQ930" s="512"/>
      <c r="AR930" s="513"/>
      <c r="AS930" s="513"/>
      <c r="AT930" s="513"/>
      <c r="AU930" s="513"/>
      <c r="AV930" s="513"/>
      <c r="AW930" s="513"/>
      <c r="AY930" s="2408"/>
      <c r="BB930" s="513"/>
      <c r="BD930" s="2408"/>
      <c r="JW930" s="2613"/>
      <c r="KB930" s="2613"/>
      <c r="KC930" s="2613"/>
      <c r="KD930" s="2613"/>
      <c r="KE930" s="2613"/>
      <c r="KF930" s="2613"/>
      <c r="KG930" s="2613"/>
      <c r="KH930" s="2613"/>
      <c r="KI930" s="2613"/>
      <c r="KJ930" s="2613"/>
      <c r="KK930" s="2613"/>
      <c r="KL930" s="2613"/>
      <c r="KM930" s="2613"/>
      <c r="KN930" s="2613"/>
      <c r="KO930" s="2613"/>
      <c r="KP930" s="2613"/>
      <c r="KQ930" s="2613"/>
      <c r="KR930" s="2613"/>
      <c r="KS930" s="2613"/>
      <c r="KT930" s="2613"/>
      <c r="KU930" s="2613"/>
      <c r="KV930" s="2613"/>
      <c r="KW930" s="2613"/>
      <c r="KX930" s="2613"/>
      <c r="KY930" s="2613"/>
      <c r="KZ930" s="2613"/>
      <c r="LA930" s="2613"/>
      <c r="LB930" s="2613"/>
      <c r="LC930" s="2613"/>
      <c r="LD930" s="2613"/>
      <c r="LE930" s="2613"/>
      <c r="LF930" s="2613"/>
      <c r="LG930" s="2613"/>
      <c r="LH930" s="2613"/>
      <c r="LI930" s="2613"/>
      <c r="LJ930" s="2613"/>
      <c r="LK930" s="2613"/>
      <c r="LL930" s="2613"/>
      <c r="LM930" s="2613"/>
      <c r="LN930" s="2613"/>
      <c r="LO930" s="2613"/>
      <c r="LP930" s="2613"/>
      <c r="LQ930" s="2613"/>
    </row>
    <row r="931" spans="1:329" ht="14.25" customHeight="1">
      <c r="C931" s="2408"/>
      <c r="D931" s="2408"/>
      <c r="E931" s="2408"/>
      <c r="F931" s="2408"/>
      <c r="H931" s="2691" t="s">
        <v>115</v>
      </c>
      <c r="I931" s="2684"/>
      <c r="K931" s="2693">
        <f>EX817</f>
        <v>0</v>
      </c>
      <c r="L931" s="2693">
        <f>EY817</f>
        <v>0</v>
      </c>
      <c r="M931" s="2693">
        <f>EZ817</f>
        <v>0</v>
      </c>
      <c r="N931" s="2693">
        <f>FA817</f>
        <v>0</v>
      </c>
      <c r="O931" s="2693">
        <f>FB817</f>
        <v>0</v>
      </c>
      <c r="P931" s="2693">
        <f t="shared" si="385"/>
        <v>0</v>
      </c>
      <c r="Q931" s="2660" t="str">
        <f t="shared" si="386"/>
        <v/>
      </c>
      <c r="S931" s="2607"/>
      <c r="T931" s="2607"/>
      <c r="U931" s="2607"/>
      <c r="V931" s="2607"/>
      <c r="W931" s="2607"/>
      <c r="X931" s="2408"/>
      <c r="AA931" s="2408"/>
      <c r="AB931" s="512"/>
      <c r="AC931" s="2408"/>
      <c r="AF931" s="2408"/>
      <c r="AG931" s="512"/>
      <c r="AH931" s="2408"/>
      <c r="AK931" s="2408"/>
      <c r="AL931" s="512"/>
      <c r="AM931" s="2408"/>
      <c r="AP931" s="2408"/>
      <c r="AQ931" s="512"/>
      <c r="AR931" s="513"/>
      <c r="AS931" s="513"/>
      <c r="AT931" s="513"/>
      <c r="AU931" s="513"/>
      <c r="AV931" s="513"/>
      <c r="AW931" s="513"/>
      <c r="AY931" s="2408"/>
      <c r="BB931" s="513"/>
      <c r="BD931" s="2408"/>
      <c r="JW931" s="2613"/>
      <c r="KB931" s="2613"/>
      <c r="KC931" s="2613"/>
      <c r="KD931" s="2613"/>
      <c r="KE931" s="2613"/>
      <c r="KF931" s="2613"/>
      <c r="KG931" s="2613"/>
      <c r="KH931" s="2613"/>
      <c r="KI931" s="2613"/>
      <c r="KJ931" s="2613"/>
      <c r="KK931" s="2613"/>
      <c r="KL931" s="2613"/>
      <c r="KM931" s="2613"/>
      <c r="KN931" s="2613"/>
      <c r="KO931" s="2613"/>
      <c r="KP931" s="2613"/>
      <c r="KQ931" s="2613"/>
      <c r="KR931" s="2613"/>
      <c r="KS931" s="2613"/>
      <c r="KT931" s="2613"/>
      <c r="KU931" s="2613"/>
      <c r="KV931" s="2613"/>
      <c r="KW931" s="2613"/>
      <c r="KX931" s="2613"/>
      <c r="KY931" s="2613"/>
      <c r="KZ931" s="2613"/>
      <c r="LA931" s="2613"/>
      <c r="LB931" s="2613"/>
      <c r="LC931" s="2613"/>
      <c r="LD931" s="2613"/>
      <c r="LE931" s="2613"/>
      <c r="LF931" s="2613"/>
      <c r="LG931" s="2613"/>
      <c r="LH931" s="2613"/>
      <c r="LI931" s="2613"/>
      <c r="LJ931" s="2613"/>
      <c r="LK931" s="2613"/>
      <c r="LL931" s="2613"/>
      <c r="LM931" s="2613"/>
      <c r="LN931" s="2613"/>
      <c r="LO931" s="2613"/>
      <c r="LP931" s="2613"/>
      <c r="LQ931" s="2613"/>
    </row>
    <row r="932" spans="1:329" ht="14.25" customHeight="1">
      <c r="C932" s="2408"/>
      <c r="D932" s="2408"/>
      <c r="E932" s="2408"/>
      <c r="F932" s="2408"/>
      <c r="H932" s="2691" t="s">
        <v>4129</v>
      </c>
      <c r="I932" s="2684"/>
      <c r="K932" s="2693">
        <f>FC817</f>
        <v>0</v>
      </c>
      <c r="L932" s="2693">
        <f>FD817</f>
        <v>0</v>
      </c>
      <c r="M932" s="2693">
        <f>FE817</f>
        <v>0</v>
      </c>
      <c r="N932" s="2693">
        <f>FF817</f>
        <v>0</v>
      </c>
      <c r="O932" s="2693">
        <f>FG817</f>
        <v>0</v>
      </c>
      <c r="P932" s="2693">
        <f t="shared" si="385"/>
        <v>0</v>
      </c>
      <c r="Q932" s="2660" t="str">
        <f t="shared" si="386"/>
        <v/>
      </c>
      <c r="S932" s="2607"/>
      <c r="T932" s="2607"/>
      <c r="U932" s="2607"/>
      <c r="V932" s="2607"/>
      <c r="W932" s="2607"/>
      <c r="X932" s="2408"/>
      <c r="AA932" s="2408"/>
      <c r="AB932" s="512"/>
      <c r="AC932" s="2408"/>
      <c r="AF932" s="2408"/>
      <c r="AG932" s="512"/>
      <c r="AH932" s="2408"/>
      <c r="AK932" s="2408"/>
      <c r="AL932" s="512"/>
      <c r="AM932" s="2408"/>
      <c r="AP932" s="2408"/>
      <c r="AQ932" s="512"/>
      <c r="AR932" s="513"/>
      <c r="AS932" s="513"/>
      <c r="AT932" s="513"/>
      <c r="AU932" s="513"/>
      <c r="AV932" s="513"/>
      <c r="AW932" s="513"/>
      <c r="AY932" s="2408"/>
      <c r="BB932" s="513"/>
      <c r="BD932" s="2408"/>
      <c r="JW932" s="2613"/>
      <c r="KB932" s="2613"/>
      <c r="KC932" s="2613"/>
      <c r="KD932" s="2613"/>
      <c r="KE932" s="2613"/>
      <c r="KF932" s="2613"/>
      <c r="KG932" s="2613"/>
      <c r="KH932" s="2613"/>
      <c r="KI932" s="2613"/>
      <c r="KJ932" s="2613"/>
      <c r="KK932" s="2613"/>
      <c r="KL932" s="2613"/>
      <c r="KM932" s="2613"/>
      <c r="KN932" s="2613"/>
      <c r="KO932" s="2613"/>
      <c r="KP932" s="2613"/>
      <c r="KQ932" s="2613"/>
      <c r="KR932" s="2613"/>
      <c r="KS932" s="2613"/>
      <c r="KT932" s="2613"/>
      <c r="KU932" s="2613"/>
      <c r="KV932" s="2613"/>
      <c r="KW932" s="2613"/>
      <c r="KX932" s="2613"/>
      <c r="KY932" s="2613"/>
      <c r="KZ932" s="2613"/>
      <c r="LA932" s="2613"/>
      <c r="LB932" s="2613"/>
      <c r="LC932" s="2613"/>
      <c r="LD932" s="2613"/>
      <c r="LE932" s="2613"/>
      <c r="LF932" s="2613"/>
      <c r="LG932" s="2613"/>
      <c r="LH932" s="2613"/>
      <c r="LI932" s="2613"/>
      <c r="LJ932" s="2613"/>
      <c r="LK932" s="2613"/>
      <c r="LL932" s="2613"/>
      <c r="LM932" s="2613"/>
      <c r="LN932" s="2613"/>
      <c r="LO932" s="2613"/>
      <c r="LP932" s="2613"/>
      <c r="LQ932" s="2613"/>
    </row>
    <row r="933" spans="1:329" ht="14.25" customHeight="1">
      <c r="C933" s="2408"/>
      <c r="D933" s="2408"/>
      <c r="E933" s="2408"/>
      <c r="F933" s="2408"/>
      <c r="H933" s="2691" t="s">
        <v>4130</v>
      </c>
      <c r="I933" s="2684"/>
      <c r="K933" s="2693">
        <f>FH817</f>
        <v>0</v>
      </c>
      <c r="L933" s="2693">
        <f>FI817</f>
        <v>0</v>
      </c>
      <c r="M933" s="2693">
        <f>FJ817</f>
        <v>0</v>
      </c>
      <c r="N933" s="2693">
        <f>FK817</f>
        <v>0</v>
      </c>
      <c r="O933" s="2693">
        <f>FL817</f>
        <v>0</v>
      </c>
      <c r="P933" s="2693">
        <f t="shared" si="385"/>
        <v>0</v>
      </c>
      <c r="Q933" s="2660" t="str">
        <f t="shared" si="386"/>
        <v/>
      </c>
      <c r="S933" s="2607"/>
      <c r="T933" s="2607"/>
      <c r="U933" s="2607"/>
      <c r="V933" s="2607"/>
      <c r="W933" s="2607"/>
      <c r="X933" s="2408"/>
      <c r="AA933" s="2408"/>
      <c r="AB933" s="512"/>
      <c r="AC933" s="2408"/>
      <c r="AF933" s="2408"/>
      <c r="AG933" s="512"/>
      <c r="AH933" s="2408"/>
      <c r="AK933" s="2408"/>
      <c r="AL933" s="512"/>
      <c r="AM933" s="2408"/>
      <c r="AP933" s="2408"/>
      <c r="AQ933" s="512"/>
      <c r="AR933" s="513"/>
      <c r="AS933" s="513"/>
      <c r="AT933" s="513"/>
      <c r="AU933" s="513"/>
      <c r="AV933" s="513"/>
      <c r="AW933" s="513"/>
      <c r="AY933" s="2408"/>
      <c r="BB933" s="513"/>
      <c r="BD933" s="2408"/>
      <c r="JW933" s="2613"/>
      <c r="KB933" s="2613"/>
      <c r="KC933" s="2613"/>
      <c r="KD933" s="2613"/>
      <c r="KE933" s="2613"/>
      <c r="KF933" s="2613"/>
      <c r="KG933" s="2613"/>
      <c r="KH933" s="2613"/>
      <c r="KI933" s="2613"/>
      <c r="KJ933" s="2613"/>
      <c r="KK933" s="2613"/>
      <c r="KL933" s="2613"/>
      <c r="KM933" s="2613"/>
      <c r="KN933" s="2613"/>
      <c r="KO933" s="2613"/>
      <c r="KP933" s="2613"/>
      <c r="KQ933" s="2613"/>
      <c r="KR933" s="2613"/>
      <c r="KS933" s="2613"/>
      <c r="KT933" s="2613"/>
      <c r="KU933" s="2613"/>
      <c r="KV933" s="2613"/>
      <c r="KW933" s="2613"/>
      <c r="KX933" s="2613"/>
      <c r="KY933" s="2613"/>
      <c r="KZ933" s="2613"/>
      <c r="LA933" s="2613"/>
      <c r="LB933" s="2613"/>
      <c r="LC933" s="2613"/>
      <c r="LD933" s="2613"/>
      <c r="LE933" s="2613"/>
      <c r="LF933" s="2613"/>
      <c r="LG933" s="2613"/>
      <c r="LH933" s="2613"/>
      <c r="LI933" s="2613"/>
      <c r="LJ933" s="2613"/>
      <c r="LK933" s="2613"/>
      <c r="LL933" s="2613"/>
      <c r="LM933" s="2613"/>
      <c r="LN933" s="2613"/>
      <c r="LO933" s="2613"/>
      <c r="LP933" s="2613"/>
      <c r="LQ933" s="2613"/>
    </row>
    <row r="934" spans="1:329" ht="14.25" customHeight="1">
      <c r="C934" s="2408"/>
      <c r="D934" s="2408"/>
      <c r="E934" s="2408"/>
      <c r="F934" s="2408"/>
      <c r="H934" s="2650" t="s">
        <v>4131</v>
      </c>
      <c r="I934" s="2618"/>
      <c r="K934" s="2689">
        <f>FM817</f>
        <v>0</v>
      </c>
      <c r="L934" s="2689">
        <f>FN817</f>
        <v>0</v>
      </c>
      <c r="M934" s="2689">
        <f>FO817</f>
        <v>0</v>
      </c>
      <c r="N934" s="2689">
        <f>FP817</f>
        <v>0</v>
      </c>
      <c r="O934" s="2689">
        <f>FQ817</f>
        <v>0</v>
      </c>
      <c r="P934" s="2693">
        <f t="shared" si="385"/>
        <v>0</v>
      </c>
      <c r="Q934" s="2660" t="str">
        <f t="shared" si="386"/>
        <v/>
      </c>
      <c r="S934" s="2607"/>
      <c r="T934" s="2607"/>
      <c r="U934" s="2607"/>
      <c r="V934" s="2607"/>
      <c r="W934" s="2607"/>
      <c r="X934" s="2408"/>
      <c r="AA934" s="2408"/>
      <c r="AB934" s="512"/>
      <c r="AC934" s="2408"/>
      <c r="AF934" s="2408"/>
      <c r="AG934" s="512"/>
      <c r="AH934" s="2408"/>
      <c r="AK934" s="2408"/>
      <c r="AL934" s="512"/>
      <c r="AM934" s="2408"/>
      <c r="AP934" s="2408"/>
      <c r="AQ934" s="512"/>
      <c r="AR934" s="513"/>
      <c r="AS934" s="513"/>
      <c r="AT934" s="513"/>
      <c r="AU934" s="513"/>
      <c r="AV934" s="513"/>
      <c r="AW934" s="513"/>
      <c r="AX934" s="2408"/>
      <c r="AY934" s="2408"/>
      <c r="BB934" s="513"/>
      <c r="BC934" s="2408"/>
      <c r="BD934" s="2408"/>
      <c r="JW934" s="2613"/>
      <c r="KB934" s="2613"/>
      <c r="KC934" s="2613"/>
      <c r="KD934" s="2613"/>
      <c r="KE934" s="2613"/>
      <c r="KF934" s="2613"/>
      <c r="KG934" s="2613"/>
      <c r="KH934" s="2613"/>
      <c r="KI934" s="2613"/>
      <c r="KJ934" s="2613"/>
      <c r="KK934" s="2613"/>
      <c r="KL934" s="2613"/>
      <c r="KM934" s="2613"/>
      <c r="KN934" s="2613"/>
      <c r="KO934" s="2613"/>
      <c r="KP934" s="2613"/>
      <c r="KQ934" s="2613"/>
      <c r="KR934" s="2613"/>
      <c r="KS934" s="2613"/>
      <c r="KT934" s="2613"/>
      <c r="KU934" s="2613"/>
      <c r="KV934" s="2613"/>
      <c r="KW934" s="2613"/>
      <c r="KX934" s="2613"/>
      <c r="KY934" s="2613"/>
      <c r="KZ934" s="2613"/>
      <c r="LA934" s="2613"/>
      <c r="LB934" s="2613"/>
      <c r="LC934" s="2613"/>
      <c r="LD934" s="2613"/>
      <c r="LE934" s="2613"/>
      <c r="LF934" s="2613"/>
      <c r="LG934" s="2613"/>
      <c r="LH934" s="2613"/>
      <c r="LI934" s="2613"/>
      <c r="LJ934" s="2613"/>
      <c r="LK934" s="2613"/>
      <c r="LL934" s="2613"/>
      <c r="LM934" s="2613"/>
      <c r="LN934" s="2613"/>
      <c r="LO934" s="2613"/>
      <c r="LP934" s="2613"/>
      <c r="LQ934" s="2613"/>
    </row>
    <row r="935" spans="1:329" ht="14.25" customHeight="1">
      <c r="C935" s="2408"/>
      <c r="D935" s="2408"/>
      <c r="E935" s="2408"/>
      <c r="F935" s="2408"/>
      <c r="H935" s="2691" t="s">
        <v>4212</v>
      </c>
      <c r="I935" s="2684"/>
      <c r="K935" s="2693">
        <f>SUM(K928:K934)</f>
        <v>0</v>
      </c>
      <c r="L935" s="2693">
        <f>SUM(L928:L934)</f>
        <v>14040</v>
      </c>
      <c r="M935" s="2693">
        <f>SUM(M928:M934)</f>
        <v>113950</v>
      </c>
      <c r="N935" s="2693">
        <f>SUM(N928:N934)</f>
        <v>94240</v>
      </c>
      <c r="O935" s="2693">
        <f>SUM(O928:O934)</f>
        <v>0</v>
      </c>
      <c r="P935" s="2693">
        <f>SUM(K935:O935)</f>
        <v>222230</v>
      </c>
      <c r="S935" s="2607"/>
      <c r="T935" s="2607"/>
      <c r="U935" s="2607"/>
      <c r="V935" s="2607"/>
      <c r="W935" s="2607"/>
      <c r="X935" s="2408"/>
      <c r="AA935" s="2408"/>
      <c r="AB935" s="512"/>
      <c r="AC935" s="2408"/>
      <c r="AF935" s="2408"/>
      <c r="AG935" s="512"/>
      <c r="AH935" s="2408"/>
      <c r="AK935" s="2408"/>
      <c r="AL935" s="512"/>
      <c r="AM935" s="2408"/>
      <c r="AP935" s="2408"/>
      <c r="AQ935" s="512"/>
      <c r="AR935" s="513"/>
      <c r="AS935" s="513"/>
      <c r="AT935" s="513"/>
      <c r="AU935" s="513"/>
      <c r="AV935" s="513"/>
      <c r="AW935" s="513"/>
      <c r="AX935" s="2408"/>
      <c r="AY935" s="2408"/>
      <c r="BB935" s="513"/>
      <c r="BC935" s="2408"/>
      <c r="BD935" s="2408"/>
      <c r="JW935" s="2613"/>
      <c r="KB935" s="2613"/>
      <c r="KC935" s="2613"/>
      <c r="KD935" s="2613"/>
      <c r="KE935" s="2613"/>
      <c r="KF935" s="2613"/>
      <c r="KG935" s="2613"/>
      <c r="KH935" s="2613"/>
      <c r="KI935" s="2613"/>
      <c r="KJ935" s="2613"/>
      <c r="KK935" s="2613"/>
      <c r="KL935" s="2613"/>
      <c r="KM935" s="2613"/>
      <c r="KN935" s="2613"/>
      <c r="KO935" s="2613"/>
      <c r="KP935" s="2613"/>
      <c r="KQ935" s="2613"/>
      <c r="KR935" s="2613"/>
      <c r="KS935" s="2613"/>
      <c r="KT935" s="2613"/>
      <c r="KU935" s="2613"/>
      <c r="KV935" s="2613"/>
      <c r="KW935" s="2613"/>
      <c r="KX935" s="2613"/>
      <c r="KY935" s="2613"/>
      <c r="KZ935" s="2613"/>
      <c r="LA935" s="2613"/>
      <c r="LB935" s="2613"/>
      <c r="LC935" s="2613"/>
      <c r="LD935" s="2613"/>
      <c r="LE935" s="2613"/>
      <c r="LF935" s="2613"/>
      <c r="LG935" s="2613"/>
      <c r="LH935" s="2613"/>
      <c r="LI935" s="2613"/>
      <c r="LJ935" s="2613"/>
      <c r="LK935" s="2613"/>
      <c r="LL935" s="2613"/>
      <c r="LM935" s="2613"/>
      <c r="LN935" s="2613"/>
      <c r="LO935" s="2613"/>
      <c r="LP935" s="2613"/>
      <c r="LQ935" s="2613"/>
    </row>
    <row r="936" spans="1:329" ht="14.25" customHeight="1">
      <c r="C936" s="2408" t="s">
        <v>298</v>
      </c>
      <c r="D936" s="2408"/>
      <c r="E936" s="2408"/>
      <c r="F936" s="2408"/>
      <c r="G936" s="2408"/>
      <c r="K936" s="2693">
        <f>FR817</f>
        <v>0</v>
      </c>
      <c r="L936" s="2693">
        <f>FS817</f>
        <v>0</v>
      </c>
      <c r="M936" s="2693">
        <f>FT817</f>
        <v>0</v>
      </c>
      <c r="N936" s="2693">
        <f>FU817</f>
        <v>0</v>
      </c>
      <c r="O936" s="2693">
        <f>FV817</f>
        <v>0</v>
      </c>
      <c r="P936" s="2693">
        <f>SUM(K936:O936)</f>
        <v>0</v>
      </c>
      <c r="Q936" s="2660" t="str">
        <f>IF(OR(P833=0,P833=""),"",P936/P833)</f>
        <v/>
      </c>
      <c r="S936" s="2607"/>
      <c r="T936" s="2607"/>
      <c r="U936" s="2607"/>
      <c r="V936" s="2607"/>
      <c r="W936" s="2607"/>
      <c r="X936" s="2408"/>
      <c r="AA936" s="2408"/>
      <c r="AB936" s="2408"/>
      <c r="AC936" s="2408"/>
      <c r="AF936" s="2408"/>
      <c r="AG936" s="2408"/>
      <c r="AH936" s="2408"/>
      <c r="AK936" s="2408"/>
      <c r="AL936" s="2408"/>
      <c r="AM936" s="2408"/>
      <c r="AP936" s="2408"/>
      <c r="AQ936" s="2408"/>
      <c r="AR936" s="513"/>
      <c r="AS936" s="513"/>
      <c r="AT936" s="513"/>
      <c r="AU936" s="513"/>
      <c r="AV936" s="513"/>
      <c r="AW936" s="513"/>
      <c r="AY936" s="2408"/>
      <c r="BB936" s="513"/>
      <c r="BD936" s="2408"/>
      <c r="JW936" s="2613"/>
      <c r="KB936" s="2613"/>
      <c r="KC936" s="2613"/>
      <c r="KD936" s="2613"/>
      <c r="KE936" s="2613"/>
      <c r="KF936" s="2613"/>
      <c r="KG936" s="2613"/>
      <c r="KH936" s="2613"/>
      <c r="KI936" s="2613"/>
      <c r="KJ936" s="2613"/>
      <c r="KK936" s="2613"/>
      <c r="KL936" s="2613"/>
      <c r="KM936" s="2613"/>
      <c r="KN936" s="2613"/>
      <c r="KO936" s="2613"/>
      <c r="KP936" s="2613"/>
      <c r="KQ936" s="2613"/>
      <c r="KR936" s="2613"/>
      <c r="KS936" s="2613"/>
      <c r="KT936" s="2613"/>
      <c r="KU936" s="2613"/>
      <c r="KV936" s="2613"/>
      <c r="KW936" s="2613"/>
      <c r="KX936" s="2613"/>
      <c r="KY936" s="2613"/>
      <c r="KZ936" s="2613"/>
      <c r="LA936" s="2613"/>
      <c r="LB936" s="2613"/>
      <c r="LC936" s="2613"/>
      <c r="LD936" s="2613"/>
      <c r="LE936" s="2613"/>
      <c r="LF936" s="2613"/>
      <c r="LG936" s="2613"/>
      <c r="LH936" s="2613"/>
      <c r="LI936" s="2613"/>
      <c r="LJ936" s="2613"/>
      <c r="LK936" s="2613"/>
      <c r="LL936" s="2613"/>
      <c r="LM936" s="2613"/>
      <c r="LN936" s="2613"/>
      <c r="LO936" s="2613"/>
      <c r="LP936" s="2613"/>
      <c r="LQ936" s="2613"/>
    </row>
    <row r="937" spans="1:329" ht="14.25" customHeight="1">
      <c r="C937" s="2408" t="s">
        <v>1116</v>
      </c>
      <c r="D937" s="2408"/>
      <c r="E937" s="2408"/>
      <c r="F937" s="2408"/>
      <c r="G937" s="2408"/>
      <c r="K937" s="2693">
        <f>SUM(K935:K936)</f>
        <v>0</v>
      </c>
      <c r="L937" s="2693">
        <f>SUM(L935:L936)</f>
        <v>14040</v>
      </c>
      <c r="M937" s="2693">
        <f>SUM(M935:M936)</f>
        <v>113950</v>
      </c>
      <c r="N937" s="2693">
        <f>SUM(N935:N936)</f>
        <v>94240</v>
      </c>
      <c r="O937" s="2693">
        <f>SUM(O935:O936)</f>
        <v>0</v>
      </c>
      <c r="P937" s="2693">
        <f>SUM(K937:O937)</f>
        <v>222230</v>
      </c>
      <c r="S937" s="2607"/>
      <c r="T937" s="2607"/>
      <c r="U937" s="2607"/>
      <c r="V937" s="2607"/>
      <c r="W937" s="2607"/>
      <c r="X937" s="2408"/>
      <c r="AA937" s="2408"/>
      <c r="AB937" s="2408"/>
      <c r="AC937" s="2408"/>
      <c r="AF937" s="2408"/>
      <c r="AG937" s="2408"/>
      <c r="AH937" s="2408"/>
      <c r="AK937" s="2408"/>
      <c r="AL937" s="2408"/>
      <c r="AM937" s="2408"/>
      <c r="AP937" s="2408"/>
      <c r="AQ937" s="2408"/>
      <c r="AR937" s="513"/>
      <c r="AS937" s="513"/>
      <c r="AT937" s="513"/>
      <c r="AU937" s="513"/>
      <c r="AV937" s="513"/>
      <c r="AW937" s="513"/>
      <c r="AY937" s="2408"/>
      <c r="BB937" s="513"/>
      <c r="BD937" s="2408"/>
      <c r="JW937" s="2613"/>
      <c r="KB937" s="2613"/>
      <c r="KC937" s="2613"/>
      <c r="KD937" s="2613"/>
      <c r="KE937" s="2613"/>
      <c r="KF937" s="2613"/>
      <c r="KG937" s="2613"/>
      <c r="KH937" s="2613"/>
      <c r="KI937" s="2613"/>
      <c r="KJ937" s="2613"/>
      <c r="KK937" s="2613"/>
      <c r="KL937" s="2613"/>
      <c r="KM937" s="2613"/>
      <c r="KN937" s="2613"/>
      <c r="KO937" s="2613"/>
      <c r="KP937" s="2613"/>
      <c r="KQ937" s="2613"/>
      <c r="KR937" s="2613"/>
      <c r="KS937" s="2613"/>
      <c r="KT937" s="2613"/>
      <c r="KU937" s="2613"/>
      <c r="KV937" s="2613"/>
      <c r="KW937" s="2613"/>
      <c r="KX937" s="2613"/>
      <c r="KY937" s="2613"/>
      <c r="KZ937" s="2613"/>
      <c r="LA937" s="2613"/>
      <c r="LB937" s="2613"/>
      <c r="LC937" s="2613"/>
      <c r="LD937" s="2613"/>
      <c r="LE937" s="2613"/>
      <c r="LF937" s="2613"/>
      <c r="LG937" s="2613"/>
      <c r="LH937" s="2613"/>
      <c r="LI937" s="2613"/>
      <c r="LJ937" s="2613"/>
      <c r="LK937" s="2613"/>
      <c r="LL937" s="2613"/>
      <c r="LM937" s="2613"/>
      <c r="LN937" s="2613"/>
      <c r="LO937" s="2613"/>
      <c r="LP937" s="2613"/>
      <c r="LQ937" s="2613"/>
    </row>
    <row r="938" spans="1:329" ht="14.25" customHeight="1">
      <c r="C938" s="2408" t="s">
        <v>2445</v>
      </c>
      <c r="D938" s="2408"/>
      <c r="E938" s="2408"/>
      <c r="F938" s="2408"/>
      <c r="G938" s="2408"/>
      <c r="K938" s="2693">
        <f>GB817</f>
        <v>0</v>
      </c>
      <c r="L938" s="2693">
        <f>GC817</f>
        <v>0</v>
      </c>
      <c r="M938" s="2693">
        <f>GD817</f>
        <v>0</v>
      </c>
      <c r="N938" s="2693">
        <f>GE817</f>
        <v>0</v>
      </c>
      <c r="O938" s="2693">
        <f>GF817</f>
        <v>0</v>
      </c>
      <c r="P938" s="2693">
        <f>SUM(K938:O938)</f>
        <v>0</v>
      </c>
      <c r="Q938" s="2660" t="str">
        <f>IF(OR(P835=0,P835=""),"",P938/P835)</f>
        <v/>
      </c>
      <c r="S938" s="2607"/>
      <c r="T938" s="2607"/>
      <c r="U938" s="2607"/>
      <c r="V938" s="2607"/>
      <c r="W938" s="2607"/>
      <c r="X938" s="2408"/>
      <c r="AA938" s="2408"/>
      <c r="AB938" s="2408"/>
      <c r="AC938" s="2408"/>
      <c r="AF938" s="2408"/>
      <c r="AG938" s="2408"/>
      <c r="AH938" s="2408"/>
      <c r="AK938" s="2408"/>
      <c r="AL938" s="2408"/>
      <c r="AM938" s="2408"/>
      <c r="AP938" s="2408"/>
      <c r="AQ938" s="2408"/>
      <c r="AR938" s="513"/>
      <c r="AS938" s="513"/>
      <c r="AT938" s="513"/>
      <c r="AU938" s="513"/>
      <c r="AV938" s="513"/>
      <c r="AW938" s="513"/>
      <c r="AY938" s="2408"/>
      <c r="BB938" s="513"/>
      <c r="BD938" s="2408"/>
      <c r="JW938" s="2613"/>
      <c r="KB938" s="2613"/>
      <c r="KC938" s="2613"/>
      <c r="KD938" s="2613"/>
      <c r="KE938" s="2613"/>
      <c r="KF938" s="2613"/>
      <c r="KG938" s="2613"/>
      <c r="KH938" s="2613"/>
      <c r="KI938" s="2613"/>
      <c r="KJ938" s="2613"/>
      <c r="KK938" s="2613"/>
      <c r="KL938" s="2613"/>
      <c r="KM938" s="2613"/>
      <c r="KN938" s="2613"/>
      <c r="KO938" s="2613"/>
      <c r="KP938" s="2613"/>
      <c r="KQ938" s="2613"/>
      <c r="KR938" s="2613"/>
      <c r="KS938" s="2613"/>
      <c r="KT938" s="2613"/>
      <c r="KU938" s="2613"/>
      <c r="KV938" s="2613"/>
      <c r="KW938" s="2613"/>
      <c r="KX938" s="2613"/>
      <c r="KY938" s="2613"/>
      <c r="KZ938" s="2613"/>
      <c r="LA938" s="2613"/>
      <c r="LB938" s="2613"/>
      <c r="LC938" s="2613"/>
      <c r="LD938" s="2613"/>
      <c r="LE938" s="2613"/>
      <c r="LF938" s="2613"/>
      <c r="LG938" s="2613"/>
      <c r="LH938" s="2613"/>
      <c r="LI938" s="2613"/>
      <c r="LJ938" s="2613"/>
      <c r="LK938" s="2613"/>
      <c r="LL938" s="2613"/>
      <c r="LM938" s="2613"/>
      <c r="LN938" s="2613"/>
      <c r="LO938" s="2613"/>
      <c r="LP938" s="2613"/>
      <c r="LQ938" s="2613"/>
    </row>
    <row r="939" spans="1:329" ht="14.25" customHeight="1">
      <c r="C939" s="2408" t="s">
        <v>524</v>
      </c>
      <c r="D939" s="2408"/>
      <c r="E939" s="2408"/>
      <c r="F939" s="2408"/>
      <c r="G939" s="2408"/>
      <c r="K939" s="2693">
        <f>SUM(K937:K938)</f>
        <v>0</v>
      </c>
      <c r="L939" s="2693">
        <f>SUM(L937:L938)</f>
        <v>14040</v>
      </c>
      <c r="M939" s="2693">
        <f>SUM(M937:M938)</f>
        <v>113950</v>
      </c>
      <c r="N939" s="2693">
        <f>SUM(N937:N938)</f>
        <v>94240</v>
      </c>
      <c r="O939" s="2693">
        <f>SUM(O937:O938)</f>
        <v>0</v>
      </c>
      <c r="P939" s="2693">
        <f>SUM(K939:O939)</f>
        <v>222230</v>
      </c>
      <c r="S939" s="2607"/>
      <c r="T939" s="2607"/>
      <c r="U939" s="2607"/>
      <c r="V939" s="2607"/>
      <c r="W939" s="2607"/>
      <c r="X939" s="2408"/>
      <c r="AA939" s="2408"/>
      <c r="AB939" s="2408"/>
      <c r="AC939" s="2408"/>
      <c r="AF939" s="2408"/>
      <c r="AG939" s="2408"/>
      <c r="AH939" s="2408"/>
      <c r="AK939" s="2408"/>
      <c r="AL939" s="2408"/>
      <c r="AM939" s="2408"/>
      <c r="AP939" s="2408"/>
      <c r="AQ939" s="2408"/>
      <c r="AR939" s="513"/>
      <c r="AS939" s="513"/>
      <c r="AT939" s="513"/>
      <c r="AU939" s="513"/>
      <c r="AV939" s="513"/>
      <c r="AW939" s="513"/>
      <c r="AY939" s="2408"/>
      <c r="BB939" s="513"/>
      <c r="BD939" s="2408"/>
      <c r="JW939" s="2613"/>
      <c r="KB939" s="2613"/>
      <c r="KC939" s="2613"/>
      <c r="KD939" s="2613"/>
      <c r="KE939" s="2613"/>
      <c r="KF939" s="2613"/>
      <c r="KG939" s="2613"/>
      <c r="KH939" s="2613"/>
      <c r="KI939" s="2613"/>
      <c r="KJ939" s="2613"/>
      <c r="KK939" s="2613"/>
      <c r="KL939" s="2613"/>
      <c r="KM939" s="2613"/>
      <c r="KN939" s="2613"/>
      <c r="KO939" s="2613"/>
      <c r="KP939" s="2613"/>
      <c r="KQ939" s="2613"/>
      <c r="KR939" s="2613"/>
      <c r="KS939" s="2613"/>
      <c r="KT939" s="2613"/>
      <c r="KU939" s="2613"/>
      <c r="KV939" s="2613"/>
      <c r="KW939" s="2613"/>
      <c r="KX939" s="2613"/>
      <c r="KY939" s="2613"/>
      <c r="KZ939" s="2613"/>
      <c r="LA939" s="2613"/>
      <c r="LB939" s="2613"/>
      <c r="LC939" s="2613"/>
      <c r="LD939" s="2613"/>
      <c r="LE939" s="2613"/>
      <c r="LF939" s="2613"/>
      <c r="LG939" s="2613"/>
      <c r="LH939" s="2613"/>
      <c r="LI939" s="2613"/>
      <c r="LJ939" s="2613"/>
      <c r="LK939" s="2613"/>
      <c r="LL939" s="2613"/>
      <c r="LM939" s="2613"/>
      <c r="LN939" s="2613"/>
      <c r="LO939" s="2613"/>
      <c r="LP939" s="2613"/>
      <c r="LQ939" s="2613"/>
    </row>
    <row r="940" spans="1:329" ht="14.1" customHeight="1">
      <c r="JW940" s="2613"/>
      <c r="KB940" s="2613"/>
      <c r="KC940" s="2613"/>
      <c r="KD940" s="2613"/>
      <c r="KE940" s="2613"/>
      <c r="KF940" s="2613"/>
      <c r="KG940" s="2613"/>
      <c r="KH940" s="2613"/>
      <c r="KI940" s="2613"/>
      <c r="KJ940" s="2613"/>
      <c r="KK940" s="2613"/>
      <c r="KL940" s="2613"/>
      <c r="KM940" s="2613"/>
      <c r="KN940" s="2613"/>
      <c r="KO940" s="2613"/>
      <c r="KP940" s="2613"/>
      <c r="KQ940" s="2613"/>
      <c r="KR940" s="2613"/>
      <c r="KS940" s="2613"/>
      <c r="KT940" s="2613"/>
      <c r="KU940" s="2613"/>
      <c r="KV940" s="2613"/>
      <c r="KW940" s="2613"/>
      <c r="KX940" s="2613"/>
      <c r="KY940" s="2613"/>
      <c r="KZ940" s="2613"/>
      <c r="LA940" s="2613"/>
      <c r="LB940" s="2613"/>
      <c r="LC940" s="2613"/>
      <c r="LD940" s="2613"/>
      <c r="LE940" s="2613"/>
      <c r="LF940" s="2613"/>
      <c r="LG940" s="2613"/>
      <c r="LH940" s="2613"/>
      <c r="LI940" s="2613"/>
      <c r="LJ940" s="2613"/>
      <c r="LK940" s="2613"/>
      <c r="LL940" s="2613"/>
      <c r="LM940" s="2613"/>
      <c r="LN940" s="2613"/>
      <c r="LO940" s="2613"/>
      <c r="LP940" s="2613"/>
      <c r="LQ940" s="2613"/>
    </row>
    <row r="941" spans="1:329" s="2408" customFormat="1" ht="14.1" customHeight="1">
      <c r="JW941" s="2652"/>
      <c r="KB941" s="2652"/>
      <c r="KC941" s="2652"/>
      <c r="KD941" s="2652"/>
      <c r="KE941" s="2652"/>
      <c r="KF941" s="2652"/>
      <c r="KG941" s="2652"/>
      <c r="KH941" s="2652"/>
      <c r="KI941" s="2652"/>
      <c r="KJ941" s="2652"/>
      <c r="KK941" s="2652"/>
      <c r="KL941" s="2652"/>
      <c r="KM941" s="2652"/>
      <c r="KN941" s="2652"/>
      <c r="KO941" s="2652"/>
      <c r="KP941" s="2652"/>
      <c r="KQ941" s="2652"/>
      <c r="KR941" s="2652"/>
      <c r="KS941" s="2652"/>
      <c r="KT941" s="2652"/>
      <c r="KU941" s="2652"/>
      <c r="KV941" s="2652"/>
      <c r="KW941" s="2652"/>
      <c r="KX941" s="2652"/>
      <c r="KY941" s="2652"/>
      <c r="KZ941" s="2652"/>
      <c r="LA941" s="2652"/>
      <c r="LB941" s="2652"/>
      <c r="LC941" s="2652"/>
      <c r="LD941" s="2652"/>
      <c r="LE941" s="2652"/>
      <c r="LF941" s="2652"/>
      <c r="LG941" s="2652"/>
      <c r="LH941" s="2652"/>
      <c r="LI941" s="2652"/>
      <c r="LJ941" s="2652"/>
      <c r="LK941" s="2652"/>
      <c r="LL941" s="2652"/>
      <c r="LM941" s="2652"/>
      <c r="LN941" s="2652"/>
      <c r="LO941" s="2652"/>
      <c r="LP941" s="2652"/>
      <c r="LQ941" s="2652"/>
    </row>
    <row r="942" spans="1:329" s="2408" customFormat="1" ht="14.25" customHeight="1">
      <c r="C942" s="2408" t="s">
        <v>6984</v>
      </c>
      <c r="K942" s="2694" t="str">
        <f>IF(OR(K836="",K836=0),"",K939/K836)</f>
        <v/>
      </c>
      <c r="L942" s="2694">
        <f>IF(OR(L836="",L836=0),"",L939/L836)</f>
        <v>780</v>
      </c>
      <c r="M942" s="2694">
        <f>IF(OR(M836="",M836=0),"",M939/M836)</f>
        <v>1075</v>
      </c>
      <c r="N942" s="2694">
        <f>IF(OR(N836="",N836=0),"",N939/N836)</f>
        <v>1240</v>
      </c>
      <c r="O942" s="2694" t="str">
        <f>IF(OR(O836="",O836=0),"",O939/O836)</f>
        <v/>
      </c>
      <c r="P942" s="2694"/>
      <c r="JW942" s="2652"/>
      <c r="KB942" s="2652"/>
      <c r="KC942" s="2652"/>
      <c r="KD942" s="2652"/>
      <c r="KE942" s="2652"/>
      <c r="KF942" s="2652"/>
      <c r="KG942" s="2652"/>
      <c r="KH942" s="2652"/>
      <c r="KI942" s="2652"/>
      <c r="KJ942" s="2652"/>
      <c r="KK942" s="2652"/>
      <c r="KL942" s="2652"/>
      <c r="KM942" s="2652"/>
      <c r="KN942" s="2652"/>
      <c r="KO942" s="2652"/>
      <c r="KP942" s="2652"/>
      <c r="KQ942" s="2652"/>
      <c r="KR942" s="2652"/>
      <c r="KS942" s="2652"/>
      <c r="KT942" s="2652"/>
      <c r="KU942" s="2652"/>
      <c r="KV942" s="2652"/>
      <c r="KW942" s="2652"/>
      <c r="KX942" s="2652"/>
      <c r="KY942" s="2652"/>
      <c r="KZ942" s="2652"/>
      <c r="LA942" s="2652"/>
      <c r="LB942" s="2652"/>
      <c r="LC942" s="2652"/>
      <c r="LD942" s="2652"/>
      <c r="LE942" s="2652"/>
      <c r="LF942" s="2652"/>
      <c r="LG942" s="2652"/>
      <c r="LH942" s="2652"/>
      <c r="LI942" s="2652"/>
      <c r="LJ942" s="2652"/>
      <c r="LK942" s="2652"/>
      <c r="LL942" s="2652"/>
      <c r="LM942" s="2652"/>
      <c r="LN942" s="2652"/>
      <c r="LO942" s="2652"/>
      <c r="LP942" s="2652"/>
      <c r="LQ942" s="2652"/>
    </row>
    <row r="943" spans="1:329" s="2408" customFormat="1" ht="14.1" customHeight="1">
      <c r="JW943" s="2652"/>
      <c r="KB943" s="2652"/>
      <c r="KC943" s="2652"/>
      <c r="KD943" s="2652"/>
      <c r="KE943" s="2652"/>
      <c r="KF943" s="2652"/>
      <c r="KG943" s="2652"/>
      <c r="KH943" s="2652"/>
      <c r="KI943" s="2652"/>
      <c r="KJ943" s="2652"/>
      <c r="KK943" s="2652"/>
      <c r="KL943" s="2652"/>
      <c r="KM943" s="2652"/>
      <c r="KN943" s="2652"/>
      <c r="KO943" s="2652"/>
      <c r="KP943" s="2652"/>
      <c r="KQ943" s="2652"/>
      <c r="KR943" s="2652"/>
      <c r="KS943" s="2652"/>
      <c r="KT943" s="2652"/>
      <c r="KU943" s="2652"/>
      <c r="KV943" s="2652"/>
      <c r="KW943" s="2652"/>
      <c r="KX943" s="2652"/>
      <c r="KY943" s="2652"/>
      <c r="KZ943" s="2652"/>
      <c r="LA943" s="2652"/>
      <c r="LB943" s="2652"/>
      <c r="LC943" s="2652"/>
      <c r="LD943" s="2652"/>
      <c r="LE943" s="2652"/>
      <c r="LF943" s="2652"/>
      <c r="LG943" s="2652"/>
      <c r="LH943" s="2652"/>
      <c r="LI943" s="2652"/>
      <c r="LJ943" s="2652"/>
      <c r="LK943" s="2652"/>
      <c r="LL943" s="2652"/>
      <c r="LM943" s="2652"/>
      <c r="LN943" s="2652"/>
      <c r="LO943" s="2652"/>
      <c r="LP943" s="2652"/>
      <c r="LQ943" s="2652"/>
    </row>
    <row r="944" spans="1:329" s="2408" customFormat="1" ht="14.1" customHeight="1">
      <c r="A944" s="2695"/>
      <c r="JW944" s="2652"/>
      <c r="KB944" s="2652"/>
      <c r="KC944" s="2652"/>
      <c r="KD944" s="2652"/>
      <c r="KE944" s="2652"/>
      <c r="KF944" s="2652"/>
      <c r="KG944" s="2652"/>
      <c r="KH944" s="2652"/>
      <c r="KI944" s="2652"/>
      <c r="KJ944" s="2652"/>
      <c r="KK944" s="2652"/>
      <c r="KL944" s="2652"/>
      <c r="KM944" s="2652"/>
      <c r="KN944" s="2652"/>
      <c r="KO944" s="2652"/>
      <c r="KP944" s="2652"/>
      <c r="KQ944" s="2652"/>
      <c r="KR944" s="2652"/>
      <c r="KS944" s="2652"/>
      <c r="KT944" s="2652"/>
      <c r="KU944" s="2652"/>
      <c r="KV944" s="2652"/>
      <c r="KW944" s="2652"/>
      <c r="KX944" s="2652"/>
      <c r="KY944" s="2652"/>
      <c r="KZ944" s="2652"/>
      <c r="LA944" s="2652"/>
      <c r="LB944" s="2652"/>
      <c r="LC944" s="2652"/>
      <c r="LD944" s="2652"/>
      <c r="LE944" s="2652"/>
      <c r="LF944" s="2652"/>
      <c r="LG944" s="2652"/>
      <c r="LH944" s="2652"/>
      <c r="LI944" s="2652"/>
      <c r="LJ944" s="2652"/>
      <c r="LK944" s="2652"/>
      <c r="LL944" s="2652"/>
      <c r="LM944" s="2652"/>
      <c r="LN944" s="2652"/>
      <c r="LO944" s="2652"/>
      <c r="LP944" s="2652"/>
      <c r="LQ944" s="2652"/>
    </row>
    <row r="945" spans="1:330" ht="14.1" customHeight="1">
      <c r="A945" s="2494" t="s">
        <v>724</v>
      </c>
      <c r="B945" s="2494" t="s">
        <v>6919</v>
      </c>
      <c r="S945" s="2494" t="s">
        <v>1799</v>
      </c>
      <c r="U945" s="2408"/>
      <c r="KC945" s="2613"/>
      <c r="KD945" s="2613"/>
      <c r="KE945" s="2613"/>
      <c r="KF945" s="2613"/>
      <c r="KG945" s="2613"/>
      <c r="KH945" s="2613"/>
      <c r="KI945" s="2613"/>
      <c r="KJ945" s="2613"/>
      <c r="KK945" s="2613"/>
      <c r="KL945" s="2613"/>
      <c r="KM945" s="2613"/>
      <c r="KN945" s="2613"/>
      <c r="KO945" s="2613"/>
      <c r="KP945" s="2613"/>
      <c r="KQ945" s="2613"/>
      <c r="KR945" s="2613"/>
      <c r="KS945" s="2613"/>
      <c r="KT945" s="2613"/>
      <c r="KU945" s="2613"/>
      <c r="KV945" s="2613"/>
      <c r="KW945" s="2613"/>
      <c r="KX945" s="2613"/>
      <c r="KY945" s="2613"/>
      <c r="KZ945" s="2613"/>
      <c r="LA945" s="2613"/>
      <c r="LB945" s="2613"/>
      <c r="LC945" s="2613"/>
      <c r="LD945" s="2613"/>
      <c r="LE945" s="2613"/>
      <c r="LF945" s="2613"/>
      <c r="LG945" s="2613"/>
      <c r="LH945" s="2613"/>
      <c r="LI945" s="2613"/>
      <c r="LJ945" s="2613"/>
      <c r="LK945" s="2613"/>
      <c r="LL945" s="2613"/>
      <c r="LM945" s="2613"/>
      <c r="LN945" s="2613"/>
      <c r="LO945" s="2613"/>
      <c r="LP945" s="2613"/>
      <c r="LQ945" s="2613"/>
      <c r="LR945" s="2613"/>
    </row>
    <row r="946" spans="1:330" ht="2.25" customHeight="1">
      <c r="Q946" s="2408"/>
      <c r="R946" s="2408"/>
      <c r="JW946" s="2613"/>
      <c r="KB946" s="2613"/>
      <c r="KC946" s="2613"/>
      <c r="KD946" s="2613"/>
      <c r="KE946" s="2613"/>
      <c r="KF946" s="2613"/>
      <c r="KG946" s="2613"/>
      <c r="KH946" s="2613"/>
      <c r="KI946" s="2613"/>
      <c r="KJ946" s="2613"/>
      <c r="KK946" s="2613"/>
      <c r="KL946" s="2613"/>
      <c r="KM946" s="2613"/>
      <c r="KN946" s="2613"/>
      <c r="KO946" s="2613"/>
      <c r="KP946" s="2613"/>
      <c r="KQ946" s="2613"/>
      <c r="KR946" s="2613"/>
      <c r="KS946" s="2613"/>
      <c r="KT946" s="2613"/>
      <c r="KU946" s="2613"/>
      <c r="KV946" s="2613"/>
      <c r="KW946" s="2613"/>
      <c r="KX946" s="2613"/>
      <c r="KY946" s="2613"/>
      <c r="KZ946" s="2613"/>
      <c r="LA946" s="2613"/>
      <c r="LB946" s="2613"/>
      <c r="LC946" s="2613"/>
      <c r="LD946" s="2613"/>
      <c r="LE946" s="2613"/>
      <c r="LF946" s="2613"/>
      <c r="LG946" s="2613"/>
      <c r="LH946" s="2613"/>
      <c r="LI946" s="2613"/>
      <c r="LJ946" s="2613"/>
      <c r="LK946" s="2613"/>
      <c r="LL946" s="2613"/>
      <c r="LM946" s="2613"/>
      <c r="LN946" s="2613"/>
      <c r="LO946" s="2613"/>
      <c r="LP946" s="2613"/>
      <c r="LQ946" s="2613"/>
    </row>
    <row r="947" spans="1:330" ht="15.6" customHeight="1">
      <c r="B947" s="2650" t="s">
        <v>994</v>
      </c>
      <c r="C947" s="2650"/>
      <c r="D947" s="2654"/>
      <c r="E947" s="2650"/>
      <c r="F947" s="2650"/>
      <c r="G947" s="2650"/>
      <c r="H947" s="2696">
        <f>'Part VI-Revenues &amp; Expenses'!H178</f>
        <v>39360</v>
      </c>
      <c r="I947" s="2696"/>
      <c r="J947" s="2696"/>
      <c r="K947" s="2650"/>
      <c r="L947" s="2690" t="s">
        <v>6858</v>
      </c>
      <c r="M947" s="2650"/>
      <c r="N947" s="2650"/>
      <c r="O947" s="2650"/>
      <c r="P947" s="2697">
        <f>H947/M818</f>
        <v>0.02</v>
      </c>
      <c r="Q947" s="2654"/>
      <c r="R947" s="2654"/>
      <c r="S947" s="2408" t="str">
        <f>B947</f>
        <v>Ancillary Income</v>
      </c>
      <c r="JW947" s="2613"/>
      <c r="KB947" s="2613"/>
      <c r="KC947" s="2613"/>
      <c r="KD947" s="2613"/>
      <c r="KE947" s="2613"/>
      <c r="KF947" s="2613"/>
      <c r="KG947" s="2613"/>
      <c r="KH947" s="2613"/>
      <c r="KI947" s="2613"/>
      <c r="KJ947" s="2613"/>
      <c r="KK947" s="2613"/>
      <c r="KL947" s="2613"/>
      <c r="KM947" s="2613"/>
      <c r="KN947" s="2613"/>
      <c r="KO947" s="2613"/>
      <c r="KP947" s="2613"/>
      <c r="KQ947" s="2613"/>
      <c r="KR947" s="2613"/>
      <c r="KS947" s="2613"/>
      <c r="KT947" s="2613"/>
      <c r="KU947" s="2613"/>
      <c r="KV947" s="2613"/>
      <c r="KW947" s="2613"/>
      <c r="KX947" s="2613"/>
      <c r="KY947" s="2613"/>
      <c r="KZ947" s="2613"/>
      <c r="LA947" s="2613"/>
      <c r="LB947" s="2613"/>
      <c r="LC947" s="2613"/>
      <c r="LD947" s="2613"/>
      <c r="LE947" s="2613"/>
      <c r="LF947" s="2613"/>
      <c r="LG947" s="2613"/>
      <c r="LH947" s="2613"/>
      <c r="LI947" s="2613"/>
      <c r="LJ947" s="2613"/>
      <c r="LK947" s="2613"/>
      <c r="LL947" s="2613"/>
      <c r="LM947" s="2613"/>
      <c r="LN947" s="2613"/>
      <c r="LO947" s="2613"/>
      <c r="LP947" s="2613"/>
      <c r="LQ947" s="2613"/>
    </row>
    <row r="948" spans="1:330" ht="15.6" customHeight="1">
      <c r="B948" s="2650"/>
      <c r="C948" s="2650"/>
      <c r="D948" s="2654"/>
      <c r="E948" s="2650"/>
      <c r="F948" s="2650"/>
      <c r="G948" s="2650"/>
      <c r="H948" s="2650"/>
      <c r="I948" s="2650"/>
      <c r="J948" s="2690"/>
      <c r="K948" s="2650"/>
      <c r="L948" s="2650"/>
      <c r="M948" s="2650"/>
      <c r="N948" s="2650"/>
      <c r="O948" s="2650"/>
      <c r="P948" s="2650"/>
      <c r="Q948" s="2654"/>
      <c r="R948" s="2654"/>
      <c r="JW948" s="2613"/>
      <c r="KB948" s="2613"/>
      <c r="KC948" s="2613"/>
      <c r="KD948" s="2613"/>
      <c r="KE948" s="2613"/>
      <c r="KF948" s="2613"/>
      <c r="KG948" s="2613"/>
      <c r="KH948" s="2613"/>
      <c r="KI948" s="2613"/>
      <c r="KJ948" s="2613"/>
      <c r="KK948" s="2613"/>
      <c r="KL948" s="2613"/>
      <c r="KM948" s="2613"/>
      <c r="KN948" s="2613"/>
      <c r="KO948" s="2613"/>
      <c r="KP948" s="2613"/>
      <c r="KQ948" s="2613"/>
      <c r="KR948" s="2613"/>
      <c r="KS948" s="2613"/>
      <c r="KT948" s="2613"/>
      <c r="KU948" s="2613"/>
      <c r="KV948" s="2613"/>
      <c r="KW948" s="2613"/>
      <c r="KX948" s="2613"/>
      <c r="KY948" s="2613"/>
      <c r="KZ948" s="2613"/>
      <c r="LA948" s="2613"/>
      <c r="LB948" s="2613"/>
      <c r="LC948" s="2613"/>
      <c r="LD948" s="2613"/>
      <c r="LE948" s="2613"/>
      <c r="LF948" s="2613"/>
      <c r="LG948" s="2613"/>
      <c r="LH948" s="2613"/>
      <c r="LI948" s="2613"/>
      <c r="LJ948" s="2613"/>
      <c r="LK948" s="2613"/>
      <c r="LL948" s="2613"/>
      <c r="LM948" s="2613"/>
      <c r="LN948" s="2613"/>
      <c r="LO948" s="2613"/>
      <c r="LP948" s="2613"/>
      <c r="LQ948" s="2613"/>
    </row>
    <row r="949" spans="1:330" ht="15.6" customHeight="1">
      <c r="B949" s="2650" t="s">
        <v>1417</v>
      </c>
      <c r="C949" s="2650"/>
      <c r="D949" s="2650"/>
      <c r="E949" s="2650"/>
      <c r="F949" s="2650"/>
      <c r="G949" s="2650"/>
      <c r="H949" s="2650"/>
      <c r="I949" s="2650"/>
      <c r="J949" s="2650"/>
      <c r="K949" s="2650"/>
      <c r="L949" s="2698"/>
      <c r="M949" s="2650"/>
      <c r="N949" s="2650"/>
      <c r="O949" s="2650"/>
      <c r="P949" s="2650"/>
      <c r="Q949" s="2650"/>
      <c r="S949" s="2652" t="str">
        <f>B949</f>
        <v>Other Income (OI) by Year:</v>
      </c>
      <c r="JW949" s="2613"/>
      <c r="KB949" s="2613"/>
      <c r="KC949" s="2613"/>
      <c r="KD949" s="2613"/>
      <c r="KE949" s="2613"/>
      <c r="KF949" s="2613"/>
      <c r="KG949" s="2613"/>
      <c r="KH949" s="2613"/>
      <c r="KI949" s="2613"/>
      <c r="KJ949" s="2613"/>
      <c r="KK949" s="2613"/>
      <c r="KL949" s="2613"/>
      <c r="KM949" s="2613"/>
      <c r="KN949" s="2613"/>
      <c r="KO949" s="2613"/>
      <c r="KP949" s="2613"/>
      <c r="KQ949" s="2613"/>
      <c r="KR949" s="2613"/>
      <c r="KS949" s="2613"/>
      <c r="KT949" s="2613"/>
      <c r="KU949" s="2613"/>
      <c r="KV949" s="2613"/>
      <c r="KW949" s="2613"/>
      <c r="KX949" s="2613"/>
      <c r="KY949" s="2613"/>
      <c r="KZ949" s="2613"/>
      <c r="LA949" s="2613"/>
      <c r="LB949" s="2613"/>
      <c r="LC949" s="2613"/>
      <c r="LD949" s="2613"/>
      <c r="LE949" s="2613"/>
      <c r="LF949" s="2613"/>
      <c r="LG949" s="2613"/>
      <c r="LH949" s="2613"/>
      <c r="LI949" s="2613"/>
      <c r="LJ949" s="2613"/>
      <c r="LK949" s="2613"/>
      <c r="LL949" s="2613"/>
      <c r="LM949" s="2613"/>
      <c r="LN949" s="2613"/>
      <c r="LO949" s="2613"/>
      <c r="LP949" s="2613"/>
      <c r="LQ949" s="2613"/>
    </row>
    <row r="950" spans="1:330" ht="15.6" customHeight="1">
      <c r="B950" s="2650" t="s">
        <v>2228</v>
      </c>
      <c r="C950" s="2650"/>
      <c r="D950" s="2650"/>
      <c r="E950" s="2650"/>
      <c r="F950" s="2650"/>
      <c r="H950" s="2699">
        <v>1</v>
      </c>
      <c r="I950" s="2699">
        <v>2</v>
      </c>
      <c r="J950" s="2699">
        <v>3</v>
      </c>
      <c r="K950" s="2699">
        <v>4</v>
      </c>
      <c r="L950" s="2699">
        <v>5</v>
      </c>
      <c r="M950" s="2699">
        <v>6</v>
      </c>
      <c r="N950" s="2699">
        <v>7</v>
      </c>
      <c r="O950" s="2699">
        <v>8</v>
      </c>
      <c r="P950" s="2699">
        <v>9</v>
      </c>
      <c r="Q950" s="2699">
        <v>10</v>
      </c>
      <c r="R950" s="2700"/>
      <c r="S950" s="2408" t="str">
        <f>B950</f>
        <v>Included in Mgt Fee:</v>
      </c>
      <c r="JW950" s="2613"/>
      <c r="KB950" s="2613"/>
      <c r="KC950" s="2613"/>
      <c r="KD950" s="2613"/>
      <c r="KE950" s="2613"/>
      <c r="KF950" s="2613"/>
      <c r="KG950" s="2613"/>
      <c r="KH950" s="2613"/>
      <c r="KI950" s="2613"/>
      <c r="KJ950" s="2613"/>
      <c r="KK950" s="2613"/>
      <c r="KL950" s="2613"/>
      <c r="KM950" s="2613"/>
      <c r="KN950" s="2613"/>
      <c r="KO950" s="2613"/>
      <c r="KP950" s="2613"/>
      <c r="KQ950" s="2613"/>
      <c r="KR950" s="2613"/>
      <c r="KS950" s="2613"/>
      <c r="KT950" s="2613"/>
      <c r="KU950" s="2613"/>
      <c r="KV950" s="2613"/>
      <c r="KW950" s="2613"/>
      <c r="KX950" s="2613"/>
      <c r="KY950" s="2613"/>
      <c r="KZ950" s="2613"/>
      <c r="LA950" s="2613"/>
      <c r="LB950" s="2613"/>
      <c r="LC950" s="2613"/>
      <c r="LD950" s="2613"/>
      <c r="LE950" s="2613"/>
      <c r="LF950" s="2613"/>
      <c r="LG950" s="2613"/>
      <c r="LH950" s="2613"/>
      <c r="LI950" s="2613"/>
      <c r="LJ950" s="2613"/>
      <c r="LK950" s="2613"/>
      <c r="LL950" s="2613"/>
      <c r="LM950" s="2613"/>
      <c r="LN950" s="2613"/>
      <c r="LO950" s="2613"/>
      <c r="LP950" s="2613"/>
      <c r="LQ950" s="2613"/>
    </row>
    <row r="951" spans="1:330" ht="15.6" customHeight="1">
      <c r="B951" s="2654" t="s">
        <v>995</v>
      </c>
      <c r="C951" s="2654"/>
      <c r="D951" s="2654"/>
      <c r="E951" s="2654"/>
      <c r="F951" s="2654"/>
      <c r="H951" s="2701">
        <f>'Part VI-Revenues &amp; Expenses'!H182</f>
        <v>0</v>
      </c>
      <c r="I951" s="2701">
        <f>'Part VI-Revenues &amp; Expenses'!I182</f>
        <v>0</v>
      </c>
      <c r="J951" s="2701">
        <f>'Part VI-Revenues &amp; Expenses'!J182</f>
        <v>0</v>
      </c>
      <c r="K951" s="2701">
        <f>'Part VI-Revenues &amp; Expenses'!K182</f>
        <v>0</v>
      </c>
      <c r="L951" s="2701">
        <f>'Part VI-Revenues &amp; Expenses'!L182</f>
        <v>0</v>
      </c>
      <c r="M951" s="2701">
        <f>'Part VI-Revenues &amp; Expenses'!M182</f>
        <v>0</v>
      </c>
      <c r="N951" s="2701">
        <f>'Part VI-Revenues &amp; Expenses'!N182</f>
        <v>0</v>
      </c>
      <c r="O951" s="2701">
        <f>'Part VI-Revenues &amp; Expenses'!O182</f>
        <v>0</v>
      </c>
      <c r="P951" s="2701">
        <f>'Part VI-Revenues &amp; Expenses'!P182</f>
        <v>0</v>
      </c>
      <c r="Q951" s="2701">
        <f>'Part VI-Revenues &amp; Expenses'!Q182</f>
        <v>0</v>
      </c>
      <c r="R951" s="2694"/>
      <c r="S951" s="2607"/>
      <c r="T951" s="2607"/>
      <c r="U951" s="2607"/>
      <c r="V951" s="2607"/>
      <c r="W951" s="2607"/>
      <c r="JW951" s="2613"/>
      <c r="KB951" s="2613"/>
      <c r="KC951" s="2613"/>
      <c r="KD951" s="2613"/>
      <c r="KE951" s="2613"/>
      <c r="KF951" s="2613"/>
      <c r="KG951" s="2613"/>
      <c r="KH951" s="2613"/>
      <c r="KI951" s="2613"/>
      <c r="KJ951" s="2613"/>
      <c r="KK951" s="2613"/>
      <c r="KL951" s="2613"/>
      <c r="KM951" s="2613"/>
      <c r="KN951" s="2613"/>
      <c r="KO951" s="2613"/>
      <c r="KP951" s="2613"/>
      <c r="KQ951" s="2613"/>
      <c r="KR951" s="2613"/>
      <c r="KS951" s="2613"/>
      <c r="KT951" s="2613"/>
      <c r="KU951" s="2613"/>
      <c r="KV951" s="2613"/>
      <c r="KW951" s="2613"/>
      <c r="KX951" s="2613"/>
      <c r="KY951" s="2613"/>
      <c r="KZ951" s="2613"/>
      <c r="LA951" s="2613"/>
      <c r="LB951" s="2613"/>
      <c r="LC951" s="2613"/>
      <c r="LD951" s="2613"/>
      <c r="LE951" s="2613"/>
      <c r="LF951" s="2613"/>
      <c r="LG951" s="2613"/>
      <c r="LH951" s="2613"/>
      <c r="LI951" s="2613"/>
      <c r="LJ951" s="2613"/>
      <c r="LK951" s="2613"/>
      <c r="LL951" s="2613"/>
      <c r="LM951" s="2613"/>
      <c r="LN951" s="2613"/>
      <c r="LO951" s="2613"/>
      <c r="LP951" s="2613"/>
      <c r="LQ951" s="2613"/>
    </row>
    <row r="952" spans="1:330" ht="15.6" customHeight="1">
      <c r="B952" s="2654" t="s">
        <v>723</v>
      </c>
      <c r="C952" s="2654">
        <f>'Part VI-Revenues &amp; Expenses'!C183</f>
        <v>0</v>
      </c>
      <c r="D952" s="2654"/>
      <c r="E952" s="2654"/>
      <c r="F952" s="2654"/>
      <c r="H952" s="2701">
        <f>'Part VI-Revenues &amp; Expenses'!H183</f>
        <v>0</v>
      </c>
      <c r="I952" s="2701">
        <f>'Part VI-Revenues &amp; Expenses'!I183</f>
        <v>0</v>
      </c>
      <c r="J952" s="2701">
        <f>'Part VI-Revenues &amp; Expenses'!J183</f>
        <v>0</v>
      </c>
      <c r="K952" s="2701">
        <f>'Part VI-Revenues &amp; Expenses'!K183</f>
        <v>0</v>
      </c>
      <c r="L952" s="2701">
        <f>'Part VI-Revenues &amp; Expenses'!L183</f>
        <v>0</v>
      </c>
      <c r="M952" s="2701">
        <f>'Part VI-Revenues &amp; Expenses'!M183</f>
        <v>0</v>
      </c>
      <c r="N952" s="2701">
        <f>'Part VI-Revenues &amp; Expenses'!N183</f>
        <v>0</v>
      </c>
      <c r="O952" s="2701">
        <f>'Part VI-Revenues &amp; Expenses'!O183</f>
        <v>0</v>
      </c>
      <c r="P952" s="2701">
        <f>'Part VI-Revenues &amp; Expenses'!P183</f>
        <v>0</v>
      </c>
      <c r="Q952" s="2701">
        <f>'Part VI-Revenues &amp; Expenses'!Q183</f>
        <v>0</v>
      </c>
      <c r="R952" s="2694"/>
      <c r="S952" s="2607"/>
      <c r="T952" s="2607"/>
      <c r="U952" s="2607"/>
      <c r="V952" s="2607"/>
      <c r="W952" s="2607"/>
      <c r="JW952" s="2613"/>
      <c r="KB952" s="2613"/>
      <c r="KC952" s="2613"/>
      <c r="KD952" s="2613"/>
      <c r="KE952" s="2613"/>
      <c r="KF952" s="2613"/>
      <c r="KG952" s="2613"/>
      <c r="KH952" s="2613"/>
      <c r="KI952" s="2613"/>
      <c r="KJ952" s="2613"/>
      <c r="KK952" s="2613"/>
      <c r="KL952" s="2613"/>
      <c r="KM952" s="2613"/>
      <c r="KN952" s="2613"/>
      <c r="KO952" s="2613"/>
      <c r="KP952" s="2613"/>
      <c r="KQ952" s="2613"/>
      <c r="KR952" s="2613"/>
      <c r="KS952" s="2613"/>
      <c r="KT952" s="2613"/>
      <c r="KU952" s="2613"/>
      <c r="KV952" s="2613"/>
      <c r="KW952" s="2613"/>
      <c r="KX952" s="2613"/>
      <c r="KY952" s="2613"/>
      <c r="KZ952" s="2613"/>
      <c r="LA952" s="2613"/>
      <c r="LB952" s="2613"/>
      <c r="LC952" s="2613"/>
      <c r="LD952" s="2613"/>
      <c r="LE952" s="2613"/>
      <c r="LF952" s="2613"/>
      <c r="LG952" s="2613"/>
      <c r="LH952" s="2613"/>
      <c r="LI952" s="2613"/>
      <c r="LJ952" s="2613"/>
      <c r="LK952" s="2613"/>
      <c r="LL952" s="2613"/>
      <c r="LM952" s="2613"/>
      <c r="LN952" s="2613"/>
      <c r="LO952" s="2613"/>
      <c r="LP952" s="2613"/>
      <c r="LQ952" s="2613"/>
    </row>
    <row r="953" spans="1:330" ht="15.6" customHeight="1">
      <c r="B953" s="2654"/>
      <c r="C953" s="2654" t="s">
        <v>907</v>
      </c>
      <c r="D953" s="2654"/>
      <c r="E953" s="2654"/>
      <c r="F953" s="2654"/>
      <c r="H953" s="2702">
        <f>SUM(H951:H952)</f>
        <v>0</v>
      </c>
      <c r="I953" s="2702">
        <f>SUM(I951:I952)</f>
        <v>0</v>
      </c>
      <c r="J953" s="2702">
        <f t="shared" ref="J953:Q953" si="387">SUM(J951:J952)</f>
        <v>0</v>
      </c>
      <c r="K953" s="2702">
        <f t="shared" si="387"/>
        <v>0</v>
      </c>
      <c r="L953" s="2702">
        <f t="shared" si="387"/>
        <v>0</v>
      </c>
      <c r="M953" s="2702">
        <f t="shared" si="387"/>
        <v>0</v>
      </c>
      <c r="N953" s="2702">
        <f t="shared" si="387"/>
        <v>0</v>
      </c>
      <c r="O953" s="2702">
        <f t="shared" si="387"/>
        <v>0</v>
      </c>
      <c r="P953" s="2702">
        <f t="shared" si="387"/>
        <v>0</v>
      </c>
      <c r="Q953" s="2702">
        <f t="shared" si="387"/>
        <v>0</v>
      </c>
      <c r="R953" s="513"/>
      <c r="S953" s="2607"/>
      <c r="T953" s="2607"/>
      <c r="U953" s="2607"/>
      <c r="V953" s="2607"/>
      <c r="W953" s="2607"/>
      <c r="JW953" s="2613"/>
      <c r="KB953" s="2613"/>
      <c r="KC953" s="2613"/>
      <c r="KD953" s="2613"/>
      <c r="KE953" s="2613"/>
      <c r="KF953" s="2613"/>
      <c r="KG953" s="2613"/>
      <c r="KH953" s="2613"/>
      <c r="KI953" s="2613"/>
      <c r="KJ953" s="2613"/>
      <c r="KK953" s="2613"/>
      <c r="KL953" s="2613"/>
      <c r="KM953" s="2613"/>
      <c r="KN953" s="2613"/>
      <c r="KO953" s="2613"/>
      <c r="KP953" s="2613"/>
      <c r="KQ953" s="2613"/>
      <c r="KR953" s="2613"/>
      <c r="KS953" s="2613"/>
      <c r="KT953" s="2613"/>
      <c r="KU953" s="2613"/>
      <c r="KV953" s="2613"/>
      <c r="KW953" s="2613"/>
      <c r="KX953" s="2613"/>
      <c r="KY953" s="2613"/>
      <c r="KZ953" s="2613"/>
      <c r="LA953" s="2613"/>
      <c r="LB953" s="2613"/>
      <c r="LC953" s="2613"/>
      <c r="LD953" s="2613"/>
      <c r="LE953" s="2613"/>
      <c r="LF953" s="2613"/>
      <c r="LG953" s="2613"/>
      <c r="LH953" s="2613"/>
      <c r="LI953" s="2613"/>
      <c r="LJ953" s="2613"/>
      <c r="LK953" s="2613"/>
      <c r="LL953" s="2613"/>
      <c r="LM953" s="2613"/>
      <c r="LN953" s="2613"/>
      <c r="LO953" s="2613"/>
      <c r="LP953" s="2613"/>
      <c r="LQ953" s="2613"/>
    </row>
    <row r="954" spans="1:330" ht="15.6" customHeight="1">
      <c r="B954" s="2650" t="s">
        <v>6859</v>
      </c>
      <c r="C954" s="2650"/>
      <c r="D954" s="2650"/>
      <c r="E954" s="2650"/>
      <c r="F954" s="2650"/>
      <c r="H954" s="2703"/>
      <c r="I954" s="2650"/>
      <c r="J954" s="2650"/>
      <c r="K954" s="2650"/>
      <c r="L954" s="2650"/>
      <c r="M954" s="2650"/>
      <c r="N954" s="2650"/>
      <c r="O954" s="2650"/>
      <c r="P954" s="2650"/>
      <c r="Q954" s="2650"/>
      <c r="S954" s="2408" t="str">
        <f>B954</f>
        <v>NOT Included in Mgt Fee:</v>
      </c>
      <c r="JW954" s="2613"/>
      <c r="KB954" s="2613"/>
      <c r="KC954" s="2613"/>
      <c r="KD954" s="2613"/>
      <c r="KE954" s="2613"/>
      <c r="KF954" s="2613"/>
      <c r="KG954" s="2613"/>
      <c r="KH954" s="2613"/>
      <c r="KI954" s="2613"/>
      <c r="KJ954" s="2613"/>
      <c r="KK954" s="2613"/>
      <c r="KL954" s="2613"/>
      <c r="KM954" s="2613"/>
      <c r="KN954" s="2613"/>
      <c r="KO954" s="2613"/>
      <c r="KP954" s="2613"/>
      <c r="KQ954" s="2613"/>
      <c r="KR954" s="2613"/>
      <c r="KS954" s="2613"/>
      <c r="KT954" s="2613"/>
      <c r="KU954" s="2613"/>
      <c r="KV954" s="2613"/>
      <c r="KW954" s="2613"/>
      <c r="KX954" s="2613"/>
      <c r="KY954" s="2613"/>
      <c r="KZ954" s="2613"/>
      <c r="LA954" s="2613"/>
      <c r="LB954" s="2613"/>
      <c r="LC954" s="2613"/>
      <c r="LD954" s="2613"/>
      <c r="LE954" s="2613"/>
      <c r="LF954" s="2613"/>
      <c r="LG954" s="2613"/>
      <c r="LH954" s="2613"/>
      <c r="LI954" s="2613"/>
      <c r="LJ954" s="2613"/>
      <c r="LK954" s="2613"/>
      <c r="LL954" s="2613"/>
      <c r="LM954" s="2613"/>
      <c r="LN954" s="2613"/>
      <c r="LO954" s="2613"/>
      <c r="LP954" s="2613"/>
      <c r="LQ954" s="2613"/>
    </row>
    <row r="955" spans="1:330" ht="15.6" customHeight="1">
      <c r="B955" s="2654" t="s">
        <v>518</v>
      </c>
      <c r="C955" s="2654"/>
      <c r="D955" s="2654"/>
      <c r="E955" s="2654"/>
      <c r="F955" s="2654"/>
      <c r="H955" s="2701">
        <f>'Part VI-Revenues &amp; Expenses'!H186</f>
        <v>0</v>
      </c>
      <c r="I955" s="2701">
        <f>'Part VI-Revenues &amp; Expenses'!I186</f>
        <v>0</v>
      </c>
      <c r="J955" s="2701">
        <f>'Part VI-Revenues &amp; Expenses'!J186</f>
        <v>0</v>
      </c>
      <c r="K955" s="2701">
        <f>'Part VI-Revenues &amp; Expenses'!K186</f>
        <v>0</v>
      </c>
      <c r="L955" s="2701">
        <f>'Part VI-Revenues &amp; Expenses'!L186</f>
        <v>0</v>
      </c>
      <c r="M955" s="2701">
        <f>'Part VI-Revenues &amp; Expenses'!M186</f>
        <v>0</v>
      </c>
      <c r="N955" s="2701">
        <f>'Part VI-Revenues &amp; Expenses'!N186</f>
        <v>0</v>
      </c>
      <c r="O955" s="2701">
        <f>'Part VI-Revenues &amp; Expenses'!O186</f>
        <v>0</v>
      </c>
      <c r="P955" s="2701">
        <f>'Part VI-Revenues &amp; Expenses'!P186</f>
        <v>0</v>
      </c>
      <c r="Q955" s="2701">
        <f>'Part VI-Revenues &amp; Expenses'!Q186</f>
        <v>0</v>
      </c>
      <c r="R955" s="2694"/>
      <c r="S955" s="2607"/>
      <c r="T955" s="2607"/>
      <c r="U955" s="2607"/>
      <c r="V955" s="2607"/>
      <c r="W955" s="2607"/>
      <c r="JW955" s="2613"/>
      <c r="KB955" s="2613"/>
      <c r="KC955" s="2613"/>
      <c r="KD955" s="2613"/>
      <c r="KE955" s="2613"/>
      <c r="KF955" s="2613"/>
      <c r="KG955" s="2613"/>
      <c r="KH955" s="2613"/>
      <c r="KI955" s="2613"/>
      <c r="KJ955" s="2613"/>
      <c r="KK955" s="2613"/>
      <c r="KL955" s="2613"/>
      <c r="KM955" s="2613"/>
      <c r="KN955" s="2613"/>
      <c r="KO955" s="2613"/>
      <c r="KP955" s="2613"/>
      <c r="KQ955" s="2613"/>
      <c r="KR955" s="2613"/>
      <c r="KS955" s="2613"/>
      <c r="KT955" s="2613"/>
      <c r="KU955" s="2613"/>
      <c r="KV955" s="2613"/>
      <c r="KW955" s="2613"/>
      <c r="KX955" s="2613"/>
      <c r="KY955" s="2613"/>
      <c r="KZ955" s="2613"/>
      <c r="LA955" s="2613"/>
      <c r="LB955" s="2613"/>
      <c r="LC955" s="2613"/>
      <c r="LD955" s="2613"/>
      <c r="LE955" s="2613"/>
      <c r="LF955" s="2613"/>
      <c r="LG955" s="2613"/>
      <c r="LH955" s="2613"/>
      <c r="LI955" s="2613"/>
      <c r="LJ955" s="2613"/>
      <c r="LK955" s="2613"/>
      <c r="LL955" s="2613"/>
      <c r="LM955" s="2613"/>
      <c r="LN955" s="2613"/>
      <c r="LO955" s="2613"/>
      <c r="LP955" s="2613"/>
      <c r="LQ955" s="2613"/>
    </row>
    <row r="956" spans="1:330" ht="15.6" customHeight="1">
      <c r="B956" s="2654" t="s">
        <v>723</v>
      </c>
      <c r="C956" s="2654">
        <f>'Part VI-Revenues &amp; Expenses'!C187</f>
        <v>0</v>
      </c>
      <c r="D956" s="2654"/>
      <c r="E956" s="2654"/>
      <c r="F956" s="2654"/>
      <c r="H956" s="2701">
        <f>'Part VI-Revenues &amp; Expenses'!H187</f>
        <v>0</v>
      </c>
      <c r="I956" s="2701">
        <f>'Part VI-Revenues &amp; Expenses'!I187</f>
        <v>0</v>
      </c>
      <c r="J956" s="2701">
        <f>'Part VI-Revenues &amp; Expenses'!J187</f>
        <v>0</v>
      </c>
      <c r="K956" s="2701">
        <f>'Part VI-Revenues &amp; Expenses'!K187</f>
        <v>0</v>
      </c>
      <c r="L956" s="2701">
        <f>'Part VI-Revenues &amp; Expenses'!L187</f>
        <v>0</v>
      </c>
      <c r="M956" s="2701">
        <f>'Part VI-Revenues &amp; Expenses'!M187</f>
        <v>0</v>
      </c>
      <c r="N956" s="2701">
        <f>'Part VI-Revenues &amp; Expenses'!N187</f>
        <v>0</v>
      </c>
      <c r="O956" s="2701">
        <f>'Part VI-Revenues &amp; Expenses'!O187</f>
        <v>0</v>
      </c>
      <c r="P956" s="2701">
        <f>'Part VI-Revenues &amp; Expenses'!P187</f>
        <v>0</v>
      </c>
      <c r="Q956" s="2701">
        <f>'Part VI-Revenues &amp; Expenses'!Q187</f>
        <v>0</v>
      </c>
      <c r="R956" s="2694"/>
      <c r="S956" s="2607"/>
      <c r="T956" s="2607"/>
      <c r="U956" s="2607"/>
      <c r="V956" s="2607"/>
      <c r="W956" s="2607"/>
      <c r="JW956" s="2613"/>
      <c r="KB956" s="2613"/>
      <c r="KC956" s="2613"/>
      <c r="KD956" s="2613"/>
      <c r="KE956" s="2613"/>
      <c r="KF956" s="2613"/>
      <c r="KG956" s="2613"/>
      <c r="KH956" s="2613"/>
      <c r="KI956" s="2613"/>
      <c r="KJ956" s="2613"/>
      <c r="KK956" s="2613"/>
      <c r="KL956" s="2613"/>
      <c r="KM956" s="2613"/>
      <c r="KN956" s="2613"/>
      <c r="KO956" s="2613"/>
      <c r="KP956" s="2613"/>
      <c r="KQ956" s="2613"/>
      <c r="KR956" s="2613"/>
      <c r="KS956" s="2613"/>
      <c r="KT956" s="2613"/>
      <c r="KU956" s="2613"/>
      <c r="KV956" s="2613"/>
      <c r="KW956" s="2613"/>
      <c r="KX956" s="2613"/>
      <c r="KY956" s="2613"/>
      <c r="KZ956" s="2613"/>
      <c r="LA956" s="2613"/>
      <c r="LB956" s="2613"/>
      <c r="LC956" s="2613"/>
      <c r="LD956" s="2613"/>
      <c r="LE956" s="2613"/>
      <c r="LF956" s="2613"/>
      <c r="LG956" s="2613"/>
      <c r="LH956" s="2613"/>
      <c r="LI956" s="2613"/>
      <c r="LJ956" s="2613"/>
      <c r="LK956" s="2613"/>
      <c r="LL956" s="2613"/>
      <c r="LM956" s="2613"/>
      <c r="LN956" s="2613"/>
      <c r="LO956" s="2613"/>
      <c r="LP956" s="2613"/>
      <c r="LQ956" s="2613"/>
    </row>
    <row r="957" spans="1:330" ht="15.6" customHeight="1">
      <c r="B957" s="2654"/>
      <c r="C957" s="2654" t="s">
        <v>6860</v>
      </c>
      <c r="D957" s="2654"/>
      <c r="E957" s="2654"/>
      <c r="F957" s="2654"/>
      <c r="H957" s="2702">
        <f>SUM(H955:H956)</f>
        <v>0</v>
      </c>
      <c r="I957" s="2702">
        <f>SUM(I955:I956)</f>
        <v>0</v>
      </c>
      <c r="J957" s="2702">
        <f t="shared" ref="J957:Q957" si="388">SUM(J955:J956)</f>
        <v>0</v>
      </c>
      <c r="K957" s="2702">
        <f t="shared" si="388"/>
        <v>0</v>
      </c>
      <c r="L957" s="2702">
        <f t="shared" si="388"/>
        <v>0</v>
      </c>
      <c r="M957" s="2702">
        <f t="shared" si="388"/>
        <v>0</v>
      </c>
      <c r="N957" s="2702">
        <f t="shared" si="388"/>
        <v>0</v>
      </c>
      <c r="O957" s="2702">
        <f t="shared" si="388"/>
        <v>0</v>
      </c>
      <c r="P957" s="2702">
        <f t="shared" si="388"/>
        <v>0</v>
      </c>
      <c r="Q957" s="2702">
        <f t="shared" si="388"/>
        <v>0</v>
      </c>
      <c r="R957" s="513"/>
      <c r="S957" s="2607"/>
      <c r="T957" s="2607"/>
      <c r="U957" s="2607"/>
      <c r="V957" s="2607"/>
      <c r="W957" s="2607"/>
      <c r="JW957" s="2613"/>
      <c r="KB957" s="2613"/>
      <c r="KC957" s="2613"/>
      <c r="KD957" s="2613"/>
      <c r="KE957" s="2613"/>
      <c r="KF957" s="2613"/>
      <c r="KG957" s="2613"/>
      <c r="KH957" s="2613"/>
      <c r="KI957" s="2613"/>
      <c r="KJ957" s="2613"/>
      <c r="KK957" s="2613"/>
      <c r="KL957" s="2613"/>
      <c r="KM957" s="2613"/>
      <c r="KN957" s="2613"/>
      <c r="KO957" s="2613"/>
      <c r="KP957" s="2613"/>
      <c r="KQ957" s="2613"/>
      <c r="KR957" s="2613"/>
      <c r="KS957" s="2613"/>
      <c r="KT957" s="2613"/>
      <c r="KU957" s="2613"/>
      <c r="KV957" s="2613"/>
      <c r="KW957" s="2613"/>
      <c r="KX957" s="2613"/>
      <c r="KY957" s="2613"/>
      <c r="KZ957" s="2613"/>
      <c r="LA957" s="2613"/>
      <c r="LB957" s="2613"/>
      <c r="LC957" s="2613"/>
      <c r="LD957" s="2613"/>
      <c r="LE957" s="2613"/>
      <c r="LF957" s="2613"/>
      <c r="LG957" s="2613"/>
      <c r="LH957" s="2613"/>
      <c r="LI957" s="2613"/>
      <c r="LJ957" s="2613"/>
      <c r="LK957" s="2613"/>
      <c r="LL957" s="2613"/>
      <c r="LM957" s="2613"/>
      <c r="LN957" s="2613"/>
      <c r="LO957" s="2613"/>
      <c r="LP957" s="2613"/>
      <c r="LQ957" s="2613"/>
    </row>
    <row r="958" spans="1:330" ht="15.6" customHeight="1">
      <c r="B958" s="2650"/>
      <c r="C958" s="2650"/>
      <c r="D958" s="2650"/>
      <c r="E958" s="2650"/>
      <c r="F958" s="2650"/>
      <c r="H958" s="2703"/>
      <c r="I958" s="2650"/>
      <c r="J958" s="2650"/>
      <c r="K958" s="2650"/>
      <c r="L958" s="2650"/>
      <c r="M958" s="2650"/>
      <c r="N958" s="2650"/>
      <c r="O958" s="2650"/>
      <c r="P958" s="2650"/>
      <c r="Q958" s="2650"/>
      <c r="JW958" s="2613"/>
      <c r="KB958" s="2613"/>
      <c r="KC958" s="2613"/>
      <c r="KD958" s="2613"/>
      <c r="KE958" s="2613"/>
      <c r="KF958" s="2613"/>
      <c r="KG958" s="2613"/>
      <c r="KH958" s="2613"/>
      <c r="KI958" s="2613"/>
      <c r="KJ958" s="2613"/>
      <c r="KK958" s="2613"/>
      <c r="KL958" s="2613"/>
      <c r="KM958" s="2613"/>
      <c r="KN958" s="2613"/>
      <c r="KO958" s="2613"/>
      <c r="KP958" s="2613"/>
      <c r="KQ958" s="2613"/>
      <c r="KR958" s="2613"/>
      <c r="KS958" s="2613"/>
      <c r="KT958" s="2613"/>
      <c r="KU958" s="2613"/>
      <c r="KV958" s="2613"/>
      <c r="KW958" s="2613"/>
      <c r="KX958" s="2613"/>
      <c r="KY958" s="2613"/>
      <c r="KZ958" s="2613"/>
      <c r="LA958" s="2613"/>
      <c r="LB958" s="2613"/>
      <c r="LC958" s="2613"/>
      <c r="LD958" s="2613"/>
      <c r="LE958" s="2613"/>
      <c r="LF958" s="2613"/>
      <c r="LG958" s="2613"/>
      <c r="LH958" s="2613"/>
      <c r="LI958" s="2613"/>
      <c r="LJ958" s="2613"/>
      <c r="LK958" s="2613"/>
      <c r="LL958" s="2613"/>
      <c r="LM958" s="2613"/>
      <c r="LN958" s="2613"/>
      <c r="LO958" s="2613"/>
      <c r="LP958" s="2613"/>
      <c r="LQ958" s="2613"/>
    </row>
    <row r="959" spans="1:330" ht="15.6" customHeight="1">
      <c r="B959" s="2650" t="s">
        <v>2228</v>
      </c>
      <c r="C959" s="2650"/>
      <c r="D959" s="2650"/>
      <c r="E959" s="2650"/>
      <c r="F959" s="2650"/>
      <c r="H959" s="2699">
        <v>11</v>
      </c>
      <c r="I959" s="2699">
        <v>12</v>
      </c>
      <c r="J959" s="2699">
        <v>13</v>
      </c>
      <c r="K959" s="2699">
        <v>14</v>
      </c>
      <c r="L959" s="2699">
        <v>15</v>
      </c>
      <c r="M959" s="2699">
        <v>16</v>
      </c>
      <c r="N959" s="2699">
        <v>17</v>
      </c>
      <c r="O959" s="2699">
        <v>18</v>
      </c>
      <c r="P959" s="2699">
        <v>19</v>
      </c>
      <c r="Q959" s="2699">
        <v>20</v>
      </c>
      <c r="S959" s="2673" t="s">
        <v>2554</v>
      </c>
      <c r="T959" s="2408" t="str">
        <f>B959</f>
        <v>Included in Mgt Fee:</v>
      </c>
      <c r="JW959" s="2613"/>
      <c r="KB959" s="2613"/>
      <c r="KC959" s="2613"/>
      <c r="KD959" s="2613"/>
      <c r="KE959" s="2613"/>
      <c r="KF959" s="2613"/>
      <c r="KG959" s="2613"/>
      <c r="KH959" s="2613"/>
      <c r="KI959" s="2613"/>
      <c r="KJ959" s="2613"/>
      <c r="KK959" s="2613"/>
      <c r="KL959" s="2613"/>
      <c r="KM959" s="2613"/>
      <c r="KN959" s="2613"/>
      <c r="KO959" s="2613"/>
      <c r="KP959" s="2613"/>
      <c r="KQ959" s="2613"/>
      <c r="KR959" s="2613"/>
      <c r="KS959" s="2613"/>
      <c r="KT959" s="2613"/>
      <c r="KU959" s="2613"/>
      <c r="KV959" s="2613"/>
      <c r="KW959" s="2613"/>
      <c r="KX959" s="2613"/>
      <c r="KY959" s="2613"/>
      <c r="KZ959" s="2613"/>
      <c r="LA959" s="2613"/>
      <c r="LB959" s="2613"/>
      <c r="LC959" s="2613"/>
      <c r="LD959" s="2613"/>
      <c r="LE959" s="2613"/>
      <c r="LF959" s="2613"/>
      <c r="LG959" s="2613"/>
      <c r="LH959" s="2613"/>
      <c r="LI959" s="2613"/>
      <c r="LJ959" s="2613"/>
      <c r="LK959" s="2613"/>
      <c r="LL959" s="2613"/>
      <c r="LM959" s="2613"/>
      <c r="LN959" s="2613"/>
      <c r="LO959" s="2613"/>
      <c r="LP959" s="2613"/>
      <c r="LQ959" s="2613"/>
    </row>
    <row r="960" spans="1:330" ht="15.6" customHeight="1">
      <c r="B960" s="2654" t="s">
        <v>995</v>
      </c>
      <c r="C960" s="2654"/>
      <c r="D960" s="2654"/>
      <c r="E960" s="2654"/>
      <c r="F960" s="2654"/>
      <c r="H960" s="2701">
        <f>'Part VI-Revenues &amp; Expenses'!H191</f>
        <v>0</v>
      </c>
      <c r="I960" s="2701">
        <f>'Part VI-Revenues &amp; Expenses'!I191</f>
        <v>0</v>
      </c>
      <c r="J960" s="2701">
        <f>'Part VI-Revenues &amp; Expenses'!J191</f>
        <v>0</v>
      </c>
      <c r="K960" s="2701">
        <f>'Part VI-Revenues &amp; Expenses'!K191</f>
        <v>0</v>
      </c>
      <c r="L960" s="2701">
        <f>'Part VI-Revenues &amp; Expenses'!L191</f>
        <v>0</v>
      </c>
      <c r="M960" s="2701">
        <f>'Part VI-Revenues &amp; Expenses'!M191</f>
        <v>0</v>
      </c>
      <c r="N960" s="2701">
        <f>'Part VI-Revenues &amp; Expenses'!N191</f>
        <v>0</v>
      </c>
      <c r="O960" s="2701">
        <f>'Part VI-Revenues &amp; Expenses'!O191</f>
        <v>0</v>
      </c>
      <c r="P960" s="2701">
        <f>'Part VI-Revenues &amp; Expenses'!P191</f>
        <v>0</v>
      </c>
      <c r="Q960" s="2701">
        <f>'Part VI-Revenues &amp; Expenses'!Q191</f>
        <v>0</v>
      </c>
      <c r="R960" s="2694"/>
      <c r="S960" s="2607"/>
      <c r="T960" s="2607"/>
      <c r="U960" s="2607"/>
      <c r="V960" s="2607"/>
      <c r="W960" s="2607"/>
    </row>
    <row r="961" spans="2:329" ht="15.6" customHeight="1">
      <c r="B961" s="2654" t="s">
        <v>723</v>
      </c>
      <c r="C961" s="2654">
        <f>'Part VI-Revenues &amp; Expenses'!C192</f>
        <v>0</v>
      </c>
      <c r="D961" s="2654"/>
      <c r="E961" s="2654"/>
      <c r="F961" s="2654"/>
      <c r="H961" s="2701">
        <f>'Part VI-Revenues &amp; Expenses'!H192</f>
        <v>0</v>
      </c>
      <c r="I961" s="2701">
        <f>'Part VI-Revenues &amp; Expenses'!I192</f>
        <v>0</v>
      </c>
      <c r="J961" s="2701">
        <f>'Part VI-Revenues &amp; Expenses'!J192</f>
        <v>0</v>
      </c>
      <c r="K961" s="2701">
        <f>'Part VI-Revenues &amp; Expenses'!K192</f>
        <v>0</v>
      </c>
      <c r="L961" s="2701">
        <f>'Part VI-Revenues &amp; Expenses'!L192</f>
        <v>0</v>
      </c>
      <c r="M961" s="2701">
        <f>'Part VI-Revenues &amp; Expenses'!M192</f>
        <v>0</v>
      </c>
      <c r="N961" s="2701">
        <f>'Part VI-Revenues &amp; Expenses'!N192</f>
        <v>0</v>
      </c>
      <c r="O961" s="2701">
        <f>'Part VI-Revenues &amp; Expenses'!O192</f>
        <v>0</v>
      </c>
      <c r="P961" s="2701">
        <f>'Part VI-Revenues &amp; Expenses'!P192</f>
        <v>0</v>
      </c>
      <c r="Q961" s="2701">
        <f>'Part VI-Revenues &amp; Expenses'!Q192</f>
        <v>0</v>
      </c>
      <c r="R961" s="2694"/>
      <c r="S961" s="2607"/>
      <c r="T961" s="2607"/>
      <c r="U961" s="2607"/>
      <c r="V961" s="2607"/>
      <c r="W961" s="2607"/>
    </row>
    <row r="962" spans="2:329" ht="15.6" customHeight="1">
      <c r="B962" s="2654"/>
      <c r="C962" s="2654" t="s">
        <v>907</v>
      </c>
      <c r="D962" s="2654"/>
      <c r="E962" s="2654"/>
      <c r="F962" s="2654"/>
      <c r="H962" s="2702">
        <f>SUM(H960:H961)</f>
        <v>0</v>
      </c>
      <c r="I962" s="2702">
        <f>SUM(I960:I961)</f>
        <v>0</v>
      </c>
      <c r="J962" s="2702">
        <f t="shared" ref="J962:Q962" si="389">SUM(J960:J961)</f>
        <v>0</v>
      </c>
      <c r="K962" s="2702">
        <f t="shared" si="389"/>
        <v>0</v>
      </c>
      <c r="L962" s="2702">
        <f t="shared" si="389"/>
        <v>0</v>
      </c>
      <c r="M962" s="2702">
        <f t="shared" si="389"/>
        <v>0</v>
      </c>
      <c r="N962" s="2702">
        <f t="shared" si="389"/>
        <v>0</v>
      </c>
      <c r="O962" s="2702">
        <f t="shared" si="389"/>
        <v>0</v>
      </c>
      <c r="P962" s="2702">
        <f t="shared" si="389"/>
        <v>0</v>
      </c>
      <c r="Q962" s="2702">
        <f t="shared" si="389"/>
        <v>0</v>
      </c>
      <c r="R962" s="513"/>
      <c r="S962" s="2607"/>
      <c r="T962" s="2607"/>
      <c r="U962" s="2607"/>
      <c r="V962" s="2607"/>
      <c r="W962" s="2607"/>
    </row>
    <row r="963" spans="2:329" ht="15.6" customHeight="1">
      <c r="B963" s="2650" t="s">
        <v>6859</v>
      </c>
      <c r="C963" s="2650"/>
      <c r="D963" s="2650"/>
      <c r="E963" s="2650"/>
      <c r="F963" s="2650"/>
      <c r="H963" s="2703"/>
      <c r="I963" s="2650"/>
      <c r="J963" s="2650"/>
      <c r="K963" s="2650"/>
      <c r="L963" s="2650"/>
      <c r="M963" s="2650"/>
      <c r="N963" s="2650"/>
      <c r="O963" s="2650"/>
      <c r="P963" s="2650"/>
      <c r="Q963" s="2650"/>
      <c r="S963" s="2408" t="str">
        <f>B963</f>
        <v>NOT Included in Mgt Fee:</v>
      </c>
    </row>
    <row r="964" spans="2:329" ht="15.6" customHeight="1">
      <c r="B964" s="2654" t="s">
        <v>518</v>
      </c>
      <c r="C964" s="2654"/>
      <c r="D964" s="2654"/>
      <c r="E964" s="2654"/>
      <c r="F964" s="2654"/>
      <c r="H964" s="2701">
        <f>'Part VI-Revenues &amp; Expenses'!H195</f>
        <v>0</v>
      </c>
      <c r="I964" s="2701">
        <f>'Part VI-Revenues &amp; Expenses'!I195</f>
        <v>0</v>
      </c>
      <c r="J964" s="2701">
        <f>'Part VI-Revenues &amp; Expenses'!J195</f>
        <v>0</v>
      </c>
      <c r="K964" s="2701">
        <f>'Part VI-Revenues &amp; Expenses'!K195</f>
        <v>0</v>
      </c>
      <c r="L964" s="2701">
        <f>'Part VI-Revenues &amp; Expenses'!L195</f>
        <v>0</v>
      </c>
      <c r="M964" s="2701">
        <f>'Part VI-Revenues &amp; Expenses'!M195</f>
        <v>0</v>
      </c>
      <c r="N964" s="2701">
        <f>'Part VI-Revenues &amp; Expenses'!N195</f>
        <v>0</v>
      </c>
      <c r="O964" s="2701">
        <f>'Part VI-Revenues &amp; Expenses'!O195</f>
        <v>0</v>
      </c>
      <c r="P964" s="2701">
        <f>'Part VI-Revenues &amp; Expenses'!P195</f>
        <v>0</v>
      </c>
      <c r="Q964" s="2701">
        <f>'Part VI-Revenues &amp; Expenses'!Q195</f>
        <v>0</v>
      </c>
      <c r="R964" s="2694"/>
      <c r="S964" s="2607"/>
      <c r="T964" s="2607"/>
      <c r="U964" s="2607"/>
      <c r="V964" s="2607"/>
      <c r="W964" s="2607"/>
    </row>
    <row r="965" spans="2:329" ht="15.6" customHeight="1">
      <c r="B965" s="2654" t="s">
        <v>723</v>
      </c>
      <c r="C965" s="2654">
        <f>'Part VI-Revenues &amp; Expenses'!C196</f>
        <v>0</v>
      </c>
      <c r="D965" s="2654"/>
      <c r="E965" s="2654"/>
      <c r="F965" s="2654"/>
      <c r="H965" s="2701">
        <f>'Part VI-Revenues &amp; Expenses'!H196</f>
        <v>0</v>
      </c>
      <c r="I965" s="2701">
        <f>'Part VI-Revenues &amp; Expenses'!I196</f>
        <v>0</v>
      </c>
      <c r="J965" s="2701">
        <f>'Part VI-Revenues &amp; Expenses'!J196</f>
        <v>0</v>
      </c>
      <c r="K965" s="2701">
        <f>'Part VI-Revenues &amp; Expenses'!K196</f>
        <v>0</v>
      </c>
      <c r="L965" s="2701">
        <f>'Part VI-Revenues &amp; Expenses'!L196</f>
        <v>0</v>
      </c>
      <c r="M965" s="2701">
        <f>'Part VI-Revenues &amp; Expenses'!M196</f>
        <v>0</v>
      </c>
      <c r="N965" s="2701">
        <f>'Part VI-Revenues &amp; Expenses'!N196</f>
        <v>0</v>
      </c>
      <c r="O965" s="2701">
        <f>'Part VI-Revenues &amp; Expenses'!O196</f>
        <v>0</v>
      </c>
      <c r="P965" s="2701">
        <f>'Part VI-Revenues &amp; Expenses'!P196</f>
        <v>0</v>
      </c>
      <c r="Q965" s="2701">
        <f>'Part VI-Revenues &amp; Expenses'!Q196</f>
        <v>0</v>
      </c>
      <c r="R965" s="2694"/>
      <c r="S965" s="2607"/>
      <c r="T965" s="2607"/>
      <c r="U965" s="2607"/>
      <c r="V965" s="2607"/>
      <c r="W965" s="2607"/>
    </row>
    <row r="966" spans="2:329" ht="15.6" customHeight="1">
      <c r="B966" s="2654"/>
      <c r="C966" s="2654" t="s">
        <v>6860</v>
      </c>
      <c r="D966" s="2654"/>
      <c r="E966" s="2654"/>
      <c r="F966" s="2654"/>
      <c r="H966" s="2702">
        <f>SUM(H964:H965)</f>
        <v>0</v>
      </c>
      <c r="I966" s="2702">
        <f>SUM(I964:I965)</f>
        <v>0</v>
      </c>
      <c r="J966" s="2702">
        <f t="shared" ref="J966:Q966" si="390">SUM(J964:J965)</f>
        <v>0</v>
      </c>
      <c r="K966" s="2702">
        <f t="shared" si="390"/>
        <v>0</v>
      </c>
      <c r="L966" s="2702">
        <f t="shared" si="390"/>
        <v>0</v>
      </c>
      <c r="M966" s="2702">
        <f t="shared" si="390"/>
        <v>0</v>
      </c>
      <c r="N966" s="2702">
        <f t="shared" si="390"/>
        <v>0</v>
      </c>
      <c r="O966" s="2702">
        <f t="shared" si="390"/>
        <v>0</v>
      </c>
      <c r="P966" s="2702">
        <f t="shared" si="390"/>
        <v>0</v>
      </c>
      <c r="Q966" s="2702">
        <f t="shared" si="390"/>
        <v>0</v>
      </c>
      <c r="R966" s="513"/>
      <c r="S966" s="2607"/>
      <c r="T966" s="2607"/>
      <c r="U966" s="2607"/>
      <c r="V966" s="2607"/>
      <c r="W966" s="2607"/>
    </row>
    <row r="967" spans="2:329" ht="15.6" customHeight="1">
      <c r="B967" s="2650"/>
      <c r="C967" s="2650"/>
      <c r="D967" s="2650"/>
      <c r="E967" s="2650"/>
      <c r="F967" s="2650"/>
      <c r="H967" s="2703"/>
      <c r="I967" s="2650"/>
      <c r="J967" s="2650"/>
      <c r="K967" s="2650"/>
      <c r="L967" s="2650"/>
      <c r="M967" s="2650"/>
      <c r="N967" s="2650"/>
      <c r="O967" s="2650"/>
      <c r="P967" s="2650"/>
      <c r="Q967" s="2650"/>
    </row>
    <row r="968" spans="2:329" ht="15.6" customHeight="1">
      <c r="B968" s="2650" t="s">
        <v>2228</v>
      </c>
      <c r="C968" s="2650"/>
      <c r="D968" s="2650"/>
      <c r="E968" s="2650"/>
      <c r="F968" s="2650"/>
      <c r="H968" s="2699">
        <v>21</v>
      </c>
      <c r="I968" s="2699">
        <v>22</v>
      </c>
      <c r="J968" s="2699">
        <v>23</v>
      </c>
      <c r="K968" s="2699">
        <v>24</v>
      </c>
      <c r="L968" s="2699">
        <v>25</v>
      </c>
      <c r="M968" s="2699">
        <v>26</v>
      </c>
      <c r="N968" s="2699">
        <v>27</v>
      </c>
      <c r="O968" s="2699">
        <v>28</v>
      </c>
      <c r="P968" s="2699">
        <v>29</v>
      </c>
      <c r="Q968" s="2699">
        <v>30</v>
      </c>
      <c r="R968" s="2700"/>
      <c r="S968" s="2673" t="s">
        <v>2555</v>
      </c>
      <c r="T968" s="2408" t="str">
        <f>B968</f>
        <v>Included in Mgt Fee:</v>
      </c>
    </row>
    <row r="969" spans="2:329" ht="15.6" customHeight="1">
      <c r="B969" s="2654" t="s">
        <v>995</v>
      </c>
      <c r="C969" s="2654"/>
      <c r="D969" s="2654"/>
      <c r="E969" s="2654"/>
      <c r="F969" s="2654"/>
      <c r="H969" s="2701">
        <f>'Part VI-Revenues &amp; Expenses'!H200</f>
        <v>0</v>
      </c>
      <c r="I969" s="2701">
        <f>'Part VI-Revenues &amp; Expenses'!I200</f>
        <v>0</v>
      </c>
      <c r="J969" s="2701">
        <f>'Part VI-Revenues &amp; Expenses'!J200</f>
        <v>0</v>
      </c>
      <c r="K969" s="2701">
        <f>'Part VI-Revenues &amp; Expenses'!K200</f>
        <v>0</v>
      </c>
      <c r="L969" s="2701">
        <f>'Part VI-Revenues &amp; Expenses'!L200</f>
        <v>0</v>
      </c>
      <c r="M969" s="2701">
        <f>'Part VI-Revenues &amp; Expenses'!M200</f>
        <v>0</v>
      </c>
      <c r="N969" s="2701">
        <f>'Part VI-Revenues &amp; Expenses'!N200</f>
        <v>0</v>
      </c>
      <c r="O969" s="2701">
        <f>'Part VI-Revenues &amp; Expenses'!O200</f>
        <v>0</v>
      </c>
      <c r="P969" s="2701">
        <f>'Part VI-Revenues &amp; Expenses'!P200</f>
        <v>0</v>
      </c>
      <c r="Q969" s="2701">
        <f>'Part VI-Revenues &amp; Expenses'!Q200</f>
        <v>0</v>
      </c>
      <c r="R969" s="2694"/>
      <c r="S969" s="2607"/>
      <c r="T969" s="2607"/>
      <c r="U969" s="2607"/>
      <c r="V969" s="2607"/>
      <c r="W969" s="2607"/>
    </row>
    <row r="970" spans="2:329" ht="15.6" customHeight="1">
      <c r="B970" s="2654" t="s">
        <v>723</v>
      </c>
      <c r="C970" s="2654">
        <f>'Part VI-Revenues &amp; Expenses'!C201</f>
        <v>0</v>
      </c>
      <c r="D970" s="2654"/>
      <c r="E970" s="2654"/>
      <c r="F970" s="2654"/>
      <c r="H970" s="2701">
        <f>'Part VI-Revenues &amp; Expenses'!H201</f>
        <v>0</v>
      </c>
      <c r="I970" s="2701">
        <f>'Part VI-Revenues &amp; Expenses'!I201</f>
        <v>0</v>
      </c>
      <c r="J970" s="2701">
        <f>'Part VI-Revenues &amp; Expenses'!J201</f>
        <v>0</v>
      </c>
      <c r="K970" s="2701">
        <f>'Part VI-Revenues &amp; Expenses'!K201</f>
        <v>0</v>
      </c>
      <c r="L970" s="2701">
        <f>'Part VI-Revenues &amp; Expenses'!L201</f>
        <v>0</v>
      </c>
      <c r="M970" s="2701">
        <f>'Part VI-Revenues &amp; Expenses'!M201</f>
        <v>0</v>
      </c>
      <c r="N970" s="2701">
        <f>'Part VI-Revenues &amp; Expenses'!N201</f>
        <v>0</v>
      </c>
      <c r="O970" s="2701">
        <f>'Part VI-Revenues &amp; Expenses'!O201</f>
        <v>0</v>
      </c>
      <c r="P970" s="2701">
        <f>'Part VI-Revenues &amp; Expenses'!P201</f>
        <v>0</v>
      </c>
      <c r="Q970" s="2701">
        <f>'Part VI-Revenues &amp; Expenses'!Q201</f>
        <v>0</v>
      </c>
      <c r="R970" s="2694"/>
      <c r="S970" s="2607"/>
      <c r="T970" s="2607"/>
      <c r="U970" s="2607"/>
      <c r="V970" s="2607"/>
      <c r="W970" s="2607"/>
    </row>
    <row r="971" spans="2:329" ht="15.6" customHeight="1">
      <c r="B971" s="2654"/>
      <c r="C971" s="2654" t="s">
        <v>907</v>
      </c>
      <c r="D971" s="2654"/>
      <c r="E971" s="2654"/>
      <c r="F971" s="2654"/>
      <c r="H971" s="2702">
        <f>SUM(H969:H970)</f>
        <v>0</v>
      </c>
      <c r="I971" s="2702">
        <f>SUM(I969:I970)</f>
        <v>0</v>
      </c>
      <c r="J971" s="2702">
        <f t="shared" ref="J971:Q971" si="391">SUM(J969:J970)</f>
        <v>0</v>
      </c>
      <c r="K971" s="2702">
        <f t="shared" si="391"/>
        <v>0</v>
      </c>
      <c r="L971" s="2702">
        <f t="shared" si="391"/>
        <v>0</v>
      </c>
      <c r="M971" s="2702">
        <f t="shared" si="391"/>
        <v>0</v>
      </c>
      <c r="N971" s="2702">
        <f t="shared" si="391"/>
        <v>0</v>
      </c>
      <c r="O971" s="2702">
        <f t="shared" si="391"/>
        <v>0</v>
      </c>
      <c r="P971" s="2702">
        <f t="shared" si="391"/>
        <v>0</v>
      </c>
      <c r="Q971" s="2702">
        <f t="shared" si="391"/>
        <v>0</v>
      </c>
      <c r="R971" s="513"/>
      <c r="S971" s="2607"/>
      <c r="T971" s="2607"/>
      <c r="U971" s="2607"/>
      <c r="V971" s="2607"/>
      <c r="W971" s="2607"/>
    </row>
    <row r="972" spans="2:329" ht="15.6" customHeight="1">
      <c r="B972" s="2650" t="s">
        <v>6859</v>
      </c>
      <c r="C972" s="2650"/>
      <c r="D972" s="2650"/>
      <c r="E972" s="2650"/>
      <c r="F972" s="2650"/>
      <c r="H972" s="2703"/>
      <c r="I972" s="2650"/>
      <c r="J972" s="2650"/>
      <c r="K972" s="2650"/>
      <c r="L972" s="2650"/>
      <c r="M972" s="2650"/>
      <c r="N972" s="2650"/>
      <c r="O972" s="2650"/>
      <c r="P972" s="2650"/>
      <c r="Q972" s="2650"/>
      <c r="S972" s="2408" t="str">
        <f>B972</f>
        <v>NOT Included in Mgt Fee:</v>
      </c>
    </row>
    <row r="973" spans="2:329" ht="15.6" customHeight="1">
      <c r="B973" s="2654" t="s">
        <v>518</v>
      </c>
      <c r="C973" s="2654"/>
      <c r="D973" s="2654"/>
      <c r="E973" s="2654"/>
      <c r="F973" s="2654"/>
      <c r="H973" s="2701">
        <f>'Part VI-Revenues &amp; Expenses'!H204</f>
        <v>0</v>
      </c>
      <c r="I973" s="2701">
        <f>'Part VI-Revenues &amp; Expenses'!I204</f>
        <v>0</v>
      </c>
      <c r="J973" s="2701">
        <f>'Part VI-Revenues &amp; Expenses'!J204</f>
        <v>0</v>
      </c>
      <c r="K973" s="2701">
        <f>'Part VI-Revenues &amp; Expenses'!K204</f>
        <v>0</v>
      </c>
      <c r="L973" s="2701">
        <f>'Part VI-Revenues &amp; Expenses'!L204</f>
        <v>0</v>
      </c>
      <c r="M973" s="2701">
        <f>'Part VI-Revenues &amp; Expenses'!M204</f>
        <v>0</v>
      </c>
      <c r="N973" s="2701">
        <f>'Part VI-Revenues &amp; Expenses'!N204</f>
        <v>0</v>
      </c>
      <c r="O973" s="2701">
        <f>'Part VI-Revenues &amp; Expenses'!O204</f>
        <v>0</v>
      </c>
      <c r="P973" s="2701">
        <f>'Part VI-Revenues &amp; Expenses'!P204</f>
        <v>0</v>
      </c>
      <c r="Q973" s="2701">
        <f>'Part VI-Revenues &amp; Expenses'!Q204</f>
        <v>0</v>
      </c>
      <c r="R973" s="2694"/>
      <c r="S973" s="2607"/>
      <c r="T973" s="2607"/>
      <c r="U973" s="2607"/>
      <c r="V973" s="2607"/>
      <c r="W973" s="2607"/>
    </row>
    <row r="974" spans="2:329" ht="15.6" customHeight="1">
      <c r="B974" s="2654" t="s">
        <v>723</v>
      </c>
      <c r="C974" s="2654">
        <f>'Part VI-Revenues &amp; Expenses'!C205</f>
        <v>0</v>
      </c>
      <c r="D974" s="2654"/>
      <c r="E974" s="2654"/>
      <c r="F974" s="2654"/>
      <c r="H974" s="2701">
        <f>'Part VI-Revenues &amp; Expenses'!H205</f>
        <v>0</v>
      </c>
      <c r="I974" s="2701">
        <f>'Part VI-Revenues &amp; Expenses'!I205</f>
        <v>0</v>
      </c>
      <c r="J974" s="2701">
        <f>'Part VI-Revenues &amp; Expenses'!J205</f>
        <v>0</v>
      </c>
      <c r="K974" s="2701">
        <f>'Part VI-Revenues &amp; Expenses'!K205</f>
        <v>0</v>
      </c>
      <c r="L974" s="2701">
        <f>'Part VI-Revenues &amp; Expenses'!L205</f>
        <v>0</v>
      </c>
      <c r="M974" s="2701">
        <f>'Part VI-Revenues &amp; Expenses'!M205</f>
        <v>0</v>
      </c>
      <c r="N974" s="2701">
        <f>'Part VI-Revenues &amp; Expenses'!N205</f>
        <v>0</v>
      </c>
      <c r="O974" s="2701">
        <f>'Part VI-Revenues &amp; Expenses'!O205</f>
        <v>0</v>
      </c>
      <c r="P974" s="2701">
        <f>'Part VI-Revenues &amp; Expenses'!P205</f>
        <v>0</v>
      </c>
      <c r="Q974" s="2701">
        <f>'Part VI-Revenues &amp; Expenses'!Q205</f>
        <v>0</v>
      </c>
      <c r="R974" s="2694"/>
      <c r="S974" s="2607"/>
      <c r="T974" s="2607"/>
      <c r="U974" s="2607"/>
      <c r="V974" s="2607"/>
      <c r="W974" s="2607"/>
    </row>
    <row r="975" spans="2:329" ht="15.6" customHeight="1">
      <c r="B975" s="2654"/>
      <c r="C975" s="2654" t="s">
        <v>6860</v>
      </c>
      <c r="D975" s="2654"/>
      <c r="E975" s="2654"/>
      <c r="F975" s="2654"/>
      <c r="H975" s="2702">
        <f>SUM(H973:H974)</f>
        <v>0</v>
      </c>
      <c r="I975" s="2702">
        <f>SUM(I973:I974)</f>
        <v>0</v>
      </c>
      <c r="J975" s="2702">
        <f t="shared" ref="J975:Q975" si="392">SUM(J973:J974)</f>
        <v>0</v>
      </c>
      <c r="K975" s="2702">
        <f t="shared" si="392"/>
        <v>0</v>
      </c>
      <c r="L975" s="2702">
        <f t="shared" si="392"/>
        <v>0</v>
      </c>
      <c r="M975" s="2702">
        <f t="shared" si="392"/>
        <v>0</v>
      </c>
      <c r="N975" s="2702">
        <f t="shared" si="392"/>
        <v>0</v>
      </c>
      <c r="O975" s="2702">
        <f t="shared" si="392"/>
        <v>0</v>
      </c>
      <c r="P975" s="2702">
        <f t="shared" si="392"/>
        <v>0</v>
      </c>
      <c r="Q975" s="2702">
        <f t="shared" si="392"/>
        <v>0</v>
      </c>
      <c r="R975" s="513"/>
      <c r="S975" s="2607"/>
      <c r="T975" s="2607"/>
      <c r="U975" s="2607"/>
      <c r="V975" s="2607"/>
      <c r="W975" s="2607"/>
    </row>
    <row r="976" spans="2:329" ht="15.6" customHeight="1">
      <c r="B976" s="2650"/>
      <c r="C976" s="2650"/>
      <c r="D976" s="2650"/>
      <c r="E976" s="2650"/>
      <c r="F976" s="2650"/>
      <c r="H976" s="2703"/>
      <c r="I976" s="2650"/>
      <c r="J976" s="2650"/>
      <c r="K976" s="2650"/>
      <c r="L976" s="2650"/>
      <c r="M976" s="2650"/>
      <c r="N976" s="2650"/>
      <c r="O976" s="2650"/>
      <c r="P976" s="2650"/>
      <c r="Q976" s="2650"/>
      <c r="JW976" s="2613"/>
      <c r="KB976" s="2613"/>
      <c r="KC976" s="2613"/>
      <c r="KD976" s="2613"/>
      <c r="KE976" s="2613"/>
      <c r="KF976" s="2613"/>
      <c r="KG976" s="2613"/>
      <c r="KH976" s="2613"/>
      <c r="KI976" s="2613"/>
      <c r="KJ976" s="2613"/>
      <c r="KK976" s="2613"/>
      <c r="KL976" s="2613"/>
      <c r="KM976" s="2613"/>
      <c r="KN976" s="2613"/>
      <c r="KO976" s="2613"/>
      <c r="KP976" s="2613"/>
      <c r="KQ976" s="2613"/>
      <c r="KR976" s="2613"/>
      <c r="KS976" s="2613"/>
      <c r="KT976" s="2613"/>
      <c r="KU976" s="2613"/>
      <c r="KV976" s="2613"/>
      <c r="KW976" s="2613"/>
      <c r="KX976" s="2613"/>
      <c r="KY976" s="2613"/>
      <c r="KZ976" s="2613"/>
      <c r="LA976" s="2613"/>
      <c r="LB976" s="2613"/>
      <c r="LC976" s="2613"/>
      <c r="LD976" s="2613"/>
      <c r="LE976" s="2613"/>
      <c r="LF976" s="2613"/>
      <c r="LG976" s="2613"/>
      <c r="LH976" s="2613"/>
      <c r="LI976" s="2613"/>
      <c r="LJ976" s="2613"/>
      <c r="LK976" s="2613"/>
      <c r="LL976" s="2613"/>
      <c r="LM976" s="2613"/>
      <c r="LN976" s="2613"/>
      <c r="LO976" s="2613"/>
      <c r="LP976" s="2613"/>
      <c r="LQ976" s="2613"/>
    </row>
    <row r="977" spans="1:329" ht="15.6" customHeight="1">
      <c r="B977" s="2650" t="s">
        <v>2228</v>
      </c>
      <c r="C977" s="2650"/>
      <c r="D977" s="2650"/>
      <c r="E977" s="2650"/>
      <c r="F977" s="2650"/>
      <c r="H977" s="2699">
        <v>31</v>
      </c>
      <c r="I977" s="2699">
        <v>32</v>
      </c>
      <c r="J977" s="2699">
        <v>33</v>
      </c>
      <c r="K977" s="2699">
        <v>34</v>
      </c>
      <c r="L977" s="2699">
        <v>35</v>
      </c>
      <c r="M977" s="2650"/>
      <c r="N977" s="2650"/>
      <c r="O977" s="2650"/>
      <c r="P977" s="2650"/>
      <c r="Q977" s="2650"/>
      <c r="S977" s="2673" t="s">
        <v>2555</v>
      </c>
      <c r="T977" s="2408" t="str">
        <f>B977</f>
        <v>Included in Mgt Fee:</v>
      </c>
      <c r="JW977" s="2613"/>
      <c r="KB977" s="2613"/>
      <c r="KC977" s="2613"/>
      <c r="KD977" s="2613"/>
      <c r="KE977" s="2613"/>
      <c r="KF977" s="2613"/>
      <c r="KG977" s="2613"/>
      <c r="KH977" s="2613"/>
      <c r="KI977" s="2613"/>
      <c r="KJ977" s="2613"/>
      <c r="KK977" s="2613"/>
      <c r="KL977" s="2613"/>
      <c r="KM977" s="2613"/>
      <c r="KN977" s="2613"/>
      <c r="KO977" s="2613"/>
      <c r="KP977" s="2613"/>
      <c r="KQ977" s="2613"/>
      <c r="KR977" s="2613"/>
      <c r="KS977" s="2613"/>
      <c r="KT977" s="2613"/>
      <c r="KU977" s="2613"/>
      <c r="KV977" s="2613"/>
      <c r="KW977" s="2613"/>
      <c r="KX977" s="2613"/>
      <c r="KY977" s="2613"/>
      <c r="KZ977" s="2613"/>
      <c r="LA977" s="2613"/>
      <c r="LB977" s="2613"/>
      <c r="LC977" s="2613"/>
      <c r="LD977" s="2613"/>
      <c r="LE977" s="2613"/>
      <c r="LF977" s="2613"/>
      <c r="LG977" s="2613"/>
      <c r="LH977" s="2613"/>
      <c r="LI977" s="2613"/>
      <c r="LJ977" s="2613"/>
      <c r="LK977" s="2613"/>
      <c r="LL977" s="2613"/>
      <c r="LM977" s="2613"/>
      <c r="LN977" s="2613"/>
      <c r="LO977" s="2613"/>
      <c r="LP977" s="2613"/>
      <c r="LQ977" s="2613"/>
    </row>
    <row r="978" spans="1:329" ht="15.6" customHeight="1">
      <c r="B978" s="2654" t="s">
        <v>995</v>
      </c>
      <c r="C978" s="2654"/>
      <c r="D978" s="2654"/>
      <c r="E978" s="2654"/>
      <c r="F978" s="2654"/>
      <c r="H978" s="2701">
        <f>'Part VI-Revenues &amp; Expenses'!H209</f>
        <v>0</v>
      </c>
      <c r="I978" s="2701">
        <f>'Part VI-Revenues &amp; Expenses'!I209</f>
        <v>0</v>
      </c>
      <c r="J978" s="2701">
        <f>'Part VI-Revenues &amp; Expenses'!J209</f>
        <v>0</v>
      </c>
      <c r="K978" s="2701">
        <f>'Part VI-Revenues &amp; Expenses'!K209</f>
        <v>0</v>
      </c>
      <c r="L978" s="2701">
        <f>'Part VI-Revenues &amp; Expenses'!L209</f>
        <v>0</v>
      </c>
      <c r="M978" s="2650"/>
      <c r="N978" s="2650"/>
      <c r="O978" s="2650"/>
      <c r="P978" s="2650"/>
      <c r="Q978" s="2650"/>
      <c r="S978" s="2607"/>
      <c r="T978" s="2607"/>
      <c r="U978" s="2607"/>
      <c r="V978" s="2607"/>
      <c r="W978" s="2607"/>
      <c r="JW978" s="2613"/>
      <c r="KB978" s="2613"/>
      <c r="KC978" s="2613"/>
      <c r="KD978" s="2613"/>
      <c r="KE978" s="2613"/>
      <c r="KF978" s="2613"/>
      <c r="KG978" s="2613"/>
      <c r="KH978" s="2613"/>
      <c r="KI978" s="2613"/>
      <c r="KJ978" s="2613"/>
      <c r="KK978" s="2613"/>
      <c r="KL978" s="2613"/>
      <c r="KM978" s="2613"/>
      <c r="KN978" s="2613"/>
      <c r="KO978" s="2613"/>
      <c r="KP978" s="2613"/>
      <c r="KQ978" s="2613"/>
      <c r="KR978" s="2613"/>
      <c r="KS978" s="2613"/>
      <c r="KT978" s="2613"/>
      <c r="KU978" s="2613"/>
      <c r="KV978" s="2613"/>
      <c r="KW978" s="2613"/>
      <c r="KX978" s="2613"/>
      <c r="KY978" s="2613"/>
      <c r="KZ978" s="2613"/>
      <c r="LA978" s="2613"/>
      <c r="LB978" s="2613"/>
      <c r="LC978" s="2613"/>
      <c r="LD978" s="2613"/>
      <c r="LE978" s="2613"/>
      <c r="LF978" s="2613"/>
      <c r="LG978" s="2613"/>
      <c r="LH978" s="2613"/>
      <c r="LI978" s="2613"/>
      <c r="LJ978" s="2613"/>
      <c r="LK978" s="2613"/>
      <c r="LL978" s="2613"/>
      <c r="LM978" s="2613"/>
      <c r="LN978" s="2613"/>
      <c r="LO978" s="2613"/>
      <c r="LP978" s="2613"/>
      <c r="LQ978" s="2613"/>
    </row>
    <row r="979" spans="1:329" ht="15.6" customHeight="1">
      <c r="B979" s="2654" t="s">
        <v>723</v>
      </c>
      <c r="C979" s="2654">
        <f>'Part VI-Revenues &amp; Expenses'!C210</f>
        <v>0</v>
      </c>
      <c r="D979" s="2654"/>
      <c r="E979" s="2654"/>
      <c r="F979" s="2654"/>
      <c r="H979" s="2701">
        <f>'Part VI-Revenues &amp; Expenses'!H210</f>
        <v>0</v>
      </c>
      <c r="I979" s="2701">
        <f>'Part VI-Revenues &amp; Expenses'!I210</f>
        <v>0</v>
      </c>
      <c r="J979" s="2701">
        <f>'Part VI-Revenues &amp; Expenses'!J210</f>
        <v>0</v>
      </c>
      <c r="K979" s="2701">
        <f>'Part VI-Revenues &amp; Expenses'!K210</f>
        <v>0</v>
      </c>
      <c r="L979" s="2701">
        <f>'Part VI-Revenues &amp; Expenses'!L210</f>
        <v>0</v>
      </c>
      <c r="M979" s="2650"/>
      <c r="N979" s="2650"/>
      <c r="O979" s="2650"/>
      <c r="P979" s="2650"/>
      <c r="Q979" s="2650"/>
      <c r="S979" s="2607"/>
      <c r="T979" s="2607"/>
      <c r="U979" s="2607"/>
      <c r="V979" s="2607"/>
      <c r="W979" s="2607"/>
      <c r="JW979" s="2613"/>
      <c r="KB979" s="2613"/>
      <c r="KC979" s="2613"/>
      <c r="KD979" s="2613"/>
      <c r="KE979" s="2613"/>
      <c r="KF979" s="2613"/>
      <c r="KG979" s="2613"/>
      <c r="KH979" s="2613"/>
      <c r="KI979" s="2613"/>
      <c r="KJ979" s="2613"/>
      <c r="KK979" s="2613"/>
      <c r="KL979" s="2613"/>
      <c r="KM979" s="2613"/>
      <c r="KN979" s="2613"/>
      <c r="KO979" s="2613"/>
      <c r="KP979" s="2613"/>
      <c r="KQ979" s="2613"/>
      <c r="KR979" s="2613"/>
      <c r="KS979" s="2613"/>
      <c r="KT979" s="2613"/>
      <c r="KU979" s="2613"/>
      <c r="KV979" s="2613"/>
      <c r="KW979" s="2613"/>
      <c r="KX979" s="2613"/>
      <c r="KY979" s="2613"/>
      <c r="KZ979" s="2613"/>
      <c r="LA979" s="2613"/>
      <c r="LB979" s="2613"/>
      <c r="LC979" s="2613"/>
      <c r="LD979" s="2613"/>
      <c r="LE979" s="2613"/>
      <c r="LF979" s="2613"/>
      <c r="LG979" s="2613"/>
      <c r="LH979" s="2613"/>
      <c r="LI979" s="2613"/>
      <c r="LJ979" s="2613"/>
      <c r="LK979" s="2613"/>
      <c r="LL979" s="2613"/>
      <c r="LM979" s="2613"/>
      <c r="LN979" s="2613"/>
      <c r="LO979" s="2613"/>
      <c r="LP979" s="2613"/>
      <c r="LQ979" s="2613"/>
    </row>
    <row r="980" spans="1:329" ht="15.6" customHeight="1">
      <c r="B980" s="2654"/>
      <c r="C980" s="2654" t="s">
        <v>907</v>
      </c>
      <c r="D980" s="2654"/>
      <c r="E980" s="2654"/>
      <c r="F980" s="2654"/>
      <c r="H980" s="2702">
        <f>SUM(H978:H979)</f>
        <v>0</v>
      </c>
      <c r="I980" s="2702">
        <f>SUM(I978:I979)</f>
        <v>0</v>
      </c>
      <c r="J980" s="2702">
        <f>SUM(J978:J979)</f>
        <v>0</v>
      </c>
      <c r="K980" s="2702">
        <f>SUM(K978:K979)</f>
        <v>0</v>
      </c>
      <c r="L980" s="2702">
        <f>SUM(L978:L979)</f>
        <v>0</v>
      </c>
      <c r="M980" s="2650"/>
      <c r="N980" s="2650"/>
      <c r="O980" s="2650"/>
      <c r="P980" s="2650"/>
      <c r="Q980" s="2650"/>
      <c r="S980" s="2607"/>
      <c r="T980" s="2607"/>
      <c r="U980" s="2607"/>
      <c r="V980" s="2607"/>
      <c r="W980" s="2607"/>
      <c r="JW980" s="2613"/>
      <c r="KB980" s="2613"/>
      <c r="KC980" s="2613"/>
      <c r="KD980" s="2613"/>
      <c r="KE980" s="2613"/>
      <c r="KF980" s="2613"/>
      <c r="KG980" s="2613"/>
      <c r="KH980" s="2613"/>
      <c r="KI980" s="2613"/>
      <c r="KJ980" s="2613"/>
      <c r="KK980" s="2613"/>
      <c r="KL980" s="2613"/>
      <c r="KM980" s="2613"/>
      <c r="KN980" s="2613"/>
      <c r="KO980" s="2613"/>
      <c r="KP980" s="2613"/>
      <c r="KQ980" s="2613"/>
      <c r="KR980" s="2613"/>
      <c r="KS980" s="2613"/>
      <c r="KT980" s="2613"/>
      <c r="KU980" s="2613"/>
      <c r="KV980" s="2613"/>
      <c r="KW980" s="2613"/>
      <c r="KX980" s="2613"/>
      <c r="KY980" s="2613"/>
      <c r="KZ980" s="2613"/>
      <c r="LA980" s="2613"/>
      <c r="LB980" s="2613"/>
      <c r="LC980" s="2613"/>
      <c r="LD980" s="2613"/>
      <c r="LE980" s="2613"/>
      <c r="LF980" s="2613"/>
      <c r="LG980" s="2613"/>
      <c r="LH980" s="2613"/>
      <c r="LI980" s="2613"/>
      <c r="LJ980" s="2613"/>
      <c r="LK980" s="2613"/>
      <c r="LL980" s="2613"/>
      <c r="LM980" s="2613"/>
      <c r="LN980" s="2613"/>
      <c r="LO980" s="2613"/>
      <c r="LP980" s="2613"/>
      <c r="LQ980" s="2613"/>
    </row>
    <row r="981" spans="1:329" ht="15.6" customHeight="1">
      <c r="B981" s="2650" t="s">
        <v>6859</v>
      </c>
      <c r="C981" s="2650"/>
      <c r="D981" s="2650"/>
      <c r="E981" s="2650"/>
      <c r="F981" s="2650"/>
      <c r="H981" s="2703"/>
      <c r="I981" s="2650"/>
      <c r="J981" s="2650"/>
      <c r="K981" s="2650"/>
      <c r="L981" s="2650"/>
      <c r="M981" s="2650"/>
      <c r="N981" s="2650"/>
      <c r="O981" s="2650"/>
      <c r="P981" s="2650"/>
      <c r="Q981" s="2650"/>
      <c r="S981" s="2408" t="str">
        <f>B981</f>
        <v>NOT Included in Mgt Fee:</v>
      </c>
      <c r="JW981" s="2613"/>
      <c r="KB981" s="2613"/>
      <c r="KC981" s="2613"/>
      <c r="KD981" s="2613"/>
      <c r="KE981" s="2613"/>
      <c r="KF981" s="2613"/>
      <c r="KG981" s="2613"/>
      <c r="KH981" s="2613"/>
      <c r="KI981" s="2613"/>
      <c r="KJ981" s="2613"/>
      <c r="KK981" s="2613"/>
      <c r="KL981" s="2613"/>
      <c r="KM981" s="2613"/>
      <c r="KN981" s="2613"/>
      <c r="KO981" s="2613"/>
      <c r="KP981" s="2613"/>
      <c r="KQ981" s="2613"/>
      <c r="KR981" s="2613"/>
      <c r="KS981" s="2613"/>
      <c r="KT981" s="2613"/>
      <c r="KU981" s="2613"/>
      <c r="KV981" s="2613"/>
      <c r="KW981" s="2613"/>
      <c r="KX981" s="2613"/>
      <c r="KY981" s="2613"/>
      <c r="KZ981" s="2613"/>
      <c r="LA981" s="2613"/>
      <c r="LB981" s="2613"/>
      <c r="LC981" s="2613"/>
      <c r="LD981" s="2613"/>
      <c r="LE981" s="2613"/>
      <c r="LF981" s="2613"/>
      <c r="LG981" s="2613"/>
      <c r="LH981" s="2613"/>
      <c r="LI981" s="2613"/>
      <c r="LJ981" s="2613"/>
      <c r="LK981" s="2613"/>
      <c r="LL981" s="2613"/>
      <c r="LM981" s="2613"/>
      <c r="LN981" s="2613"/>
      <c r="LO981" s="2613"/>
      <c r="LP981" s="2613"/>
      <c r="LQ981" s="2613"/>
    </row>
    <row r="982" spans="1:329" ht="15.6" customHeight="1">
      <c r="B982" s="2654" t="s">
        <v>518</v>
      </c>
      <c r="C982" s="2654"/>
      <c r="D982" s="2654"/>
      <c r="E982" s="2654"/>
      <c r="F982" s="2654"/>
      <c r="H982" s="2701">
        <f>'Part VI-Revenues &amp; Expenses'!H213</f>
        <v>0</v>
      </c>
      <c r="I982" s="2701">
        <f>'Part VI-Revenues &amp; Expenses'!I213</f>
        <v>0</v>
      </c>
      <c r="J982" s="2701">
        <f>'Part VI-Revenues &amp; Expenses'!J213</f>
        <v>0</v>
      </c>
      <c r="K982" s="2701">
        <f>'Part VI-Revenues &amp; Expenses'!K213</f>
        <v>0</v>
      </c>
      <c r="L982" s="2701">
        <f>'Part VI-Revenues &amp; Expenses'!L213</f>
        <v>0</v>
      </c>
      <c r="M982" s="2650"/>
      <c r="N982" s="2650"/>
      <c r="O982" s="2650"/>
      <c r="P982" s="2650"/>
      <c r="Q982" s="2650"/>
      <c r="S982" s="2607"/>
      <c r="T982" s="2607"/>
      <c r="U982" s="2607"/>
      <c r="V982" s="2607"/>
      <c r="W982" s="2607"/>
      <c r="JW982" s="2613"/>
      <c r="KB982" s="2613"/>
      <c r="KC982" s="2613"/>
      <c r="KD982" s="2613"/>
      <c r="KE982" s="2613"/>
      <c r="KF982" s="2613"/>
      <c r="KG982" s="2613"/>
      <c r="KH982" s="2613"/>
      <c r="KI982" s="2613"/>
      <c r="KJ982" s="2613"/>
      <c r="KK982" s="2613"/>
      <c r="KL982" s="2613"/>
      <c r="KM982" s="2613"/>
      <c r="KN982" s="2613"/>
      <c r="KO982" s="2613"/>
      <c r="KP982" s="2613"/>
      <c r="KQ982" s="2613"/>
      <c r="KR982" s="2613"/>
      <c r="KS982" s="2613"/>
      <c r="KT982" s="2613"/>
      <c r="KU982" s="2613"/>
      <c r="KV982" s="2613"/>
      <c r="KW982" s="2613"/>
      <c r="KX982" s="2613"/>
      <c r="KY982" s="2613"/>
      <c r="KZ982" s="2613"/>
      <c r="LA982" s="2613"/>
      <c r="LB982" s="2613"/>
      <c r="LC982" s="2613"/>
      <c r="LD982" s="2613"/>
      <c r="LE982" s="2613"/>
      <c r="LF982" s="2613"/>
      <c r="LG982" s="2613"/>
      <c r="LH982" s="2613"/>
      <c r="LI982" s="2613"/>
      <c r="LJ982" s="2613"/>
      <c r="LK982" s="2613"/>
      <c r="LL982" s="2613"/>
      <c r="LM982" s="2613"/>
      <c r="LN982" s="2613"/>
      <c r="LO982" s="2613"/>
      <c r="LP982" s="2613"/>
      <c r="LQ982" s="2613"/>
    </row>
    <row r="983" spans="1:329" ht="15.6" customHeight="1">
      <c r="B983" s="2654" t="s">
        <v>723</v>
      </c>
      <c r="C983" s="2654">
        <f>'Part VI-Revenues &amp; Expenses'!C214</f>
        <v>0</v>
      </c>
      <c r="D983" s="2654"/>
      <c r="E983" s="2654"/>
      <c r="F983" s="2654"/>
      <c r="H983" s="2701">
        <f>'Part VI-Revenues &amp; Expenses'!H214</f>
        <v>0</v>
      </c>
      <c r="I983" s="2701">
        <f>'Part VI-Revenues &amp; Expenses'!I214</f>
        <v>0</v>
      </c>
      <c r="J983" s="2701">
        <f>'Part VI-Revenues &amp; Expenses'!J214</f>
        <v>0</v>
      </c>
      <c r="K983" s="2701">
        <f>'Part VI-Revenues &amp; Expenses'!K214</f>
        <v>0</v>
      </c>
      <c r="L983" s="2701">
        <f>'Part VI-Revenues &amp; Expenses'!L214</f>
        <v>0</v>
      </c>
      <c r="M983" s="2650"/>
      <c r="N983" s="2650"/>
      <c r="O983" s="2650"/>
      <c r="P983" s="2650"/>
      <c r="Q983" s="2650"/>
      <c r="S983" s="2607"/>
      <c r="T983" s="2607"/>
      <c r="U983" s="2607"/>
      <c r="V983" s="2607"/>
      <c r="W983" s="2607"/>
      <c r="JW983" s="2613"/>
      <c r="KB983" s="2613"/>
      <c r="KC983" s="2613"/>
      <c r="KD983" s="2613"/>
      <c r="KE983" s="2613"/>
      <c r="KF983" s="2613"/>
      <c r="KG983" s="2613"/>
      <c r="KH983" s="2613"/>
      <c r="KI983" s="2613"/>
      <c r="KJ983" s="2613"/>
      <c r="KK983" s="2613"/>
      <c r="KL983" s="2613"/>
      <c r="KM983" s="2613"/>
      <c r="KN983" s="2613"/>
      <c r="KO983" s="2613"/>
      <c r="KP983" s="2613"/>
      <c r="KQ983" s="2613"/>
      <c r="KR983" s="2613"/>
      <c r="KS983" s="2613"/>
      <c r="KT983" s="2613"/>
      <c r="KU983" s="2613"/>
      <c r="KV983" s="2613"/>
      <c r="KW983" s="2613"/>
      <c r="KX983" s="2613"/>
      <c r="KY983" s="2613"/>
      <c r="KZ983" s="2613"/>
      <c r="LA983" s="2613"/>
      <c r="LB983" s="2613"/>
      <c r="LC983" s="2613"/>
      <c r="LD983" s="2613"/>
      <c r="LE983" s="2613"/>
      <c r="LF983" s="2613"/>
      <c r="LG983" s="2613"/>
      <c r="LH983" s="2613"/>
      <c r="LI983" s="2613"/>
      <c r="LJ983" s="2613"/>
      <c r="LK983" s="2613"/>
      <c r="LL983" s="2613"/>
      <c r="LM983" s="2613"/>
      <c r="LN983" s="2613"/>
      <c r="LO983" s="2613"/>
      <c r="LP983" s="2613"/>
      <c r="LQ983" s="2613"/>
    </row>
    <row r="984" spans="1:329" ht="15.6" customHeight="1">
      <c r="B984" s="2654"/>
      <c r="C984" s="2654" t="s">
        <v>6860</v>
      </c>
      <c r="D984" s="2654"/>
      <c r="E984" s="2654"/>
      <c r="F984" s="2654"/>
      <c r="H984" s="2702">
        <f>SUM(H982:H983)</f>
        <v>0</v>
      </c>
      <c r="I984" s="2702">
        <f>SUM(I982:I983)</f>
        <v>0</v>
      </c>
      <c r="J984" s="2702">
        <f>SUM(J982:J983)</f>
        <v>0</v>
      </c>
      <c r="K984" s="2702">
        <f>SUM(K982:K983)</f>
        <v>0</v>
      </c>
      <c r="L984" s="2702">
        <f>SUM(L982:L983)</f>
        <v>0</v>
      </c>
      <c r="M984" s="2650"/>
      <c r="N984" s="2650"/>
      <c r="O984" s="2650"/>
      <c r="P984" s="2650"/>
      <c r="Q984" s="2650"/>
      <c r="S984" s="2607"/>
      <c r="T984" s="2607"/>
      <c r="U984" s="2607"/>
      <c r="V984" s="2607"/>
      <c r="W984" s="2607"/>
      <c r="JW984" s="2613"/>
      <c r="KB984" s="2613"/>
      <c r="KC984" s="2613"/>
      <c r="KD984" s="2613"/>
      <c r="KE984" s="2613"/>
      <c r="KF984" s="2613"/>
      <c r="KG984" s="2613"/>
      <c r="KH984" s="2613"/>
      <c r="KI984" s="2613"/>
      <c r="KJ984" s="2613"/>
      <c r="KK984" s="2613"/>
      <c r="KL984" s="2613"/>
      <c r="KM984" s="2613"/>
      <c r="KN984" s="2613"/>
      <c r="KO984" s="2613"/>
      <c r="KP984" s="2613"/>
      <c r="KQ984" s="2613"/>
      <c r="KR984" s="2613"/>
      <c r="KS984" s="2613"/>
      <c r="KT984" s="2613"/>
      <c r="KU984" s="2613"/>
      <c r="KV984" s="2613"/>
      <c r="KW984" s="2613"/>
      <c r="KX984" s="2613"/>
      <c r="KY984" s="2613"/>
      <c r="KZ984" s="2613"/>
      <c r="LA984" s="2613"/>
      <c r="LB984" s="2613"/>
      <c r="LC984" s="2613"/>
      <c r="LD984" s="2613"/>
      <c r="LE984" s="2613"/>
      <c r="LF984" s="2613"/>
      <c r="LG984" s="2613"/>
      <c r="LH984" s="2613"/>
      <c r="LI984" s="2613"/>
      <c r="LJ984" s="2613"/>
      <c r="LK984" s="2613"/>
      <c r="LL984" s="2613"/>
      <c r="LM984" s="2613"/>
      <c r="LN984" s="2613"/>
      <c r="LO984" s="2613"/>
      <c r="LP984" s="2613"/>
      <c r="LQ984" s="2613"/>
    </row>
    <row r="985" spans="1:329" ht="2.25" customHeight="1">
      <c r="F985" s="2704"/>
      <c r="G985" s="2704"/>
      <c r="JW985" s="2613"/>
      <c r="KB985" s="2613"/>
      <c r="KC985" s="2613"/>
      <c r="KD985" s="2613"/>
      <c r="KE985" s="2613"/>
      <c r="KF985" s="2613"/>
      <c r="KG985" s="2613"/>
      <c r="KH985" s="2613"/>
      <c r="KI985" s="2613"/>
      <c r="KJ985" s="2613"/>
      <c r="KK985" s="2613"/>
      <c r="KL985" s="2613"/>
      <c r="KM985" s="2613"/>
      <c r="KN985" s="2613"/>
      <c r="KO985" s="2613"/>
      <c r="KP985" s="2613"/>
      <c r="KQ985" s="2613"/>
      <c r="KR985" s="2613"/>
      <c r="KS985" s="2613"/>
      <c r="KT985" s="2613"/>
      <c r="KU985" s="2613"/>
      <c r="KV985" s="2613"/>
      <c r="KW985" s="2613"/>
      <c r="KX985" s="2613"/>
      <c r="KY985" s="2613"/>
      <c r="KZ985" s="2613"/>
      <c r="LA985" s="2613"/>
      <c r="LB985" s="2613"/>
      <c r="LC985" s="2613"/>
      <c r="LD985" s="2613"/>
      <c r="LE985" s="2613"/>
      <c r="LF985" s="2613"/>
      <c r="LG985" s="2613"/>
      <c r="LH985" s="2613"/>
      <c r="LI985" s="2613"/>
      <c r="LJ985" s="2613"/>
      <c r="LK985" s="2613"/>
      <c r="LL985" s="2613"/>
      <c r="LM985" s="2613"/>
      <c r="LN985" s="2613"/>
      <c r="LO985" s="2613"/>
      <c r="LP985" s="2613"/>
      <c r="LQ985" s="2613"/>
    </row>
    <row r="986" spans="1:329" s="2408" customFormat="1" ht="11.25" customHeight="1">
      <c r="A986" s="2408" t="s">
        <v>1748</v>
      </c>
      <c r="B986" s="2649" t="s">
        <v>997</v>
      </c>
      <c r="C986" s="2649"/>
      <c r="D986" s="2649"/>
      <c r="E986" s="2649"/>
      <c r="F986" s="2649"/>
      <c r="G986" s="2649"/>
      <c r="H986" s="2649"/>
      <c r="I986" s="2649"/>
      <c r="J986" s="2649"/>
      <c r="K986" s="2649"/>
      <c r="L986" s="2649"/>
      <c r="N986" s="2680"/>
      <c r="O986" s="2652"/>
      <c r="P986" s="2652"/>
      <c r="S986" s="2408" t="str">
        <f>B986</f>
        <v>ANNUAL OPERATING EXPENSE BUDGET</v>
      </c>
      <c r="T986" s="2494"/>
      <c r="X986" s="2494"/>
      <c r="AC986" s="2494"/>
      <c r="AH986" s="2494"/>
      <c r="AM986" s="2494"/>
      <c r="JW986" s="2652"/>
      <c r="KB986" s="2652"/>
      <c r="KC986" s="2652"/>
      <c r="KD986" s="2652"/>
      <c r="KE986" s="2652"/>
      <c r="KF986" s="2652"/>
      <c r="KG986" s="2652"/>
      <c r="KH986" s="2652"/>
      <c r="KI986" s="2652"/>
      <c r="KJ986" s="2652"/>
      <c r="KK986" s="2652"/>
      <c r="KL986" s="2652"/>
      <c r="KM986" s="2652"/>
      <c r="KN986" s="2652"/>
      <c r="KO986" s="2652"/>
      <c r="KP986" s="2652"/>
      <c r="KQ986" s="2652"/>
      <c r="KR986" s="2652"/>
      <c r="KS986" s="2652"/>
      <c r="KT986" s="2652"/>
      <c r="KU986" s="2652"/>
      <c r="KV986" s="2652"/>
      <c r="KW986" s="2652"/>
      <c r="KX986" s="2652"/>
      <c r="KY986" s="2652"/>
      <c r="KZ986" s="2652"/>
      <c r="LA986" s="2652"/>
      <c r="LB986" s="2652"/>
      <c r="LC986" s="2652"/>
      <c r="LD986" s="2652"/>
      <c r="LE986" s="2652"/>
      <c r="LF986" s="2652"/>
      <c r="LG986" s="2652"/>
      <c r="LH986" s="2652"/>
      <c r="LI986" s="2652"/>
      <c r="LJ986" s="2652"/>
      <c r="LK986" s="2652"/>
      <c r="LL986" s="2652"/>
      <c r="LM986" s="2652"/>
      <c r="LN986" s="2652"/>
      <c r="LO986" s="2652"/>
      <c r="LP986" s="2652"/>
      <c r="LQ986" s="2652"/>
    </row>
    <row r="987" spans="1:329" s="2408" customFormat="1" ht="11.25" customHeight="1">
      <c r="B987" s="2649"/>
      <c r="C987" s="2649"/>
      <c r="D987" s="2649"/>
      <c r="E987" s="2649"/>
      <c r="F987" s="2649"/>
      <c r="G987" s="2649"/>
      <c r="H987" s="2649"/>
      <c r="I987" s="2649"/>
      <c r="J987" s="2649"/>
      <c r="K987" s="2649"/>
      <c r="S987" s="2618" t="s">
        <v>1799</v>
      </c>
      <c r="T987" s="2618"/>
      <c r="JW987" s="2652"/>
      <c r="KB987" s="2652"/>
      <c r="KC987" s="2652"/>
      <c r="KD987" s="2652"/>
      <c r="KE987" s="2652"/>
      <c r="KF987" s="2652"/>
      <c r="KG987" s="2652"/>
      <c r="KH987" s="2652"/>
      <c r="KI987" s="2652"/>
      <c r="KJ987" s="2652"/>
      <c r="KK987" s="2652"/>
      <c r="KL987" s="2652"/>
      <c r="KM987" s="2652"/>
      <c r="KN987" s="2652"/>
      <c r="KO987" s="2652"/>
      <c r="KP987" s="2652"/>
      <c r="KQ987" s="2652"/>
      <c r="KR987" s="2652"/>
      <c r="KS987" s="2652"/>
      <c r="KT987" s="2652"/>
      <c r="KU987" s="2652"/>
      <c r="KV987" s="2652"/>
      <c r="KW987" s="2652"/>
      <c r="KX987" s="2652"/>
      <c r="KY987" s="2652"/>
      <c r="KZ987" s="2652"/>
      <c r="LA987" s="2652"/>
      <c r="LB987" s="2652"/>
      <c r="LC987" s="2652"/>
      <c r="LD987" s="2652"/>
      <c r="LE987" s="2652"/>
      <c r="LF987" s="2652"/>
      <c r="LG987" s="2652"/>
      <c r="LH987" s="2652"/>
      <c r="LI987" s="2652"/>
      <c r="LJ987" s="2652"/>
      <c r="LK987" s="2652"/>
      <c r="LL987" s="2652"/>
      <c r="LM987" s="2652"/>
      <c r="LN987" s="2652"/>
      <c r="LO987" s="2652"/>
      <c r="LP987" s="2652"/>
      <c r="LQ987" s="2652"/>
    </row>
    <row r="988" spans="1:329" s="2408" customFormat="1" ht="13.35" customHeight="1">
      <c r="B988" s="2408" t="s">
        <v>1264</v>
      </c>
      <c r="F988" s="2494"/>
      <c r="G988" s="2494"/>
      <c r="I988" s="2408" t="s">
        <v>1350</v>
      </c>
      <c r="O988" s="2408" t="s">
        <v>1353</v>
      </c>
      <c r="Q988" s="2705">
        <f>IF(OR('Part VII-Pro Forma'!$B$21 = "Choose Mgt Fee",'Part VII-Pro Forma'!$B$21 = "Choose One!"), 0,- 'Part VII-Pro Forma'!$B$21)</f>
        <v>93342</v>
      </c>
      <c r="S988" s="2607"/>
      <c r="T988" s="2607"/>
      <c r="U988" s="2607"/>
      <c r="V988" s="2607"/>
      <c r="W988" s="2607"/>
      <c r="X988" s="2494"/>
      <c r="AC988" s="2494"/>
      <c r="AH988" s="2494"/>
      <c r="AM988" s="2494"/>
      <c r="JW988" s="2652"/>
      <c r="KB988" s="2652"/>
      <c r="KC988" s="2652"/>
      <c r="KD988" s="2652"/>
      <c r="KE988" s="2652"/>
      <c r="KF988" s="2652"/>
      <c r="KG988" s="2652"/>
      <c r="KH988" s="2652"/>
      <c r="KI988" s="2652"/>
      <c r="KJ988" s="2652"/>
      <c r="KK988" s="2652"/>
      <c r="KL988" s="2652"/>
      <c r="KM988" s="2652"/>
      <c r="KN988" s="2652"/>
      <c r="KO988" s="2652"/>
      <c r="KP988" s="2652"/>
      <c r="KQ988" s="2652"/>
      <c r="KR988" s="2652"/>
      <c r="KS988" s="2652"/>
      <c r="KT988" s="2652"/>
      <c r="KU988" s="2652"/>
      <c r="KV988" s="2652"/>
      <c r="KW988" s="2652"/>
      <c r="KX988" s="2652"/>
      <c r="KY988" s="2652"/>
      <c r="KZ988" s="2652"/>
      <c r="LA988" s="2652"/>
      <c r="LB988" s="2652"/>
      <c r="LC988" s="2652"/>
      <c r="LD988" s="2652"/>
      <c r="LE988" s="2652"/>
      <c r="LF988" s="2652"/>
      <c r="LG988" s="2652"/>
      <c r="LH988" s="2652"/>
      <c r="LI988" s="2652"/>
      <c r="LJ988" s="2652"/>
      <c r="LK988" s="2652"/>
      <c r="LL988" s="2652"/>
      <c r="LM988" s="2652"/>
      <c r="LN988" s="2652"/>
      <c r="LO988" s="2652"/>
      <c r="LP988" s="2652"/>
      <c r="LQ988" s="2652"/>
    </row>
    <row r="989" spans="1:329" s="2408" customFormat="1" ht="15.6" customHeight="1">
      <c r="B989" s="2408" t="s">
        <v>2146</v>
      </c>
      <c r="F989" s="2693">
        <f>'Part VI-Revenues &amp; Expenses'!F220</f>
        <v>110000</v>
      </c>
      <c r="G989" s="2693"/>
      <c r="I989" s="2408" t="s">
        <v>1351</v>
      </c>
      <c r="L989" s="2693">
        <f>'Part VI-Revenues &amp; Expenses'!L220</f>
        <v>0</v>
      </c>
      <c r="M989" s="2693"/>
      <c r="O989" s="2706">
        <f>+Q988/(P836*0.93)</f>
        <v>501.83870967741933</v>
      </c>
      <c r="P989" s="512" t="s">
        <v>2667</v>
      </c>
      <c r="R989" s="2694"/>
      <c r="S989" s="2607"/>
      <c r="T989" s="2607"/>
      <c r="U989" s="2607"/>
      <c r="V989" s="2607"/>
      <c r="W989" s="2607"/>
      <c r="X989" s="2494"/>
      <c r="AC989" s="2494"/>
      <c r="AH989" s="2494"/>
      <c r="AM989" s="2494"/>
      <c r="JW989" s="2652"/>
      <c r="KB989" s="2652"/>
      <c r="KC989" s="2652"/>
      <c r="KD989" s="2652"/>
      <c r="KE989" s="2652"/>
      <c r="KF989" s="2652"/>
      <c r="KG989" s="2652"/>
      <c r="KH989" s="2652"/>
      <c r="KI989" s="2652"/>
      <c r="KJ989" s="2652"/>
      <c r="KK989" s="2652"/>
      <c r="KL989" s="2652"/>
      <c r="KM989" s="2652"/>
      <c r="KN989" s="2652"/>
      <c r="KO989" s="2652"/>
      <c r="KP989" s="2652"/>
      <c r="KQ989" s="2652"/>
      <c r="KR989" s="2652"/>
      <c r="KS989" s="2652"/>
      <c r="KT989" s="2652"/>
      <c r="KU989" s="2652"/>
      <c r="KV989" s="2652"/>
      <c r="KW989" s="2652"/>
      <c r="KX989" s="2652"/>
      <c r="KY989" s="2652"/>
      <c r="KZ989" s="2652"/>
      <c r="LA989" s="2652"/>
      <c r="LB989" s="2652"/>
      <c r="LC989" s="2652"/>
      <c r="LD989" s="2652"/>
      <c r="LE989" s="2652"/>
      <c r="LF989" s="2652"/>
      <c r="LG989" s="2652"/>
      <c r="LH989" s="2652"/>
      <c r="LI989" s="2652"/>
      <c r="LJ989" s="2652"/>
      <c r="LK989" s="2652"/>
      <c r="LL989" s="2652"/>
      <c r="LM989" s="2652"/>
      <c r="LN989" s="2652"/>
      <c r="LO989" s="2652"/>
      <c r="LP989" s="2652"/>
      <c r="LQ989" s="2652"/>
    </row>
    <row r="990" spans="1:329" s="2408" customFormat="1" ht="15.6" customHeight="1">
      <c r="B990" s="2408" t="s">
        <v>1340</v>
      </c>
      <c r="F990" s="2693">
        <f>'Part VI-Revenues &amp; Expenses'!F221</f>
        <v>95000</v>
      </c>
      <c r="G990" s="2693"/>
      <c r="I990" s="2408" t="s">
        <v>1352</v>
      </c>
      <c r="L990" s="2693">
        <f>'Part VI-Revenues &amp; Expenses'!L221</f>
        <v>0</v>
      </c>
      <c r="M990" s="2693"/>
      <c r="O990" s="2706">
        <f>+Q988/(P836*0.93)/12</f>
        <v>41.81989247311828</v>
      </c>
      <c r="P990" s="512" t="s">
        <v>2668</v>
      </c>
      <c r="R990" s="2694"/>
      <c r="S990" s="2607"/>
      <c r="T990" s="2607"/>
      <c r="U990" s="2607"/>
      <c r="V990" s="2607"/>
      <c r="W990" s="2607"/>
      <c r="X990" s="2494"/>
      <c r="AC990" s="2494"/>
      <c r="AH990" s="2494"/>
      <c r="AM990" s="2494"/>
      <c r="JW990" s="2652"/>
      <c r="KB990" s="2652"/>
      <c r="KC990" s="2652"/>
      <c r="KD990" s="2652"/>
      <c r="KE990" s="2652"/>
      <c r="KF990" s="2652"/>
      <c r="KG990" s="2652"/>
      <c r="KH990" s="2652"/>
      <c r="KI990" s="2652"/>
      <c r="KJ990" s="2652"/>
      <c r="KK990" s="2652"/>
      <c r="KL990" s="2652"/>
      <c r="KM990" s="2652"/>
      <c r="KN990" s="2652"/>
      <c r="KO990" s="2652"/>
      <c r="KP990" s="2652"/>
      <c r="KQ990" s="2652"/>
      <c r="KR990" s="2652"/>
      <c r="KS990" s="2652"/>
      <c r="KT990" s="2652"/>
      <c r="KU990" s="2652"/>
      <c r="KV990" s="2652"/>
      <c r="KW990" s="2652"/>
      <c r="KX990" s="2652"/>
      <c r="KY990" s="2652"/>
      <c r="KZ990" s="2652"/>
      <c r="LA990" s="2652"/>
      <c r="LB990" s="2652"/>
      <c r="LC990" s="2652"/>
      <c r="LD990" s="2652"/>
      <c r="LE990" s="2652"/>
      <c r="LF990" s="2652"/>
      <c r="LG990" s="2652"/>
      <c r="LH990" s="2652"/>
      <c r="LI990" s="2652"/>
      <c r="LJ990" s="2652"/>
      <c r="LK990" s="2652"/>
      <c r="LL990" s="2652"/>
      <c r="LM990" s="2652"/>
      <c r="LN990" s="2652"/>
      <c r="LO990" s="2652"/>
      <c r="LP990" s="2652"/>
      <c r="LQ990" s="2652"/>
    </row>
    <row r="991" spans="1:329" s="2408" customFormat="1" ht="15.6" customHeight="1">
      <c r="B991" s="2408" t="s">
        <v>1213</v>
      </c>
      <c r="F991" s="2693">
        <f>'Part VI-Revenues &amp; Expenses'!F222</f>
        <v>20000</v>
      </c>
      <c r="G991" s="2693"/>
      <c r="K991" s="2680" t="s">
        <v>187</v>
      </c>
      <c r="L991" s="2693">
        <f>SUM(L989:M990)</f>
        <v>0</v>
      </c>
      <c r="M991" s="2693"/>
      <c r="O991" s="512" t="s">
        <v>3549</v>
      </c>
      <c r="P991" s="512"/>
      <c r="Q991" s="512"/>
      <c r="R991" s="2694"/>
      <c r="S991" s="2607"/>
      <c r="T991" s="2607"/>
      <c r="U991" s="2607"/>
      <c r="V991" s="2607"/>
      <c r="W991" s="2607"/>
      <c r="X991" s="2494"/>
      <c r="AC991" s="2494"/>
      <c r="AH991" s="2494"/>
      <c r="AM991" s="2494"/>
      <c r="JW991" s="2652"/>
      <c r="KB991" s="2652"/>
      <c r="KC991" s="2652"/>
      <c r="KD991" s="2652"/>
      <c r="KE991" s="2652"/>
      <c r="KF991" s="2652"/>
      <c r="KG991" s="2652"/>
      <c r="KH991" s="2652"/>
      <c r="KI991" s="2652"/>
      <c r="KJ991" s="2652"/>
      <c r="KK991" s="2652"/>
      <c r="KL991" s="2652"/>
      <c r="KM991" s="2652"/>
      <c r="KN991" s="2652"/>
      <c r="KO991" s="2652"/>
      <c r="KP991" s="2652"/>
      <c r="KQ991" s="2652"/>
      <c r="KR991" s="2652"/>
      <c r="KS991" s="2652"/>
      <c r="KT991" s="2652"/>
      <c r="KU991" s="2652"/>
      <c r="KV991" s="2652"/>
      <c r="KW991" s="2652"/>
      <c r="KX991" s="2652"/>
      <c r="KY991" s="2652"/>
      <c r="KZ991" s="2652"/>
      <c r="LA991" s="2652"/>
      <c r="LB991" s="2652"/>
      <c r="LC991" s="2652"/>
      <c r="LD991" s="2652"/>
      <c r="LE991" s="2652"/>
      <c r="LF991" s="2652"/>
      <c r="LG991" s="2652"/>
      <c r="LH991" s="2652"/>
      <c r="LI991" s="2652"/>
      <c r="LJ991" s="2652"/>
      <c r="LK991" s="2652"/>
      <c r="LL991" s="2652"/>
      <c r="LM991" s="2652"/>
      <c r="LN991" s="2652"/>
      <c r="LO991" s="2652"/>
      <c r="LP991" s="2652"/>
      <c r="LQ991" s="2652"/>
    </row>
    <row r="992" spans="1:329" s="2408" customFormat="1" ht="15.6" customHeight="1">
      <c r="B992" s="2649" t="s">
        <v>4705</v>
      </c>
      <c r="F992" s="2693">
        <f>'Part VI-Revenues &amp; Expenses'!F223</f>
        <v>0</v>
      </c>
      <c r="G992" s="2693"/>
      <c r="R992" s="2694"/>
      <c r="S992" s="2607"/>
      <c r="T992" s="2607"/>
      <c r="U992" s="2607"/>
      <c r="V992" s="2607"/>
      <c r="W992" s="2607"/>
      <c r="X992" s="2494"/>
      <c r="AC992" s="2494"/>
      <c r="AH992" s="2494"/>
      <c r="AM992" s="2494"/>
      <c r="JW992" s="2652"/>
      <c r="KB992" s="2652"/>
      <c r="KC992" s="2652"/>
      <c r="KD992" s="2652"/>
      <c r="KE992" s="2652"/>
      <c r="KF992" s="2652"/>
      <c r="KG992" s="2652"/>
      <c r="KH992" s="2652"/>
      <c r="KI992" s="2652"/>
      <c r="KJ992" s="2652"/>
      <c r="KK992" s="2652"/>
      <c r="KL992" s="2652"/>
      <c r="KM992" s="2652"/>
      <c r="KN992" s="2652"/>
      <c r="KO992" s="2652"/>
      <c r="KP992" s="2652"/>
      <c r="KQ992" s="2652"/>
      <c r="KR992" s="2652"/>
      <c r="KS992" s="2652"/>
      <c r="KT992" s="2652"/>
      <c r="KU992" s="2652"/>
      <c r="KV992" s="2652"/>
      <c r="KW992" s="2652"/>
      <c r="KX992" s="2652"/>
      <c r="KY992" s="2652"/>
      <c r="KZ992" s="2652"/>
      <c r="LA992" s="2652"/>
      <c r="LB992" s="2652"/>
      <c r="LC992" s="2652"/>
      <c r="LD992" s="2652"/>
      <c r="LE992" s="2652"/>
      <c r="LF992" s="2652"/>
      <c r="LG992" s="2652"/>
      <c r="LH992" s="2652"/>
      <c r="LI992" s="2652"/>
      <c r="LJ992" s="2652"/>
      <c r="LK992" s="2652"/>
      <c r="LL992" s="2652"/>
      <c r="LM992" s="2652"/>
      <c r="LN992" s="2652"/>
      <c r="LO992" s="2652"/>
      <c r="LP992" s="2652"/>
      <c r="LQ992" s="2652"/>
    </row>
    <row r="993" spans="2:329" s="2408" customFormat="1" ht="15.6" customHeight="1">
      <c r="B993" s="2649" t="s">
        <v>4706</v>
      </c>
      <c r="F993" s="2693">
        <f>'Part VI-Revenues &amp; Expenses'!F224</f>
        <v>30000</v>
      </c>
      <c r="G993" s="2693"/>
      <c r="R993" s="2694"/>
      <c r="S993" s="2607"/>
      <c r="T993" s="2607"/>
      <c r="U993" s="2607"/>
      <c r="V993" s="2607"/>
      <c r="W993" s="2607"/>
      <c r="X993" s="2494"/>
      <c r="AC993" s="2494"/>
      <c r="AH993" s="2494"/>
      <c r="AM993" s="2494"/>
      <c r="JW993" s="2652"/>
      <c r="KB993" s="2652"/>
      <c r="KC993" s="2652"/>
      <c r="KD993" s="2652"/>
      <c r="KE993" s="2652"/>
      <c r="KF993" s="2652"/>
      <c r="KG993" s="2652"/>
      <c r="KH993" s="2652"/>
      <c r="KI993" s="2652"/>
      <c r="KJ993" s="2652"/>
      <c r="KK993" s="2652"/>
      <c r="KL993" s="2652"/>
      <c r="KM993" s="2652"/>
      <c r="KN993" s="2652"/>
      <c r="KO993" s="2652"/>
      <c r="KP993" s="2652"/>
      <c r="KQ993" s="2652"/>
      <c r="KR993" s="2652"/>
      <c r="KS993" s="2652"/>
      <c r="KT993" s="2652"/>
      <c r="KU993" s="2652"/>
      <c r="KV993" s="2652"/>
      <c r="KW993" s="2652"/>
      <c r="KX993" s="2652"/>
      <c r="KY993" s="2652"/>
      <c r="KZ993" s="2652"/>
      <c r="LA993" s="2652"/>
      <c r="LB993" s="2652"/>
      <c r="LC993" s="2652"/>
      <c r="LD993" s="2652"/>
      <c r="LE993" s="2652"/>
      <c r="LF993" s="2652"/>
      <c r="LG993" s="2652"/>
      <c r="LH993" s="2652"/>
      <c r="LI993" s="2652"/>
      <c r="LJ993" s="2652"/>
      <c r="LK993" s="2652"/>
      <c r="LL993" s="2652"/>
      <c r="LM993" s="2652"/>
      <c r="LN993" s="2652"/>
      <c r="LO993" s="2652"/>
      <c r="LP993" s="2652"/>
      <c r="LQ993" s="2652"/>
    </row>
    <row r="994" spans="2:329" s="2408" customFormat="1" ht="15.6" customHeight="1">
      <c r="B994" s="512" t="str">
        <f>'Part VI-Revenues &amp; Expenses'!B225</f>
        <v>Other (describe here)</v>
      </c>
      <c r="C994" s="512"/>
      <c r="D994" s="512"/>
      <c r="E994" s="512"/>
      <c r="F994" s="2693">
        <f>'Part VI-Revenues &amp; Expenses'!F225</f>
        <v>0</v>
      </c>
      <c r="G994" s="2693"/>
      <c r="I994" s="2408" t="s">
        <v>1266</v>
      </c>
      <c r="R994" s="2694"/>
      <c r="S994" s="2607"/>
      <c r="T994" s="2607"/>
      <c r="U994" s="2607"/>
      <c r="V994" s="2607"/>
      <c r="W994" s="2607"/>
      <c r="X994" s="2494"/>
      <c r="AC994" s="2494"/>
      <c r="AH994" s="2494"/>
      <c r="AM994" s="2494"/>
      <c r="JW994" s="2652"/>
      <c r="KB994" s="2652"/>
      <c r="KC994" s="2652"/>
      <c r="KD994" s="2652"/>
      <c r="KE994" s="2652"/>
      <c r="KF994" s="2652"/>
      <c r="KG994" s="2652"/>
      <c r="KH994" s="2652"/>
      <c r="KI994" s="2652"/>
      <c r="KJ994" s="2652"/>
      <c r="KK994" s="2652"/>
      <c r="KL994" s="2652"/>
      <c r="KM994" s="2652"/>
      <c r="KN994" s="2652"/>
      <c r="KO994" s="2652"/>
      <c r="KP994" s="2652"/>
      <c r="KQ994" s="2652"/>
      <c r="KR994" s="2652"/>
      <c r="KS994" s="2652"/>
      <c r="KT994" s="2652"/>
      <c r="KU994" s="2652"/>
      <c r="KV994" s="2652"/>
      <c r="KW994" s="2652"/>
      <c r="KX994" s="2652"/>
      <c r="KY994" s="2652"/>
      <c r="KZ994" s="2652"/>
      <c r="LA994" s="2652"/>
      <c r="LB994" s="2652"/>
      <c r="LC994" s="2652"/>
      <c r="LD994" s="2652"/>
      <c r="LE994" s="2652"/>
      <c r="LF994" s="2652"/>
      <c r="LG994" s="2652"/>
      <c r="LH994" s="2652"/>
      <c r="LI994" s="2652"/>
      <c r="LJ994" s="2652"/>
      <c r="LK994" s="2652"/>
      <c r="LL994" s="2652"/>
      <c r="LM994" s="2652"/>
      <c r="LN994" s="2652"/>
      <c r="LO994" s="2652"/>
      <c r="LP994" s="2652"/>
      <c r="LQ994" s="2652"/>
    </row>
    <row r="995" spans="2:329" s="2408" customFormat="1" ht="15.6" customHeight="1">
      <c r="E995" s="2680" t="s">
        <v>187</v>
      </c>
      <c r="F995" s="2693">
        <f>SUM(F989:G994)</f>
        <v>255000</v>
      </c>
      <c r="G995" s="2693"/>
      <c r="I995" s="2408" t="s">
        <v>1569</v>
      </c>
      <c r="L995" s="2693">
        <f>'Part VI-Revenues &amp; Expenses'!L226</f>
        <v>12000</v>
      </c>
      <c r="M995" s="2693"/>
      <c r="S995" s="2607"/>
      <c r="T995" s="2607"/>
      <c r="U995" s="2607"/>
      <c r="V995" s="2607"/>
      <c r="W995" s="2607"/>
      <c r="X995" s="2494"/>
      <c r="AC995" s="2494"/>
      <c r="AH995" s="2494"/>
      <c r="AM995" s="2494"/>
      <c r="JW995" s="2652"/>
      <c r="KB995" s="2652"/>
      <c r="KC995" s="2652"/>
      <c r="KD995" s="2652"/>
      <c r="KE995" s="2652"/>
      <c r="KF995" s="2652"/>
      <c r="KG995" s="2652"/>
      <c r="KH995" s="2652"/>
      <c r="KI995" s="2652"/>
      <c r="KJ995" s="2652"/>
      <c r="KK995" s="2652"/>
      <c r="KL995" s="2652"/>
      <c r="KM995" s="2652"/>
      <c r="KN995" s="2652"/>
      <c r="KO995" s="2652"/>
      <c r="KP995" s="2652"/>
      <c r="KQ995" s="2652"/>
      <c r="KR995" s="2652"/>
      <c r="KS995" s="2652"/>
      <c r="KT995" s="2652"/>
      <c r="KU995" s="2652"/>
      <c r="KV995" s="2652"/>
      <c r="KW995" s="2652"/>
      <c r="KX995" s="2652"/>
      <c r="KY995" s="2652"/>
      <c r="KZ995" s="2652"/>
      <c r="LA995" s="2652"/>
      <c r="LB995" s="2652"/>
      <c r="LC995" s="2652"/>
      <c r="LD995" s="2652"/>
      <c r="LE995" s="2652"/>
      <c r="LF995" s="2652"/>
      <c r="LG995" s="2652"/>
      <c r="LH995" s="2652"/>
      <c r="LI995" s="2652"/>
      <c r="LJ995" s="2652"/>
      <c r="LK995" s="2652"/>
      <c r="LL995" s="2652"/>
      <c r="LM995" s="2652"/>
      <c r="LN995" s="2652"/>
      <c r="LO995" s="2652"/>
      <c r="LP995" s="2652"/>
      <c r="LQ995" s="2652"/>
    </row>
    <row r="996" spans="2:329" s="2408" customFormat="1" ht="15" customHeight="1">
      <c r="D996" s="2680"/>
      <c r="F996" s="2683"/>
      <c r="G996" s="2683"/>
      <c r="I996" s="2408" t="s">
        <v>2001</v>
      </c>
      <c r="L996" s="2693">
        <f>'Part VI-Revenues &amp; Expenses'!L227</f>
        <v>14000</v>
      </c>
      <c r="M996" s="2693"/>
      <c r="N996" s="2654" t="str">
        <f>IF(Q998="","",IF(Q996&lt;Q998, "WARNING! OE below required minimum.",""))</f>
        <v/>
      </c>
      <c r="O996" s="2408" t="s">
        <v>2136</v>
      </c>
      <c r="Q996" s="2694">
        <f>F995+F1004+F1015+L991+L999+L1008+L1015+Q988</f>
        <v>934542</v>
      </c>
      <c r="S996" s="2607"/>
      <c r="T996" s="2607"/>
      <c r="U996" s="2607"/>
      <c r="V996" s="2607"/>
      <c r="W996" s="2607"/>
      <c r="JW996" s="2652"/>
      <c r="KB996" s="2652"/>
      <c r="KC996" s="2652"/>
      <c r="KD996" s="2652"/>
      <c r="KE996" s="2652"/>
      <c r="KF996" s="2652"/>
      <c r="KG996" s="2652"/>
      <c r="KH996" s="2652"/>
      <c r="KI996" s="2652"/>
      <c r="KJ996" s="2652"/>
      <c r="KK996" s="2652"/>
      <c r="KL996" s="2652"/>
      <c r="KM996" s="2652"/>
      <c r="KN996" s="2652"/>
      <c r="KO996" s="2652"/>
      <c r="KP996" s="2652"/>
      <c r="KQ996" s="2652"/>
      <c r="KR996" s="2652"/>
      <c r="KS996" s="2652"/>
      <c r="KT996" s="2652"/>
      <c r="KU996" s="2652"/>
      <c r="KV996" s="2652"/>
      <c r="KW996" s="2652"/>
      <c r="KX996" s="2652"/>
      <c r="KY996" s="2652"/>
      <c r="KZ996" s="2652"/>
      <c r="LA996" s="2652"/>
      <c r="LB996" s="2652"/>
      <c r="LC996" s="2652"/>
      <c r="LD996" s="2652"/>
      <c r="LE996" s="2652"/>
      <c r="LF996" s="2652"/>
      <c r="LG996" s="2652"/>
      <c r="LH996" s="2652"/>
      <c r="LI996" s="2652"/>
      <c r="LJ996" s="2652"/>
      <c r="LK996" s="2652"/>
      <c r="LL996" s="2652"/>
      <c r="LM996" s="2652"/>
      <c r="LN996" s="2652"/>
      <c r="LO996" s="2652"/>
      <c r="LP996" s="2652"/>
      <c r="LQ996" s="2652"/>
    </row>
    <row r="997" spans="2:329" s="2408" customFormat="1" ht="13.35" customHeight="1">
      <c r="B997" s="2408" t="s">
        <v>1265</v>
      </c>
      <c r="D997" s="2707"/>
      <c r="I997" s="2408" t="s">
        <v>1570</v>
      </c>
      <c r="L997" s="2693">
        <f>'Part VI-Revenues &amp; Expenses'!L228</f>
        <v>4000</v>
      </c>
      <c r="M997" s="2693"/>
      <c r="N997" s="2654"/>
      <c r="O997" s="512" t="s">
        <v>2669</v>
      </c>
      <c r="P997" s="2706">
        <f>+Q996/P836</f>
        <v>4672.71</v>
      </c>
      <c r="R997" s="2705"/>
      <c r="S997" s="2607"/>
      <c r="T997" s="2607"/>
      <c r="U997" s="2607"/>
      <c r="V997" s="2607"/>
      <c r="W997" s="2607"/>
      <c r="X997" s="2494"/>
      <c r="AC997" s="2494"/>
      <c r="AH997" s="2494"/>
      <c r="AM997" s="2494"/>
      <c r="JW997" s="2652"/>
      <c r="KB997" s="2652"/>
      <c r="KC997" s="2652"/>
      <c r="KD997" s="2652"/>
      <c r="KE997" s="2652"/>
      <c r="KF997" s="2652"/>
      <c r="KG997" s="2652"/>
      <c r="KH997" s="2652"/>
      <c r="KI997" s="2652"/>
      <c r="KJ997" s="2652"/>
      <c r="KK997" s="2652"/>
      <c r="KL997" s="2652"/>
      <c r="KM997" s="2652"/>
      <c r="KN997" s="2652"/>
      <c r="KO997" s="2652"/>
      <c r="KP997" s="2652"/>
      <c r="KQ997" s="2652"/>
      <c r="KR997" s="2652"/>
      <c r="KS997" s="2652"/>
      <c r="KT997" s="2652"/>
      <c r="KU997" s="2652"/>
      <c r="KV997" s="2652"/>
      <c r="KW997" s="2652"/>
      <c r="KX997" s="2652"/>
      <c r="KY997" s="2652"/>
      <c r="KZ997" s="2652"/>
      <c r="LA997" s="2652"/>
      <c r="LB997" s="2652"/>
      <c r="LC997" s="2652"/>
      <c r="LD997" s="2652"/>
      <c r="LE997" s="2652"/>
      <c r="LF997" s="2652"/>
      <c r="LG997" s="2652"/>
      <c r="LH997" s="2652"/>
      <c r="LI997" s="2652"/>
      <c r="LJ997" s="2652"/>
      <c r="LK997" s="2652"/>
      <c r="LL997" s="2652"/>
      <c r="LM997" s="2652"/>
      <c r="LN997" s="2652"/>
      <c r="LO997" s="2652"/>
      <c r="LP997" s="2652"/>
      <c r="LQ997" s="2652"/>
    </row>
    <row r="998" spans="2:329" s="2408" customFormat="1" ht="15.6" customHeight="1">
      <c r="B998" s="2408" t="s">
        <v>1345</v>
      </c>
      <c r="D998" s="2707"/>
      <c r="F998" s="2693">
        <f>'Part VI-Revenues &amp; Expenses'!F229</f>
        <v>12950</v>
      </c>
      <c r="G998" s="2693"/>
      <c r="I998" s="2708" t="str">
        <f>'Part VI-Revenues &amp; Expenses'!I229</f>
        <v>Other (describe here)</v>
      </c>
      <c r="J998" s="2708"/>
      <c r="K998" s="2708"/>
      <c r="L998" s="2693">
        <f>'Part VI-Revenues &amp; Expenses'!L229</f>
        <v>0</v>
      </c>
      <c r="M998" s="2693"/>
      <c r="N998" s="2654"/>
      <c r="P998" s="512" t="s">
        <v>3550</v>
      </c>
      <c r="Q998" s="2694">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07"/>
      <c r="T998" s="2607"/>
      <c r="U998" s="2607"/>
      <c r="V998" s="2607"/>
      <c r="W998" s="2607"/>
      <c r="X998" s="2494"/>
      <c r="AC998" s="2494"/>
      <c r="AH998" s="2494"/>
      <c r="AM998" s="2494"/>
      <c r="JW998" s="2652"/>
      <c r="KB998" s="2652"/>
      <c r="KC998" s="2652"/>
      <c r="KD998" s="2652"/>
      <c r="KE998" s="2652"/>
      <c r="KF998" s="2652"/>
      <c r="KG998" s="2652"/>
      <c r="KH998" s="2652"/>
      <c r="KI998" s="2652"/>
      <c r="KJ998" s="2652"/>
      <c r="KK998" s="2652"/>
      <c r="KL998" s="2652"/>
      <c r="KM998" s="2652"/>
      <c r="KN998" s="2652"/>
      <c r="KO998" s="2652"/>
      <c r="KP998" s="2652"/>
      <c r="KQ998" s="2652"/>
      <c r="KR998" s="2652"/>
      <c r="KS998" s="2652"/>
      <c r="KT998" s="2652"/>
      <c r="KU998" s="2652"/>
      <c r="KV998" s="2652"/>
      <c r="KW998" s="2652"/>
      <c r="KX998" s="2652"/>
      <c r="KY998" s="2652"/>
      <c r="KZ998" s="2652"/>
      <c r="LA998" s="2652"/>
      <c r="LB998" s="2652"/>
      <c r="LC998" s="2652"/>
      <c r="LD998" s="2652"/>
      <c r="LE998" s="2652"/>
      <c r="LF998" s="2652"/>
      <c r="LG998" s="2652"/>
      <c r="LH998" s="2652"/>
      <c r="LI998" s="2652"/>
      <c r="LJ998" s="2652"/>
      <c r="LK998" s="2652"/>
      <c r="LL998" s="2652"/>
      <c r="LM998" s="2652"/>
      <c r="LN998" s="2652"/>
      <c r="LO998" s="2652"/>
      <c r="LP998" s="2652"/>
      <c r="LQ998" s="2652"/>
    </row>
    <row r="999" spans="2:329" s="2408" customFormat="1" ht="15.6" customHeight="1">
      <c r="B999" s="2408" t="s">
        <v>1346</v>
      </c>
      <c r="D999" s="2707"/>
      <c r="F999" s="2693">
        <f>'Part VI-Revenues &amp; Expenses'!F230</f>
        <v>5000</v>
      </c>
      <c r="G999" s="2693"/>
      <c r="K999" s="2680" t="s">
        <v>187</v>
      </c>
      <c r="L999" s="2694">
        <f>SUM(L995:L998)</f>
        <v>30000</v>
      </c>
      <c r="M999" s="2694"/>
      <c r="N999" s="2654"/>
      <c r="S999" s="2607"/>
      <c r="T999" s="2607"/>
      <c r="U999" s="2607"/>
      <c r="V999" s="2607"/>
      <c r="W999" s="2607"/>
      <c r="X999" s="2494"/>
      <c r="AC999" s="2494"/>
      <c r="AH999" s="2494"/>
      <c r="AM999" s="2494"/>
      <c r="JW999" s="2652"/>
      <c r="KB999" s="2652"/>
      <c r="KC999" s="2652"/>
      <c r="KD999" s="2652"/>
      <c r="KE999" s="2652"/>
      <c r="KF999" s="2652"/>
      <c r="KG999" s="2652"/>
      <c r="KH999" s="2652"/>
      <c r="KI999" s="2652"/>
      <c r="KJ999" s="2652"/>
      <c r="KK999" s="2652"/>
      <c r="KL999" s="2652"/>
      <c r="KM999" s="2652"/>
      <c r="KN999" s="2652"/>
      <c r="KO999" s="2652"/>
      <c r="KP999" s="2652"/>
      <c r="KQ999" s="2652"/>
      <c r="KR999" s="2652"/>
      <c r="KS999" s="2652"/>
      <c r="KT999" s="2652"/>
      <c r="KU999" s="2652"/>
      <c r="KV999" s="2652"/>
      <c r="KW999" s="2652"/>
      <c r="KX999" s="2652"/>
      <c r="KY999" s="2652"/>
      <c r="KZ999" s="2652"/>
      <c r="LA999" s="2652"/>
      <c r="LB999" s="2652"/>
      <c r="LC999" s="2652"/>
      <c r="LD999" s="2652"/>
      <c r="LE999" s="2652"/>
      <c r="LF999" s="2652"/>
      <c r="LG999" s="2652"/>
      <c r="LH999" s="2652"/>
      <c r="LI999" s="2652"/>
      <c r="LJ999" s="2652"/>
      <c r="LK999" s="2652"/>
      <c r="LL999" s="2652"/>
      <c r="LM999" s="2652"/>
      <c r="LN999" s="2652"/>
      <c r="LO999" s="2652"/>
      <c r="LP999" s="2652"/>
      <c r="LQ999" s="2652"/>
    </row>
    <row r="1000" spans="2:329" s="2408" customFormat="1" ht="15.6" customHeight="1">
      <c r="B1000" s="2408" t="s">
        <v>1347</v>
      </c>
      <c r="D1000" s="2707"/>
      <c r="F1000" s="2693">
        <f>'Part VI-Revenues &amp; Expenses'!F231</f>
        <v>1250</v>
      </c>
      <c r="G1000" s="2693"/>
      <c r="R1000" s="2684"/>
      <c r="S1000" s="2607"/>
      <c r="T1000" s="2607"/>
      <c r="U1000" s="2607"/>
      <c r="V1000" s="2607"/>
      <c r="W1000" s="2607"/>
      <c r="X1000" s="2494"/>
      <c r="AC1000" s="2494"/>
      <c r="AH1000" s="2494"/>
      <c r="AM1000" s="2494"/>
      <c r="JW1000" s="2652"/>
      <c r="KB1000" s="2652"/>
      <c r="KC1000" s="2652"/>
      <c r="KD1000" s="2652"/>
      <c r="KE1000" s="2652"/>
      <c r="KF1000" s="2652"/>
      <c r="KG1000" s="2652"/>
      <c r="KH1000" s="2652"/>
      <c r="KI1000" s="2652"/>
      <c r="KJ1000" s="2652"/>
      <c r="KK1000" s="2652"/>
      <c r="KL1000" s="2652"/>
      <c r="KM1000" s="2652"/>
      <c r="KN1000" s="2652"/>
      <c r="KO1000" s="2652"/>
      <c r="KP1000" s="2652"/>
      <c r="KQ1000" s="2652"/>
      <c r="KR1000" s="2652"/>
      <c r="KS1000" s="2652"/>
      <c r="KT1000" s="2652"/>
      <c r="KU1000" s="2652"/>
      <c r="KV1000" s="2652"/>
      <c r="KW1000" s="2652"/>
      <c r="KX1000" s="2652"/>
      <c r="KY1000" s="2652"/>
      <c r="KZ1000" s="2652"/>
      <c r="LA1000" s="2652"/>
      <c r="LB1000" s="2652"/>
      <c r="LC1000" s="2652"/>
      <c r="LD1000" s="2652"/>
      <c r="LE1000" s="2652"/>
      <c r="LF1000" s="2652"/>
      <c r="LG1000" s="2652"/>
      <c r="LH1000" s="2652"/>
      <c r="LI1000" s="2652"/>
      <c r="LJ1000" s="2652"/>
      <c r="LK1000" s="2652"/>
      <c r="LL1000" s="2652"/>
      <c r="LM1000" s="2652"/>
      <c r="LN1000" s="2652"/>
      <c r="LO1000" s="2652"/>
      <c r="LP1000" s="2652"/>
      <c r="LQ1000" s="2652"/>
    </row>
    <row r="1001" spans="2:329" s="2408" customFormat="1" ht="15.6" customHeight="1">
      <c r="B1001" s="2408" t="s">
        <v>2282</v>
      </c>
      <c r="D1001" s="2707"/>
      <c r="F1001" s="2693">
        <f>'Part VI-Revenues &amp; Expenses'!F232</f>
        <v>10000</v>
      </c>
      <c r="G1001" s="2693"/>
      <c r="R1001" s="2684"/>
      <c r="S1001" s="2607"/>
      <c r="T1001" s="2607"/>
      <c r="U1001" s="2607"/>
      <c r="V1001" s="2607"/>
      <c r="W1001" s="2607"/>
      <c r="X1001" s="2494"/>
      <c r="AC1001" s="2494"/>
      <c r="AH1001" s="2494"/>
      <c r="AM1001" s="2494"/>
      <c r="JW1001" s="2652"/>
      <c r="KB1001" s="2652"/>
      <c r="KC1001" s="2652"/>
      <c r="KD1001" s="2652"/>
      <c r="KE1001" s="2652"/>
      <c r="KF1001" s="2652"/>
      <c r="KG1001" s="2652"/>
      <c r="KH1001" s="2652"/>
      <c r="KI1001" s="2652"/>
      <c r="KJ1001" s="2652"/>
      <c r="KK1001" s="2652"/>
      <c r="KL1001" s="2652"/>
      <c r="KM1001" s="2652"/>
      <c r="KN1001" s="2652"/>
      <c r="KO1001" s="2652"/>
      <c r="KP1001" s="2652"/>
      <c r="KQ1001" s="2652"/>
      <c r="KR1001" s="2652"/>
      <c r="KS1001" s="2652"/>
      <c r="KT1001" s="2652"/>
      <c r="KU1001" s="2652"/>
      <c r="KV1001" s="2652"/>
      <c r="KW1001" s="2652"/>
      <c r="KX1001" s="2652"/>
      <c r="KY1001" s="2652"/>
      <c r="KZ1001" s="2652"/>
      <c r="LA1001" s="2652"/>
      <c r="LB1001" s="2652"/>
      <c r="LC1001" s="2652"/>
      <c r="LD1001" s="2652"/>
      <c r="LE1001" s="2652"/>
      <c r="LF1001" s="2652"/>
      <c r="LG1001" s="2652"/>
      <c r="LH1001" s="2652"/>
      <c r="LI1001" s="2652"/>
      <c r="LJ1001" s="2652"/>
      <c r="LK1001" s="2652"/>
      <c r="LL1001" s="2652"/>
      <c r="LM1001" s="2652"/>
      <c r="LN1001" s="2652"/>
      <c r="LO1001" s="2652"/>
      <c r="LP1001" s="2652"/>
      <c r="LQ1001" s="2652"/>
    </row>
    <row r="1002" spans="2:329" s="2408" customFormat="1" ht="15.6" customHeight="1">
      <c r="B1002" s="2408" t="s">
        <v>1567</v>
      </c>
      <c r="D1002" s="2707"/>
      <c r="F1002" s="2693">
        <f>'Part VI-Revenues &amp; Expenses'!F233</f>
        <v>5800</v>
      </c>
      <c r="G1002" s="2693"/>
      <c r="I1002" s="2408" t="s">
        <v>1348</v>
      </c>
      <c r="K1002" s="2499" t="s">
        <v>4443</v>
      </c>
      <c r="O1002" s="2408" t="s">
        <v>3361</v>
      </c>
      <c r="Q1002" s="2709">
        <f>'Part VI-Revenues &amp; Expenses'!Q233</f>
        <v>50000</v>
      </c>
      <c r="S1002" s="2607"/>
      <c r="T1002" s="2607"/>
      <c r="U1002" s="2607"/>
      <c r="V1002" s="2607"/>
      <c r="W1002" s="2607"/>
      <c r="X1002" s="2494"/>
      <c r="AC1002" s="2494"/>
      <c r="AH1002" s="2494"/>
      <c r="AM1002" s="2494"/>
      <c r="JW1002" s="2652"/>
      <c r="KB1002" s="2652"/>
      <c r="KC1002" s="2652"/>
      <c r="KD1002" s="2652"/>
      <c r="KE1002" s="2652"/>
      <c r="KF1002" s="2652"/>
      <c r="KG1002" s="2652"/>
      <c r="KH1002" s="2652"/>
      <c r="KI1002" s="2652"/>
      <c r="KJ1002" s="2652"/>
      <c r="KK1002" s="2652"/>
      <c r="KL1002" s="2652"/>
      <c r="KM1002" s="2652"/>
      <c r="KN1002" s="2652"/>
      <c r="KO1002" s="2652"/>
      <c r="KP1002" s="2652"/>
      <c r="KQ1002" s="2652"/>
      <c r="KR1002" s="2652"/>
      <c r="KS1002" s="2652"/>
      <c r="KT1002" s="2652"/>
      <c r="KU1002" s="2652"/>
      <c r="KV1002" s="2652"/>
      <c r="KW1002" s="2652"/>
      <c r="KX1002" s="2652"/>
      <c r="KY1002" s="2652"/>
      <c r="KZ1002" s="2652"/>
      <c r="LA1002" s="2652"/>
      <c r="LB1002" s="2652"/>
      <c r="LC1002" s="2652"/>
      <c r="LD1002" s="2652"/>
      <c r="LE1002" s="2652"/>
      <c r="LF1002" s="2652"/>
      <c r="LG1002" s="2652"/>
      <c r="LH1002" s="2652"/>
      <c r="LI1002" s="2652"/>
      <c r="LJ1002" s="2652"/>
      <c r="LK1002" s="2652"/>
      <c r="LL1002" s="2652"/>
      <c r="LM1002" s="2652"/>
      <c r="LN1002" s="2652"/>
      <c r="LO1002" s="2652"/>
      <c r="LP1002" s="2652"/>
      <c r="LQ1002" s="2652"/>
    </row>
    <row r="1003" spans="2:329" s="2408" customFormat="1" ht="15.6" customHeight="1">
      <c r="B1003" s="512" t="str">
        <f>'Part VI-Revenues &amp; Expenses'!B234</f>
        <v>Other (describe here)</v>
      </c>
      <c r="C1003" s="512"/>
      <c r="D1003" s="512"/>
      <c r="E1003" s="512"/>
      <c r="F1003" s="2693">
        <f>'Part VI-Revenues &amp; Expenses'!F234</f>
        <v>0</v>
      </c>
      <c r="G1003" s="2693"/>
      <c r="I1003" s="2408" t="s">
        <v>1341</v>
      </c>
      <c r="K1003" s="2584">
        <f>L1003/12/P836</f>
        <v>15.5</v>
      </c>
      <c r="L1003" s="2693">
        <f>'Part VI-Revenues &amp; Expenses'!L234</f>
        <v>37200</v>
      </c>
      <c r="M1003" s="2693"/>
      <c r="N1003" s="2654" t="str">
        <f>IF(Q1002&lt;Q1011, "WARNING! RR proposed is below the DCA required minimum.","")</f>
        <v/>
      </c>
      <c r="O1003" s="512" t="s">
        <v>4442</v>
      </c>
      <c r="Q1003" s="2710">
        <f>Q1002/P1011</f>
        <v>250</v>
      </c>
      <c r="R1003" s="2694"/>
      <c r="S1003" s="2607"/>
      <c r="T1003" s="2607"/>
      <c r="U1003" s="2607"/>
      <c r="V1003" s="2607"/>
      <c r="W1003" s="2607"/>
      <c r="X1003" s="2494"/>
      <c r="AC1003" s="2494"/>
      <c r="AH1003" s="2494"/>
      <c r="AM1003" s="2494"/>
      <c r="JW1003" s="2652"/>
      <c r="KB1003" s="2652"/>
      <c r="KC1003" s="2652"/>
      <c r="KD1003" s="2652"/>
      <c r="KE1003" s="2652"/>
      <c r="KF1003" s="2652"/>
      <c r="KG1003" s="2652"/>
      <c r="KH1003" s="2652"/>
      <c r="KI1003" s="2652"/>
      <c r="KJ1003" s="2652"/>
      <c r="KK1003" s="2652"/>
      <c r="KL1003" s="2652"/>
      <c r="KM1003" s="2652"/>
      <c r="KN1003" s="2652"/>
      <c r="KO1003" s="2652"/>
      <c r="KP1003" s="2652"/>
      <c r="KQ1003" s="2652"/>
      <c r="KR1003" s="2652"/>
      <c r="KS1003" s="2652"/>
      <c r="KT1003" s="2652"/>
      <c r="KU1003" s="2652"/>
      <c r="KV1003" s="2652"/>
      <c r="KW1003" s="2652"/>
      <c r="KX1003" s="2652"/>
      <c r="KY1003" s="2652"/>
      <c r="KZ1003" s="2652"/>
      <c r="LA1003" s="2652"/>
      <c r="LB1003" s="2652"/>
      <c r="LC1003" s="2652"/>
      <c r="LD1003" s="2652"/>
      <c r="LE1003" s="2652"/>
      <c r="LF1003" s="2652"/>
      <c r="LG1003" s="2652"/>
      <c r="LH1003" s="2652"/>
      <c r="LI1003" s="2652"/>
      <c r="LJ1003" s="2652"/>
      <c r="LK1003" s="2652"/>
      <c r="LL1003" s="2652"/>
      <c r="LM1003" s="2652"/>
      <c r="LN1003" s="2652"/>
      <c r="LO1003" s="2652"/>
      <c r="LP1003" s="2652"/>
      <c r="LQ1003" s="2652"/>
    </row>
    <row r="1004" spans="2:329" s="2408" customFormat="1" ht="15.6" customHeight="1">
      <c r="E1004" s="2680" t="s">
        <v>187</v>
      </c>
      <c r="F1004" s="2693">
        <f>SUM(F998:G1003)</f>
        <v>35000</v>
      </c>
      <c r="G1004" s="2693"/>
      <c r="I1004" s="2408" t="s">
        <v>1342</v>
      </c>
      <c r="K1004" s="2584">
        <f>L1004/12/P836</f>
        <v>0</v>
      </c>
      <c r="L1004" s="2693">
        <f>'Part VI-Revenues &amp; Expenses'!L235</f>
        <v>0</v>
      </c>
      <c r="M1004" s="2693"/>
      <c r="N1004" s="2654"/>
      <c r="O1004" s="2711" t="s">
        <v>3557</v>
      </c>
      <c r="P1004" s="2711"/>
      <c r="Q1004" s="2711"/>
      <c r="S1004" s="2607"/>
      <c r="T1004" s="2607"/>
      <c r="U1004" s="2607"/>
      <c r="V1004" s="2607"/>
      <c r="W1004" s="2607"/>
      <c r="X1004" s="2494"/>
      <c r="AC1004" s="2494"/>
      <c r="AH1004" s="2494"/>
      <c r="AM1004" s="2494"/>
      <c r="JW1004" s="2652"/>
      <c r="KB1004" s="2652"/>
      <c r="KC1004" s="2652"/>
      <c r="KD1004" s="2652"/>
      <c r="KE1004" s="2652"/>
      <c r="KF1004" s="2652"/>
      <c r="KG1004" s="2652"/>
      <c r="KH1004" s="2652"/>
      <c r="KI1004" s="2652"/>
      <c r="KJ1004" s="2652"/>
      <c r="KK1004" s="2652"/>
      <c r="KL1004" s="2652"/>
      <c r="KM1004" s="2652"/>
      <c r="KN1004" s="2652"/>
      <c r="KO1004" s="2652"/>
      <c r="KP1004" s="2652"/>
      <c r="KQ1004" s="2652"/>
      <c r="KR1004" s="2652"/>
      <c r="KS1004" s="2652"/>
      <c r="KT1004" s="2652"/>
      <c r="KU1004" s="2652"/>
      <c r="KV1004" s="2652"/>
      <c r="KW1004" s="2652"/>
      <c r="KX1004" s="2652"/>
      <c r="KY1004" s="2652"/>
      <c r="KZ1004" s="2652"/>
      <c r="LA1004" s="2652"/>
      <c r="LB1004" s="2652"/>
      <c r="LC1004" s="2652"/>
      <c r="LD1004" s="2652"/>
      <c r="LE1004" s="2652"/>
      <c r="LF1004" s="2652"/>
      <c r="LG1004" s="2652"/>
      <c r="LH1004" s="2652"/>
      <c r="LI1004" s="2652"/>
      <c r="LJ1004" s="2652"/>
      <c r="LK1004" s="2652"/>
      <c r="LL1004" s="2652"/>
      <c r="LM1004" s="2652"/>
      <c r="LN1004" s="2652"/>
      <c r="LO1004" s="2652"/>
      <c r="LP1004" s="2652"/>
      <c r="LQ1004" s="2652"/>
    </row>
    <row r="1005" spans="2:329" s="2408" customFormat="1" ht="15" customHeight="1">
      <c r="D1005" s="2680"/>
      <c r="F1005" s="2683"/>
      <c r="G1005" s="2683"/>
      <c r="I1005" s="2408" t="s">
        <v>4525</v>
      </c>
      <c r="K1005" s="2584">
        <f>L1005/12/P836</f>
        <v>20.833333333333336</v>
      </c>
      <c r="L1005" s="2693">
        <f>'Part VI-Revenues &amp; Expenses'!L236</f>
        <v>50000</v>
      </c>
      <c r="M1005" s="2693"/>
      <c r="N1005" s="2654"/>
      <c r="O1005" s="2618" t="s">
        <v>2634</v>
      </c>
      <c r="P1005" s="2619" t="s">
        <v>3639</v>
      </c>
      <c r="Q1005" s="2619" t="s">
        <v>3324</v>
      </c>
      <c r="S1005" s="2607"/>
      <c r="T1005" s="2607"/>
      <c r="U1005" s="2607"/>
      <c r="V1005" s="2607"/>
      <c r="W1005" s="2607"/>
      <c r="JW1005" s="2652"/>
      <c r="KB1005" s="2652"/>
      <c r="KC1005" s="2652"/>
      <c r="KD1005" s="2652"/>
      <c r="KE1005" s="2652"/>
      <c r="KF1005" s="2652"/>
      <c r="KG1005" s="2652"/>
      <c r="KH1005" s="2652"/>
      <c r="KI1005" s="2652"/>
      <c r="KJ1005" s="2652"/>
      <c r="KK1005" s="2652"/>
      <c r="KL1005" s="2652"/>
      <c r="KM1005" s="2652"/>
      <c r="KN1005" s="2652"/>
      <c r="KO1005" s="2652"/>
      <c r="KP1005" s="2652"/>
      <c r="KQ1005" s="2652"/>
      <c r="KR1005" s="2652"/>
      <c r="KS1005" s="2652"/>
      <c r="KT1005" s="2652"/>
      <c r="KU1005" s="2652"/>
      <c r="KV1005" s="2652"/>
      <c r="KW1005" s="2652"/>
      <c r="KX1005" s="2652"/>
      <c r="KY1005" s="2652"/>
      <c r="KZ1005" s="2652"/>
      <c r="LA1005" s="2652"/>
      <c r="LB1005" s="2652"/>
      <c r="LC1005" s="2652"/>
      <c r="LD1005" s="2652"/>
      <c r="LE1005" s="2652"/>
      <c r="LF1005" s="2652"/>
      <c r="LG1005" s="2652"/>
      <c r="LH1005" s="2652"/>
      <c r="LI1005" s="2652"/>
      <c r="LJ1005" s="2652"/>
      <c r="LK1005" s="2652"/>
      <c r="LL1005" s="2652"/>
      <c r="LM1005" s="2652"/>
      <c r="LN1005" s="2652"/>
      <c r="LO1005" s="2652"/>
      <c r="LP1005" s="2652"/>
      <c r="LQ1005" s="2652"/>
    </row>
    <row r="1006" spans="2:329" s="2408" customFormat="1" ht="15.75" customHeight="1">
      <c r="B1006" s="2408" t="s">
        <v>1267</v>
      </c>
      <c r="D1006" s="2707"/>
      <c r="I1006" s="2408" t="s">
        <v>1344</v>
      </c>
      <c r="L1006" s="2693">
        <f>'Part VI-Revenues &amp; Expenses'!L237</f>
        <v>24000</v>
      </c>
      <c r="M1006" s="2693"/>
      <c r="N1006" s="2654"/>
      <c r="O1006" s="2531" t="s">
        <v>37</v>
      </c>
      <c r="R1006" s="2705"/>
      <c r="S1006" s="2607"/>
      <c r="T1006" s="2607"/>
      <c r="U1006" s="2607"/>
      <c r="V1006" s="2607"/>
      <c r="W1006" s="2607"/>
      <c r="X1006" s="2494"/>
      <c r="AC1006" s="2494"/>
      <c r="AH1006" s="2494"/>
      <c r="AM1006" s="2494"/>
      <c r="JW1006" s="2652"/>
      <c r="KB1006" s="2652"/>
      <c r="KC1006" s="2652"/>
      <c r="KD1006" s="2652"/>
      <c r="KE1006" s="2652"/>
      <c r="KF1006" s="2652"/>
      <c r="KG1006" s="2652"/>
      <c r="KH1006" s="2652"/>
      <c r="KI1006" s="2652"/>
      <c r="KJ1006" s="2652"/>
      <c r="KK1006" s="2652"/>
      <c r="KL1006" s="2652"/>
      <c r="KM1006" s="2652"/>
      <c r="KN1006" s="2652"/>
      <c r="KO1006" s="2652"/>
      <c r="KP1006" s="2652"/>
      <c r="KQ1006" s="2652"/>
      <c r="KR1006" s="2652"/>
      <c r="KS1006" s="2652"/>
      <c r="KT1006" s="2652"/>
      <c r="KU1006" s="2652"/>
      <c r="KV1006" s="2652"/>
      <c r="KW1006" s="2652"/>
      <c r="KX1006" s="2652"/>
      <c r="KY1006" s="2652"/>
      <c r="KZ1006" s="2652"/>
      <c r="LA1006" s="2652"/>
      <c r="LB1006" s="2652"/>
      <c r="LC1006" s="2652"/>
      <c r="LD1006" s="2652"/>
      <c r="LE1006" s="2652"/>
      <c r="LF1006" s="2652"/>
      <c r="LG1006" s="2652"/>
      <c r="LH1006" s="2652"/>
      <c r="LI1006" s="2652"/>
      <c r="LJ1006" s="2652"/>
      <c r="LK1006" s="2652"/>
      <c r="LL1006" s="2652"/>
      <c r="LM1006" s="2652"/>
      <c r="LN1006" s="2652"/>
      <c r="LO1006" s="2652"/>
      <c r="LP1006" s="2652"/>
      <c r="LQ1006" s="2652"/>
    </row>
    <row r="1007" spans="2:329" s="2408" customFormat="1" ht="15.6" customHeight="1">
      <c r="B1007" s="2408" t="s">
        <v>1571</v>
      </c>
      <c r="D1007" s="2707"/>
      <c r="F1007" s="2693">
        <f>'Part VI-Revenues &amp; Expenses'!F238</f>
        <v>30000</v>
      </c>
      <c r="G1007" s="2693"/>
      <c r="I1007" s="2708" t="str">
        <f>'Part VI-Revenues &amp; Expenses'!I238</f>
        <v>Other (describe here)</v>
      </c>
      <c r="J1007" s="2708"/>
      <c r="K1007" s="2708"/>
      <c r="L1007" s="2693">
        <f>'Part VI-Revenues &amp; Expenses'!L238</f>
        <v>0</v>
      </c>
      <c r="M1007" s="2693"/>
      <c r="N1007" s="2654"/>
      <c r="O1007" s="2505" t="s">
        <v>3316</v>
      </c>
      <c r="P1007" s="2712" t="str">
        <f>CONCATENATE(SUM(MP817:MT817)," units x $",'DCA Underwriting Assumptions'!$Q$68," =")</f>
        <v>0 units x $350 =</v>
      </c>
      <c r="Q1007" s="2712">
        <f>SUM(MP817:MT817)*'DCA Underwriting Assumptions'!$Q$68</f>
        <v>0</v>
      </c>
      <c r="R1007" s="2709"/>
      <c r="S1007" s="2607"/>
      <c r="T1007" s="2607"/>
      <c r="U1007" s="2607"/>
      <c r="V1007" s="2607"/>
      <c r="W1007" s="2607"/>
      <c r="X1007" s="2494"/>
      <c r="AC1007" s="2494"/>
      <c r="AH1007" s="2494"/>
      <c r="AM1007" s="2494"/>
      <c r="JW1007" s="2652"/>
      <c r="KB1007" s="2652"/>
      <c r="KC1007" s="2652"/>
      <c r="KD1007" s="2652"/>
      <c r="KE1007" s="2652"/>
      <c r="KF1007" s="2652"/>
      <c r="KG1007" s="2652"/>
      <c r="KH1007" s="2652"/>
      <c r="KI1007" s="2652"/>
      <c r="KJ1007" s="2652"/>
      <c r="KK1007" s="2652"/>
      <c r="KL1007" s="2652"/>
      <c r="KM1007" s="2652"/>
      <c r="KN1007" s="2652"/>
      <c r="KO1007" s="2652"/>
      <c r="KP1007" s="2652"/>
      <c r="KQ1007" s="2652"/>
      <c r="KR1007" s="2652"/>
      <c r="KS1007" s="2652"/>
      <c r="KT1007" s="2652"/>
      <c r="KU1007" s="2652"/>
      <c r="KV1007" s="2652"/>
      <c r="KW1007" s="2652"/>
      <c r="KX1007" s="2652"/>
      <c r="KY1007" s="2652"/>
      <c r="KZ1007" s="2652"/>
      <c r="LA1007" s="2652"/>
      <c r="LB1007" s="2652"/>
      <c r="LC1007" s="2652"/>
      <c r="LD1007" s="2652"/>
      <c r="LE1007" s="2652"/>
      <c r="LF1007" s="2652"/>
      <c r="LG1007" s="2652"/>
      <c r="LH1007" s="2652"/>
      <c r="LI1007" s="2652"/>
      <c r="LJ1007" s="2652"/>
      <c r="LK1007" s="2652"/>
      <c r="LL1007" s="2652"/>
      <c r="LM1007" s="2652"/>
      <c r="LN1007" s="2652"/>
      <c r="LO1007" s="2652"/>
      <c r="LP1007" s="2652"/>
      <c r="LQ1007" s="2652"/>
    </row>
    <row r="1008" spans="2:329" s="2408" customFormat="1" ht="15.6" customHeight="1">
      <c r="B1008" s="2408" t="s">
        <v>1572</v>
      </c>
      <c r="D1008" s="2707"/>
      <c r="F1008" s="2693">
        <f>'Part VI-Revenues &amp; Expenses'!F239</f>
        <v>30000</v>
      </c>
      <c r="G1008" s="2693"/>
      <c r="K1008" s="2680" t="s">
        <v>187</v>
      </c>
      <c r="L1008" s="2694">
        <f>SUM(L1003:L1007)</f>
        <v>111200</v>
      </c>
      <c r="M1008" s="2694"/>
      <c r="N1008" s="2654"/>
      <c r="O1008" s="2505" t="s">
        <v>3315</v>
      </c>
      <c r="P1008" s="2712" t="str">
        <f>CONCATENATE(SUM(MU817:MY817)," units x $",'DCA Underwriting Assumptions'!$Q$69," =")</f>
        <v>200 units x $250 =</v>
      </c>
      <c r="Q1008" s="2712">
        <f>SUM(MU817:MY817)*'DCA Underwriting Assumptions'!$Q$69</f>
        <v>50000</v>
      </c>
      <c r="S1008" s="2607"/>
      <c r="T1008" s="2607"/>
      <c r="U1008" s="2607"/>
      <c r="V1008" s="2607"/>
      <c r="W1008" s="2607"/>
      <c r="X1008" s="2494"/>
      <c r="AC1008" s="2494"/>
      <c r="AH1008" s="2494"/>
      <c r="AM1008" s="2494"/>
      <c r="JW1008" s="2652"/>
      <c r="KB1008" s="2652"/>
      <c r="KC1008" s="2652"/>
      <c r="KD1008" s="2652"/>
      <c r="KE1008" s="2652"/>
      <c r="KF1008" s="2652"/>
      <c r="KG1008" s="2652"/>
      <c r="KH1008" s="2652"/>
      <c r="KI1008" s="2652"/>
      <c r="KJ1008" s="2652"/>
      <c r="KK1008" s="2652"/>
      <c r="KL1008" s="2652"/>
      <c r="KM1008" s="2652"/>
      <c r="KN1008" s="2652"/>
      <c r="KO1008" s="2652"/>
      <c r="KP1008" s="2652"/>
      <c r="KQ1008" s="2652"/>
      <c r="KR1008" s="2652"/>
      <c r="KS1008" s="2652"/>
      <c r="KT1008" s="2652"/>
      <c r="KU1008" s="2652"/>
      <c r="KV1008" s="2652"/>
      <c r="KW1008" s="2652"/>
      <c r="KX1008" s="2652"/>
      <c r="KY1008" s="2652"/>
      <c r="KZ1008" s="2652"/>
      <c r="LA1008" s="2652"/>
      <c r="LB1008" s="2652"/>
      <c r="LC1008" s="2652"/>
      <c r="LD1008" s="2652"/>
      <c r="LE1008" s="2652"/>
      <c r="LF1008" s="2652"/>
      <c r="LG1008" s="2652"/>
      <c r="LH1008" s="2652"/>
      <c r="LI1008" s="2652"/>
      <c r="LJ1008" s="2652"/>
      <c r="LK1008" s="2652"/>
      <c r="LL1008" s="2652"/>
      <c r="LM1008" s="2652"/>
      <c r="LN1008" s="2652"/>
      <c r="LO1008" s="2652"/>
      <c r="LP1008" s="2652"/>
      <c r="LQ1008" s="2652"/>
    </row>
    <row r="1009" spans="1:329" s="2408" customFormat="1" ht="15.6" customHeight="1">
      <c r="B1009" s="2408" t="s">
        <v>1573</v>
      </c>
      <c r="D1009" s="2707"/>
      <c r="F1009" s="2693">
        <f>'Part VI-Revenues &amp; Expenses'!F240</f>
        <v>23000</v>
      </c>
      <c r="G1009" s="2693"/>
      <c r="N1009" s="2654"/>
      <c r="O1009" s="2505" t="s">
        <v>3319</v>
      </c>
      <c r="P1009" s="2712" t="str">
        <f>CONCATENATE(SUM(MZ817:ND817)," units x $",'DCA Underwriting Assumptions'!$Q$70," =")</f>
        <v>0 units x $420 =</v>
      </c>
      <c r="Q1009" s="2712">
        <f>SUM(MZ817:ND817)*'DCA Underwriting Assumptions'!$Q$70</f>
        <v>0</v>
      </c>
      <c r="R1009" s="2619"/>
      <c r="S1009" s="2607"/>
      <c r="T1009" s="2607"/>
      <c r="U1009" s="2607"/>
      <c r="V1009" s="2607"/>
      <c r="W1009" s="2607"/>
      <c r="X1009" s="2494"/>
      <c r="AC1009" s="2494"/>
      <c r="AH1009" s="2494"/>
      <c r="AM1009" s="2494"/>
      <c r="JW1009" s="2652"/>
      <c r="KB1009" s="2652"/>
      <c r="KC1009" s="2652"/>
      <c r="KD1009" s="2652"/>
      <c r="KE1009" s="2652"/>
      <c r="KF1009" s="2652"/>
      <c r="KG1009" s="2652"/>
      <c r="KH1009" s="2652"/>
      <c r="KI1009" s="2652"/>
      <c r="KJ1009" s="2652"/>
      <c r="KK1009" s="2652"/>
      <c r="KL1009" s="2652"/>
      <c r="KM1009" s="2652"/>
      <c r="KN1009" s="2652"/>
      <c r="KO1009" s="2652"/>
      <c r="KP1009" s="2652"/>
      <c r="KQ1009" s="2652"/>
      <c r="KR1009" s="2652"/>
      <c r="KS1009" s="2652"/>
      <c r="KT1009" s="2652"/>
      <c r="KU1009" s="2652"/>
      <c r="KV1009" s="2652"/>
      <c r="KW1009" s="2652"/>
      <c r="KX1009" s="2652"/>
      <c r="KY1009" s="2652"/>
      <c r="KZ1009" s="2652"/>
      <c r="LA1009" s="2652"/>
      <c r="LB1009" s="2652"/>
      <c r="LC1009" s="2652"/>
      <c r="LD1009" s="2652"/>
      <c r="LE1009" s="2652"/>
      <c r="LF1009" s="2652"/>
      <c r="LG1009" s="2652"/>
      <c r="LH1009" s="2652"/>
      <c r="LI1009" s="2652"/>
      <c r="LJ1009" s="2652"/>
      <c r="LK1009" s="2652"/>
      <c r="LL1009" s="2652"/>
      <c r="LM1009" s="2652"/>
      <c r="LN1009" s="2652"/>
      <c r="LO1009" s="2652"/>
      <c r="LP1009" s="2652"/>
      <c r="LQ1009" s="2652"/>
    </row>
    <row r="1010" spans="1:329" s="2408" customFormat="1" ht="15.6" customHeight="1">
      <c r="B1010" s="2408" t="s">
        <v>981</v>
      </c>
      <c r="D1010" s="2707"/>
      <c r="F1010" s="2693">
        <f>'Part VI-Revenues &amp; Expenses'!F241</f>
        <v>8000</v>
      </c>
      <c r="G1010" s="2693"/>
      <c r="O1010" s="2505" t="s">
        <v>3314</v>
      </c>
      <c r="P1010" s="2712" t="str">
        <f>CONCATENATE(P894," units x $",'DCA Underwriting Assumptions'!$Q$70," =")</f>
        <v>0 units x $420 =</v>
      </c>
      <c r="Q1010" s="2712">
        <f>P894*'DCA Underwriting Assumptions'!$Q$70</f>
        <v>0</v>
      </c>
      <c r="S1010" s="2607"/>
      <c r="T1010" s="2607"/>
      <c r="U1010" s="2607"/>
      <c r="V1010" s="2607"/>
      <c r="W1010" s="2607"/>
      <c r="X1010" s="2494"/>
      <c r="AC1010" s="2494"/>
      <c r="AH1010" s="2494"/>
      <c r="AM1010" s="2494"/>
      <c r="JW1010" s="2652"/>
      <c r="KB1010" s="2652"/>
      <c r="KC1010" s="2652"/>
      <c r="KD1010" s="2652"/>
      <c r="KE1010" s="2652"/>
      <c r="KF1010" s="2652"/>
      <c r="KG1010" s="2652"/>
      <c r="KH1010" s="2652"/>
      <c r="KI1010" s="2652"/>
      <c r="KJ1010" s="2652"/>
      <c r="KK1010" s="2652"/>
      <c r="KL1010" s="2652"/>
      <c r="KM1010" s="2652"/>
      <c r="KN1010" s="2652"/>
      <c r="KO1010" s="2652"/>
      <c r="KP1010" s="2652"/>
      <c r="KQ1010" s="2652"/>
      <c r="KR1010" s="2652"/>
      <c r="KS1010" s="2652"/>
      <c r="KT1010" s="2652"/>
      <c r="KU1010" s="2652"/>
      <c r="KV1010" s="2652"/>
      <c r="KW1010" s="2652"/>
      <c r="KX1010" s="2652"/>
      <c r="KY1010" s="2652"/>
      <c r="KZ1010" s="2652"/>
      <c r="LA1010" s="2652"/>
      <c r="LB1010" s="2652"/>
      <c r="LC1010" s="2652"/>
      <c r="LD1010" s="2652"/>
      <c r="LE1010" s="2652"/>
      <c r="LF1010" s="2652"/>
      <c r="LG1010" s="2652"/>
      <c r="LH1010" s="2652"/>
      <c r="LI1010" s="2652"/>
      <c r="LJ1010" s="2652"/>
      <c r="LK1010" s="2652"/>
      <c r="LL1010" s="2652"/>
      <c r="LM1010" s="2652"/>
      <c r="LN1010" s="2652"/>
      <c r="LO1010" s="2652"/>
      <c r="LP1010" s="2652"/>
      <c r="LQ1010" s="2652"/>
    </row>
    <row r="1011" spans="1:329" s="2408" customFormat="1" ht="15.6" customHeight="1">
      <c r="B1011" s="2408" t="s">
        <v>982</v>
      </c>
      <c r="D1011" s="2707"/>
      <c r="F1011" s="2693">
        <f>'Part VI-Revenues &amp; Expenses'!F242</f>
        <v>10000</v>
      </c>
      <c r="G1011" s="2693"/>
      <c r="I1011" s="2408" t="s">
        <v>1349</v>
      </c>
      <c r="O1011" s="2673" t="s">
        <v>2637</v>
      </c>
      <c r="P1011" s="2670">
        <f>SUM(MP817:MT817)+SUM(MU817:MY817)+SUM(MZ817:ND817)+P894</f>
        <v>200</v>
      </c>
      <c r="Q1011" s="2670">
        <f>SUM(Q1007:Q1010)</f>
        <v>50000</v>
      </c>
      <c r="R1011" s="2712"/>
      <c r="S1011" s="2607"/>
      <c r="T1011" s="2607"/>
      <c r="U1011" s="2607"/>
      <c r="V1011" s="2607"/>
      <c r="W1011" s="2607"/>
      <c r="X1011" s="2494"/>
      <c r="AC1011" s="2494"/>
      <c r="AH1011" s="2494"/>
      <c r="AM1011" s="2494"/>
      <c r="JW1011" s="2652"/>
      <c r="KB1011" s="2652"/>
      <c r="KC1011" s="2652"/>
      <c r="KD1011" s="2652"/>
      <c r="KE1011" s="2652"/>
      <c r="KF1011" s="2652"/>
      <c r="KG1011" s="2652"/>
      <c r="KH1011" s="2652"/>
      <c r="KI1011" s="2652"/>
      <c r="KJ1011" s="2652"/>
      <c r="KK1011" s="2652"/>
      <c r="KL1011" s="2652"/>
      <c r="KM1011" s="2652"/>
      <c r="KN1011" s="2652"/>
      <c r="KO1011" s="2652"/>
      <c r="KP1011" s="2652"/>
      <c r="KQ1011" s="2652"/>
      <c r="KR1011" s="2652"/>
      <c r="KS1011" s="2652"/>
      <c r="KT1011" s="2652"/>
      <c r="KU1011" s="2652"/>
      <c r="KV1011" s="2652"/>
      <c r="KW1011" s="2652"/>
      <c r="KX1011" s="2652"/>
      <c r="KY1011" s="2652"/>
      <c r="KZ1011" s="2652"/>
      <c r="LA1011" s="2652"/>
      <c r="LB1011" s="2652"/>
      <c r="LC1011" s="2652"/>
      <c r="LD1011" s="2652"/>
      <c r="LE1011" s="2652"/>
      <c r="LF1011" s="2652"/>
      <c r="LG1011" s="2652"/>
      <c r="LH1011" s="2652"/>
      <c r="LI1011" s="2652"/>
      <c r="LJ1011" s="2652"/>
      <c r="LK1011" s="2652"/>
      <c r="LL1011" s="2652"/>
      <c r="LM1011" s="2652"/>
      <c r="LN1011" s="2652"/>
      <c r="LO1011" s="2652"/>
      <c r="LP1011" s="2652"/>
      <c r="LQ1011" s="2652"/>
    </row>
    <row r="1012" spans="1:329" s="2408" customFormat="1" ht="15.6" customHeight="1">
      <c r="B1012" s="2408" t="s">
        <v>983</v>
      </c>
      <c r="D1012" s="2707"/>
      <c r="F1012" s="2693">
        <f>'Part VI-Revenues &amp; Expenses'!F243</f>
        <v>0</v>
      </c>
      <c r="G1012" s="2693"/>
      <c r="I1012" s="2408" t="s">
        <v>6985</v>
      </c>
      <c r="L1012" s="2693">
        <f>'Part VI-Revenues &amp; Expenses'!L243</f>
        <v>200000</v>
      </c>
      <c r="M1012" s="2693"/>
      <c r="R1012" s="2712"/>
      <c r="S1012" s="2607"/>
      <c r="T1012" s="2607"/>
      <c r="U1012" s="2607"/>
      <c r="V1012" s="2607"/>
      <c r="W1012" s="2607"/>
      <c r="X1012" s="2494"/>
      <c r="AC1012" s="2494"/>
      <c r="AH1012" s="2494"/>
      <c r="AM1012" s="2494"/>
      <c r="JW1012" s="2652"/>
      <c r="KB1012" s="2652"/>
      <c r="KC1012" s="2652"/>
      <c r="KD1012" s="2652"/>
      <c r="KE1012" s="2652"/>
      <c r="KF1012" s="2652"/>
      <c r="KG1012" s="2652"/>
      <c r="KH1012" s="2652"/>
      <c r="KI1012" s="2652"/>
      <c r="KJ1012" s="2652"/>
      <c r="KK1012" s="2652"/>
      <c r="KL1012" s="2652"/>
      <c r="KM1012" s="2652"/>
      <c r="KN1012" s="2652"/>
      <c r="KO1012" s="2652"/>
      <c r="KP1012" s="2652"/>
      <c r="KQ1012" s="2652"/>
      <c r="KR1012" s="2652"/>
      <c r="KS1012" s="2652"/>
      <c r="KT1012" s="2652"/>
      <c r="KU1012" s="2652"/>
      <c r="KV1012" s="2652"/>
      <c r="KW1012" s="2652"/>
      <c r="KX1012" s="2652"/>
      <c r="KY1012" s="2652"/>
      <c r="KZ1012" s="2652"/>
      <c r="LA1012" s="2652"/>
      <c r="LB1012" s="2652"/>
      <c r="LC1012" s="2652"/>
      <c r="LD1012" s="2652"/>
      <c r="LE1012" s="2652"/>
      <c r="LF1012" s="2652"/>
      <c r="LG1012" s="2652"/>
      <c r="LH1012" s="2652"/>
      <c r="LI1012" s="2652"/>
      <c r="LJ1012" s="2652"/>
      <c r="LK1012" s="2652"/>
      <c r="LL1012" s="2652"/>
      <c r="LM1012" s="2652"/>
      <c r="LN1012" s="2652"/>
      <c r="LO1012" s="2652"/>
      <c r="LP1012" s="2652"/>
      <c r="LQ1012" s="2652"/>
    </row>
    <row r="1013" spans="1:329" s="2408" customFormat="1" ht="15.6" customHeight="1">
      <c r="B1013" s="2408" t="s">
        <v>848</v>
      </c>
      <c r="D1013" s="2707"/>
      <c r="F1013" s="2693">
        <f>'Part VI-Revenues &amp; Expenses'!F244</f>
        <v>1000</v>
      </c>
      <c r="G1013" s="2693"/>
      <c r="I1013" s="2408" t="s">
        <v>143</v>
      </c>
      <c r="L1013" s="2693">
        <f>'Part VI-Revenues &amp; Expenses'!L244</f>
        <v>80000</v>
      </c>
      <c r="M1013" s="2693"/>
      <c r="R1013" s="2712"/>
      <c r="S1013" s="2607"/>
      <c r="T1013" s="2607"/>
      <c r="U1013" s="2607"/>
      <c r="V1013" s="2607"/>
      <c r="W1013" s="2607"/>
      <c r="X1013" s="2494"/>
      <c r="AC1013" s="2494"/>
      <c r="AH1013" s="2494"/>
      <c r="AM1013" s="2494"/>
      <c r="JW1013" s="2652"/>
      <c r="KB1013" s="2652"/>
      <c r="KC1013" s="2652"/>
      <c r="KD1013" s="2652"/>
      <c r="KE1013" s="2652"/>
      <c r="KF1013" s="2652"/>
      <c r="KG1013" s="2652"/>
      <c r="KH1013" s="2652"/>
      <c r="KI1013" s="2652"/>
      <c r="KJ1013" s="2652"/>
      <c r="KK1013" s="2652"/>
      <c r="KL1013" s="2652"/>
      <c r="KM1013" s="2652"/>
      <c r="KN1013" s="2652"/>
      <c r="KO1013" s="2652"/>
      <c r="KP1013" s="2652"/>
      <c r="KQ1013" s="2652"/>
      <c r="KR1013" s="2652"/>
      <c r="KS1013" s="2652"/>
      <c r="KT1013" s="2652"/>
      <c r="KU1013" s="2652"/>
      <c r="KV1013" s="2652"/>
      <c r="KW1013" s="2652"/>
      <c r="KX1013" s="2652"/>
      <c r="KY1013" s="2652"/>
      <c r="KZ1013" s="2652"/>
      <c r="LA1013" s="2652"/>
      <c r="LB1013" s="2652"/>
      <c r="LC1013" s="2652"/>
      <c r="LD1013" s="2652"/>
      <c r="LE1013" s="2652"/>
      <c r="LF1013" s="2652"/>
      <c r="LG1013" s="2652"/>
      <c r="LH1013" s="2652"/>
      <c r="LI1013" s="2652"/>
      <c r="LJ1013" s="2652"/>
      <c r="LK1013" s="2652"/>
      <c r="LL1013" s="2652"/>
      <c r="LM1013" s="2652"/>
      <c r="LN1013" s="2652"/>
      <c r="LO1013" s="2652"/>
      <c r="LP1013" s="2652"/>
      <c r="LQ1013" s="2652"/>
    </row>
    <row r="1014" spans="1:329" s="2408" customFormat="1" ht="15.6" customHeight="1">
      <c r="B1014" s="512" t="str">
        <f>'Part VI-Revenues &amp; Expenses'!B245</f>
        <v>Turnover</v>
      </c>
      <c r="C1014" s="512"/>
      <c r="D1014" s="512"/>
      <c r="E1014" s="512"/>
      <c r="F1014" s="2693">
        <f>'Part VI-Revenues &amp; Expenses'!F245</f>
        <v>28000</v>
      </c>
      <c r="G1014" s="2693"/>
      <c r="I1014" s="2708" t="str">
        <f>'Part VI-Revenues &amp; Expenses'!I245</f>
        <v>Other (describe here)</v>
      </c>
      <c r="J1014" s="2708"/>
      <c r="K1014" s="2708"/>
      <c r="L1014" s="2693">
        <f>'Part VI-Revenues &amp; Expenses'!L245</f>
        <v>0</v>
      </c>
      <c r="M1014" s="2693"/>
      <c r="R1014" s="2712"/>
      <c r="S1014" s="2607"/>
      <c r="T1014" s="2607"/>
      <c r="U1014" s="2607"/>
      <c r="V1014" s="2607"/>
      <c r="W1014" s="2607"/>
      <c r="X1014" s="2494"/>
      <c r="AC1014" s="2494"/>
      <c r="AH1014" s="2494"/>
      <c r="AM1014" s="2494"/>
      <c r="JW1014" s="2652"/>
      <c r="KB1014" s="2652"/>
      <c r="KC1014" s="2652"/>
      <c r="KD1014" s="2652"/>
      <c r="KE1014" s="2652"/>
      <c r="KF1014" s="2652"/>
      <c r="KG1014" s="2652"/>
      <c r="KH1014" s="2652"/>
      <c r="KI1014" s="2652"/>
      <c r="KJ1014" s="2652"/>
      <c r="KK1014" s="2652"/>
      <c r="KL1014" s="2652"/>
      <c r="KM1014" s="2652"/>
      <c r="KN1014" s="2652"/>
      <c r="KO1014" s="2652"/>
      <c r="KP1014" s="2652"/>
      <c r="KQ1014" s="2652"/>
      <c r="KR1014" s="2652"/>
      <c r="KS1014" s="2652"/>
      <c r="KT1014" s="2652"/>
      <c r="KU1014" s="2652"/>
      <c r="KV1014" s="2652"/>
      <c r="KW1014" s="2652"/>
      <c r="KX1014" s="2652"/>
      <c r="KY1014" s="2652"/>
      <c r="KZ1014" s="2652"/>
      <c r="LA1014" s="2652"/>
      <c r="LB1014" s="2652"/>
      <c r="LC1014" s="2652"/>
      <c r="LD1014" s="2652"/>
      <c r="LE1014" s="2652"/>
      <c r="LF1014" s="2652"/>
      <c r="LG1014" s="2652"/>
      <c r="LH1014" s="2652"/>
      <c r="LI1014" s="2652"/>
      <c r="LJ1014" s="2652"/>
      <c r="LK1014" s="2652"/>
      <c r="LL1014" s="2652"/>
      <c r="LM1014" s="2652"/>
      <c r="LN1014" s="2652"/>
      <c r="LO1014" s="2652"/>
      <c r="LP1014" s="2652"/>
      <c r="LQ1014" s="2652"/>
    </row>
    <row r="1015" spans="1:329" s="2408" customFormat="1" ht="15.6" customHeight="1">
      <c r="E1015" s="2680" t="s">
        <v>187</v>
      </c>
      <c r="F1015" s="2693">
        <f>SUM(F1007:G1014)</f>
        <v>130000</v>
      </c>
      <c r="G1015" s="2693"/>
      <c r="K1015" s="2680" t="s">
        <v>187</v>
      </c>
      <c r="L1015" s="2694">
        <f>SUM(L1011:L1014)</f>
        <v>280000</v>
      </c>
      <c r="M1015" s="2694"/>
      <c r="O1015" s="2408" t="s">
        <v>2137</v>
      </c>
      <c r="Q1015" s="2694">
        <f>Q996+Q1002</f>
        <v>984542</v>
      </c>
      <c r="R1015" s="2712"/>
      <c r="S1015" s="2607"/>
      <c r="T1015" s="2607"/>
      <c r="U1015" s="2607"/>
      <c r="V1015" s="2607"/>
      <c r="W1015" s="2607"/>
      <c r="X1015" s="2494"/>
      <c r="AC1015" s="2494"/>
      <c r="AH1015" s="2494"/>
      <c r="AM1015" s="2494"/>
      <c r="JW1015" s="2652"/>
      <c r="KB1015" s="2652"/>
      <c r="KC1015" s="2652"/>
      <c r="KD1015" s="2652"/>
      <c r="KE1015" s="2652"/>
      <c r="KF1015" s="2652"/>
      <c r="KG1015" s="2652"/>
      <c r="KH1015" s="2652"/>
      <c r="KI1015" s="2652"/>
      <c r="KJ1015" s="2652"/>
      <c r="KK1015" s="2652"/>
      <c r="KL1015" s="2652"/>
      <c r="KM1015" s="2652"/>
      <c r="KN1015" s="2652"/>
      <c r="KO1015" s="2652"/>
      <c r="KP1015" s="2652"/>
      <c r="KQ1015" s="2652"/>
      <c r="KR1015" s="2652"/>
      <c r="KS1015" s="2652"/>
      <c r="KT1015" s="2652"/>
      <c r="KU1015" s="2652"/>
      <c r="KV1015" s="2652"/>
      <c r="KW1015" s="2652"/>
      <c r="KX1015" s="2652"/>
      <c r="KY1015" s="2652"/>
      <c r="KZ1015" s="2652"/>
      <c r="LA1015" s="2652"/>
      <c r="LB1015" s="2652"/>
      <c r="LC1015" s="2652"/>
      <c r="LD1015" s="2652"/>
      <c r="LE1015" s="2652"/>
      <c r="LF1015" s="2652"/>
      <c r="LG1015" s="2652"/>
      <c r="LH1015" s="2652"/>
      <c r="LI1015" s="2652"/>
      <c r="LJ1015" s="2652"/>
      <c r="LK1015" s="2652"/>
      <c r="LL1015" s="2652"/>
      <c r="LM1015" s="2652"/>
      <c r="LN1015" s="2652"/>
      <c r="LO1015" s="2652"/>
      <c r="LP1015" s="2652"/>
      <c r="LQ1015" s="2652"/>
    </row>
    <row r="1016" spans="1:329" s="2408" customFormat="1" ht="6" customHeight="1">
      <c r="C1016" s="2680"/>
      <c r="F1016" s="2683"/>
      <c r="G1016" s="2683"/>
      <c r="K1016" s="2683"/>
      <c r="X1016" s="2494"/>
      <c r="AC1016" s="2494"/>
      <c r="AH1016" s="2494"/>
      <c r="AM1016" s="2494"/>
      <c r="JW1016" s="2652"/>
      <c r="KB1016" s="2652"/>
      <c r="KC1016" s="2652"/>
      <c r="KD1016" s="2652"/>
      <c r="KE1016" s="2652"/>
      <c r="KF1016" s="2652"/>
      <c r="KG1016" s="2652"/>
      <c r="KH1016" s="2652"/>
      <c r="KI1016" s="2652"/>
      <c r="KJ1016" s="2652"/>
      <c r="KK1016" s="2652"/>
      <c r="KL1016" s="2652"/>
      <c r="KM1016" s="2652"/>
      <c r="KN1016" s="2652"/>
      <c r="KO1016" s="2652"/>
      <c r="KP1016" s="2652"/>
      <c r="KQ1016" s="2652"/>
      <c r="KR1016" s="2652"/>
      <c r="KS1016" s="2652"/>
      <c r="KT1016" s="2652"/>
      <c r="KU1016" s="2652"/>
      <c r="KV1016" s="2652"/>
      <c r="KW1016" s="2652"/>
      <c r="KX1016" s="2652"/>
      <c r="KY1016" s="2652"/>
      <c r="KZ1016" s="2652"/>
      <c r="LA1016" s="2652"/>
      <c r="LB1016" s="2652"/>
      <c r="LC1016" s="2652"/>
      <c r="LD1016" s="2652"/>
      <c r="LE1016" s="2652"/>
      <c r="LF1016" s="2652"/>
      <c r="LG1016" s="2652"/>
      <c r="LH1016" s="2652"/>
      <c r="LI1016" s="2652"/>
      <c r="LJ1016" s="2652"/>
      <c r="LK1016" s="2652"/>
      <c r="LL1016" s="2652"/>
      <c r="LM1016" s="2652"/>
      <c r="LN1016" s="2652"/>
      <c r="LO1016" s="2652"/>
      <c r="LP1016" s="2652"/>
      <c r="LQ1016" s="2652"/>
    </row>
    <row r="1017" spans="1:329" s="2408" customFormat="1" ht="15.6" customHeight="1">
      <c r="C1017" s="2680"/>
      <c r="F1017" s="2683"/>
      <c r="G1017" s="2683"/>
      <c r="K1017" s="2683"/>
      <c r="R1017" s="2694"/>
      <c r="X1017" s="2494"/>
      <c r="AC1017" s="2494"/>
      <c r="AH1017" s="2494"/>
      <c r="AM1017" s="2494"/>
      <c r="JW1017" s="2652"/>
      <c r="KB1017" s="2652"/>
      <c r="KC1017" s="2652"/>
      <c r="KD1017" s="2652"/>
      <c r="KE1017" s="2652"/>
      <c r="KF1017" s="2652"/>
      <c r="KG1017" s="2652"/>
      <c r="KH1017" s="2652"/>
      <c r="KI1017" s="2652"/>
      <c r="KJ1017" s="2652"/>
      <c r="KK1017" s="2652"/>
      <c r="KL1017" s="2652"/>
      <c r="KM1017" s="2652"/>
      <c r="KN1017" s="2652"/>
      <c r="KO1017" s="2652"/>
      <c r="KP1017" s="2652"/>
      <c r="KQ1017" s="2652"/>
      <c r="KR1017" s="2652"/>
      <c r="KS1017" s="2652"/>
      <c r="KT1017" s="2652"/>
      <c r="KU1017" s="2652"/>
      <c r="KV1017" s="2652"/>
      <c r="KW1017" s="2652"/>
      <c r="KX1017" s="2652"/>
      <c r="KY1017" s="2652"/>
      <c r="KZ1017" s="2652"/>
      <c r="LA1017" s="2652"/>
      <c r="LB1017" s="2652"/>
      <c r="LC1017" s="2652"/>
      <c r="LD1017" s="2652"/>
      <c r="LE1017" s="2652"/>
      <c r="LF1017" s="2652"/>
      <c r="LG1017" s="2652"/>
      <c r="LH1017" s="2652"/>
      <c r="LI1017" s="2652"/>
      <c r="LJ1017" s="2652"/>
      <c r="LK1017" s="2652"/>
      <c r="LL1017" s="2652"/>
      <c r="LM1017" s="2652"/>
      <c r="LN1017" s="2652"/>
      <c r="LO1017" s="2652"/>
      <c r="LP1017" s="2652"/>
      <c r="LQ1017" s="2652"/>
    </row>
    <row r="1018" spans="1:329" s="2408" customFormat="1" ht="15" customHeight="1">
      <c r="C1018" s="2680"/>
      <c r="F1018" s="2683"/>
      <c r="G1018" s="2683"/>
      <c r="K1018" s="2683"/>
      <c r="Q1018" s="2694"/>
      <c r="R1018" s="2694"/>
      <c r="X1018" s="2494"/>
      <c r="AC1018" s="2494"/>
      <c r="AH1018" s="2494"/>
      <c r="AM1018" s="2494"/>
      <c r="JW1018" s="2652"/>
      <c r="KB1018" s="2652"/>
      <c r="KC1018" s="2652"/>
      <c r="KD1018" s="2652"/>
      <c r="KE1018" s="2652"/>
      <c r="KF1018" s="2652"/>
      <c r="KG1018" s="2652"/>
      <c r="KH1018" s="2652"/>
      <c r="KI1018" s="2652"/>
      <c r="KJ1018" s="2652"/>
      <c r="KK1018" s="2652"/>
      <c r="KL1018" s="2652"/>
      <c r="KM1018" s="2652"/>
      <c r="KN1018" s="2652"/>
      <c r="KO1018" s="2652"/>
      <c r="KP1018" s="2652"/>
      <c r="KQ1018" s="2652"/>
      <c r="KR1018" s="2652"/>
      <c r="KS1018" s="2652"/>
      <c r="KT1018" s="2652"/>
      <c r="KU1018" s="2652"/>
      <c r="KV1018" s="2652"/>
      <c r="KW1018" s="2652"/>
      <c r="KX1018" s="2652"/>
      <c r="KY1018" s="2652"/>
      <c r="KZ1018" s="2652"/>
      <c r="LA1018" s="2652"/>
      <c r="LB1018" s="2652"/>
      <c r="LC1018" s="2652"/>
      <c r="LD1018" s="2652"/>
      <c r="LE1018" s="2652"/>
      <c r="LF1018" s="2652"/>
      <c r="LG1018" s="2652"/>
      <c r="LH1018" s="2652"/>
      <c r="LI1018" s="2652"/>
      <c r="LJ1018" s="2652"/>
      <c r="LK1018" s="2652"/>
      <c r="LL1018" s="2652"/>
      <c r="LM1018" s="2652"/>
      <c r="LN1018" s="2652"/>
      <c r="LO1018" s="2652"/>
      <c r="LP1018" s="2652"/>
      <c r="LQ1018" s="2652"/>
    </row>
    <row r="1019" spans="1:329" s="2408" customFormat="1" ht="15" customHeight="1">
      <c r="A1019" s="2494" t="s">
        <v>1750</v>
      </c>
      <c r="B1019" s="2408" t="s">
        <v>4429</v>
      </c>
      <c r="C1019" s="2680"/>
      <c r="H1019" s="2683"/>
      <c r="I1019" s="2713" t="s">
        <v>4430</v>
      </c>
      <c r="K1019" s="2694">
        <f>'Part VI-Revenues &amp; Expenses'!K250</f>
        <v>0</v>
      </c>
      <c r="L1019" s="2694"/>
      <c r="M1019" s="2649" t="s">
        <v>4486</v>
      </c>
      <c r="N1019" s="2660">
        <f>'Part VI-Revenues &amp; Expenses'!N250</f>
        <v>0</v>
      </c>
      <c r="O1019" s="2408" t="s">
        <v>4432</v>
      </c>
      <c r="Q1019" s="2660">
        <f>K1019*N1019</f>
        <v>0</v>
      </c>
      <c r="R1019" s="2694"/>
      <c r="S1019" s="2607"/>
      <c r="T1019" s="2607"/>
      <c r="U1019" s="2607"/>
      <c r="V1019" s="2607"/>
      <c r="W1019" s="2607"/>
      <c r="X1019" s="2494"/>
      <c r="AC1019" s="2494"/>
      <c r="AH1019" s="2494"/>
      <c r="AM1019" s="2494"/>
      <c r="JW1019" s="2652"/>
      <c r="KB1019" s="2652"/>
      <c r="KC1019" s="2652"/>
      <c r="KD1019" s="2652"/>
      <c r="KE1019" s="2652"/>
      <c r="KF1019" s="2652"/>
      <c r="KG1019" s="2652"/>
      <c r="KH1019" s="2652"/>
      <c r="KI1019" s="2652"/>
      <c r="KJ1019" s="2652"/>
      <c r="KK1019" s="2652"/>
      <c r="KL1019" s="2652"/>
      <c r="KM1019" s="2652"/>
      <c r="KN1019" s="2652"/>
      <c r="KO1019" s="2652"/>
      <c r="KP1019" s="2652"/>
      <c r="KQ1019" s="2652"/>
      <c r="KR1019" s="2652"/>
      <c r="KS1019" s="2652"/>
      <c r="KT1019" s="2652"/>
      <c r="KU1019" s="2652"/>
      <c r="KV1019" s="2652"/>
      <c r="KW1019" s="2652"/>
      <c r="KX1019" s="2652"/>
      <c r="KY1019" s="2652"/>
      <c r="KZ1019" s="2652"/>
      <c r="LA1019" s="2652"/>
      <c r="LB1019" s="2652"/>
      <c r="LC1019" s="2652"/>
      <c r="LD1019" s="2652"/>
      <c r="LE1019" s="2652"/>
      <c r="LF1019" s="2652"/>
      <c r="LG1019" s="2652"/>
      <c r="LH1019" s="2652"/>
      <c r="LI1019" s="2652"/>
      <c r="LJ1019" s="2652"/>
      <c r="LK1019" s="2652"/>
      <c r="LL1019" s="2652"/>
      <c r="LM1019" s="2652"/>
      <c r="LN1019" s="2652"/>
      <c r="LO1019" s="2652"/>
      <c r="LP1019" s="2652"/>
      <c r="LQ1019" s="2652"/>
    </row>
    <row r="1020" spans="1:329" s="2408" customFormat="1" ht="6" customHeight="1">
      <c r="C1020" s="2680"/>
      <c r="F1020" s="2683"/>
      <c r="G1020" s="2683"/>
      <c r="K1020" s="2683"/>
      <c r="Q1020" s="2694"/>
      <c r="R1020" s="2694"/>
      <c r="X1020" s="2494"/>
      <c r="AC1020" s="2494"/>
      <c r="AH1020" s="2494"/>
      <c r="AM1020" s="2494"/>
      <c r="JW1020" s="2652"/>
      <c r="KB1020" s="2652"/>
      <c r="KC1020" s="2652"/>
      <c r="KD1020" s="2652"/>
      <c r="KE1020" s="2652"/>
      <c r="KF1020" s="2652"/>
      <c r="KG1020" s="2652"/>
      <c r="KH1020" s="2652"/>
      <c r="KI1020" s="2652"/>
      <c r="KJ1020" s="2652"/>
      <c r="KK1020" s="2652"/>
      <c r="KL1020" s="2652"/>
      <c r="KM1020" s="2652"/>
      <c r="KN1020" s="2652"/>
      <c r="KO1020" s="2652"/>
      <c r="KP1020" s="2652"/>
      <c r="KQ1020" s="2652"/>
      <c r="KR1020" s="2652"/>
      <c r="KS1020" s="2652"/>
      <c r="KT1020" s="2652"/>
      <c r="KU1020" s="2652"/>
      <c r="KV1020" s="2652"/>
      <c r="KW1020" s="2652"/>
      <c r="KX1020" s="2652"/>
      <c r="KY1020" s="2652"/>
      <c r="KZ1020" s="2652"/>
      <c r="LA1020" s="2652"/>
      <c r="LB1020" s="2652"/>
      <c r="LC1020" s="2652"/>
      <c r="LD1020" s="2652"/>
      <c r="LE1020" s="2652"/>
      <c r="LF1020" s="2652"/>
      <c r="LG1020" s="2652"/>
      <c r="LH1020" s="2652"/>
      <c r="LI1020" s="2652"/>
      <c r="LJ1020" s="2652"/>
      <c r="LK1020" s="2652"/>
      <c r="LL1020" s="2652"/>
      <c r="LM1020" s="2652"/>
      <c r="LN1020" s="2652"/>
      <c r="LO1020" s="2652"/>
      <c r="LP1020" s="2652"/>
      <c r="LQ1020" s="2652"/>
    </row>
    <row r="1021" spans="1:329" s="2408" customFormat="1" ht="15" customHeight="1">
      <c r="B1021" s="2408" t="s">
        <v>4487</v>
      </c>
      <c r="C1021" s="2680"/>
      <c r="F1021" s="2683"/>
      <c r="G1021" s="2683"/>
      <c r="J1021" s="2652" t="str">
        <f>'Part VI-Revenues &amp; Expenses'!J252</f>
        <v>&lt;&lt;Select&gt;&gt;</v>
      </c>
      <c r="K1021" s="2713" t="s">
        <v>4489</v>
      </c>
      <c r="L1021" s="2652" t="str">
        <f>'Part VI-Revenues &amp; Expenses'!L252</f>
        <v>&lt;&lt;Select&gt;&gt;</v>
      </c>
      <c r="M1021" s="2652" t="s">
        <v>4490</v>
      </c>
      <c r="N1021" s="2660">
        <f>'Part VI-Revenues &amp; Expenses'!N252</f>
        <v>0</v>
      </c>
      <c r="O1021" s="2408" t="s">
        <v>4488</v>
      </c>
      <c r="Q1021" s="2660">
        <f>'Part VI-Revenues &amp; Expenses'!Q252</f>
        <v>0</v>
      </c>
      <c r="R1021" s="2694"/>
      <c r="S1021" s="2607"/>
      <c r="T1021" s="2607"/>
      <c r="U1021" s="2607"/>
      <c r="V1021" s="2607"/>
      <c r="W1021" s="2607"/>
      <c r="X1021" s="2494"/>
      <c r="AC1021" s="2494"/>
      <c r="AH1021" s="2494"/>
      <c r="AM1021" s="2494"/>
      <c r="JW1021" s="2652"/>
      <c r="KB1021" s="2652"/>
      <c r="KC1021" s="2652"/>
      <c r="KD1021" s="2652"/>
      <c r="KE1021" s="2652"/>
      <c r="KF1021" s="2652"/>
      <c r="KG1021" s="2652"/>
      <c r="KH1021" s="2652"/>
      <c r="KI1021" s="2652"/>
      <c r="KJ1021" s="2652"/>
      <c r="KK1021" s="2652"/>
      <c r="KL1021" s="2652"/>
      <c r="KM1021" s="2652"/>
      <c r="KN1021" s="2652"/>
      <c r="KO1021" s="2652"/>
      <c r="KP1021" s="2652"/>
      <c r="KQ1021" s="2652"/>
      <c r="KR1021" s="2652"/>
      <c r="KS1021" s="2652"/>
      <c r="KT1021" s="2652"/>
      <c r="KU1021" s="2652"/>
      <c r="KV1021" s="2652"/>
      <c r="KW1021" s="2652"/>
      <c r="KX1021" s="2652"/>
      <c r="KY1021" s="2652"/>
      <c r="KZ1021" s="2652"/>
      <c r="LA1021" s="2652"/>
      <c r="LB1021" s="2652"/>
      <c r="LC1021" s="2652"/>
      <c r="LD1021" s="2652"/>
      <c r="LE1021" s="2652"/>
      <c r="LF1021" s="2652"/>
      <c r="LG1021" s="2652"/>
      <c r="LH1021" s="2652"/>
      <c r="LI1021" s="2652"/>
      <c r="LJ1021" s="2652"/>
      <c r="LK1021" s="2652"/>
      <c r="LL1021" s="2652"/>
      <c r="LM1021" s="2652"/>
      <c r="LN1021" s="2652"/>
      <c r="LO1021" s="2652"/>
      <c r="LP1021" s="2652"/>
      <c r="LQ1021" s="2652"/>
    </row>
    <row r="1022" spans="1:329" s="2408" customFormat="1" ht="39" customHeight="1">
      <c r="C1022" s="2680"/>
      <c r="F1022" s="2683"/>
      <c r="G1022" s="2683"/>
      <c r="K1022" s="2683"/>
      <c r="Q1022" s="2694"/>
      <c r="R1022" s="2694"/>
      <c r="X1022" s="2494"/>
      <c r="AC1022" s="2494"/>
      <c r="AH1022" s="2494"/>
      <c r="AM1022" s="2494"/>
      <c r="JW1022" s="2652"/>
      <c r="KB1022" s="2652"/>
      <c r="KC1022" s="2652"/>
      <c r="KD1022" s="2652"/>
      <c r="KE1022" s="2652"/>
      <c r="KF1022" s="2652"/>
      <c r="KG1022" s="2652"/>
      <c r="KH1022" s="2652"/>
      <c r="KI1022" s="2652"/>
      <c r="KJ1022" s="2652"/>
      <c r="KK1022" s="2652"/>
      <c r="KL1022" s="2652"/>
      <c r="KM1022" s="2652"/>
      <c r="KN1022" s="2652"/>
      <c r="KO1022" s="2652"/>
      <c r="KP1022" s="2652"/>
      <c r="KQ1022" s="2652"/>
      <c r="KR1022" s="2652"/>
      <c r="KS1022" s="2652"/>
      <c r="KT1022" s="2652"/>
      <c r="KU1022" s="2652"/>
      <c r="KV1022" s="2652"/>
      <c r="KW1022" s="2652"/>
      <c r="KX1022" s="2652"/>
      <c r="KY1022" s="2652"/>
      <c r="KZ1022" s="2652"/>
      <c r="LA1022" s="2652"/>
      <c r="LB1022" s="2652"/>
      <c r="LC1022" s="2652"/>
      <c r="LD1022" s="2652"/>
      <c r="LE1022" s="2652"/>
      <c r="LF1022" s="2652"/>
      <c r="LG1022" s="2652"/>
      <c r="LH1022" s="2652"/>
      <c r="LI1022" s="2652"/>
      <c r="LJ1022" s="2652"/>
      <c r="LK1022" s="2652"/>
      <c r="LL1022" s="2652"/>
      <c r="LM1022" s="2652"/>
      <c r="LN1022" s="2652"/>
      <c r="LO1022" s="2652"/>
      <c r="LP1022" s="2652"/>
      <c r="LQ1022" s="2652"/>
    </row>
    <row r="1023" spans="1:329" ht="12" customHeight="1">
      <c r="A1023" s="2494" t="s">
        <v>3796</v>
      </c>
      <c r="B1023" s="2494" t="s">
        <v>555</v>
      </c>
      <c r="N1023" s="2494" t="s">
        <v>4428</v>
      </c>
      <c r="JW1023" s="2613"/>
      <c r="KB1023" s="2613"/>
      <c r="KC1023" s="2613"/>
      <c r="KD1023" s="2613"/>
      <c r="KE1023" s="2613"/>
      <c r="KF1023" s="2613"/>
      <c r="KG1023" s="2613"/>
      <c r="KH1023" s="2613"/>
      <c r="KI1023" s="2613"/>
      <c r="KJ1023" s="2613"/>
      <c r="KK1023" s="2613"/>
      <c r="KL1023" s="2613"/>
      <c r="KM1023" s="2613"/>
      <c r="KN1023" s="2613"/>
      <c r="KO1023" s="2613"/>
      <c r="KP1023" s="2613"/>
      <c r="KQ1023" s="2613"/>
      <c r="KR1023" s="2613"/>
      <c r="KS1023" s="2613"/>
      <c r="KT1023" s="2613"/>
      <c r="KU1023" s="2613"/>
      <c r="KV1023" s="2613"/>
      <c r="KW1023" s="2613"/>
      <c r="KX1023" s="2613"/>
      <c r="KY1023" s="2613"/>
      <c r="KZ1023" s="2613"/>
      <c r="LA1023" s="2613"/>
      <c r="LB1023" s="2613"/>
      <c r="LC1023" s="2613"/>
      <c r="LD1023" s="2613"/>
      <c r="LE1023" s="2613"/>
      <c r="LF1023" s="2613"/>
      <c r="LG1023" s="2613"/>
      <c r="LH1023" s="2613"/>
      <c r="LI1023" s="2613"/>
      <c r="LJ1023" s="2613"/>
      <c r="LK1023" s="2613"/>
      <c r="LL1023" s="2613"/>
      <c r="LM1023" s="2613"/>
      <c r="LN1023" s="2613"/>
      <c r="LO1023" s="2613"/>
      <c r="LP1023" s="2613"/>
      <c r="LQ1023" s="2613"/>
    </row>
    <row r="1024" spans="1:329" ht="116.4" customHeight="1">
      <c r="A1024" s="2524" t="str">
        <f>'Part VI-Revenues &amp; Expenses'!A255</f>
        <v>Real Estate Taxes: Per the appraisal included in this application.
Insurance: Per the appraisal included in this application.</v>
      </c>
      <c r="B1024" s="2524"/>
      <c r="C1024" s="2524"/>
      <c r="D1024" s="2524"/>
      <c r="E1024" s="2524"/>
      <c r="F1024" s="2524"/>
      <c r="G1024" s="2524"/>
      <c r="H1024" s="2524"/>
      <c r="I1024" s="2524"/>
      <c r="J1024" s="2524"/>
      <c r="K1024" s="2524"/>
      <c r="L1024" s="2524"/>
      <c r="M1024" s="2524"/>
      <c r="N1024" s="2524">
        <f>'Part VI-Revenues &amp; Expenses'!N255</f>
        <v>0</v>
      </c>
      <c r="O1024" s="2524"/>
      <c r="P1024" s="2524"/>
      <c r="Q1024" s="2524"/>
      <c r="R1024" s="2497" t="s">
        <v>3795</v>
      </c>
      <c r="S1024" s="2497"/>
      <c r="T1024" s="2497"/>
      <c r="U1024" s="2497"/>
      <c r="JW1024" s="2613"/>
      <c r="KB1024" s="2613"/>
      <c r="KC1024" s="2613"/>
      <c r="KD1024" s="2613"/>
      <c r="KE1024" s="2613"/>
      <c r="KF1024" s="2613"/>
      <c r="KG1024" s="2613"/>
      <c r="KH1024" s="2613"/>
      <c r="KI1024" s="2613"/>
      <c r="KJ1024" s="2613"/>
      <c r="KK1024" s="2613"/>
      <c r="KL1024" s="2613"/>
      <c r="KM1024" s="2613"/>
      <c r="KN1024" s="2613"/>
      <c r="KO1024" s="2613"/>
      <c r="KP1024" s="2613"/>
      <c r="KQ1024" s="2613"/>
      <c r="KR1024" s="2613"/>
      <c r="KS1024" s="2613"/>
      <c r="KT1024" s="2613"/>
      <c r="KU1024" s="2613"/>
      <c r="KV1024" s="2613"/>
      <c r="KW1024" s="2613"/>
      <c r="KX1024" s="2613"/>
      <c r="KY1024" s="2613"/>
      <c r="KZ1024" s="2613"/>
      <c r="LA1024" s="2613"/>
      <c r="LB1024" s="2613"/>
      <c r="LC1024" s="2613"/>
      <c r="LD1024" s="2613"/>
      <c r="LE1024" s="2613"/>
      <c r="LF1024" s="2613"/>
      <c r="LG1024" s="2613"/>
      <c r="LH1024" s="2613"/>
      <c r="LI1024" s="2613"/>
      <c r="LJ1024" s="2613"/>
      <c r="LK1024" s="2613"/>
      <c r="LL1024" s="2613"/>
      <c r="LM1024" s="2613"/>
      <c r="LN1024" s="2613"/>
      <c r="LO1024" s="2613"/>
      <c r="LP1024" s="2613"/>
      <c r="LQ1024" s="2613"/>
    </row>
    <row r="1029" spans="1:16" ht="14.1" customHeight="1">
      <c r="A1029" s="2408" t="str">
        <f>CONCATENATE("PART SEVEN - OPERATING PRO FORMA","  -  ",'Part I-Project Information'!$O$6," ",'Part I-Project Information'!$F$34,", ",'Part I-Project Information'!F1066,", ",'Part I-Project Information'!J1067," County")</f>
        <v>PART SEVEN - OPERATING PRO FORMA  -  2020-5 Lakeview Terrace, ,  County</v>
      </c>
      <c r="L1029" s="2408"/>
      <c r="M1029" s="2408"/>
      <c r="N1029" s="2408" t="str">
        <f>A1029</f>
        <v>PART SEVEN - OPERATING PRO FORMA  -  2020-5 Lakeview Terrace, ,  County</v>
      </c>
      <c r="O1029" s="2408"/>
      <c r="P1029" s="2408"/>
    </row>
    <row r="1030" spans="1:16" ht="13.5" customHeight="1">
      <c r="N1030" s="2494" t="s">
        <v>1799</v>
      </c>
    </row>
    <row r="1031" spans="1:16" ht="13.5" customHeight="1">
      <c r="A1031" s="2494" t="s">
        <v>88</v>
      </c>
      <c r="C1031" s="2714" t="str">
        <f>'Part I-Project Information'!$B$6</f>
        <v>July 15, 2020 Version (4%)</v>
      </c>
      <c r="D1031" s="2494" t="s">
        <v>78</v>
      </c>
      <c r="E1031" s="2652"/>
      <c r="F1031" s="2501" t="s">
        <v>6861</v>
      </c>
      <c r="N1031" s="2494" t="str">
        <f>A1031</f>
        <v>I.  OPERATING ASSUMPTIONS</v>
      </c>
    </row>
    <row r="1032" spans="1:16" ht="2.4" customHeight="1">
      <c r="C1032" s="2714"/>
    </row>
    <row r="1033" spans="1:16" ht="13.5" customHeight="1">
      <c r="A1033" s="2494" t="s">
        <v>2138</v>
      </c>
      <c r="B1033" s="2715">
        <v>0.02</v>
      </c>
      <c r="C1033" s="2714"/>
      <c r="D1033" s="2607" t="s">
        <v>6986</v>
      </c>
      <c r="E1033" s="2607"/>
      <c r="F1033" s="2607"/>
      <c r="G1033" s="2716">
        <f>'Part VII-Pro Forma'!G5</f>
        <v>5000</v>
      </c>
      <c r="H1033" s="2658" t="s">
        <v>1860</v>
      </c>
      <c r="K1033" s="2717">
        <f>'Part VII-Pro Forma'!K5</f>
        <v>-2.6783158407169142E-3</v>
      </c>
      <c r="N1033" s="2607"/>
      <c r="O1033" s="2607"/>
    </row>
    <row r="1034" spans="1:16">
      <c r="A1034" s="2494" t="s">
        <v>2139</v>
      </c>
      <c r="B1034" s="2715">
        <v>0.03</v>
      </c>
      <c r="C1034" s="2714"/>
      <c r="D1034" s="2607"/>
      <c r="E1034" s="2607"/>
      <c r="F1034" s="2607"/>
      <c r="G1034" s="2718">
        <f>'Part VII-Pro Forma'!G6</f>
        <v>0</v>
      </c>
      <c r="N1034" s="2607"/>
      <c r="O1034" s="2607"/>
    </row>
    <row r="1035" spans="1:16">
      <c r="A1035" s="2494" t="s">
        <v>2141</v>
      </c>
      <c r="B1035" s="2715">
        <v>0.03</v>
      </c>
      <c r="C1035" s="2714"/>
      <c r="D1035" s="2408" t="s">
        <v>265</v>
      </c>
      <c r="G1035" s="2719"/>
      <c r="H1035" s="2658" t="s">
        <v>2314</v>
      </c>
      <c r="K1035" s="2717">
        <f>'Part VII-Pro Forma'!K7</f>
        <v>4.9999871440839644E-2</v>
      </c>
      <c r="N1035" s="2607"/>
      <c r="O1035" s="2607"/>
    </row>
    <row r="1036" spans="1:16" ht="13.35" customHeight="1">
      <c r="A1036" s="2494" t="s">
        <v>2140</v>
      </c>
      <c r="B1036" s="2715">
        <f>'Part VII-Pro Forma'!B8</f>
        <v>7.0000000000000007E-2</v>
      </c>
      <c r="C1036" s="2499" t="str">
        <f>IF(B1036&lt;0.07, "Must be &gt;= 7%!","")</f>
        <v/>
      </c>
      <c r="D1036" s="2408" t="s">
        <v>2443</v>
      </c>
      <c r="G1036" s="2720" t="str">
        <f>'Part VII-Pro Forma'!G8</f>
        <v>No</v>
      </c>
      <c r="H1036" s="2721" t="s">
        <v>1416</v>
      </c>
      <c r="K1036" s="2722">
        <f>'Part VII-Pro Forma'!K8</f>
        <v>0</v>
      </c>
      <c r="N1036" s="2607"/>
      <c r="O1036" s="2607"/>
    </row>
    <row r="1037" spans="1:16">
      <c r="A1037" s="2494" t="s">
        <v>1390</v>
      </c>
      <c r="B1037" s="2715">
        <v>0.02</v>
      </c>
      <c r="D1037" s="2408" t="s">
        <v>1676</v>
      </c>
      <c r="G1037" s="2720" t="str">
        <f>'Part VII-Pro Forma'!G9</f>
        <v>Yes</v>
      </c>
      <c r="H1037" s="2721" t="s">
        <v>2296</v>
      </c>
      <c r="K1037" s="2723">
        <f>'Part VII-Pro Forma'!K9</f>
        <v>0.05</v>
      </c>
      <c r="N1037" s="2607"/>
      <c r="O1037" s="2607"/>
    </row>
    <row r="1038" spans="1:16" ht="9" customHeight="1"/>
    <row r="1039" spans="1:16">
      <c r="A1039" s="2494" t="s">
        <v>89</v>
      </c>
      <c r="D1039" s="2649"/>
      <c r="N1039" s="2494" t="str">
        <f>A1039</f>
        <v>II.  OPERATING PRO FORMA</v>
      </c>
    </row>
    <row r="1040" spans="1:16" ht="2.4" customHeight="1"/>
    <row r="1041" spans="1:19" ht="14.4" customHeight="1">
      <c r="A1041" s="2494" t="s">
        <v>2416</v>
      </c>
      <c r="B1041" s="2494">
        <v>1</v>
      </c>
      <c r="C1041" s="2494">
        <f t="shared" ref="C1041:K1041" si="393">B1041+1</f>
        <v>2</v>
      </c>
      <c r="D1041" s="2494">
        <f t="shared" si="393"/>
        <v>3</v>
      </c>
      <c r="E1041" s="2494">
        <f t="shared" si="393"/>
        <v>4</v>
      </c>
      <c r="F1041" s="2494">
        <f t="shared" si="393"/>
        <v>5</v>
      </c>
      <c r="G1041" s="2494">
        <f t="shared" si="393"/>
        <v>6</v>
      </c>
      <c r="H1041" s="2494">
        <f t="shared" si="393"/>
        <v>7</v>
      </c>
      <c r="I1041" s="2494">
        <f t="shared" si="393"/>
        <v>8</v>
      </c>
      <c r="J1041" s="2494">
        <f t="shared" si="393"/>
        <v>9</v>
      </c>
      <c r="K1041" s="2494">
        <f t="shared" si="393"/>
        <v>10</v>
      </c>
      <c r="N1041" s="2494" t="s">
        <v>2556</v>
      </c>
    </row>
    <row r="1042" spans="1:19" ht="13.35" customHeight="1">
      <c r="A1042" s="2494" t="s">
        <v>2342</v>
      </c>
      <c r="B1042" s="2724">
        <f>'Part VII-Pro Forma'!B14</f>
        <v>1968000</v>
      </c>
      <c r="C1042" s="2724">
        <f>'Part VII-Pro Forma'!C14</f>
        <v>2007360</v>
      </c>
      <c r="D1042" s="2724">
        <f>'Part VII-Pro Forma'!D14</f>
        <v>2047507.2</v>
      </c>
      <c r="E1042" s="2724">
        <f>'Part VII-Pro Forma'!E14</f>
        <v>2088457.3439999998</v>
      </c>
      <c r="F1042" s="2724">
        <f>'Part VII-Pro Forma'!F14</f>
        <v>2130226.4908799999</v>
      </c>
      <c r="G1042" s="2724">
        <f>'Part VII-Pro Forma'!G14</f>
        <v>2172831.0206976002</v>
      </c>
      <c r="H1042" s="2724">
        <f>'Part VII-Pro Forma'!H14</f>
        <v>2216287.6411115522</v>
      </c>
      <c r="I1042" s="2724">
        <f>'Part VII-Pro Forma'!I14</f>
        <v>2260613.3939337828</v>
      </c>
      <c r="J1042" s="2724">
        <f>'Part VII-Pro Forma'!J14</f>
        <v>2305825.6618124587</v>
      </c>
      <c r="K1042" s="2724">
        <f>'Part VII-Pro Forma'!K14</f>
        <v>2351942.1750487075</v>
      </c>
      <c r="N1042" s="2607"/>
      <c r="O1042" s="2607"/>
      <c r="S1042" s="2650" t="s">
        <v>3842</v>
      </c>
    </row>
    <row r="1043" spans="1:19" ht="13.35" customHeight="1">
      <c r="A1043" s="2494" t="s">
        <v>994</v>
      </c>
      <c r="B1043" s="2724">
        <f>'Part VII-Pro Forma'!B15</f>
        <v>39360</v>
      </c>
      <c r="C1043" s="2724">
        <f>'Part VII-Pro Forma'!C15</f>
        <v>40147.199999999997</v>
      </c>
      <c r="D1043" s="2724">
        <f>'Part VII-Pro Forma'!D15</f>
        <v>40950.144</v>
      </c>
      <c r="E1043" s="2724">
        <f>'Part VII-Pro Forma'!E15</f>
        <v>41769.14688</v>
      </c>
      <c r="F1043" s="2724">
        <f>'Part VII-Pro Forma'!F15</f>
        <v>42604.5298176</v>
      </c>
      <c r="G1043" s="2724">
        <f>'Part VII-Pro Forma'!G15</f>
        <v>43456.620413951998</v>
      </c>
      <c r="H1043" s="2724">
        <f>'Part VII-Pro Forma'!H15</f>
        <v>44325.752822231043</v>
      </c>
      <c r="I1043" s="2724">
        <f>'Part VII-Pro Forma'!I15</f>
        <v>45212.267878675651</v>
      </c>
      <c r="J1043" s="2724">
        <f>'Part VII-Pro Forma'!J15</f>
        <v>46116.513236249171</v>
      </c>
      <c r="K1043" s="2724">
        <f>'Part VII-Pro Forma'!K15</f>
        <v>47038.843500974152</v>
      </c>
      <c r="N1043" s="2607"/>
      <c r="O1043" s="2607"/>
      <c r="S1043" s="2650"/>
    </row>
    <row r="1044" spans="1:19" ht="13.35" customHeight="1">
      <c r="A1044" s="2494" t="s">
        <v>2343</v>
      </c>
      <c r="B1044" s="2724">
        <f>'Part VII-Pro Forma'!B16</f>
        <v>-140515.20000000001</v>
      </c>
      <c r="C1044" s="2724">
        <f>'Part VII-Pro Forma'!C16</f>
        <v>-143325.50400000002</v>
      </c>
      <c r="D1044" s="2724">
        <f>'Part VII-Pro Forma'!D16</f>
        <v>-146192.01408000002</v>
      </c>
      <c r="E1044" s="2724">
        <f>'Part VII-Pro Forma'!E16</f>
        <v>-149115.85436160001</v>
      </c>
      <c r="F1044" s="2724">
        <f>'Part VII-Pro Forma'!F16</f>
        <v>-152098.171448832</v>
      </c>
      <c r="G1044" s="2724">
        <f>'Part VII-Pro Forma'!G16</f>
        <v>-155140.13487780868</v>
      </c>
      <c r="H1044" s="2724">
        <f>'Part VII-Pro Forma'!H16</f>
        <v>-158242.93757536483</v>
      </c>
      <c r="I1044" s="2724">
        <f>'Part VII-Pro Forma'!I16</f>
        <v>-161407.79632687211</v>
      </c>
      <c r="J1044" s="2724">
        <f>'Part VII-Pro Forma'!J16</f>
        <v>-164635.95225340957</v>
      </c>
      <c r="K1044" s="2724">
        <f>'Part VII-Pro Forma'!K16</f>
        <v>-167928.67129847774</v>
      </c>
      <c r="N1044" s="2607"/>
      <c r="O1044" s="2607"/>
      <c r="Q1044" s="2650" t="s">
        <v>3665</v>
      </c>
      <c r="R1044" s="2650" t="s">
        <v>3841</v>
      </c>
      <c r="S1044" s="2650"/>
    </row>
    <row r="1045" spans="1:19" ht="13.35" customHeight="1">
      <c r="A1045" s="2494" t="s">
        <v>50</v>
      </c>
      <c r="B1045" s="2724">
        <f>'Part VII-Pro Forma'!B17</f>
        <v>0</v>
      </c>
      <c r="C1045" s="2724">
        <f>'Part VII-Pro Forma'!C17</f>
        <v>0</v>
      </c>
      <c r="D1045" s="2724">
        <f>'Part VII-Pro Forma'!D17</f>
        <v>0</v>
      </c>
      <c r="E1045" s="2724">
        <f>'Part VII-Pro Forma'!E17</f>
        <v>0</v>
      </c>
      <c r="F1045" s="2724">
        <f>'Part VII-Pro Forma'!F17</f>
        <v>0</v>
      </c>
      <c r="G1045" s="2724">
        <f>'Part VII-Pro Forma'!G17</f>
        <v>0</v>
      </c>
      <c r="H1045" s="2724">
        <f>'Part VII-Pro Forma'!H17</f>
        <v>0</v>
      </c>
      <c r="I1045" s="2724">
        <f>'Part VII-Pro Forma'!I17</f>
        <v>0</v>
      </c>
      <c r="J1045" s="2724">
        <f>'Part VII-Pro Forma'!J17</f>
        <v>0</v>
      </c>
      <c r="K1045" s="2724">
        <f>'Part VII-Pro Forma'!K17</f>
        <v>0</v>
      </c>
      <c r="N1045" s="2607"/>
      <c r="O1045" s="2607"/>
      <c r="Q1045" s="2650"/>
      <c r="R1045" s="2650"/>
      <c r="S1045" s="2650"/>
    </row>
    <row r="1046" spans="1:19" ht="13.35" customHeight="1">
      <c r="A1046" s="2494" t="s">
        <v>51</v>
      </c>
      <c r="B1046" s="2724">
        <f>'Part VII-Pro Forma'!B18</f>
        <v>0</v>
      </c>
      <c r="C1046" s="2724">
        <f>'Part VII-Pro Forma'!C18</f>
        <v>0</v>
      </c>
      <c r="D1046" s="2724">
        <f>'Part VII-Pro Forma'!D18</f>
        <v>0</v>
      </c>
      <c r="E1046" s="2724">
        <f>'Part VII-Pro Forma'!E18</f>
        <v>0</v>
      </c>
      <c r="F1046" s="2724">
        <f>'Part VII-Pro Forma'!F18</f>
        <v>0</v>
      </c>
      <c r="G1046" s="2724">
        <f>'Part VII-Pro Forma'!G18</f>
        <v>0</v>
      </c>
      <c r="H1046" s="2724">
        <f>'Part VII-Pro Forma'!H18</f>
        <v>0</v>
      </c>
      <c r="I1046" s="2724">
        <f>'Part VII-Pro Forma'!I18</f>
        <v>0</v>
      </c>
      <c r="J1046" s="2724">
        <f>'Part VII-Pro Forma'!J18</f>
        <v>0</v>
      </c>
      <c r="K1046" s="2724">
        <f>'Part VII-Pro Forma'!K18</f>
        <v>0</v>
      </c>
      <c r="N1046" s="2607"/>
      <c r="O1046" s="2607"/>
    </row>
    <row r="1047" spans="1:19" ht="13.35" customHeight="1">
      <c r="A1047" s="2494" t="s">
        <v>4384</v>
      </c>
      <c r="B1047" s="2724">
        <f>'Part VII-Pro Forma'!B19</f>
        <v>1866844.8</v>
      </c>
      <c r="C1047" s="2724">
        <f>'Part VII-Pro Forma'!C19</f>
        <v>1904181.696</v>
      </c>
      <c r="D1047" s="2724">
        <f>'Part VII-Pro Forma'!D19</f>
        <v>1942265.3299199999</v>
      </c>
      <c r="E1047" s="2724">
        <f>'Part VII-Pro Forma'!E19</f>
        <v>1981110.6365183999</v>
      </c>
      <c r="F1047" s="2724">
        <f>'Part VII-Pro Forma'!F19</f>
        <v>2020732.8492487678</v>
      </c>
      <c r="G1047" s="2724">
        <f>'Part VII-Pro Forma'!G19</f>
        <v>2061147.5062337436</v>
      </c>
      <c r="H1047" s="2724">
        <f>'Part VII-Pro Forma'!H19</f>
        <v>2102370.4563584183</v>
      </c>
      <c r="I1047" s="2724">
        <f>'Part VII-Pro Forma'!I19</f>
        <v>2144417.8654855867</v>
      </c>
      <c r="J1047" s="2724">
        <f>'Part VII-Pro Forma'!J19</f>
        <v>2187306.2227952983</v>
      </c>
      <c r="K1047" s="2724">
        <f>'Part VII-Pro Forma'!K19</f>
        <v>2231052.3472512038</v>
      </c>
      <c r="N1047" s="2607"/>
      <c r="O1047" s="2607"/>
    </row>
    <row r="1048" spans="1:19" ht="13.35" customHeight="1">
      <c r="A1048" s="2494" t="s">
        <v>597</v>
      </c>
      <c r="B1048" s="2724">
        <f>'Part VII-Pro Forma'!B20</f>
        <v>-841200</v>
      </c>
      <c r="C1048" s="2724">
        <f>'Part VII-Pro Forma'!C20</f>
        <v>-866436</v>
      </c>
      <c r="D1048" s="2724">
        <f>'Part VII-Pro Forma'!D20</f>
        <v>-892429.08</v>
      </c>
      <c r="E1048" s="2724">
        <f>'Part VII-Pro Forma'!E20</f>
        <v>-919201.95239999995</v>
      </c>
      <c r="F1048" s="2724">
        <f>'Part VII-Pro Forma'!F20</f>
        <v>-946778.01097199996</v>
      </c>
      <c r="G1048" s="2724">
        <f>'Part VII-Pro Forma'!G20</f>
        <v>-975181.35130115983</v>
      </c>
      <c r="H1048" s="2724">
        <f>'Part VII-Pro Forma'!H20</f>
        <v>-1004436.7918401947</v>
      </c>
      <c r="I1048" s="2724">
        <f>'Part VII-Pro Forma'!I20</f>
        <v>-1034569.8955954006</v>
      </c>
      <c r="J1048" s="2724">
        <f>'Part VII-Pro Forma'!J20</f>
        <v>-1065606.9924632625</v>
      </c>
      <c r="K1048" s="2724">
        <f>'Part VII-Pro Forma'!K20</f>
        <v>-1097575.2022371604</v>
      </c>
      <c r="N1048" s="2607"/>
      <c r="O1048" s="2607"/>
      <c r="Q1048" s="2613">
        <v>1</v>
      </c>
      <c r="R1048" s="2672">
        <f>'Part VII-Pro Forma'!R20</f>
        <v>149381</v>
      </c>
      <c r="S1048" s="2672">
        <f>'Part VII-Pro Forma'!S20</f>
        <v>149381.12574122997</v>
      </c>
    </row>
    <row r="1049" spans="1:19" ht="13.35" customHeight="1">
      <c r="A1049" s="2494" t="s">
        <v>1093</v>
      </c>
      <c r="B1049" s="2724">
        <f>'Part VII-Pro Forma'!B21</f>
        <v>-93342</v>
      </c>
      <c r="C1049" s="2724">
        <f>'Part VII-Pro Forma'!C21</f>
        <v>-95209</v>
      </c>
      <c r="D1049" s="2724">
        <f>'Part VII-Pro Forma'!D21</f>
        <v>-97113</v>
      </c>
      <c r="E1049" s="2724">
        <f>'Part VII-Pro Forma'!E21</f>
        <v>-99056</v>
      </c>
      <c r="F1049" s="2724">
        <f>'Part VII-Pro Forma'!F21</f>
        <v>-101037</v>
      </c>
      <c r="G1049" s="2724">
        <f>'Part VII-Pro Forma'!G21</f>
        <v>-103057</v>
      </c>
      <c r="H1049" s="2724">
        <f>'Part VII-Pro Forma'!H21</f>
        <v>-105119</v>
      </c>
      <c r="I1049" s="2724">
        <f>'Part VII-Pro Forma'!I21</f>
        <v>-107221</v>
      </c>
      <c r="J1049" s="2724">
        <f>'Part VII-Pro Forma'!J21</f>
        <v>-109365</v>
      </c>
      <c r="K1049" s="2724">
        <f>'Part VII-Pro Forma'!K21</f>
        <v>-111553</v>
      </c>
      <c r="N1049" s="2607"/>
      <c r="O1049" s="2607"/>
      <c r="Q1049" s="2613">
        <v>2</v>
      </c>
      <c r="R1049" s="2672">
        <f>'Part VII-Pro Forma'!R21</f>
        <v>307496</v>
      </c>
      <c r="S1049" s="2672">
        <f>'Part VII-Pro Forma'!S21</f>
        <v>307496.1474824599</v>
      </c>
    </row>
    <row r="1050" spans="1:19" ht="13.35" customHeight="1">
      <c r="A1050" s="2494" t="s">
        <v>1176</v>
      </c>
      <c r="B1050" s="2724">
        <f>'Part VII-Pro Forma'!B22</f>
        <v>-50000</v>
      </c>
      <c r="C1050" s="2724">
        <f>'Part VII-Pro Forma'!C22</f>
        <v>-51500</v>
      </c>
      <c r="D1050" s="2724">
        <f>'Part VII-Pro Forma'!D22</f>
        <v>-53045</v>
      </c>
      <c r="E1050" s="2724">
        <f>'Part VII-Pro Forma'!E22</f>
        <v>-54636.35</v>
      </c>
      <c r="F1050" s="2724">
        <f>'Part VII-Pro Forma'!F22</f>
        <v>-56275.440499999997</v>
      </c>
      <c r="G1050" s="2724">
        <f>'Part VII-Pro Forma'!G22</f>
        <v>-57963.703714999989</v>
      </c>
      <c r="H1050" s="2724">
        <f>'Part VII-Pro Forma'!H22</f>
        <v>-59702.614826449993</v>
      </c>
      <c r="I1050" s="2724">
        <f>'Part VII-Pro Forma'!I22</f>
        <v>-61493.693271243501</v>
      </c>
      <c r="J1050" s="2724">
        <f>'Part VII-Pro Forma'!J22</f>
        <v>-63338.504069380797</v>
      </c>
      <c r="K1050" s="2724">
        <f>'Part VII-Pro Forma'!K22</f>
        <v>-65238.659191462226</v>
      </c>
      <c r="N1050" s="2607"/>
      <c r="O1050" s="2607"/>
      <c r="Q1050" s="2613">
        <v>3</v>
      </c>
      <c r="R1050" s="2672">
        <f>'Part VII-Pro Forma'!R22</f>
        <v>474253</v>
      </c>
      <c r="S1050" s="2672">
        <f>'Part VII-Pro Forma'!S22</f>
        <v>474252.72314368968</v>
      </c>
    </row>
    <row r="1051" spans="1:19" ht="13.35" customHeight="1">
      <c r="A1051" s="2494" t="s">
        <v>4383</v>
      </c>
      <c r="B1051" s="2724">
        <f>'Part VII-Pro Forma'!B23</f>
        <v>0</v>
      </c>
      <c r="C1051" s="2724">
        <f>'Part VII-Pro Forma'!C23</f>
        <v>0</v>
      </c>
      <c r="D1051" s="2724">
        <f>'Part VII-Pro Forma'!D23</f>
        <v>0</v>
      </c>
      <c r="E1051" s="2724">
        <f>'Part VII-Pro Forma'!E23</f>
        <v>0</v>
      </c>
      <c r="F1051" s="2724">
        <f>'Part VII-Pro Forma'!F23</f>
        <v>0</v>
      </c>
      <c r="G1051" s="2724">
        <f>'Part VII-Pro Forma'!G23</f>
        <v>0</v>
      </c>
      <c r="H1051" s="2724">
        <f>'Part VII-Pro Forma'!H23</f>
        <v>0</v>
      </c>
      <c r="I1051" s="2724">
        <f>'Part VII-Pro Forma'!I23</f>
        <v>0</v>
      </c>
      <c r="J1051" s="2724">
        <f>'Part VII-Pro Forma'!J23</f>
        <v>0</v>
      </c>
      <c r="K1051" s="2724">
        <f>'Part VII-Pro Forma'!K23</f>
        <v>0</v>
      </c>
      <c r="N1051" s="2607"/>
      <c r="O1051" s="2607"/>
      <c r="Q1051" s="2613">
        <v>4</v>
      </c>
      <c r="R1051" s="2672">
        <f>'Part VII-Pro Forma'!R23</f>
        <v>649548</v>
      </c>
      <c r="S1051" s="2672">
        <f>'Part VII-Pro Forma'!S23</f>
        <v>649547.3830033195</v>
      </c>
    </row>
    <row r="1052" spans="1:19" ht="13.35" customHeight="1">
      <c r="A1052" s="2494" t="s">
        <v>1177</v>
      </c>
      <c r="B1052" s="2724">
        <f>'Part VII-Pro Forma'!B24</f>
        <v>882302.8</v>
      </c>
      <c r="C1052" s="2724">
        <f>'Part VII-Pro Forma'!C24</f>
        <v>891036.696</v>
      </c>
      <c r="D1052" s="2724">
        <f>'Part VII-Pro Forma'!D24</f>
        <v>899678.24991999986</v>
      </c>
      <c r="E1052" s="2724">
        <f>'Part VII-Pro Forma'!E24</f>
        <v>908216.33411839989</v>
      </c>
      <c r="F1052" s="2724">
        <f>'Part VII-Pro Forma'!F24</f>
        <v>916642.39777676784</v>
      </c>
      <c r="G1052" s="2724">
        <f>'Part VII-Pro Forma'!G24</f>
        <v>924945.45121758373</v>
      </c>
      <c r="H1052" s="2724">
        <f>'Part VII-Pro Forma'!H24</f>
        <v>933112.0496917736</v>
      </c>
      <c r="I1052" s="2724">
        <f>'Part VII-Pro Forma'!I24</f>
        <v>941133.27661894262</v>
      </c>
      <c r="J1052" s="2724">
        <f>'Part VII-Pro Forma'!J24</f>
        <v>948995.72626265499</v>
      </c>
      <c r="K1052" s="2724">
        <f>'Part VII-Pro Forma'!K24</f>
        <v>956685.48582258122</v>
      </c>
      <c r="N1052" s="2607"/>
      <c r="O1052" s="2607"/>
      <c r="Q1052" s="2613">
        <v>5</v>
      </c>
      <c r="R1052" s="2672">
        <f>'Part VII-Pro Forma'!R24</f>
        <v>833269</v>
      </c>
      <c r="S1052" s="2672">
        <f>'Part VII-Pro Forma'!S24</f>
        <v>833268.10652131727</v>
      </c>
    </row>
    <row r="1053" spans="1:19" ht="13.35" customHeight="1">
      <c r="A1053" s="2494" t="s">
        <v>1558</v>
      </c>
      <c r="B1053" s="2724">
        <f>'Part VII-Pro Forma'!B25</f>
        <v>-727921.67425877007</v>
      </c>
      <c r="C1053" s="2724">
        <f>'Part VII-Pro Forma'!C25</f>
        <v>-727921.67425877007</v>
      </c>
      <c r="D1053" s="2724">
        <f>'Part VII-Pro Forma'!D25</f>
        <v>-727921.67425877007</v>
      </c>
      <c r="E1053" s="2724">
        <f>'Part VII-Pro Forma'!E25</f>
        <v>-727921.67425877007</v>
      </c>
      <c r="F1053" s="2724">
        <f>'Part VII-Pro Forma'!F25</f>
        <v>-727921.67425877007</v>
      </c>
      <c r="G1053" s="2724">
        <f>'Part VII-Pro Forma'!G25</f>
        <v>-727921.67425877007</v>
      </c>
      <c r="H1053" s="2724">
        <f>'Part VII-Pro Forma'!H25</f>
        <v>-727921.67425877007</v>
      </c>
      <c r="I1053" s="2724">
        <f>'Part VII-Pro Forma'!I25</f>
        <v>-727921.67425877007</v>
      </c>
      <c r="J1053" s="2724">
        <f>'Part VII-Pro Forma'!J25</f>
        <v>-727921.67425877007</v>
      </c>
      <c r="K1053" s="2724">
        <f>'Part VII-Pro Forma'!K25</f>
        <v>-727921.67425877007</v>
      </c>
      <c r="N1053" s="2607"/>
      <c r="O1053" s="2607"/>
      <c r="Q1053" s="2613">
        <v>6</v>
      </c>
      <c r="R1053" s="2672">
        <f>'Part VII-Pro Forma'!R25</f>
        <v>900082</v>
      </c>
      <c r="S1053" s="2672">
        <f>'Part VII-Pro Forma'!S25</f>
        <v>1025291.8834801309</v>
      </c>
    </row>
    <row r="1054" spans="1:19" ht="13.35" customHeight="1">
      <c r="A1054" s="2494" t="s">
        <v>1559</v>
      </c>
      <c r="B1054" s="2724">
        <f>'Part VII-Pro Forma'!B26</f>
        <v>0</v>
      </c>
      <c r="C1054" s="2724">
        <f>'Part VII-Pro Forma'!C26</f>
        <v>0</v>
      </c>
      <c r="D1054" s="2724">
        <f>'Part VII-Pro Forma'!D26</f>
        <v>0</v>
      </c>
      <c r="E1054" s="2724">
        <f>'Part VII-Pro Forma'!E26</f>
        <v>0</v>
      </c>
      <c r="F1054" s="2724">
        <f>'Part VII-Pro Forma'!F26</f>
        <v>0</v>
      </c>
      <c r="G1054" s="2724">
        <f>'Part VII-Pro Forma'!G26</f>
        <v>0</v>
      </c>
      <c r="H1054" s="2724">
        <f>'Part VII-Pro Forma'!H26</f>
        <v>0</v>
      </c>
      <c r="I1054" s="2724">
        <f>'Part VII-Pro Forma'!I26</f>
        <v>0</v>
      </c>
      <c r="J1054" s="2724">
        <f>'Part VII-Pro Forma'!J26</f>
        <v>0</v>
      </c>
      <c r="K1054" s="2724">
        <f>'Part VII-Pro Forma'!K26</f>
        <v>0</v>
      </c>
      <c r="N1054" s="2607"/>
      <c r="O1054" s="2607"/>
      <c r="Q1054" s="2613">
        <v>7</v>
      </c>
      <c r="R1054" s="2672">
        <f>'Part VII-Pro Forma'!R26</f>
        <v>900082</v>
      </c>
      <c r="S1054" s="2672">
        <f>'Part VII-Pro Forma'!S26</f>
        <v>1225482.2589131345</v>
      </c>
    </row>
    <row r="1055" spans="1:19" ht="13.35" customHeight="1">
      <c r="A1055" s="2494" t="s">
        <v>1560</v>
      </c>
      <c r="B1055" s="2724">
        <f>'Part VII-Pro Forma'!B27</f>
        <v>0</v>
      </c>
      <c r="C1055" s="2724">
        <f>'Part VII-Pro Forma'!C27</f>
        <v>0</v>
      </c>
      <c r="D1055" s="2724">
        <f>'Part VII-Pro Forma'!D27</f>
        <v>0</v>
      </c>
      <c r="E1055" s="2724">
        <f>'Part VII-Pro Forma'!E27</f>
        <v>0</v>
      </c>
      <c r="F1055" s="2724">
        <f>'Part VII-Pro Forma'!F27</f>
        <v>0</v>
      </c>
      <c r="G1055" s="2724">
        <f>'Part VII-Pro Forma'!G27</f>
        <v>0</v>
      </c>
      <c r="H1055" s="2724">
        <f>'Part VII-Pro Forma'!H27</f>
        <v>0</v>
      </c>
      <c r="I1055" s="2724">
        <f>'Part VII-Pro Forma'!I27</f>
        <v>0</v>
      </c>
      <c r="J1055" s="2724">
        <f>'Part VII-Pro Forma'!J27</f>
        <v>0</v>
      </c>
      <c r="K1055" s="2724">
        <f>'Part VII-Pro Forma'!K27</f>
        <v>0</v>
      </c>
      <c r="N1055" s="2607"/>
      <c r="O1055" s="2607"/>
      <c r="Q1055" s="2613">
        <v>8</v>
      </c>
      <c r="R1055" s="2672">
        <f>'Part VII-Pro Forma'!R27</f>
        <v>900082</v>
      </c>
      <c r="S1055" s="2672">
        <f>'Part VII-Pro Forma'!S27</f>
        <v>1433693.8612733069</v>
      </c>
    </row>
    <row r="1056" spans="1:19" ht="13.35" customHeight="1">
      <c r="A1056" s="2494" t="s">
        <v>3640</v>
      </c>
      <c r="B1056" s="2724">
        <f>'Part VII-Pro Forma'!B28</f>
        <v>0</v>
      </c>
      <c r="C1056" s="2724">
        <f>'Part VII-Pro Forma'!C28</f>
        <v>0</v>
      </c>
      <c r="D1056" s="2724">
        <f>'Part VII-Pro Forma'!D28</f>
        <v>0</v>
      </c>
      <c r="E1056" s="2724">
        <f>'Part VII-Pro Forma'!E28</f>
        <v>0</v>
      </c>
      <c r="F1056" s="2724">
        <f>'Part VII-Pro Forma'!F28</f>
        <v>0</v>
      </c>
      <c r="G1056" s="2724">
        <f>'Part VII-Pro Forma'!G28</f>
        <v>0</v>
      </c>
      <c r="H1056" s="2724">
        <f>'Part VII-Pro Forma'!H28</f>
        <v>0</v>
      </c>
      <c r="I1056" s="2724">
        <f>'Part VII-Pro Forma'!I28</f>
        <v>0</v>
      </c>
      <c r="J1056" s="2724">
        <f>'Part VII-Pro Forma'!J28</f>
        <v>0</v>
      </c>
      <c r="K1056" s="2724">
        <f>'Part VII-Pro Forma'!K28</f>
        <v>0</v>
      </c>
      <c r="N1056" s="2607"/>
      <c r="O1056" s="2607"/>
      <c r="Q1056" s="2613">
        <v>9</v>
      </c>
      <c r="R1056" s="2672">
        <f>'Part VII-Pro Forma'!R28</f>
        <v>900082</v>
      </c>
      <c r="S1056" s="2672">
        <f>'Part VII-Pro Forma'!S28</f>
        <v>1649767.913277192</v>
      </c>
    </row>
    <row r="1057" spans="1:19" ht="13.35" customHeight="1">
      <c r="A1057" s="2494" t="s">
        <v>745</v>
      </c>
      <c r="B1057" s="2724">
        <f>'Part VII-Pro Forma'!B29</f>
        <v>0</v>
      </c>
      <c r="C1057" s="2724">
        <f>'Part VII-Pro Forma'!C29</f>
        <v>0</v>
      </c>
      <c r="D1057" s="2724">
        <f>'Part VII-Pro Forma'!D29</f>
        <v>0</v>
      </c>
      <c r="E1057" s="2724">
        <f>'Part VII-Pro Forma'!E29</f>
        <v>0</v>
      </c>
      <c r="F1057" s="2724">
        <f>'Part VII-Pro Forma'!F29</f>
        <v>0</v>
      </c>
      <c r="G1057" s="2724">
        <f>'Part VII-Pro Forma'!G29</f>
        <v>0</v>
      </c>
      <c r="H1057" s="2724">
        <f>'Part VII-Pro Forma'!H29</f>
        <v>0</v>
      </c>
      <c r="I1057" s="2724">
        <f>'Part VII-Pro Forma'!I29</f>
        <v>0</v>
      </c>
      <c r="J1057" s="2724">
        <f>'Part VII-Pro Forma'!J29</f>
        <v>0</v>
      </c>
      <c r="K1057" s="2724">
        <f>'Part VII-Pro Forma'!K29</f>
        <v>0</v>
      </c>
      <c r="N1057" s="2607"/>
      <c r="O1057" s="2607"/>
      <c r="Q1057" s="2613">
        <v>10</v>
      </c>
      <c r="R1057" s="2672">
        <f>'Part VII-Pro Forma'!R29</f>
        <v>900082</v>
      </c>
      <c r="S1057" s="2672">
        <f>'Part VII-Pro Forma'!S29</f>
        <v>1873531.7248410031</v>
      </c>
    </row>
    <row r="1058" spans="1:19" ht="13.35" customHeight="1">
      <c r="A1058" s="2494" t="s">
        <v>1141</v>
      </c>
      <c r="B1058" s="2724">
        <f>'Part VII-Pro Forma'!B30</f>
        <v>-5000</v>
      </c>
      <c r="C1058" s="2724">
        <f>'Part VII-Pro Forma'!C30</f>
        <v>-5000</v>
      </c>
      <c r="D1058" s="2724">
        <f>'Part VII-Pro Forma'!D30</f>
        <v>-5000</v>
      </c>
      <c r="E1058" s="2724">
        <f>'Part VII-Pro Forma'!E30</f>
        <v>-5000</v>
      </c>
      <c r="F1058" s="2724">
        <f>'Part VII-Pro Forma'!F30</f>
        <v>-5000</v>
      </c>
      <c r="G1058" s="2724">
        <f>'Part VII-Pro Forma'!G30</f>
        <v>-5000</v>
      </c>
      <c r="H1058" s="2724">
        <f>'Part VII-Pro Forma'!H30</f>
        <v>-5000</v>
      </c>
      <c r="I1058" s="2724">
        <f>'Part VII-Pro Forma'!I30</f>
        <v>-5000</v>
      </c>
      <c r="J1058" s="2724">
        <f>'Part VII-Pro Forma'!J30</f>
        <v>-5000</v>
      </c>
      <c r="K1058" s="2724">
        <f>'Part VII-Pro Forma'!K30</f>
        <v>-5000</v>
      </c>
      <c r="N1058" s="2607"/>
      <c r="O1058" s="2607"/>
      <c r="Q1058" s="2613">
        <v>11</v>
      </c>
      <c r="R1058" s="2672">
        <f>'Part VII-Pro Forma'!R30</f>
        <v>900082</v>
      </c>
      <c r="S1058" s="2672">
        <f>'Part VII-Pro Forma'!S30</f>
        <v>2104801.1675069802</v>
      </c>
    </row>
    <row r="1059" spans="1:19" ht="13.35" customHeight="1">
      <c r="A1059" s="2494" t="s">
        <v>3776</v>
      </c>
      <c r="B1059" s="2724">
        <f>'Part VII-Pro Forma'!B31</f>
        <v>-149381</v>
      </c>
      <c r="C1059" s="2724">
        <f>'Part VII-Pro Forma'!C31</f>
        <v>-158115</v>
      </c>
      <c r="D1059" s="2724">
        <f>'Part VII-Pro Forma'!D31</f>
        <v>-166757</v>
      </c>
      <c r="E1059" s="2724">
        <f>'Part VII-Pro Forma'!E31</f>
        <v>-175295</v>
      </c>
      <c r="F1059" s="2724">
        <f>'Part VII-Pro Forma'!F31</f>
        <v>-183721</v>
      </c>
      <c r="G1059" s="2724">
        <f>'Part VII-Pro Forma'!G31</f>
        <v>-66813</v>
      </c>
      <c r="H1059" s="2724">
        <f>'Part VII-Pro Forma'!H31</f>
        <v>0</v>
      </c>
      <c r="I1059" s="2724">
        <f>'Part VII-Pro Forma'!I31</f>
        <v>0</v>
      </c>
      <c r="J1059" s="2724">
        <f>'Part VII-Pro Forma'!J31</f>
        <v>0</v>
      </c>
      <c r="K1059" s="2724">
        <f>'Part VII-Pro Forma'!K31</f>
        <v>0</v>
      </c>
      <c r="N1059" s="2607"/>
      <c r="O1059" s="2607"/>
      <c r="Q1059" s="2613">
        <v>12</v>
      </c>
      <c r="R1059" s="2672">
        <f>'Part VII-Pro Forma'!R31</f>
        <v>900082</v>
      </c>
      <c r="S1059" s="2672">
        <f>'Part VII-Pro Forma'!S31</f>
        <v>2343378.1297387369</v>
      </c>
    </row>
    <row r="1060" spans="1:19" ht="13.35" customHeight="1">
      <c r="A1060" s="2494" t="s">
        <v>1142</v>
      </c>
      <c r="B1060" s="2724">
        <f>'Part VII-Pro Forma'!B32</f>
        <v>0.12574122997466475</v>
      </c>
      <c r="C1060" s="2724">
        <f>'Part VII-Pro Forma'!C32</f>
        <v>2.1741229924373329E-2</v>
      </c>
      <c r="D1060" s="2724">
        <f>'Part VII-Pro Forma'!D32</f>
        <v>-0.42433877021539956</v>
      </c>
      <c r="E1060" s="2724">
        <f>'Part VII-Pro Forma'!E32</f>
        <v>-0.34014037018641829</v>
      </c>
      <c r="F1060" s="2724">
        <f>'Part VII-Pro Forma'!F32</f>
        <v>-0.27648200222756714</v>
      </c>
      <c r="G1060" s="2724">
        <f>'Part VII-Pro Forma'!G32</f>
        <v>125210.77695881366</v>
      </c>
      <c r="H1060" s="2724">
        <f>'Part VII-Pro Forma'!H32</f>
        <v>200190.37543300353</v>
      </c>
      <c r="I1060" s="2724">
        <f>'Part VII-Pro Forma'!I32</f>
        <v>208211.60236017255</v>
      </c>
      <c r="J1060" s="2724">
        <f>'Part VII-Pro Forma'!J32</f>
        <v>216074.05200388492</v>
      </c>
      <c r="K1060" s="2724">
        <f>'Part VII-Pro Forma'!K32</f>
        <v>223763.81156381115</v>
      </c>
      <c r="N1060" s="2607"/>
      <c r="O1060" s="2607"/>
      <c r="Q1060" s="2613">
        <v>13</v>
      </c>
      <c r="R1060" s="2672">
        <f>'Part VII-Pro Forma'!R32</f>
        <v>900082</v>
      </c>
      <c r="S1060" s="2672">
        <f>'Part VII-Pro Forma'!S32</f>
        <v>2589047.9524444081</v>
      </c>
    </row>
    <row r="1061" spans="1:19" ht="13.35" customHeight="1">
      <c r="A1061" s="2494" t="str">
        <f>IF('Part III-Sources of Funds'!$E$38 = "Neither", "", "DCR Mortgage A")</f>
        <v>DCR Mortgage A</v>
      </c>
      <c r="B1061" s="2724">
        <f>'Part VII-Pro Forma'!B33</f>
        <v>1.2120848041768142</v>
      </c>
      <c r="C1061" s="2724">
        <f>'Part VII-Pro Forma'!C33</f>
        <v>1.2240832049785124</v>
      </c>
      <c r="D1061" s="2724">
        <f>'Part VII-Pro Forma'!D33</f>
        <v>1.2359547486151261</v>
      </c>
      <c r="E1061" s="2724">
        <f>'Part VII-Pro Forma'!E33</f>
        <v>1.2476841482199588</v>
      </c>
      <c r="F1061" s="2724">
        <f>'Part VII-Pro Forma'!F33</f>
        <v>1.2592596568994443</v>
      </c>
      <c r="G1061" s="2724">
        <f>'Part VII-Pro Forma'!G33</f>
        <v>1.2706661773183763</v>
      </c>
      <c r="H1061" s="2724">
        <f>'Part VII-Pro Forma'!H33</f>
        <v>1.2818852394276421</v>
      </c>
      <c r="I1061" s="2724">
        <f>'Part VII-Pro Forma'!I33</f>
        <v>1.2929045938593355</v>
      </c>
      <c r="J1061" s="2724">
        <f>'Part VII-Pro Forma'!J33</f>
        <v>1.3037058241588984</v>
      </c>
      <c r="K1061" s="2724">
        <f>'Part VII-Pro Forma'!K33</f>
        <v>1.3142698172804888</v>
      </c>
      <c r="N1061" s="2607"/>
      <c r="O1061" s="2607"/>
      <c r="Q1061" s="2613">
        <v>14</v>
      </c>
      <c r="R1061" s="2672">
        <f>'Part VII-Pro Forma'!R33</f>
        <v>900082</v>
      </c>
      <c r="S1061" s="2672">
        <f>'Part VII-Pro Forma'!S33</f>
        <v>2841583.8440657952</v>
      </c>
    </row>
    <row r="1062" spans="1:19" ht="13.35" customHeight="1">
      <c r="A1062" s="2494" t="str">
        <f>IF('Part III-Sources of Funds'!$E$38 = "Neither", "", "DCR Mortgage B")</f>
        <v>DCR Mortgage B</v>
      </c>
      <c r="B1062" s="2724" t="str">
        <f>'Part VII-Pro Forma'!B34</f>
        <v/>
      </c>
      <c r="C1062" s="2724" t="str">
        <f>'Part VII-Pro Forma'!C34</f>
        <v/>
      </c>
      <c r="D1062" s="2724" t="str">
        <f>'Part VII-Pro Forma'!D34</f>
        <v/>
      </c>
      <c r="E1062" s="2724" t="str">
        <f>'Part VII-Pro Forma'!E34</f>
        <v/>
      </c>
      <c r="F1062" s="2724" t="str">
        <f>'Part VII-Pro Forma'!F34</f>
        <v/>
      </c>
      <c r="G1062" s="2724" t="str">
        <f>'Part VII-Pro Forma'!G34</f>
        <v/>
      </c>
      <c r="H1062" s="2724" t="str">
        <f>'Part VII-Pro Forma'!H34</f>
        <v/>
      </c>
      <c r="I1062" s="2724" t="str">
        <f>'Part VII-Pro Forma'!I34</f>
        <v/>
      </c>
      <c r="J1062" s="2724" t="str">
        <f>'Part VII-Pro Forma'!J34</f>
        <v/>
      </c>
      <c r="K1062" s="2724" t="str">
        <f>'Part VII-Pro Forma'!K34</f>
        <v/>
      </c>
      <c r="N1062" s="2607"/>
      <c r="O1062" s="2607"/>
      <c r="Q1062" s="2613">
        <v>15</v>
      </c>
      <c r="R1062" s="2672">
        <f>'Part VII-Pro Forma'!R34</f>
        <v>900082</v>
      </c>
      <c r="S1062" s="2672">
        <f>'Part VII-Pro Forma'!S34</f>
        <v>3100741.274550505</v>
      </c>
    </row>
    <row r="1063" spans="1:19" ht="13.35" customHeight="1">
      <c r="A1063" s="2494" t="str">
        <f>IF('Part III-Sources of Funds'!$E$38 = "Neither", "DCR First Mortgage", "DCR Mortgage C")</f>
        <v>DCR Mortgage C</v>
      </c>
      <c r="B1063" s="2724" t="str">
        <f>'Part VII-Pro Forma'!B35</f>
        <v/>
      </c>
      <c r="C1063" s="2724" t="str">
        <f>'Part VII-Pro Forma'!C35</f>
        <v/>
      </c>
      <c r="D1063" s="2724" t="str">
        <f>'Part VII-Pro Forma'!D35</f>
        <v/>
      </c>
      <c r="E1063" s="2724" t="str">
        <f>'Part VII-Pro Forma'!E35</f>
        <v/>
      </c>
      <c r="F1063" s="2724" t="str">
        <f>'Part VII-Pro Forma'!F35</f>
        <v/>
      </c>
      <c r="G1063" s="2724" t="str">
        <f>'Part VII-Pro Forma'!G35</f>
        <v/>
      </c>
      <c r="H1063" s="2724" t="str">
        <f>'Part VII-Pro Forma'!H35</f>
        <v/>
      </c>
      <c r="I1063" s="2724" t="str">
        <f>'Part VII-Pro Forma'!I35</f>
        <v/>
      </c>
      <c r="J1063" s="2724" t="str">
        <f>'Part VII-Pro Forma'!J35</f>
        <v/>
      </c>
      <c r="K1063" s="2724" t="str">
        <f>'Part VII-Pro Forma'!K35</f>
        <v/>
      </c>
      <c r="N1063" s="2607"/>
      <c r="O1063" s="2607"/>
      <c r="Q1063" s="2613">
        <v>16</v>
      </c>
      <c r="R1063" s="2672">
        <f>'Part VII-Pro Forma'!R35</f>
        <v>900082</v>
      </c>
      <c r="S1063" s="2672">
        <f>'Part VII-Pro Forma'!S35</f>
        <v>3366260.3475021748</v>
      </c>
    </row>
    <row r="1064" spans="1:19" ht="13.35" customHeight="1">
      <c r="A1064" s="2494" t="s">
        <v>763</v>
      </c>
      <c r="B1064" s="2724" t="str">
        <f>'Part VII-Pro Forma'!B36</f>
        <v/>
      </c>
      <c r="C1064" s="2724" t="str">
        <f>'Part VII-Pro Forma'!C36</f>
        <v/>
      </c>
      <c r="D1064" s="2724" t="str">
        <f>'Part VII-Pro Forma'!D36</f>
        <v/>
      </c>
      <c r="E1064" s="2724" t="str">
        <f>'Part VII-Pro Forma'!E36</f>
        <v/>
      </c>
      <c r="F1064" s="2724" t="str">
        <f>'Part VII-Pro Forma'!F36</f>
        <v/>
      </c>
      <c r="G1064" s="2724" t="str">
        <f>'Part VII-Pro Forma'!G36</f>
        <v/>
      </c>
      <c r="H1064" s="2724" t="str">
        <f>'Part VII-Pro Forma'!H36</f>
        <v/>
      </c>
      <c r="I1064" s="2724" t="str">
        <f>'Part VII-Pro Forma'!I36</f>
        <v/>
      </c>
      <c r="J1064" s="2724" t="str">
        <f>'Part VII-Pro Forma'!J36</f>
        <v/>
      </c>
      <c r="K1064" s="2724" t="str">
        <f>'Part VII-Pro Forma'!K36</f>
        <v/>
      </c>
      <c r="N1064" s="2607"/>
      <c r="O1064" s="2607"/>
      <c r="Q1064" s="2613">
        <v>17</v>
      </c>
      <c r="R1064" s="2672">
        <f>'Part VII-Pro Forma'!R36</f>
        <v>900082</v>
      </c>
      <c r="S1064" s="2672">
        <f>'Part VII-Pro Forma'!S36</f>
        <v>3637863.1497813086</v>
      </c>
    </row>
    <row r="1065" spans="1:19" ht="13.35" customHeight="1">
      <c r="A1065" s="2494" t="s">
        <v>3536</v>
      </c>
      <c r="B1065" s="2724">
        <f>'Part VII-Pro Forma'!B37</f>
        <v>1.2120848041768142</v>
      </c>
      <c r="C1065" s="2724">
        <f>'Part VII-Pro Forma'!C37</f>
        <v>1.2240832049785124</v>
      </c>
      <c r="D1065" s="2724">
        <f>'Part VII-Pro Forma'!D37</f>
        <v>1.2359547486151261</v>
      </c>
      <c r="E1065" s="2724">
        <f>'Part VII-Pro Forma'!E37</f>
        <v>1.2476841482199588</v>
      </c>
      <c r="F1065" s="2724">
        <f>'Part VII-Pro Forma'!F37</f>
        <v>1.2592596568994443</v>
      </c>
      <c r="G1065" s="2724">
        <f>'Part VII-Pro Forma'!G37</f>
        <v>1.2706661773183763</v>
      </c>
      <c r="H1065" s="2724">
        <f>'Part VII-Pro Forma'!H37</f>
        <v>1.2818852394276421</v>
      </c>
      <c r="I1065" s="2724">
        <f>'Part VII-Pro Forma'!I37</f>
        <v>1.2929045938593355</v>
      </c>
      <c r="J1065" s="2724">
        <f>'Part VII-Pro Forma'!J37</f>
        <v>1.3037058241588984</v>
      </c>
      <c r="K1065" s="2724">
        <f>'Part VII-Pro Forma'!K37</f>
        <v>1.3142698172804888</v>
      </c>
      <c r="N1065" s="2607"/>
      <c r="O1065" s="2607"/>
      <c r="Q1065" s="2613">
        <v>18</v>
      </c>
      <c r="R1065" s="2672">
        <f>'Part VII-Pro Forma'!R37</f>
        <v>900082</v>
      </c>
      <c r="S1065" s="2672">
        <f>'Part VII-Pro Forma'!S37</f>
        <v>3915255.0778059522</v>
      </c>
    </row>
    <row r="1066" spans="1:19" ht="13.35" customHeight="1">
      <c r="A1066" s="2494" t="s">
        <v>752</v>
      </c>
      <c r="B1066" s="2724">
        <f>'Part VII-Pro Forma'!B38</f>
        <v>1.8961555728450386</v>
      </c>
      <c r="C1066" s="2724">
        <f>'Part VII-Pro Forma'!C38</f>
        <v>1.8794759841878508</v>
      </c>
      <c r="D1066" s="2724">
        <f>'Part VII-Pro Forma'!D38</f>
        <v>1.862928638939205</v>
      </c>
      <c r="E1066" s="2724">
        <f>'Part VII-Pro Forma'!E38</f>
        <v>1.8465105389102867</v>
      </c>
      <c r="F1066" s="2724">
        <f>'Part VII-Pro Forma'!F38</f>
        <v>1.830224006153371</v>
      </c>
      <c r="G1066" s="2724">
        <f>'Part VII-Pro Forma'!G38</f>
        <v>1.8140677506558713</v>
      </c>
      <c r="H1066" s="2724">
        <f>'Part VII-Pro Forma'!H38</f>
        <v>1.7980374948527558</v>
      </c>
      <c r="I1066" s="2724">
        <f>'Part VII-Pro Forma'!I38</f>
        <v>1.7821368987243342</v>
      </c>
      <c r="J1066" s="2724">
        <f>'Part VII-Pro Forma'!J38</f>
        <v>1.7663633062304729</v>
      </c>
      <c r="K1066" s="2724">
        <f>'Part VII-Pro Forma'!K38</f>
        <v>1.7507143466914179</v>
      </c>
      <c r="N1066" s="2607"/>
      <c r="O1066" s="2607"/>
      <c r="Q1066" s="2613">
        <v>19</v>
      </c>
      <c r="R1066" s="2672">
        <f>'Part VII-Pro Forma'!R38</f>
        <v>900082</v>
      </c>
      <c r="S1066" s="2672">
        <f>'Part VII-Pro Forma'!S38</f>
        <v>4198123.1397774573</v>
      </c>
    </row>
    <row r="1067" spans="1:19" ht="13.35" customHeight="1">
      <c r="A1067" s="2494" t="s">
        <v>2550</v>
      </c>
      <c r="B1067" s="2724">
        <f>'Part VII-Pro Forma'!B39</f>
        <v>13516742.834649643</v>
      </c>
      <c r="C1067" s="2724">
        <f>'Part VII-Pro Forma'!C39</f>
        <v>13326019.489631806</v>
      </c>
      <c r="D1067" s="2724">
        <f>'Part VII-Pro Forma'!D39</f>
        <v>13127525.781267118</v>
      </c>
      <c r="E1067" s="2724">
        <f>'Part VII-Pro Forma'!E39</f>
        <v>12920945.13296378</v>
      </c>
      <c r="F1067" s="2724">
        <f>'Part VII-Pro Forma'!F39</f>
        <v>12705948.070311194</v>
      </c>
      <c r="G1067" s="2724">
        <f>'Part VII-Pro Forma'!G39</f>
        <v>12482191.69560292</v>
      </c>
      <c r="H1067" s="2724">
        <f>'Part VII-Pro Forma'!H39</f>
        <v>12249319.14095089</v>
      </c>
      <c r="I1067" s="2724">
        <f>'Part VII-Pro Forma'!I39</f>
        <v>12006958.999118665</v>
      </c>
      <c r="J1067" s="2724">
        <f>'Part VII-Pro Forma'!J39</f>
        <v>11754724.731165934</v>
      </c>
      <c r="K1067" s="2724">
        <f>'Part VII-Pro Forma'!K39</f>
        <v>11492214.049959566</v>
      </c>
      <c r="N1067" s="2607"/>
      <c r="O1067" s="2607"/>
      <c r="Q1067" s="2613">
        <v>20</v>
      </c>
      <c r="R1067" s="2672">
        <f>'Part VII-Pro Forma'!R39</f>
        <v>900082</v>
      </c>
      <c r="S1067" s="2672">
        <f>'Part VII-Pro Forma'!S39</f>
        <v>4486135.2330317982</v>
      </c>
    </row>
    <row r="1068" spans="1:19" ht="13.35" customHeight="1">
      <c r="A1068" s="2494" t="s">
        <v>2551</v>
      </c>
      <c r="B1068" s="2724" t="str">
        <f>'Part VII-Pro Forma'!B40</f>
        <v/>
      </c>
      <c r="C1068" s="2724" t="str">
        <f>'Part VII-Pro Forma'!C40</f>
        <v/>
      </c>
      <c r="D1068" s="2724" t="str">
        <f>'Part VII-Pro Forma'!D40</f>
        <v/>
      </c>
      <c r="E1068" s="2724" t="str">
        <f>'Part VII-Pro Forma'!E40</f>
        <v/>
      </c>
      <c r="F1068" s="2724" t="str">
        <f>'Part VII-Pro Forma'!F40</f>
        <v/>
      </c>
      <c r="G1068" s="2724" t="str">
        <f>'Part VII-Pro Forma'!G40</f>
        <v/>
      </c>
      <c r="H1068" s="2724" t="str">
        <f>'Part VII-Pro Forma'!H40</f>
        <v/>
      </c>
      <c r="I1068" s="2724" t="str">
        <f>'Part VII-Pro Forma'!I40</f>
        <v/>
      </c>
      <c r="J1068" s="2724" t="str">
        <f>'Part VII-Pro Forma'!J40</f>
        <v/>
      </c>
      <c r="K1068" s="2724" t="str">
        <f>'Part VII-Pro Forma'!K40</f>
        <v/>
      </c>
      <c r="N1068" s="2607"/>
      <c r="O1068" s="2607"/>
    </row>
    <row r="1069" spans="1:19" ht="13.35" customHeight="1">
      <c r="A1069" s="2494" t="s">
        <v>2552</v>
      </c>
      <c r="B1069" s="2724" t="str">
        <f>'Part VII-Pro Forma'!B41</f>
        <v/>
      </c>
      <c r="C1069" s="2724" t="str">
        <f>'Part VII-Pro Forma'!C41</f>
        <v/>
      </c>
      <c r="D1069" s="2724" t="str">
        <f>'Part VII-Pro Forma'!D41</f>
        <v/>
      </c>
      <c r="E1069" s="2724" t="str">
        <f>'Part VII-Pro Forma'!E41</f>
        <v/>
      </c>
      <c r="F1069" s="2724" t="str">
        <f>'Part VII-Pro Forma'!F41</f>
        <v/>
      </c>
      <c r="G1069" s="2724" t="str">
        <f>'Part VII-Pro Forma'!G41</f>
        <v/>
      </c>
      <c r="H1069" s="2724" t="str">
        <f>'Part VII-Pro Forma'!H41</f>
        <v/>
      </c>
      <c r="I1069" s="2724" t="str">
        <f>'Part VII-Pro Forma'!I41</f>
        <v/>
      </c>
      <c r="J1069" s="2724" t="str">
        <f>'Part VII-Pro Forma'!J41</f>
        <v/>
      </c>
      <c r="K1069" s="2724" t="str">
        <f>'Part VII-Pro Forma'!K41</f>
        <v/>
      </c>
      <c r="N1069" s="2607"/>
      <c r="O1069" s="2607"/>
    </row>
    <row r="1070" spans="1:19" ht="13.35" customHeight="1">
      <c r="A1070" s="2494" t="s">
        <v>764</v>
      </c>
      <c r="B1070" s="2724" t="str">
        <f>'Part VII-Pro Forma'!B42</f>
        <v/>
      </c>
      <c r="C1070" s="2724" t="str">
        <f>'Part VII-Pro Forma'!C42</f>
        <v/>
      </c>
      <c r="D1070" s="2724" t="str">
        <f>'Part VII-Pro Forma'!D42</f>
        <v/>
      </c>
      <c r="E1070" s="2724" t="str">
        <f>'Part VII-Pro Forma'!E42</f>
        <v/>
      </c>
      <c r="F1070" s="2724" t="str">
        <f>'Part VII-Pro Forma'!F42</f>
        <v/>
      </c>
      <c r="G1070" s="2724" t="str">
        <f>'Part VII-Pro Forma'!G42</f>
        <v/>
      </c>
      <c r="H1070" s="2724" t="str">
        <f>'Part VII-Pro Forma'!H42</f>
        <v/>
      </c>
      <c r="I1070" s="2724" t="str">
        <f>'Part VII-Pro Forma'!I42</f>
        <v/>
      </c>
      <c r="J1070" s="2724" t="str">
        <f>'Part VII-Pro Forma'!J42</f>
        <v/>
      </c>
      <c r="K1070" s="2724" t="str">
        <f>'Part VII-Pro Forma'!K42</f>
        <v/>
      </c>
      <c r="N1070" s="2607"/>
      <c r="O1070" s="2607"/>
    </row>
    <row r="1071" spans="1:19" ht="13.35" customHeight="1">
      <c r="A1071" s="2494" t="s">
        <v>3777</v>
      </c>
      <c r="B1071" s="2724">
        <f>'Part VII-Pro Forma'!B43</f>
        <v>750701</v>
      </c>
      <c r="C1071" s="2724">
        <f>'Part VII-Pro Forma'!C43</f>
        <v>592586</v>
      </c>
      <c r="D1071" s="2724">
        <f>'Part VII-Pro Forma'!D43</f>
        <v>425829</v>
      </c>
      <c r="E1071" s="2724">
        <f>'Part VII-Pro Forma'!E43</f>
        <v>250534</v>
      </c>
      <c r="F1071" s="2724">
        <f>'Part VII-Pro Forma'!F43</f>
        <v>66813</v>
      </c>
      <c r="G1071" s="2724">
        <f>'Part VII-Pro Forma'!G43</f>
        <v>0</v>
      </c>
      <c r="H1071" s="2724">
        <f>'Part VII-Pro Forma'!H43</f>
        <v>0</v>
      </c>
      <c r="I1071" s="2724">
        <f>'Part VII-Pro Forma'!I43</f>
        <v>0</v>
      </c>
      <c r="J1071" s="2724">
        <f>'Part VII-Pro Forma'!J43</f>
        <v>0</v>
      </c>
      <c r="K1071" s="2724">
        <f>'Part VII-Pro Forma'!K43</f>
        <v>0</v>
      </c>
      <c r="N1071" s="2607"/>
      <c r="O1071" s="2607"/>
    </row>
    <row r="1072" spans="1:19" ht="4.3499999999999996" customHeight="1">
      <c r="B1072" s="2724"/>
      <c r="C1072" s="2724"/>
      <c r="D1072" s="2724"/>
      <c r="E1072" s="2724"/>
      <c r="F1072" s="2724"/>
      <c r="G1072" s="2724"/>
      <c r="H1072" s="2724"/>
      <c r="I1072" s="2724"/>
      <c r="J1072" s="2724"/>
      <c r="K1072" s="2724"/>
    </row>
    <row r="1073" spans="1:19" ht="14.4" customHeight="1">
      <c r="A1073" s="2494" t="s">
        <v>2416</v>
      </c>
      <c r="B1073" s="2724">
        <f>K1041+1</f>
        <v>11</v>
      </c>
      <c r="C1073" s="2724">
        <f t="shared" ref="C1073:K1073" si="394">B1073+1</f>
        <v>12</v>
      </c>
      <c r="D1073" s="2724">
        <f t="shared" si="394"/>
        <v>13</v>
      </c>
      <c r="E1073" s="2724">
        <f t="shared" si="394"/>
        <v>14</v>
      </c>
      <c r="F1073" s="2724">
        <f t="shared" si="394"/>
        <v>15</v>
      </c>
      <c r="G1073" s="2724">
        <f t="shared" si="394"/>
        <v>16</v>
      </c>
      <c r="H1073" s="2724">
        <f t="shared" si="394"/>
        <v>17</v>
      </c>
      <c r="I1073" s="2724">
        <f t="shared" si="394"/>
        <v>18</v>
      </c>
      <c r="J1073" s="2724">
        <f t="shared" si="394"/>
        <v>19</v>
      </c>
      <c r="K1073" s="2724">
        <f t="shared" si="394"/>
        <v>20</v>
      </c>
      <c r="N1073" s="2494" t="s">
        <v>2554</v>
      </c>
    </row>
    <row r="1074" spans="1:19" ht="13.35" customHeight="1">
      <c r="A1074" s="2494" t="s">
        <v>2342</v>
      </c>
      <c r="B1074" s="2724">
        <f>'Part VII-Pro Forma'!B46</f>
        <v>2398981.0185496821</v>
      </c>
      <c r="C1074" s="2724">
        <f>'Part VII-Pro Forma'!C46</f>
        <v>2446960.638920675</v>
      </c>
      <c r="D1074" s="2724">
        <f>'Part VII-Pro Forma'!D46</f>
        <v>2495899.8516990892</v>
      </c>
      <c r="E1074" s="2724">
        <f>'Part VII-Pro Forma'!E46</f>
        <v>2545817.8487330708</v>
      </c>
      <c r="F1074" s="2724">
        <f>'Part VII-Pro Forma'!F46</f>
        <v>2596734.2057077326</v>
      </c>
      <c r="G1074" s="2724">
        <f>'Part VII-Pro Forma'!G46</f>
        <v>2648668.8898218861</v>
      </c>
      <c r="H1074" s="2724">
        <f>'Part VII-Pro Forma'!H46</f>
        <v>2701642.2676183246</v>
      </c>
      <c r="I1074" s="2724">
        <f>'Part VII-Pro Forma'!I46</f>
        <v>2755675.1129706912</v>
      </c>
      <c r="J1074" s="2724">
        <f>'Part VII-Pro Forma'!J46</f>
        <v>2810788.6152301049</v>
      </c>
      <c r="K1074" s="2724">
        <f>'Part VII-Pro Forma'!K46</f>
        <v>2867004.3875347069</v>
      </c>
      <c r="N1074" s="2607"/>
      <c r="O1074" s="2607"/>
    </row>
    <row r="1075" spans="1:19" ht="13.35" customHeight="1">
      <c r="A1075" s="2494" t="s">
        <v>994</v>
      </c>
      <c r="B1075" s="2724">
        <f>'Part VII-Pro Forma'!B47</f>
        <v>47979.620370993638</v>
      </c>
      <c r="C1075" s="2724">
        <f>'Part VII-Pro Forma'!C47</f>
        <v>48939.212778413501</v>
      </c>
      <c r="D1075" s="2724">
        <f>'Part VII-Pro Forma'!D47</f>
        <v>49917.997033981781</v>
      </c>
      <c r="E1075" s="2724">
        <f>'Part VII-Pro Forma'!E47</f>
        <v>50916.356974661416</v>
      </c>
      <c r="F1075" s="2724">
        <f>'Part VII-Pro Forma'!F47</f>
        <v>51934.684114154647</v>
      </c>
      <c r="G1075" s="2724">
        <f>'Part VII-Pro Forma'!G47</f>
        <v>52973.37779643773</v>
      </c>
      <c r="H1075" s="2724">
        <f>'Part VII-Pro Forma'!H47</f>
        <v>54032.845352366487</v>
      </c>
      <c r="I1075" s="2724">
        <f>'Part VII-Pro Forma'!I47</f>
        <v>55113.502259413821</v>
      </c>
      <c r="J1075" s="2724">
        <f>'Part VII-Pro Forma'!J47</f>
        <v>56215.772304602091</v>
      </c>
      <c r="K1075" s="2724">
        <f>'Part VII-Pro Forma'!K47</f>
        <v>57340.087750694132</v>
      </c>
      <c r="N1075" s="2607"/>
      <c r="O1075" s="2607"/>
    </row>
    <row r="1076" spans="1:19" ht="13.35" customHeight="1">
      <c r="A1076" s="2494" t="s">
        <v>2343</v>
      </c>
      <c r="B1076" s="2724">
        <f>'Part VII-Pro Forma'!B48</f>
        <v>-171287.24472444734</v>
      </c>
      <c r="C1076" s="2724">
        <f>'Part VII-Pro Forma'!C48</f>
        <v>-174712.98961893623</v>
      </c>
      <c r="D1076" s="2724">
        <f>'Part VII-Pro Forma'!D48</f>
        <v>-178207.24941131496</v>
      </c>
      <c r="E1076" s="2724">
        <f>'Part VII-Pro Forma'!E48</f>
        <v>-181771.39439954126</v>
      </c>
      <c r="F1076" s="2724">
        <f>'Part VII-Pro Forma'!F48</f>
        <v>-185406.82228753212</v>
      </c>
      <c r="G1076" s="2724">
        <f>'Part VII-Pro Forma'!G48</f>
        <v>-189114.95873328266</v>
      </c>
      <c r="H1076" s="2724">
        <f>'Part VII-Pro Forma'!H48</f>
        <v>-192897.2579079484</v>
      </c>
      <c r="I1076" s="2724">
        <f>'Part VII-Pro Forma'!I48</f>
        <v>-196755.20306610735</v>
      </c>
      <c r="J1076" s="2724">
        <f>'Part VII-Pro Forma'!J48</f>
        <v>-200690.30712742949</v>
      </c>
      <c r="K1076" s="2724">
        <f>'Part VII-Pro Forma'!K48</f>
        <v>-204704.11326997809</v>
      </c>
      <c r="N1076" s="2607"/>
      <c r="O1076" s="2607"/>
    </row>
    <row r="1077" spans="1:19" ht="13.35" customHeight="1">
      <c r="A1077" s="2494" t="s">
        <v>50</v>
      </c>
      <c r="B1077" s="2724">
        <f>'Part VII-Pro Forma'!B49</f>
        <v>0</v>
      </c>
      <c r="C1077" s="2724">
        <f>'Part VII-Pro Forma'!C49</f>
        <v>0</v>
      </c>
      <c r="D1077" s="2724">
        <f>'Part VII-Pro Forma'!D49</f>
        <v>0</v>
      </c>
      <c r="E1077" s="2724">
        <f>'Part VII-Pro Forma'!E49</f>
        <v>0</v>
      </c>
      <c r="F1077" s="2724">
        <f>'Part VII-Pro Forma'!F49</f>
        <v>0</v>
      </c>
      <c r="G1077" s="2724">
        <f>'Part VII-Pro Forma'!G49</f>
        <v>0</v>
      </c>
      <c r="H1077" s="2724">
        <f>'Part VII-Pro Forma'!H49</f>
        <v>0</v>
      </c>
      <c r="I1077" s="2724">
        <f>'Part VII-Pro Forma'!I49</f>
        <v>0</v>
      </c>
      <c r="J1077" s="2724">
        <f>'Part VII-Pro Forma'!J49</f>
        <v>0</v>
      </c>
      <c r="K1077" s="2724">
        <f>'Part VII-Pro Forma'!K49</f>
        <v>0</v>
      </c>
      <c r="N1077" s="2607"/>
      <c r="O1077" s="2607"/>
    </row>
    <row r="1078" spans="1:19" ht="13.35" customHeight="1">
      <c r="A1078" s="2494" t="s">
        <v>51</v>
      </c>
      <c r="B1078" s="2724">
        <f>'Part VII-Pro Forma'!B50</f>
        <v>0</v>
      </c>
      <c r="C1078" s="2724">
        <f>'Part VII-Pro Forma'!C50</f>
        <v>0</v>
      </c>
      <c r="D1078" s="2724">
        <f>'Part VII-Pro Forma'!D50</f>
        <v>0</v>
      </c>
      <c r="E1078" s="2724">
        <f>'Part VII-Pro Forma'!E50</f>
        <v>0</v>
      </c>
      <c r="F1078" s="2724">
        <f>'Part VII-Pro Forma'!F50</f>
        <v>0</v>
      </c>
      <c r="G1078" s="2724">
        <f>'Part VII-Pro Forma'!G50</f>
        <v>0</v>
      </c>
      <c r="H1078" s="2724">
        <f>'Part VII-Pro Forma'!H50</f>
        <v>0</v>
      </c>
      <c r="I1078" s="2724">
        <f>'Part VII-Pro Forma'!I50</f>
        <v>0</v>
      </c>
      <c r="J1078" s="2724">
        <f>'Part VII-Pro Forma'!J50</f>
        <v>0</v>
      </c>
      <c r="K1078" s="2724">
        <f>'Part VII-Pro Forma'!K50</f>
        <v>0</v>
      </c>
      <c r="N1078" s="2607"/>
      <c r="O1078" s="2607"/>
    </row>
    <row r="1079" spans="1:19" ht="13.35" customHeight="1">
      <c r="A1079" s="2494" t="s">
        <v>4384</v>
      </c>
      <c r="B1079" s="2724">
        <f>'Part VII-Pro Forma'!B51</f>
        <v>2275673.3941962286</v>
      </c>
      <c r="C1079" s="2724">
        <f>'Part VII-Pro Forma'!C51</f>
        <v>2321186.8620801526</v>
      </c>
      <c r="D1079" s="2724">
        <f>'Part VII-Pro Forma'!D51</f>
        <v>2367610.5993217556</v>
      </c>
      <c r="E1079" s="2724">
        <f>'Part VII-Pro Forma'!E51</f>
        <v>2414962.8113081907</v>
      </c>
      <c r="F1079" s="2724">
        <f>'Part VII-Pro Forma'!F51</f>
        <v>2463262.067534355</v>
      </c>
      <c r="G1079" s="2724">
        <f>'Part VII-Pro Forma'!G51</f>
        <v>2512527.3088850412</v>
      </c>
      <c r="H1079" s="2724">
        <f>'Part VII-Pro Forma'!H51</f>
        <v>2562777.8550627427</v>
      </c>
      <c r="I1079" s="2724">
        <f>'Part VII-Pro Forma'!I51</f>
        <v>2614033.4121639975</v>
      </c>
      <c r="J1079" s="2724">
        <f>'Part VII-Pro Forma'!J51</f>
        <v>2666314.0804072772</v>
      </c>
      <c r="K1079" s="2724">
        <f>'Part VII-Pro Forma'!K51</f>
        <v>2719640.3620154229</v>
      </c>
      <c r="N1079" s="2607"/>
      <c r="O1079" s="2607"/>
    </row>
    <row r="1080" spans="1:19" ht="13.35" customHeight="1">
      <c r="A1080" s="2494" t="s">
        <v>597</v>
      </c>
      <c r="B1080" s="2724">
        <f>'Part VII-Pro Forma'!B52</f>
        <v>-1130502.4583042753</v>
      </c>
      <c r="C1080" s="2724">
        <f>'Part VII-Pro Forma'!C52</f>
        <v>-1164417.5320534036</v>
      </c>
      <c r="D1080" s="2724">
        <f>'Part VII-Pro Forma'!D52</f>
        <v>-1199350.0580150054</v>
      </c>
      <c r="E1080" s="2724">
        <f>'Part VII-Pro Forma'!E52</f>
        <v>-1235330.5597554555</v>
      </c>
      <c r="F1080" s="2724">
        <f>'Part VII-Pro Forma'!F52</f>
        <v>-1272390.4765481194</v>
      </c>
      <c r="G1080" s="2724">
        <f>'Part VII-Pro Forma'!G52</f>
        <v>-1310562.1908445631</v>
      </c>
      <c r="H1080" s="2724">
        <f>'Part VII-Pro Forma'!H52</f>
        <v>-1349879.0565698997</v>
      </c>
      <c r="I1080" s="2724">
        <f>'Part VII-Pro Forma'!I52</f>
        <v>-1390375.4282669968</v>
      </c>
      <c r="J1080" s="2724">
        <f>'Part VII-Pro Forma'!J52</f>
        <v>-1432086.6911150066</v>
      </c>
      <c r="K1080" s="2724">
        <f>'Part VII-Pro Forma'!K52</f>
        <v>-1475049.2918484567</v>
      </c>
      <c r="N1080" s="2607"/>
      <c r="O1080" s="2607"/>
    </row>
    <row r="1081" spans="1:19" ht="13.35" customHeight="1">
      <c r="A1081" s="2494" t="s">
        <v>1093</v>
      </c>
      <c r="B1081" s="2724">
        <f>'Part VII-Pro Forma'!B53</f>
        <v>-113784</v>
      </c>
      <c r="C1081" s="2724">
        <f>'Part VII-Pro Forma'!C53</f>
        <v>-116059</v>
      </c>
      <c r="D1081" s="2724">
        <f>'Part VII-Pro Forma'!D53</f>
        <v>-118381</v>
      </c>
      <c r="E1081" s="2724">
        <f>'Part VII-Pro Forma'!E53</f>
        <v>-120748</v>
      </c>
      <c r="F1081" s="2724">
        <f>'Part VII-Pro Forma'!F53</f>
        <v>-123163</v>
      </c>
      <c r="G1081" s="2724">
        <f>'Part VII-Pro Forma'!G53</f>
        <v>-125626</v>
      </c>
      <c r="H1081" s="2724">
        <f>'Part VII-Pro Forma'!H53</f>
        <v>-128139</v>
      </c>
      <c r="I1081" s="2724">
        <f>'Part VII-Pro Forma'!I53</f>
        <v>-130702</v>
      </c>
      <c r="J1081" s="2724">
        <f>'Part VII-Pro Forma'!J53</f>
        <v>-133316</v>
      </c>
      <c r="K1081" s="2724">
        <f>'Part VII-Pro Forma'!K53</f>
        <v>-135982</v>
      </c>
      <c r="N1081" s="2607"/>
      <c r="O1081" s="2607"/>
    </row>
    <row r="1082" spans="1:19" ht="13.35" customHeight="1">
      <c r="A1082" s="2494" t="s">
        <v>1176</v>
      </c>
      <c r="B1082" s="2724">
        <f>'Part VII-Pro Forma'!B54</f>
        <v>-67195.818967206083</v>
      </c>
      <c r="C1082" s="2724">
        <f>'Part VII-Pro Forma'!C54</f>
        <v>-69211.693536222272</v>
      </c>
      <c r="D1082" s="2724">
        <f>'Part VII-Pro Forma'!D54</f>
        <v>-71288.044342308931</v>
      </c>
      <c r="E1082" s="2724">
        <f>'Part VII-Pro Forma'!E54</f>
        <v>-73426.685672578198</v>
      </c>
      <c r="F1082" s="2724">
        <f>'Part VII-Pro Forma'!F54</f>
        <v>-75629.486242755549</v>
      </c>
      <c r="G1082" s="2724">
        <f>'Part VII-Pro Forma'!G54</f>
        <v>-77898.370830038228</v>
      </c>
      <c r="H1082" s="2724">
        <f>'Part VII-Pro Forma'!H54</f>
        <v>-80235.321954939354</v>
      </c>
      <c r="I1082" s="2724">
        <f>'Part VII-Pro Forma'!I54</f>
        <v>-82642.381613587539</v>
      </c>
      <c r="J1082" s="2724">
        <f>'Part VII-Pro Forma'!J54</f>
        <v>-85121.653061995166</v>
      </c>
      <c r="K1082" s="2724">
        <f>'Part VII-Pro Forma'!K54</f>
        <v>-87675.302653855018</v>
      </c>
      <c r="N1082" s="2607"/>
      <c r="O1082" s="2607"/>
      <c r="Q1082" s="2613">
        <v>10</v>
      </c>
      <c r="R1082" s="2672">
        <f>-SUM(B1088:K1088)</f>
        <v>0</v>
      </c>
      <c r="S1082" s="2672">
        <f>SUM(B1089:K1089)+R1082</f>
        <v>0</v>
      </c>
    </row>
    <row r="1083" spans="1:19" ht="13.35" customHeight="1">
      <c r="A1083" s="2494" t="s">
        <v>4383</v>
      </c>
      <c r="B1083" s="2724">
        <f>'Part VII-Pro Forma'!B55</f>
        <v>0</v>
      </c>
      <c r="C1083" s="2724">
        <f>'Part VII-Pro Forma'!C55</f>
        <v>0</v>
      </c>
      <c r="D1083" s="2724">
        <f>'Part VII-Pro Forma'!D55</f>
        <v>0</v>
      </c>
      <c r="E1083" s="2724">
        <f>'Part VII-Pro Forma'!E55</f>
        <v>0</v>
      </c>
      <c r="F1083" s="2724">
        <f>'Part VII-Pro Forma'!F55</f>
        <v>0</v>
      </c>
      <c r="G1083" s="2724">
        <f>'Part VII-Pro Forma'!G55</f>
        <v>0</v>
      </c>
      <c r="H1083" s="2724">
        <f>'Part VII-Pro Forma'!H55</f>
        <v>0</v>
      </c>
      <c r="I1083" s="2724">
        <f>'Part VII-Pro Forma'!I55</f>
        <v>0</v>
      </c>
      <c r="J1083" s="2724">
        <f>'Part VII-Pro Forma'!J55</f>
        <v>0</v>
      </c>
      <c r="K1083" s="2724">
        <f>'Part VII-Pro Forma'!K55</f>
        <v>0</v>
      </c>
      <c r="N1083" s="2607"/>
      <c r="O1083" s="2607"/>
    </row>
    <row r="1084" spans="1:19" ht="13.35" customHeight="1">
      <c r="A1084" s="2494" t="s">
        <v>1177</v>
      </c>
      <c r="B1084" s="2724">
        <f>'Part VII-Pro Forma'!B56</f>
        <v>964191.11692474724</v>
      </c>
      <c r="C1084" s="2724">
        <f>'Part VII-Pro Forma'!C56</f>
        <v>971498.63649052684</v>
      </c>
      <c r="D1084" s="2724">
        <f>'Part VII-Pro Forma'!D56</f>
        <v>978591.49696444126</v>
      </c>
      <c r="E1084" s="2724">
        <f>'Part VII-Pro Forma'!E56</f>
        <v>985457.56588015705</v>
      </c>
      <c r="F1084" s="2724">
        <f>'Part VII-Pro Forma'!F56</f>
        <v>992079.10474347998</v>
      </c>
      <c r="G1084" s="2724">
        <f>'Part VII-Pro Forma'!G56</f>
        <v>998440.74721043988</v>
      </c>
      <c r="H1084" s="2724">
        <f>'Part VII-Pro Forma'!H56</f>
        <v>1004524.4765379037</v>
      </c>
      <c r="I1084" s="2724">
        <f>'Part VII-Pro Forma'!I56</f>
        <v>1010313.6022834133</v>
      </c>
      <c r="J1084" s="2724">
        <f>'Part VII-Pro Forma'!J56</f>
        <v>1015789.7362302755</v>
      </c>
      <c r="K1084" s="2724">
        <f>'Part VII-Pro Forma'!K56</f>
        <v>1020933.7675131111</v>
      </c>
      <c r="N1084" s="2607"/>
      <c r="O1084" s="2607"/>
    </row>
    <row r="1085" spans="1:19" ht="13.35" customHeight="1">
      <c r="A1085" s="2494" t="str">
        <f>$A1053</f>
        <v>Mortgage A</v>
      </c>
      <c r="B1085" s="2724">
        <f>'Part VII-Pro Forma'!B57</f>
        <v>-727921.67425877007</v>
      </c>
      <c r="C1085" s="2724">
        <f>'Part VII-Pro Forma'!C57</f>
        <v>-727921.67425877007</v>
      </c>
      <c r="D1085" s="2724">
        <f>'Part VII-Pro Forma'!D57</f>
        <v>-727921.67425877007</v>
      </c>
      <c r="E1085" s="2724">
        <f>'Part VII-Pro Forma'!E57</f>
        <v>-727921.67425877007</v>
      </c>
      <c r="F1085" s="2724">
        <f>'Part VII-Pro Forma'!F57</f>
        <v>-727921.67425877007</v>
      </c>
      <c r="G1085" s="2724">
        <f>'Part VII-Pro Forma'!G57</f>
        <v>-727921.67425877007</v>
      </c>
      <c r="H1085" s="2724">
        <f>'Part VII-Pro Forma'!H57</f>
        <v>-727921.67425877007</v>
      </c>
      <c r="I1085" s="2724">
        <f>'Part VII-Pro Forma'!I57</f>
        <v>-727921.67425877007</v>
      </c>
      <c r="J1085" s="2724">
        <f>'Part VII-Pro Forma'!J57</f>
        <v>-727921.67425877007</v>
      </c>
      <c r="K1085" s="2724">
        <f>'Part VII-Pro Forma'!K57</f>
        <v>-727921.67425877007</v>
      </c>
      <c r="N1085" s="2607"/>
      <c r="O1085" s="2607"/>
    </row>
    <row r="1086" spans="1:19" ht="13.35" customHeight="1">
      <c r="A1086" s="2494" t="str">
        <f>$A1054</f>
        <v>Mortgage B</v>
      </c>
      <c r="B1086" s="2724">
        <f>'Part VII-Pro Forma'!B58</f>
        <v>0</v>
      </c>
      <c r="C1086" s="2724">
        <f>'Part VII-Pro Forma'!C58</f>
        <v>0</v>
      </c>
      <c r="D1086" s="2724">
        <f>'Part VII-Pro Forma'!D58</f>
        <v>0</v>
      </c>
      <c r="E1086" s="2724">
        <f>'Part VII-Pro Forma'!E58</f>
        <v>0</v>
      </c>
      <c r="F1086" s="2724">
        <f>'Part VII-Pro Forma'!F58</f>
        <v>0</v>
      </c>
      <c r="G1086" s="2724">
        <f>'Part VII-Pro Forma'!G58</f>
        <v>0</v>
      </c>
      <c r="H1086" s="2724">
        <f>'Part VII-Pro Forma'!H58</f>
        <v>0</v>
      </c>
      <c r="I1086" s="2724">
        <f>'Part VII-Pro Forma'!I58</f>
        <v>0</v>
      </c>
      <c r="J1086" s="2724">
        <f>'Part VII-Pro Forma'!J58</f>
        <v>0</v>
      </c>
      <c r="K1086" s="2724">
        <f>'Part VII-Pro Forma'!K58</f>
        <v>0</v>
      </c>
      <c r="N1086" s="2607"/>
      <c r="O1086" s="2607"/>
    </row>
    <row r="1087" spans="1:19" ht="13.35" customHeight="1">
      <c r="A1087" s="2494" t="str">
        <f>$A1055</f>
        <v>Mortgage C</v>
      </c>
      <c r="B1087" s="2724">
        <f>'Part VII-Pro Forma'!B59</f>
        <v>0</v>
      </c>
      <c r="C1087" s="2724">
        <f>'Part VII-Pro Forma'!C59</f>
        <v>0</v>
      </c>
      <c r="D1087" s="2724">
        <f>'Part VII-Pro Forma'!D59</f>
        <v>0</v>
      </c>
      <c r="E1087" s="2724">
        <f>'Part VII-Pro Forma'!E59</f>
        <v>0</v>
      </c>
      <c r="F1087" s="2724">
        <f>'Part VII-Pro Forma'!F59</f>
        <v>0</v>
      </c>
      <c r="G1087" s="2724">
        <f>'Part VII-Pro Forma'!G59</f>
        <v>0</v>
      </c>
      <c r="H1087" s="2724">
        <f>'Part VII-Pro Forma'!H59</f>
        <v>0</v>
      </c>
      <c r="I1087" s="2724">
        <f>'Part VII-Pro Forma'!I59</f>
        <v>0</v>
      </c>
      <c r="J1087" s="2724">
        <f>'Part VII-Pro Forma'!J59</f>
        <v>0</v>
      </c>
      <c r="K1087" s="2724">
        <f>'Part VII-Pro Forma'!K59</f>
        <v>0</v>
      </c>
      <c r="N1087" s="2607"/>
      <c r="O1087" s="2607"/>
    </row>
    <row r="1088" spans="1:19" ht="13.35" customHeight="1">
      <c r="A1088" s="2494" t="str">
        <f>$A1056</f>
        <v>D/S Other Source,not DDF</v>
      </c>
      <c r="B1088" s="2724">
        <f>'Part VII-Pro Forma'!B60</f>
        <v>0</v>
      </c>
      <c r="C1088" s="2724">
        <f>'Part VII-Pro Forma'!C60</f>
        <v>0</v>
      </c>
      <c r="D1088" s="2724">
        <f>'Part VII-Pro Forma'!D60</f>
        <v>0</v>
      </c>
      <c r="E1088" s="2724">
        <f>'Part VII-Pro Forma'!E60</f>
        <v>0</v>
      </c>
      <c r="F1088" s="2724">
        <f>'Part VII-Pro Forma'!F60</f>
        <v>0</v>
      </c>
      <c r="G1088" s="2724">
        <f>'Part VII-Pro Forma'!G60</f>
        <v>0</v>
      </c>
      <c r="H1088" s="2724">
        <f>'Part VII-Pro Forma'!H60</f>
        <v>0</v>
      </c>
      <c r="I1088" s="2724">
        <f>'Part VII-Pro Forma'!I60</f>
        <v>0</v>
      </c>
      <c r="J1088" s="2724">
        <f>'Part VII-Pro Forma'!J60</f>
        <v>0</v>
      </c>
      <c r="K1088" s="2724">
        <f>'Part VII-Pro Forma'!K60</f>
        <v>0</v>
      </c>
      <c r="N1088" s="2607"/>
      <c r="O1088" s="2607"/>
    </row>
    <row r="1089" spans="1:18" ht="13.35" customHeight="1">
      <c r="A1089" s="2494" t="s">
        <v>745</v>
      </c>
      <c r="B1089" s="2724">
        <f>'Part VII-Pro Forma'!B61</f>
        <v>0</v>
      </c>
      <c r="C1089" s="2724">
        <f>'Part VII-Pro Forma'!C61</f>
        <v>0</v>
      </c>
      <c r="D1089" s="2724">
        <f>'Part VII-Pro Forma'!D61</f>
        <v>0</v>
      </c>
      <c r="E1089" s="2724">
        <f>'Part VII-Pro Forma'!E61</f>
        <v>0</v>
      </c>
      <c r="F1089" s="2724">
        <f>'Part VII-Pro Forma'!F61</f>
        <v>0</v>
      </c>
      <c r="G1089" s="2724">
        <f>'Part VII-Pro Forma'!G61</f>
        <v>0</v>
      </c>
      <c r="H1089" s="2724">
        <f>'Part VII-Pro Forma'!H61</f>
        <v>0</v>
      </c>
      <c r="I1089" s="2724">
        <f>'Part VII-Pro Forma'!I61</f>
        <v>0</v>
      </c>
      <c r="J1089" s="2724">
        <f>'Part VII-Pro Forma'!J61</f>
        <v>0</v>
      </c>
      <c r="K1089" s="2724">
        <f>'Part VII-Pro Forma'!K61</f>
        <v>0</v>
      </c>
      <c r="N1089" s="2607"/>
      <c r="O1089" s="2607"/>
      <c r="Q1089" s="2613"/>
      <c r="R1089" s="2672"/>
    </row>
    <row r="1090" spans="1:18" ht="13.35" customHeight="1">
      <c r="A1090" s="2494" t="s">
        <v>1141</v>
      </c>
      <c r="B1090" s="2724">
        <f>'Part VII-Pro Forma'!B62</f>
        <v>-5000</v>
      </c>
      <c r="C1090" s="2724">
        <f>'Part VII-Pro Forma'!C62</f>
        <v>-5000</v>
      </c>
      <c r="D1090" s="2724">
        <f>'Part VII-Pro Forma'!D62</f>
        <v>-5000</v>
      </c>
      <c r="E1090" s="2724">
        <f>'Part VII-Pro Forma'!E62</f>
        <v>-5000</v>
      </c>
      <c r="F1090" s="2724">
        <f>'Part VII-Pro Forma'!F62</f>
        <v>-5000</v>
      </c>
      <c r="G1090" s="2724">
        <f>'Part VII-Pro Forma'!G62</f>
        <v>-5000</v>
      </c>
      <c r="H1090" s="2724">
        <f>'Part VII-Pro Forma'!H62</f>
        <v>-5000</v>
      </c>
      <c r="I1090" s="2724">
        <f>'Part VII-Pro Forma'!I62</f>
        <v>-5000</v>
      </c>
      <c r="J1090" s="2724">
        <f>'Part VII-Pro Forma'!J62</f>
        <v>-5000</v>
      </c>
      <c r="K1090" s="2724">
        <f>'Part VII-Pro Forma'!K62</f>
        <v>-5000</v>
      </c>
      <c r="N1090" s="2607"/>
      <c r="O1090" s="2607"/>
    </row>
    <row r="1091" spans="1:18" ht="13.35" customHeight="1">
      <c r="A1091" s="2494" t="s">
        <v>3776</v>
      </c>
      <c r="B1091" s="2724">
        <f>'Part VII-Pro Forma'!B63</f>
        <v>0</v>
      </c>
      <c r="C1091" s="2724">
        <f>'Part VII-Pro Forma'!C63</f>
        <v>0</v>
      </c>
      <c r="D1091" s="2724">
        <f>'Part VII-Pro Forma'!D63</f>
        <v>0</v>
      </c>
      <c r="E1091" s="2724">
        <f>'Part VII-Pro Forma'!E63</f>
        <v>0</v>
      </c>
      <c r="F1091" s="2724">
        <f>'Part VII-Pro Forma'!F63</f>
        <v>0</v>
      </c>
      <c r="G1091" s="2724">
        <f>'Part VII-Pro Forma'!G63</f>
        <v>0</v>
      </c>
      <c r="H1091" s="2724">
        <f>'Part VII-Pro Forma'!H63</f>
        <v>0</v>
      </c>
      <c r="I1091" s="2724">
        <f>'Part VII-Pro Forma'!I63</f>
        <v>0</v>
      </c>
      <c r="J1091" s="2724">
        <f>'Part VII-Pro Forma'!J63</f>
        <v>0</v>
      </c>
      <c r="K1091" s="2724">
        <f>'Part VII-Pro Forma'!K63</f>
        <v>0</v>
      </c>
      <c r="N1091" s="2607"/>
      <c r="O1091" s="2607"/>
    </row>
    <row r="1092" spans="1:18" ht="13.35" customHeight="1">
      <c r="A1092" s="2494" t="s">
        <v>1142</v>
      </c>
      <c r="B1092" s="2724">
        <f>'Part VII-Pro Forma'!B64</f>
        <v>231269.44266597717</v>
      </c>
      <c r="C1092" s="2724">
        <f>'Part VII-Pro Forma'!C64</f>
        <v>238576.96223175677</v>
      </c>
      <c r="D1092" s="2724">
        <f>'Part VII-Pro Forma'!D64</f>
        <v>245669.82270567119</v>
      </c>
      <c r="E1092" s="2724">
        <f>'Part VII-Pro Forma'!E64</f>
        <v>252535.89162138698</v>
      </c>
      <c r="F1092" s="2724">
        <f>'Part VII-Pro Forma'!F64</f>
        <v>259157.43048470991</v>
      </c>
      <c r="G1092" s="2724">
        <f>'Part VII-Pro Forma'!G64</f>
        <v>265519.0729516698</v>
      </c>
      <c r="H1092" s="2724">
        <f>'Part VII-Pro Forma'!H64</f>
        <v>271602.80227913358</v>
      </c>
      <c r="I1092" s="2724">
        <f>'Part VII-Pro Forma'!I64</f>
        <v>277391.92802464322</v>
      </c>
      <c r="J1092" s="2724">
        <f>'Part VII-Pro Forma'!J64</f>
        <v>282868.06197150541</v>
      </c>
      <c r="K1092" s="2724">
        <f>'Part VII-Pro Forma'!K64</f>
        <v>288012.09325434105</v>
      </c>
      <c r="N1092" s="2607"/>
      <c r="O1092" s="2607"/>
    </row>
    <row r="1093" spans="1:18" ht="13.35" customHeight="1">
      <c r="A1093" s="2494" t="str">
        <f>$A1061</f>
        <v>DCR Mortgage A</v>
      </c>
      <c r="B1093" s="2724">
        <f>'Part VII-Pro Forma'!B65</f>
        <v>1.3245808594812982</v>
      </c>
      <c r="C1093" s="2724">
        <f>'Part VII-Pro Forma'!C65</f>
        <v>1.3346197411689753</v>
      </c>
      <c r="D1093" s="2724">
        <f>'Part VII-Pro Forma'!D65</f>
        <v>1.3443637297390876</v>
      </c>
      <c r="E1093" s="2724">
        <f>'Part VII-Pro Forma'!E65</f>
        <v>1.3537961579226656</v>
      </c>
      <c r="F1093" s="2724">
        <f>'Part VII-Pro Forma'!F65</f>
        <v>1.3628926570344218</v>
      </c>
      <c r="G1093" s="2724">
        <f>'Part VII-Pro Forma'!G65</f>
        <v>1.3716321171877932</v>
      </c>
      <c r="H1093" s="2724">
        <f>'Part VII-Pro Forma'!H65</f>
        <v>1.3799897874462845</v>
      </c>
      <c r="I1093" s="2724">
        <f>'Part VII-Pro Forma'!I65</f>
        <v>1.3879427389110208</v>
      </c>
      <c r="J1093" s="2724">
        <f>'Part VII-Pro Forma'!J65</f>
        <v>1.3954657103247219</v>
      </c>
      <c r="K1093" s="2724">
        <f>'Part VII-Pro Forma'!K65</f>
        <v>1.4025324476740031</v>
      </c>
      <c r="N1093" s="2607"/>
      <c r="O1093" s="2607"/>
    </row>
    <row r="1094" spans="1:18" ht="13.35" customHeight="1">
      <c r="A1094" s="2494" t="str">
        <f>$A1062</f>
        <v>DCR Mortgage B</v>
      </c>
      <c r="B1094" s="2724" t="str">
        <f>'Part VII-Pro Forma'!B66</f>
        <v/>
      </c>
      <c r="C1094" s="2724" t="str">
        <f>'Part VII-Pro Forma'!C66</f>
        <v/>
      </c>
      <c r="D1094" s="2724" t="str">
        <f>'Part VII-Pro Forma'!D66</f>
        <v/>
      </c>
      <c r="E1094" s="2724" t="str">
        <f>'Part VII-Pro Forma'!E66</f>
        <v/>
      </c>
      <c r="F1094" s="2724" t="str">
        <f>'Part VII-Pro Forma'!F66</f>
        <v/>
      </c>
      <c r="G1094" s="2724" t="str">
        <f>'Part VII-Pro Forma'!G66</f>
        <v/>
      </c>
      <c r="H1094" s="2724" t="str">
        <f>'Part VII-Pro Forma'!H66</f>
        <v/>
      </c>
      <c r="I1094" s="2724" t="str">
        <f>'Part VII-Pro Forma'!I66</f>
        <v/>
      </c>
      <c r="J1094" s="2724" t="str">
        <f>'Part VII-Pro Forma'!J66</f>
        <v/>
      </c>
      <c r="K1094" s="2724" t="str">
        <f>'Part VII-Pro Forma'!K66</f>
        <v/>
      </c>
      <c r="N1094" s="2607"/>
      <c r="O1094" s="2607"/>
    </row>
    <row r="1095" spans="1:18" ht="13.35" customHeight="1">
      <c r="A1095" s="2494" t="str">
        <f>$A1063</f>
        <v>DCR Mortgage C</v>
      </c>
      <c r="B1095" s="2724" t="str">
        <f>'Part VII-Pro Forma'!B67</f>
        <v/>
      </c>
      <c r="C1095" s="2724" t="str">
        <f>'Part VII-Pro Forma'!C67</f>
        <v/>
      </c>
      <c r="D1095" s="2724" t="str">
        <f>'Part VII-Pro Forma'!D67</f>
        <v/>
      </c>
      <c r="E1095" s="2724" t="str">
        <f>'Part VII-Pro Forma'!E67</f>
        <v/>
      </c>
      <c r="F1095" s="2724" t="str">
        <f>'Part VII-Pro Forma'!F67</f>
        <v/>
      </c>
      <c r="G1095" s="2724" t="str">
        <f>'Part VII-Pro Forma'!G67</f>
        <v/>
      </c>
      <c r="H1095" s="2724" t="str">
        <f>'Part VII-Pro Forma'!H67</f>
        <v/>
      </c>
      <c r="I1095" s="2724" t="str">
        <f>'Part VII-Pro Forma'!I67</f>
        <v/>
      </c>
      <c r="J1095" s="2724" t="str">
        <f>'Part VII-Pro Forma'!J67</f>
        <v/>
      </c>
      <c r="K1095" s="2724" t="str">
        <f>'Part VII-Pro Forma'!K67</f>
        <v/>
      </c>
      <c r="N1095" s="2607"/>
      <c r="O1095" s="2607"/>
    </row>
    <row r="1096" spans="1:18" ht="13.35" customHeight="1">
      <c r="A1096" s="2494" t="str">
        <f>$A1064</f>
        <v>DCR Other Source</v>
      </c>
      <c r="B1096" s="2724" t="str">
        <f>'Part VII-Pro Forma'!B68</f>
        <v/>
      </c>
      <c r="C1096" s="2724" t="str">
        <f>'Part VII-Pro Forma'!C68</f>
        <v/>
      </c>
      <c r="D1096" s="2724" t="str">
        <f>'Part VII-Pro Forma'!D68</f>
        <v/>
      </c>
      <c r="E1096" s="2724" t="str">
        <f>'Part VII-Pro Forma'!E68</f>
        <v/>
      </c>
      <c r="F1096" s="2724" t="str">
        <f>'Part VII-Pro Forma'!F68</f>
        <v/>
      </c>
      <c r="G1096" s="2724" t="str">
        <f>'Part VII-Pro Forma'!G68</f>
        <v/>
      </c>
      <c r="H1096" s="2724" t="str">
        <f>'Part VII-Pro Forma'!H68</f>
        <v/>
      </c>
      <c r="I1096" s="2724" t="str">
        <f>'Part VII-Pro Forma'!I68</f>
        <v/>
      </c>
      <c r="J1096" s="2724" t="str">
        <f>'Part VII-Pro Forma'!J68</f>
        <v/>
      </c>
      <c r="K1096" s="2724" t="str">
        <f>'Part VII-Pro Forma'!K68</f>
        <v/>
      </c>
      <c r="N1096" s="2607"/>
      <c r="O1096" s="2607"/>
    </row>
    <row r="1097" spans="1:18" ht="13.35" customHeight="1">
      <c r="A1097" s="2494" t="s">
        <v>3536</v>
      </c>
      <c r="B1097" s="2724">
        <f>'Part VII-Pro Forma'!B69</f>
        <v>1.3245808594812982</v>
      </c>
      <c r="C1097" s="2724">
        <f>'Part VII-Pro Forma'!C69</f>
        <v>1.3346197411689753</v>
      </c>
      <c r="D1097" s="2724">
        <f>'Part VII-Pro Forma'!D69</f>
        <v>1.3443637297390876</v>
      </c>
      <c r="E1097" s="2724">
        <f>'Part VII-Pro Forma'!E69</f>
        <v>1.3537961579226656</v>
      </c>
      <c r="F1097" s="2724">
        <f>'Part VII-Pro Forma'!F69</f>
        <v>1.3628926570344218</v>
      </c>
      <c r="G1097" s="2724">
        <f>'Part VII-Pro Forma'!G69</f>
        <v>1.3716321171877932</v>
      </c>
      <c r="H1097" s="2724">
        <f>'Part VII-Pro Forma'!H69</f>
        <v>1.3799897874462845</v>
      </c>
      <c r="I1097" s="2724">
        <f>'Part VII-Pro Forma'!I69</f>
        <v>1.3879427389110208</v>
      </c>
      <c r="J1097" s="2724">
        <f>'Part VII-Pro Forma'!J69</f>
        <v>1.3954657103247219</v>
      </c>
      <c r="K1097" s="2724">
        <f>'Part VII-Pro Forma'!K69</f>
        <v>1.4025324476740031</v>
      </c>
      <c r="N1097" s="2607"/>
      <c r="O1097" s="2607"/>
    </row>
    <row r="1098" spans="1:18" ht="13.35" customHeight="1">
      <c r="A1098" s="2494" t="s">
        <v>752</v>
      </c>
      <c r="B1098" s="2724">
        <f>'Part VII-Pro Forma'!B70</f>
        <v>1.735191876882036</v>
      </c>
      <c r="C1098" s="2724">
        <f>'Part VII-Pro Forma'!C70</f>
        <v>1.719794851930428</v>
      </c>
      <c r="D1098" s="2724">
        <f>'Part VII-Pro Forma'!D70</f>
        <v>1.7045198264758681</v>
      </c>
      <c r="E1098" s="2724">
        <f>'Part VII-Pro Forma'!E70</f>
        <v>1.689369674600308</v>
      </c>
      <c r="F1098" s="2724">
        <f>'Part VII-Pro Forma'!F70</f>
        <v>1.6743410777823842</v>
      </c>
      <c r="G1098" s="2724">
        <f>'Part VII-Pro Forma'!G70</f>
        <v>1.6594343893430703</v>
      </c>
      <c r="H1098" s="2724">
        <f>'Part VII-Pro Forma'!H70</f>
        <v>1.6446477128699462</v>
      </c>
      <c r="I1098" s="2724">
        <f>'Part VII-Pro Forma'!I70</f>
        <v>1.6299813696001193</v>
      </c>
      <c r="J1098" s="2724">
        <f>'Part VII-Pro Forma'!J70</f>
        <v>1.6154345676959871</v>
      </c>
      <c r="K1098" s="2724">
        <f>'Part VII-Pro Forma'!K70</f>
        <v>1.6010065368659061</v>
      </c>
      <c r="N1098" s="2607"/>
      <c r="O1098" s="2607"/>
    </row>
    <row r="1099" spans="1:18" ht="13.35" customHeight="1">
      <c r="A1099" s="2494" t="s">
        <v>2550</v>
      </c>
      <c r="B1099" s="2724">
        <f>'Part VII-Pro Forma'!B71</f>
        <v>11219008.278567925</v>
      </c>
      <c r="C1099" s="2724">
        <f>'Part VII-Pro Forma'!C71</f>
        <v>10934671.682515197</v>
      </c>
      <c r="D1099" s="2724">
        <f>'Part VII-Pro Forma'!D71</f>
        <v>10638750.774830719</v>
      </c>
      <c r="E1099" s="2724">
        <f>'Part VII-Pro Forma'!E71</f>
        <v>10330773.592784951</v>
      </c>
      <c r="F1099" s="2724">
        <f>'Part VII-Pro Forma'!F71</f>
        <v>10010248.945158549</v>
      </c>
      <c r="G1099" s="2724">
        <f>'Part VII-Pro Forma'!G71</f>
        <v>9676665.6288440246</v>
      </c>
      <c r="H1099" s="2724">
        <f>'Part VII-Pro Forma'!H71</f>
        <v>9329491.6135305464</v>
      </c>
      <c r="I1099" s="2724">
        <f>'Part VII-Pro Forma'!I71</f>
        <v>8968173.1931715384</v>
      </c>
      <c r="J1099" s="2724">
        <f>'Part VII-Pro Forma'!J71</f>
        <v>8592134.1028817631</v>
      </c>
      <c r="K1099" s="2724">
        <f>'Part VII-Pro Forma'!K71</f>
        <v>8200774.5998554267</v>
      </c>
      <c r="N1099" s="2607"/>
      <c r="O1099" s="2607"/>
    </row>
    <row r="1100" spans="1:18" ht="13.35" customHeight="1">
      <c r="A1100" s="2494" t="s">
        <v>2551</v>
      </c>
      <c r="B1100" s="2724" t="str">
        <f>'Part VII-Pro Forma'!B72</f>
        <v/>
      </c>
      <c r="C1100" s="2724" t="str">
        <f>'Part VII-Pro Forma'!C72</f>
        <v/>
      </c>
      <c r="D1100" s="2724" t="str">
        <f>'Part VII-Pro Forma'!D72</f>
        <v/>
      </c>
      <c r="E1100" s="2724" t="str">
        <f>'Part VII-Pro Forma'!E72</f>
        <v/>
      </c>
      <c r="F1100" s="2724" t="str">
        <f>'Part VII-Pro Forma'!F72</f>
        <v/>
      </c>
      <c r="G1100" s="2724" t="str">
        <f>'Part VII-Pro Forma'!G72</f>
        <v/>
      </c>
      <c r="H1100" s="2724" t="str">
        <f>'Part VII-Pro Forma'!H72</f>
        <v/>
      </c>
      <c r="I1100" s="2724" t="str">
        <f>'Part VII-Pro Forma'!I72</f>
        <v/>
      </c>
      <c r="J1100" s="2724" t="str">
        <f>'Part VII-Pro Forma'!J72</f>
        <v/>
      </c>
      <c r="K1100" s="2724" t="str">
        <f>'Part VII-Pro Forma'!K72</f>
        <v/>
      </c>
      <c r="N1100" s="2607"/>
      <c r="O1100" s="2607"/>
    </row>
    <row r="1101" spans="1:18" ht="13.35" customHeight="1">
      <c r="A1101" s="2494" t="s">
        <v>2552</v>
      </c>
      <c r="B1101" s="2724" t="str">
        <f>'Part VII-Pro Forma'!B73</f>
        <v/>
      </c>
      <c r="C1101" s="2724" t="str">
        <f>'Part VII-Pro Forma'!C73</f>
        <v/>
      </c>
      <c r="D1101" s="2724" t="str">
        <f>'Part VII-Pro Forma'!D73</f>
        <v/>
      </c>
      <c r="E1101" s="2724" t="str">
        <f>'Part VII-Pro Forma'!E73</f>
        <v/>
      </c>
      <c r="F1101" s="2724" t="str">
        <f>'Part VII-Pro Forma'!F73</f>
        <v/>
      </c>
      <c r="G1101" s="2724" t="str">
        <f>'Part VII-Pro Forma'!G73</f>
        <v/>
      </c>
      <c r="H1101" s="2724" t="str">
        <f>'Part VII-Pro Forma'!H73</f>
        <v/>
      </c>
      <c r="I1101" s="2724" t="str">
        <f>'Part VII-Pro Forma'!I73</f>
        <v/>
      </c>
      <c r="J1101" s="2724" t="str">
        <f>'Part VII-Pro Forma'!J73</f>
        <v/>
      </c>
      <c r="K1101" s="2724" t="str">
        <f>'Part VII-Pro Forma'!K73</f>
        <v/>
      </c>
      <c r="N1101" s="2607"/>
      <c r="O1101" s="2607"/>
    </row>
    <row r="1102" spans="1:18" ht="13.35" customHeight="1">
      <c r="A1102" s="2494" t="s">
        <v>764</v>
      </c>
      <c r="B1102" s="2724" t="str">
        <f>'Part VII-Pro Forma'!B74</f>
        <v/>
      </c>
      <c r="C1102" s="2724" t="str">
        <f>'Part VII-Pro Forma'!C74</f>
        <v/>
      </c>
      <c r="D1102" s="2724" t="str">
        <f>'Part VII-Pro Forma'!D74</f>
        <v/>
      </c>
      <c r="E1102" s="2724" t="str">
        <f>'Part VII-Pro Forma'!E74</f>
        <v/>
      </c>
      <c r="F1102" s="2724" t="str">
        <f>'Part VII-Pro Forma'!F74</f>
        <v/>
      </c>
      <c r="G1102" s="2724" t="str">
        <f>'Part VII-Pro Forma'!G74</f>
        <v/>
      </c>
      <c r="H1102" s="2724" t="str">
        <f>'Part VII-Pro Forma'!H74</f>
        <v/>
      </c>
      <c r="I1102" s="2724" t="str">
        <f>'Part VII-Pro Forma'!I74</f>
        <v/>
      </c>
      <c r="J1102" s="2724" t="str">
        <f>'Part VII-Pro Forma'!J74</f>
        <v/>
      </c>
      <c r="K1102" s="2724" t="str">
        <f>'Part VII-Pro Forma'!K74</f>
        <v/>
      </c>
      <c r="N1102" s="2607"/>
      <c r="O1102" s="2607"/>
    </row>
    <row r="1103" spans="1:18" ht="13.35" customHeight="1">
      <c r="A1103" s="2494" t="s">
        <v>3777</v>
      </c>
      <c r="B1103" s="2724">
        <f>'Part VII-Pro Forma'!B75</f>
        <v>0</v>
      </c>
      <c r="C1103" s="2724">
        <f>'Part VII-Pro Forma'!C75</f>
        <v>0</v>
      </c>
      <c r="D1103" s="2724">
        <f>'Part VII-Pro Forma'!D75</f>
        <v>0</v>
      </c>
      <c r="E1103" s="2724">
        <f>'Part VII-Pro Forma'!E75</f>
        <v>0</v>
      </c>
      <c r="F1103" s="2724">
        <f>'Part VII-Pro Forma'!F75</f>
        <v>0</v>
      </c>
      <c r="G1103" s="2724">
        <f>'Part VII-Pro Forma'!G75</f>
        <v>0</v>
      </c>
      <c r="H1103" s="2724" t="str">
        <f>'Part VII-Pro Forma'!H75</f>
        <v/>
      </c>
      <c r="I1103" s="2724" t="str">
        <f>'Part VII-Pro Forma'!I75</f>
        <v/>
      </c>
      <c r="J1103" s="2724" t="str">
        <f>'Part VII-Pro Forma'!J75</f>
        <v/>
      </c>
      <c r="K1103" s="2724" t="str">
        <f>'Part VII-Pro Forma'!K75</f>
        <v/>
      </c>
      <c r="N1103" s="2607"/>
      <c r="O1103" s="2607"/>
    </row>
    <row r="1104" spans="1:18" ht="4.3499999999999996" customHeight="1">
      <c r="B1104" s="2724"/>
      <c r="C1104" s="2724"/>
      <c r="D1104" s="2724"/>
      <c r="E1104" s="2724"/>
      <c r="F1104" s="2724"/>
      <c r="G1104" s="2724"/>
      <c r="H1104" s="2724"/>
      <c r="I1104" s="2724"/>
      <c r="J1104" s="2724"/>
      <c r="K1104" s="2724"/>
    </row>
    <row r="1105" spans="1:19" ht="14.4" customHeight="1">
      <c r="A1105" s="2494" t="s">
        <v>2416</v>
      </c>
      <c r="B1105" s="2724">
        <f>K1073+1</f>
        <v>21</v>
      </c>
      <c r="C1105" s="2724">
        <f t="shared" ref="C1105:K1105" si="395">B1105+1</f>
        <v>22</v>
      </c>
      <c r="D1105" s="2724">
        <f t="shared" si="395"/>
        <v>23</v>
      </c>
      <c r="E1105" s="2724">
        <f t="shared" si="395"/>
        <v>24</v>
      </c>
      <c r="F1105" s="2724">
        <f t="shared" si="395"/>
        <v>25</v>
      </c>
      <c r="G1105" s="2724">
        <f t="shared" si="395"/>
        <v>26</v>
      </c>
      <c r="H1105" s="2724">
        <f t="shared" si="395"/>
        <v>27</v>
      </c>
      <c r="I1105" s="2724">
        <f t="shared" si="395"/>
        <v>28</v>
      </c>
      <c r="J1105" s="2724">
        <f t="shared" si="395"/>
        <v>29</v>
      </c>
      <c r="K1105" s="2724">
        <f t="shared" si="395"/>
        <v>30</v>
      </c>
      <c r="N1105" s="2494" t="s">
        <v>2555</v>
      </c>
    </row>
    <row r="1106" spans="1:19" ht="13.35" customHeight="1">
      <c r="A1106" s="2494" t="s">
        <v>2342</v>
      </c>
      <c r="B1106" s="2724">
        <f>'Part VII-Pro Forma'!B78</f>
        <v>2924344.4752854011</v>
      </c>
      <c r="C1106" s="2724">
        <f>'Part VII-Pro Forma'!C78</f>
        <v>2982831.3647911088</v>
      </c>
      <c r="D1106" s="2724">
        <f>'Part VII-Pro Forma'!D78</f>
        <v>3042487.9920869311</v>
      </c>
      <c r="E1106" s="2724">
        <f>'Part VII-Pro Forma'!E78</f>
        <v>3103337.7519286694</v>
      </c>
      <c r="F1106" s="2724">
        <f>'Part VII-Pro Forma'!F78</f>
        <v>3165404.5069672428</v>
      </c>
      <c r="G1106" s="2724">
        <f>'Part VII-Pro Forma'!G78</f>
        <v>3228712.5971065876</v>
      </c>
      <c r="H1106" s="2724">
        <f>'Part VII-Pro Forma'!H78</f>
        <v>3293286.8490487197</v>
      </c>
      <c r="I1106" s="2724">
        <f>'Part VII-Pro Forma'!I78</f>
        <v>3359152.5860296935</v>
      </c>
      <c r="J1106" s="2724">
        <f>'Part VII-Pro Forma'!J78</f>
        <v>3426335.637750288</v>
      </c>
      <c r="K1106" s="2724">
        <f>'Part VII-Pro Forma'!K78</f>
        <v>3494862.3505052933</v>
      </c>
      <c r="N1106" s="2607"/>
      <c r="O1106" s="2607"/>
    </row>
    <row r="1107" spans="1:19" ht="13.35" customHeight="1">
      <c r="A1107" s="2494" t="s">
        <v>994</v>
      </c>
      <c r="B1107" s="2724">
        <f>'Part VII-Pro Forma'!B79</f>
        <v>58486.889505708023</v>
      </c>
      <c r="C1107" s="2724">
        <f>'Part VII-Pro Forma'!C79</f>
        <v>59656.627295822182</v>
      </c>
      <c r="D1107" s="2724">
        <f>'Part VII-Pro Forma'!D79</f>
        <v>60849.759841738625</v>
      </c>
      <c r="E1107" s="2724">
        <f>'Part VII-Pro Forma'!E79</f>
        <v>62066.755038573385</v>
      </c>
      <c r="F1107" s="2724">
        <f>'Part VII-Pro Forma'!F79</f>
        <v>63308.090139344858</v>
      </c>
      <c r="G1107" s="2724">
        <f>'Part VII-Pro Forma'!G79</f>
        <v>64574.251942131756</v>
      </c>
      <c r="H1107" s="2724">
        <f>'Part VII-Pro Forma'!H79</f>
        <v>65865.736980974398</v>
      </c>
      <c r="I1107" s="2724">
        <f>'Part VII-Pro Forma'!I79</f>
        <v>67183.051720593867</v>
      </c>
      <c r="J1107" s="2724">
        <f>'Part VII-Pro Forma'!J79</f>
        <v>68526.712755005763</v>
      </c>
      <c r="K1107" s="2724">
        <f>'Part VII-Pro Forma'!K79</f>
        <v>69897.247010105872</v>
      </c>
      <c r="N1107" s="2607"/>
      <c r="O1107" s="2607"/>
    </row>
    <row r="1108" spans="1:19" ht="13.35" customHeight="1">
      <c r="A1108" s="2494" t="s">
        <v>2343</v>
      </c>
      <c r="B1108" s="2724">
        <f>'Part VII-Pro Forma'!B80</f>
        <v>-208798.19553537766</v>
      </c>
      <c r="C1108" s="2724">
        <f>'Part VII-Pro Forma'!C80</f>
        <v>-212974.15944608519</v>
      </c>
      <c r="D1108" s="2724">
        <f>'Part VII-Pro Forma'!D80</f>
        <v>-217233.64263500692</v>
      </c>
      <c r="E1108" s="2724">
        <f>'Part VII-Pro Forma'!E80</f>
        <v>-221578.315487707</v>
      </c>
      <c r="F1108" s="2724">
        <f>'Part VII-Pro Forma'!F80</f>
        <v>-226009.88179746116</v>
      </c>
      <c r="G1108" s="2724">
        <f>'Part VII-Pro Forma'!G80</f>
        <v>-230530.07943341037</v>
      </c>
      <c r="H1108" s="2724">
        <f>'Part VII-Pro Forma'!H80</f>
        <v>-235140.68102207858</v>
      </c>
      <c r="I1108" s="2724">
        <f>'Part VII-Pro Forma'!I80</f>
        <v>-239843.49464252015</v>
      </c>
      <c r="J1108" s="2724">
        <f>'Part VII-Pro Forma'!J80</f>
        <v>-244640.36453537058</v>
      </c>
      <c r="K1108" s="2724">
        <f>'Part VII-Pro Forma'!K80</f>
        <v>-249533.17182607797</v>
      </c>
      <c r="N1108" s="2607"/>
      <c r="O1108" s="2607"/>
    </row>
    <row r="1109" spans="1:19" ht="13.35" customHeight="1">
      <c r="A1109" s="2494" t="s">
        <v>50</v>
      </c>
      <c r="B1109" s="2724">
        <f>'Part VII-Pro Forma'!B81</f>
        <v>0</v>
      </c>
      <c r="C1109" s="2724">
        <f>'Part VII-Pro Forma'!C81</f>
        <v>0</v>
      </c>
      <c r="D1109" s="2724">
        <f>'Part VII-Pro Forma'!D81</f>
        <v>0</v>
      </c>
      <c r="E1109" s="2724">
        <f>'Part VII-Pro Forma'!E81</f>
        <v>0</v>
      </c>
      <c r="F1109" s="2724">
        <f>'Part VII-Pro Forma'!F81</f>
        <v>0</v>
      </c>
      <c r="G1109" s="2724">
        <f>'Part VII-Pro Forma'!G81</f>
        <v>0</v>
      </c>
      <c r="H1109" s="2724">
        <f>'Part VII-Pro Forma'!H81</f>
        <v>0</v>
      </c>
      <c r="I1109" s="2724">
        <f>'Part VII-Pro Forma'!I81</f>
        <v>0</v>
      </c>
      <c r="J1109" s="2724">
        <f>'Part VII-Pro Forma'!J81</f>
        <v>0</v>
      </c>
      <c r="K1109" s="2724">
        <f>'Part VII-Pro Forma'!K81</f>
        <v>0</v>
      </c>
      <c r="N1109" s="2607"/>
      <c r="O1109" s="2607"/>
    </row>
    <row r="1110" spans="1:19" ht="13.35" customHeight="1">
      <c r="A1110" s="2494" t="s">
        <v>51</v>
      </c>
      <c r="B1110" s="2724">
        <f>'Part VII-Pro Forma'!B82</f>
        <v>0</v>
      </c>
      <c r="C1110" s="2724">
        <f>'Part VII-Pro Forma'!C82</f>
        <v>0</v>
      </c>
      <c r="D1110" s="2724">
        <f>'Part VII-Pro Forma'!D82</f>
        <v>0</v>
      </c>
      <c r="E1110" s="2724">
        <f>'Part VII-Pro Forma'!E82</f>
        <v>0</v>
      </c>
      <c r="F1110" s="2724">
        <f>'Part VII-Pro Forma'!F82</f>
        <v>0</v>
      </c>
      <c r="G1110" s="2724">
        <f>'Part VII-Pro Forma'!G82</f>
        <v>0</v>
      </c>
      <c r="H1110" s="2724">
        <f>'Part VII-Pro Forma'!H82</f>
        <v>0</v>
      </c>
      <c r="I1110" s="2724">
        <f>'Part VII-Pro Forma'!I82</f>
        <v>0</v>
      </c>
      <c r="J1110" s="2724">
        <f>'Part VII-Pro Forma'!J82</f>
        <v>0</v>
      </c>
      <c r="K1110" s="2724">
        <f>'Part VII-Pro Forma'!K82</f>
        <v>0</v>
      </c>
      <c r="N1110" s="2607"/>
      <c r="O1110" s="2607"/>
    </row>
    <row r="1111" spans="1:19" ht="13.35" customHeight="1">
      <c r="A1111" s="2494" t="s">
        <v>4384</v>
      </c>
      <c r="B1111" s="2724">
        <f>'Part VII-Pro Forma'!B83</f>
        <v>2774033.1692557316</v>
      </c>
      <c r="C1111" s="2724">
        <f>'Part VII-Pro Forma'!C83</f>
        <v>2829513.8326408458</v>
      </c>
      <c r="D1111" s="2724">
        <f>'Part VII-Pro Forma'!D83</f>
        <v>2886104.1092936629</v>
      </c>
      <c r="E1111" s="2724">
        <f>'Part VII-Pro Forma'!E83</f>
        <v>2943826.1914795358</v>
      </c>
      <c r="F1111" s="2724">
        <f>'Part VII-Pro Forma'!F83</f>
        <v>3002702.7153091263</v>
      </c>
      <c r="G1111" s="2724">
        <f>'Part VII-Pro Forma'!G83</f>
        <v>3062756.7696153088</v>
      </c>
      <c r="H1111" s="2724">
        <f>'Part VII-Pro Forma'!H83</f>
        <v>3124011.9050076152</v>
      </c>
      <c r="I1111" s="2724">
        <f>'Part VII-Pro Forma'!I83</f>
        <v>3186492.1431077672</v>
      </c>
      <c r="J1111" s="2724">
        <f>'Part VII-Pro Forma'!J83</f>
        <v>3250221.9859699234</v>
      </c>
      <c r="K1111" s="2724">
        <f>'Part VII-Pro Forma'!K83</f>
        <v>3315226.425689321</v>
      </c>
      <c r="N1111" s="2607"/>
      <c r="O1111" s="2607"/>
    </row>
    <row r="1112" spans="1:19" ht="13.35" customHeight="1">
      <c r="A1112" s="2494" t="s">
        <v>597</v>
      </c>
      <c r="B1112" s="2724">
        <f>'Part VII-Pro Forma'!B84</f>
        <v>-1519300.7706039103</v>
      </c>
      <c r="C1112" s="2724">
        <f>'Part VII-Pro Forma'!C84</f>
        <v>-1564879.7937220274</v>
      </c>
      <c r="D1112" s="2724">
        <f>'Part VII-Pro Forma'!D84</f>
        <v>-1611826.1875336885</v>
      </c>
      <c r="E1112" s="2724">
        <f>'Part VII-Pro Forma'!E84</f>
        <v>-1660180.9731596992</v>
      </c>
      <c r="F1112" s="2724">
        <f>'Part VII-Pro Forma'!F84</f>
        <v>-1709986.40235449</v>
      </c>
      <c r="G1112" s="2724">
        <f>'Part VII-Pro Forma'!G84</f>
        <v>-1761285.9944251247</v>
      </c>
      <c r="H1112" s="2724">
        <f>'Part VII-Pro Forma'!H84</f>
        <v>-1814124.5742578786</v>
      </c>
      <c r="I1112" s="2724">
        <f>'Part VII-Pro Forma'!I84</f>
        <v>-1868548.3114856149</v>
      </c>
      <c r="J1112" s="2724">
        <f>'Part VII-Pro Forma'!J84</f>
        <v>-1924604.7608301833</v>
      </c>
      <c r="K1112" s="2724">
        <f>'Part VII-Pro Forma'!K84</f>
        <v>-1982342.9036550885</v>
      </c>
      <c r="N1112" s="2607"/>
      <c r="O1112" s="2607"/>
    </row>
    <row r="1113" spans="1:19" ht="13.35" customHeight="1">
      <c r="A1113" s="2494" t="s">
        <v>1093</v>
      </c>
      <c r="B1113" s="2724">
        <f>'Part VII-Pro Forma'!B85</f>
        <v>-138702</v>
      </c>
      <c r="C1113" s="2724">
        <f>'Part VII-Pro Forma'!C85</f>
        <v>-141476</v>
      </c>
      <c r="D1113" s="2724">
        <f>'Part VII-Pro Forma'!D85</f>
        <v>-144305</v>
      </c>
      <c r="E1113" s="2724">
        <f>'Part VII-Pro Forma'!E85</f>
        <v>-147191</v>
      </c>
      <c r="F1113" s="2724">
        <f>'Part VII-Pro Forma'!F85</f>
        <v>-150135</v>
      </c>
      <c r="G1113" s="2724">
        <f>'Part VII-Pro Forma'!G85</f>
        <v>-153138</v>
      </c>
      <c r="H1113" s="2724">
        <f>'Part VII-Pro Forma'!H85</f>
        <v>-156201</v>
      </c>
      <c r="I1113" s="2724">
        <f>'Part VII-Pro Forma'!I85</f>
        <v>-159325</v>
      </c>
      <c r="J1113" s="2724">
        <f>'Part VII-Pro Forma'!J85</f>
        <v>-162511</v>
      </c>
      <c r="K1113" s="2724">
        <f>'Part VII-Pro Forma'!K85</f>
        <v>-165761</v>
      </c>
      <c r="N1113" s="2607"/>
      <c r="O1113" s="2607"/>
    </row>
    <row r="1114" spans="1:19" ht="13.35" customHeight="1">
      <c r="A1114" s="2494" t="s">
        <v>1176</v>
      </c>
      <c r="B1114" s="2724">
        <f>'Part VII-Pro Forma'!B86</f>
        <v>-90305.561733470662</v>
      </c>
      <c r="C1114" s="2724">
        <f>'Part VII-Pro Forma'!C86</f>
        <v>-93014.728585474775</v>
      </c>
      <c r="D1114" s="2724">
        <f>'Part VII-Pro Forma'!D86</f>
        <v>-95805.170443039024</v>
      </c>
      <c r="E1114" s="2724">
        <f>'Part VII-Pro Forma'!E86</f>
        <v>-98679.325556330194</v>
      </c>
      <c r="F1114" s="2724">
        <f>'Part VII-Pro Forma'!F86</f>
        <v>-101639.70532302008</v>
      </c>
      <c r="G1114" s="2724">
        <f>'Part VII-Pro Forma'!G86</f>
        <v>-104688.8964827107</v>
      </c>
      <c r="H1114" s="2724">
        <f>'Part VII-Pro Forma'!H86</f>
        <v>-107829.56337719203</v>
      </c>
      <c r="I1114" s="2724">
        <f>'Part VII-Pro Forma'!I86</f>
        <v>-111064.45027850778</v>
      </c>
      <c r="J1114" s="2724">
        <f>'Part VII-Pro Forma'!J86</f>
        <v>-114396.38378686301</v>
      </c>
      <c r="K1114" s="2724">
        <f>'Part VII-Pro Forma'!K86</f>
        <v>-117828.27530046889</v>
      </c>
      <c r="N1114" s="2607"/>
      <c r="O1114" s="2607"/>
      <c r="Q1114" s="2613">
        <v>10</v>
      </c>
      <c r="R1114" s="2672">
        <f>-SUM(B1120:K1120)</f>
        <v>0</v>
      </c>
      <c r="S1114" s="2672">
        <f>SUM(B1121:K1121)+R1114</f>
        <v>0</v>
      </c>
    </row>
    <row r="1115" spans="1:19" ht="13.35" customHeight="1">
      <c r="A1115" s="2494" t="s">
        <v>4383</v>
      </c>
      <c r="B1115" s="2724">
        <f>'Part VII-Pro Forma'!B87</f>
        <v>0</v>
      </c>
      <c r="C1115" s="2724">
        <f>'Part VII-Pro Forma'!C87</f>
        <v>0</v>
      </c>
      <c r="D1115" s="2724">
        <f>'Part VII-Pro Forma'!D87</f>
        <v>0</v>
      </c>
      <c r="E1115" s="2724">
        <f>'Part VII-Pro Forma'!E87</f>
        <v>0</v>
      </c>
      <c r="F1115" s="2724">
        <f>'Part VII-Pro Forma'!F87</f>
        <v>0</v>
      </c>
      <c r="G1115" s="2724">
        <f>'Part VII-Pro Forma'!G87</f>
        <v>0</v>
      </c>
      <c r="H1115" s="2724">
        <f>'Part VII-Pro Forma'!H87</f>
        <v>0</v>
      </c>
      <c r="I1115" s="2724">
        <f>'Part VII-Pro Forma'!I87</f>
        <v>0</v>
      </c>
      <c r="J1115" s="2724">
        <f>'Part VII-Pro Forma'!J87</f>
        <v>0</v>
      </c>
      <c r="K1115" s="2724">
        <f>'Part VII-Pro Forma'!K87</f>
        <v>0</v>
      </c>
      <c r="N1115" s="2607"/>
      <c r="O1115" s="2607"/>
    </row>
    <row r="1116" spans="1:19" ht="13.35" customHeight="1">
      <c r="A1116" s="2494" t="s">
        <v>1177</v>
      </c>
      <c r="B1116" s="2724">
        <f>'Part VII-Pro Forma'!B88</f>
        <v>1025724.8369183507</v>
      </c>
      <c r="C1116" s="2724">
        <f>'Part VII-Pro Forma'!C88</f>
        <v>1030143.3103333436</v>
      </c>
      <c r="D1116" s="2724">
        <f>'Part VII-Pro Forma'!D88</f>
        <v>1034167.7513169354</v>
      </c>
      <c r="E1116" s="2724">
        <f>'Part VII-Pro Forma'!E88</f>
        <v>1037774.8927635064</v>
      </c>
      <c r="F1116" s="2724">
        <f>'Part VII-Pro Forma'!F88</f>
        <v>1040941.6076316162</v>
      </c>
      <c r="G1116" s="2724">
        <f>'Part VII-Pro Forma'!G88</f>
        <v>1043643.8787074734</v>
      </c>
      <c r="H1116" s="2724">
        <f>'Part VII-Pro Forma'!H88</f>
        <v>1045856.7673725446</v>
      </c>
      <c r="I1116" s="2724">
        <f>'Part VII-Pro Forma'!I88</f>
        <v>1047554.3813436446</v>
      </c>
      <c r="J1116" s="2724">
        <f>'Part VII-Pro Forma'!J88</f>
        <v>1048709.8413528772</v>
      </c>
      <c r="K1116" s="2724">
        <f>'Part VII-Pro Forma'!K88</f>
        <v>1049294.2467337637</v>
      </c>
      <c r="N1116" s="2607"/>
      <c r="O1116" s="2607"/>
    </row>
    <row r="1117" spans="1:19" ht="13.35" customHeight="1">
      <c r="A1117" s="2494" t="str">
        <f>$A1085</f>
        <v>Mortgage A</v>
      </c>
      <c r="B1117" s="2724">
        <f>'Part VII-Pro Forma'!B89</f>
        <v>-727921.67425877007</v>
      </c>
      <c r="C1117" s="2724">
        <f>'Part VII-Pro Forma'!C89</f>
        <v>-727921.67425877007</v>
      </c>
      <c r="D1117" s="2724">
        <f>'Part VII-Pro Forma'!D89</f>
        <v>-727921.67425877007</v>
      </c>
      <c r="E1117" s="2724">
        <f>'Part VII-Pro Forma'!E89</f>
        <v>-727921.67425877007</v>
      </c>
      <c r="F1117" s="2724">
        <f>'Part VII-Pro Forma'!F89</f>
        <v>-727921.67425877007</v>
      </c>
      <c r="G1117" s="2724">
        <f>'Part VII-Pro Forma'!G89</f>
        <v>-727921.67425877007</v>
      </c>
      <c r="H1117" s="2724">
        <f>'Part VII-Pro Forma'!H89</f>
        <v>-727921.67425877007</v>
      </c>
      <c r="I1117" s="2724">
        <f>'Part VII-Pro Forma'!I89</f>
        <v>-727921.67425877007</v>
      </c>
      <c r="J1117" s="2724">
        <f>'Part VII-Pro Forma'!J89</f>
        <v>-727921.67425877007</v>
      </c>
      <c r="K1117" s="2724">
        <f>'Part VII-Pro Forma'!K89</f>
        <v>-727921.67425877007</v>
      </c>
      <c r="N1117" s="2607"/>
      <c r="O1117" s="2607"/>
    </row>
    <row r="1118" spans="1:19" ht="13.35" customHeight="1">
      <c r="A1118" s="2494" t="str">
        <f>$A1086</f>
        <v>Mortgage B</v>
      </c>
      <c r="B1118" s="2724">
        <f>'Part VII-Pro Forma'!B90</f>
        <v>0</v>
      </c>
      <c r="C1118" s="2724">
        <f>'Part VII-Pro Forma'!C90</f>
        <v>0</v>
      </c>
      <c r="D1118" s="2724">
        <f>'Part VII-Pro Forma'!D90</f>
        <v>0</v>
      </c>
      <c r="E1118" s="2724">
        <f>'Part VII-Pro Forma'!E90</f>
        <v>0</v>
      </c>
      <c r="F1118" s="2724">
        <f>'Part VII-Pro Forma'!F90</f>
        <v>0</v>
      </c>
      <c r="G1118" s="2724">
        <f>'Part VII-Pro Forma'!G90</f>
        <v>0</v>
      </c>
      <c r="H1118" s="2724">
        <f>'Part VII-Pro Forma'!H90</f>
        <v>0</v>
      </c>
      <c r="I1118" s="2724">
        <f>'Part VII-Pro Forma'!I90</f>
        <v>0</v>
      </c>
      <c r="J1118" s="2724">
        <f>'Part VII-Pro Forma'!J90</f>
        <v>0</v>
      </c>
      <c r="K1118" s="2724">
        <f>'Part VII-Pro Forma'!K90</f>
        <v>0</v>
      </c>
      <c r="N1118" s="2607"/>
      <c r="O1118" s="2607"/>
    </row>
    <row r="1119" spans="1:19" ht="13.35" customHeight="1">
      <c r="A1119" s="2494" t="str">
        <f>$A1087</f>
        <v>Mortgage C</v>
      </c>
      <c r="B1119" s="2724">
        <f>'Part VII-Pro Forma'!B91</f>
        <v>0</v>
      </c>
      <c r="C1119" s="2724">
        <f>'Part VII-Pro Forma'!C91</f>
        <v>0</v>
      </c>
      <c r="D1119" s="2724">
        <f>'Part VII-Pro Forma'!D91</f>
        <v>0</v>
      </c>
      <c r="E1119" s="2724">
        <f>'Part VII-Pro Forma'!E91</f>
        <v>0</v>
      </c>
      <c r="F1119" s="2724">
        <f>'Part VII-Pro Forma'!F91</f>
        <v>0</v>
      </c>
      <c r="G1119" s="2724">
        <f>'Part VII-Pro Forma'!G91</f>
        <v>0</v>
      </c>
      <c r="H1119" s="2724">
        <f>'Part VII-Pro Forma'!H91</f>
        <v>0</v>
      </c>
      <c r="I1119" s="2724">
        <f>'Part VII-Pro Forma'!I91</f>
        <v>0</v>
      </c>
      <c r="J1119" s="2724">
        <f>'Part VII-Pro Forma'!J91</f>
        <v>0</v>
      </c>
      <c r="K1119" s="2724">
        <f>'Part VII-Pro Forma'!K91</f>
        <v>0</v>
      </c>
      <c r="N1119" s="2607"/>
      <c r="O1119" s="2607"/>
    </row>
    <row r="1120" spans="1:19" ht="13.35" customHeight="1">
      <c r="A1120" s="2494" t="str">
        <f>$A1088</f>
        <v>D/S Other Source,not DDF</v>
      </c>
      <c r="B1120" s="2724">
        <f>'Part VII-Pro Forma'!B92</f>
        <v>0</v>
      </c>
      <c r="C1120" s="2724">
        <f>'Part VII-Pro Forma'!C92</f>
        <v>0</v>
      </c>
      <c r="D1120" s="2724">
        <f>'Part VII-Pro Forma'!D92</f>
        <v>0</v>
      </c>
      <c r="E1120" s="2724">
        <f>'Part VII-Pro Forma'!E92</f>
        <v>0</v>
      </c>
      <c r="F1120" s="2724">
        <f>'Part VII-Pro Forma'!F92</f>
        <v>0</v>
      </c>
      <c r="G1120" s="2724">
        <f>'Part VII-Pro Forma'!G92</f>
        <v>0</v>
      </c>
      <c r="H1120" s="2724">
        <f>'Part VII-Pro Forma'!H92</f>
        <v>0</v>
      </c>
      <c r="I1120" s="2724">
        <f>'Part VII-Pro Forma'!I92</f>
        <v>0</v>
      </c>
      <c r="J1120" s="2724">
        <f>'Part VII-Pro Forma'!J92</f>
        <v>0</v>
      </c>
      <c r="K1120" s="2724">
        <f>'Part VII-Pro Forma'!K92</f>
        <v>0</v>
      </c>
      <c r="N1120" s="2607"/>
      <c r="O1120" s="2607"/>
    </row>
    <row r="1121" spans="1:15" ht="13.35" customHeight="1">
      <c r="A1121" s="2494" t="s">
        <v>745</v>
      </c>
      <c r="B1121" s="2724">
        <f>'Part VII-Pro Forma'!B93</f>
        <v>0</v>
      </c>
      <c r="C1121" s="2724">
        <f>'Part VII-Pro Forma'!C93</f>
        <v>0</v>
      </c>
      <c r="D1121" s="2724">
        <f>'Part VII-Pro Forma'!D93</f>
        <v>0</v>
      </c>
      <c r="E1121" s="2724">
        <f>'Part VII-Pro Forma'!E93</f>
        <v>0</v>
      </c>
      <c r="F1121" s="2724">
        <f>'Part VII-Pro Forma'!F93</f>
        <v>0</v>
      </c>
      <c r="G1121" s="2724">
        <f>'Part VII-Pro Forma'!G93</f>
        <v>0</v>
      </c>
      <c r="H1121" s="2724">
        <f>'Part VII-Pro Forma'!H93</f>
        <v>0</v>
      </c>
      <c r="I1121" s="2724">
        <f>'Part VII-Pro Forma'!I93</f>
        <v>0</v>
      </c>
      <c r="J1121" s="2724">
        <f>'Part VII-Pro Forma'!J93</f>
        <v>0</v>
      </c>
      <c r="K1121" s="2724">
        <f>'Part VII-Pro Forma'!K93</f>
        <v>0</v>
      </c>
      <c r="N1121" s="2607"/>
      <c r="O1121" s="2607"/>
    </row>
    <row r="1122" spans="1:15" ht="13.35" customHeight="1">
      <c r="A1122" s="2494" t="s">
        <v>1141</v>
      </c>
      <c r="B1122" s="2724">
        <f>'Part VII-Pro Forma'!B94</f>
        <v>-5000</v>
      </c>
      <c r="C1122" s="2724">
        <f>'Part VII-Pro Forma'!C94</f>
        <v>-5000</v>
      </c>
      <c r="D1122" s="2724">
        <f>'Part VII-Pro Forma'!D94</f>
        <v>-5000</v>
      </c>
      <c r="E1122" s="2724">
        <f>'Part VII-Pro Forma'!E94</f>
        <v>-5000</v>
      </c>
      <c r="F1122" s="2724">
        <f>'Part VII-Pro Forma'!F94</f>
        <v>-5000</v>
      </c>
      <c r="G1122" s="2724">
        <f>'Part VII-Pro Forma'!G94</f>
        <v>-5000</v>
      </c>
      <c r="H1122" s="2724">
        <f>'Part VII-Pro Forma'!H94</f>
        <v>-5000</v>
      </c>
      <c r="I1122" s="2724">
        <f>'Part VII-Pro Forma'!I94</f>
        <v>-5000</v>
      </c>
      <c r="J1122" s="2724">
        <f>'Part VII-Pro Forma'!J94</f>
        <v>-5000</v>
      </c>
      <c r="K1122" s="2724">
        <f>'Part VII-Pro Forma'!K94</f>
        <v>-5000</v>
      </c>
      <c r="N1122" s="2607"/>
      <c r="O1122" s="2607"/>
    </row>
    <row r="1123" spans="1:15" ht="13.35" customHeight="1">
      <c r="A1123" s="2494" t="s">
        <v>1142</v>
      </c>
      <c r="B1123" s="2724">
        <f>'Part VII-Pro Forma'!B95</f>
        <v>292803.16265958059</v>
      </c>
      <c r="C1123" s="2724">
        <f>'Part VII-Pro Forma'!C95</f>
        <v>297221.6360745735</v>
      </c>
      <c r="D1123" s="2724">
        <f>'Part VII-Pro Forma'!D95</f>
        <v>301246.07705816533</v>
      </c>
      <c r="E1123" s="2724">
        <f>'Part VII-Pro Forma'!E95</f>
        <v>304853.21850473632</v>
      </c>
      <c r="F1123" s="2724">
        <f>'Part VII-Pro Forma'!F95</f>
        <v>308019.93337284611</v>
      </c>
      <c r="G1123" s="2724">
        <f>'Part VII-Pro Forma'!G95</f>
        <v>310722.20444870333</v>
      </c>
      <c r="H1123" s="2724">
        <f>'Part VII-Pro Forma'!H95</f>
        <v>312935.09311377455</v>
      </c>
      <c r="I1123" s="2724">
        <f>'Part VII-Pro Forma'!I95</f>
        <v>314632.70708487451</v>
      </c>
      <c r="J1123" s="2724">
        <f>'Part VII-Pro Forma'!J95</f>
        <v>315788.16709410714</v>
      </c>
      <c r="K1123" s="2724">
        <f>'Part VII-Pro Forma'!K95</f>
        <v>316372.57247499365</v>
      </c>
      <c r="N1123" s="2607"/>
      <c r="O1123" s="2607"/>
    </row>
    <row r="1124" spans="1:15" ht="13.35" customHeight="1">
      <c r="A1124" s="2494" t="str">
        <f>$A1093</f>
        <v>DCR Mortgage A</v>
      </c>
      <c r="B1124" s="2724">
        <f>'Part VII-Pro Forma'!B96</f>
        <v>1.4091142951098803</v>
      </c>
      <c r="C1124" s="2724">
        <f>'Part VII-Pro Forma'!C96</f>
        <v>1.4151842797953784</v>
      </c>
      <c r="D1124" s="2724">
        <f>'Part VII-Pro Forma'!D96</f>
        <v>1.4207129529011626</v>
      </c>
      <c r="E1124" s="2724">
        <f>'Part VII-Pro Forma'!E96</f>
        <v>1.4256683506783261</v>
      </c>
      <c r="F1124" s="2724">
        <f>'Part VII-Pro Forma'!F96</f>
        <v>1.430018701794515</v>
      </c>
      <c r="G1124" s="2724">
        <f>'Part VII-Pro Forma'!G96</f>
        <v>1.4337310120215856</v>
      </c>
      <c r="H1124" s="2724">
        <f>'Part VII-Pro Forma'!H96</f>
        <v>1.4367710213293516</v>
      </c>
      <c r="I1124" s="2724">
        <f>'Part VII-Pro Forma'!I96</f>
        <v>1.4391031595677528</v>
      </c>
      <c r="J1124" s="2724">
        <f>'Part VII-Pro Forma'!J96</f>
        <v>1.4406905006926194</v>
      </c>
      <c r="K1124" s="2724">
        <f>'Part VII-Pro Forma'!K96</f>
        <v>1.4414933417146036</v>
      </c>
      <c r="N1124" s="2607"/>
      <c r="O1124" s="2607"/>
    </row>
    <row r="1125" spans="1:15" ht="13.35" customHeight="1">
      <c r="A1125" s="2494" t="str">
        <f>$A1094</f>
        <v>DCR Mortgage B</v>
      </c>
      <c r="B1125" s="2724" t="str">
        <f>'Part VII-Pro Forma'!B97</f>
        <v/>
      </c>
      <c r="C1125" s="2724" t="str">
        <f>'Part VII-Pro Forma'!C97</f>
        <v/>
      </c>
      <c r="D1125" s="2724" t="str">
        <f>'Part VII-Pro Forma'!D97</f>
        <v/>
      </c>
      <c r="E1125" s="2724" t="str">
        <f>'Part VII-Pro Forma'!E97</f>
        <v/>
      </c>
      <c r="F1125" s="2724" t="str">
        <f>'Part VII-Pro Forma'!F97</f>
        <v/>
      </c>
      <c r="G1125" s="2724" t="str">
        <f>'Part VII-Pro Forma'!G97</f>
        <v/>
      </c>
      <c r="H1125" s="2724" t="str">
        <f>'Part VII-Pro Forma'!H97</f>
        <v/>
      </c>
      <c r="I1125" s="2724" t="str">
        <f>'Part VII-Pro Forma'!I97</f>
        <v/>
      </c>
      <c r="J1125" s="2724" t="str">
        <f>'Part VII-Pro Forma'!J97</f>
        <v/>
      </c>
      <c r="K1125" s="2724" t="str">
        <f>'Part VII-Pro Forma'!K97</f>
        <v/>
      </c>
      <c r="N1125" s="2607"/>
      <c r="O1125" s="2607"/>
    </row>
    <row r="1126" spans="1:15" ht="13.35" customHeight="1">
      <c r="A1126" s="2494" t="str">
        <f>$A1095</f>
        <v>DCR Mortgage C</v>
      </c>
      <c r="B1126" s="2724" t="str">
        <f>'Part VII-Pro Forma'!B98</f>
        <v/>
      </c>
      <c r="C1126" s="2724" t="str">
        <f>'Part VII-Pro Forma'!C98</f>
        <v/>
      </c>
      <c r="D1126" s="2724" t="str">
        <f>'Part VII-Pro Forma'!D98</f>
        <v/>
      </c>
      <c r="E1126" s="2724" t="str">
        <f>'Part VII-Pro Forma'!E98</f>
        <v/>
      </c>
      <c r="F1126" s="2724" t="str">
        <f>'Part VII-Pro Forma'!F98</f>
        <v/>
      </c>
      <c r="G1126" s="2724" t="str">
        <f>'Part VII-Pro Forma'!G98</f>
        <v/>
      </c>
      <c r="H1126" s="2724" t="str">
        <f>'Part VII-Pro Forma'!H98</f>
        <v/>
      </c>
      <c r="I1126" s="2724" t="str">
        <f>'Part VII-Pro Forma'!I98</f>
        <v/>
      </c>
      <c r="J1126" s="2724" t="str">
        <f>'Part VII-Pro Forma'!J98</f>
        <v/>
      </c>
      <c r="K1126" s="2724" t="str">
        <f>'Part VII-Pro Forma'!K98</f>
        <v/>
      </c>
      <c r="N1126" s="2607"/>
      <c r="O1126" s="2607"/>
    </row>
    <row r="1127" spans="1:15" ht="13.35" customHeight="1">
      <c r="A1127" s="2494" t="str">
        <f>$A1096</f>
        <v>DCR Other Source</v>
      </c>
      <c r="B1127" s="2724" t="str">
        <f>'Part VII-Pro Forma'!B99</f>
        <v/>
      </c>
      <c r="C1127" s="2724" t="str">
        <f>'Part VII-Pro Forma'!C99</f>
        <v/>
      </c>
      <c r="D1127" s="2724" t="str">
        <f>'Part VII-Pro Forma'!D99</f>
        <v/>
      </c>
      <c r="E1127" s="2724" t="str">
        <f>'Part VII-Pro Forma'!E99</f>
        <v/>
      </c>
      <c r="F1127" s="2724" t="str">
        <f>'Part VII-Pro Forma'!F99</f>
        <v/>
      </c>
      <c r="G1127" s="2724" t="str">
        <f>'Part VII-Pro Forma'!G99</f>
        <v/>
      </c>
      <c r="H1127" s="2724" t="str">
        <f>'Part VII-Pro Forma'!H99</f>
        <v/>
      </c>
      <c r="I1127" s="2724" t="str">
        <f>'Part VII-Pro Forma'!I99</f>
        <v/>
      </c>
      <c r="J1127" s="2724" t="str">
        <f>'Part VII-Pro Forma'!J99</f>
        <v/>
      </c>
      <c r="K1127" s="2724" t="str">
        <f>'Part VII-Pro Forma'!K99</f>
        <v/>
      </c>
      <c r="N1127" s="2607"/>
      <c r="O1127" s="2607"/>
    </row>
    <row r="1128" spans="1:15" ht="13.35" customHeight="1">
      <c r="A1128" s="2494" t="s">
        <v>3536</v>
      </c>
      <c r="B1128" s="2724">
        <f>'Part VII-Pro Forma'!B100</f>
        <v>1.4091142951098803</v>
      </c>
      <c r="C1128" s="2724">
        <f>'Part VII-Pro Forma'!C100</f>
        <v>1.4151842797953784</v>
      </c>
      <c r="D1128" s="2724">
        <f>'Part VII-Pro Forma'!D100</f>
        <v>1.4207129529011626</v>
      </c>
      <c r="E1128" s="2724">
        <f>'Part VII-Pro Forma'!E100</f>
        <v>1.4256683506783261</v>
      </c>
      <c r="F1128" s="2724">
        <f>'Part VII-Pro Forma'!F100</f>
        <v>1.430018701794515</v>
      </c>
      <c r="G1128" s="2724">
        <f>'Part VII-Pro Forma'!G100</f>
        <v>1.4337310120215856</v>
      </c>
      <c r="H1128" s="2724">
        <f>'Part VII-Pro Forma'!H100</f>
        <v>1.4367710213293516</v>
      </c>
      <c r="I1128" s="2724">
        <f>'Part VII-Pro Forma'!I100</f>
        <v>1.4391031595677528</v>
      </c>
      <c r="J1128" s="2724">
        <f>'Part VII-Pro Forma'!J100</f>
        <v>1.4406905006926194</v>
      </c>
      <c r="K1128" s="2724">
        <f>'Part VII-Pro Forma'!K100</f>
        <v>1.4414933417146036</v>
      </c>
      <c r="N1128" s="2607"/>
      <c r="O1128" s="2607"/>
    </row>
    <row r="1129" spans="1:15" ht="13.35" customHeight="1">
      <c r="A1129" s="2494" t="s">
        <v>752</v>
      </c>
      <c r="B1129" s="2724">
        <f>'Part VII-Pro Forma'!B101</f>
        <v>1.5866956176700362</v>
      </c>
      <c r="C1129" s="2724">
        <f>'Part VII-Pro Forma'!C101</f>
        <v>1.5725020486677164</v>
      </c>
      <c r="D1129" s="2724">
        <f>'Part VII-Pro Forma'!D101</f>
        <v>1.5584251029267451</v>
      </c>
      <c r="E1129" s="2724">
        <f>'Part VII-Pro Forma'!E101</f>
        <v>1.5444632541960341</v>
      </c>
      <c r="F1129" s="2724">
        <f>'Part VII-Pro Forma'!F101</f>
        <v>1.5306158856742584</v>
      </c>
      <c r="G1129" s="2724">
        <f>'Part VII-Pro Forma'!G101</f>
        <v>1.5168823810729222</v>
      </c>
      <c r="H1129" s="2724">
        <f>'Part VII-Pro Forma'!H101</f>
        <v>1.5032621234248777</v>
      </c>
      <c r="I1129" s="2724">
        <f>'Part VII-Pro Forma'!I101</f>
        <v>1.4897544940623506</v>
      </c>
      <c r="J1129" s="2724">
        <f>'Part VII-Pro Forma'!J101</f>
        <v>1.4763588717496268</v>
      </c>
      <c r="K1129" s="2724">
        <f>'Part VII-Pro Forma'!K101</f>
        <v>1.4630739862732423</v>
      </c>
      <c r="N1129" s="2607"/>
      <c r="O1129" s="2607"/>
    </row>
    <row r="1130" spans="1:15" ht="13.35" customHeight="1">
      <c r="A1130" s="2494" t="s">
        <v>2550</v>
      </c>
      <c r="B1130" s="2724">
        <f>'Part VII-Pro Forma'!B102</f>
        <v>7793470.5068394747</v>
      </c>
      <c r="C1130" s="2724">
        <f>'Part VII-Pro Forma'!C102</f>
        <v>7369572.2166365078</v>
      </c>
      <c r="D1130" s="2724">
        <f>'Part VII-Pro Forma'!D102</f>
        <v>6928403.6560496101</v>
      </c>
      <c r="E1130" s="2724">
        <f>'Part VII-Pro Forma'!E102</f>
        <v>6469261.2076166989</v>
      </c>
      <c r="F1130" s="2724">
        <f>'Part VII-Pro Forma'!F102</f>
        <v>5991412.5874146605</v>
      </c>
      <c r="G1130" s="2724">
        <f>'Part VII-Pro Forma'!G102</f>
        <v>5494095.6771434983</v>
      </c>
      <c r="H1130" s="2724">
        <f>'Part VII-Pro Forma'!H102</f>
        <v>4976517.3086277861</v>
      </c>
      <c r="I1130" s="2724">
        <f>'Part VII-Pro Forma'!I102</f>
        <v>4437851.9987968355</v>
      </c>
      <c r="J1130" s="2724">
        <f>'Part VII-Pro Forma'!J102</f>
        <v>3877240.6331260046</v>
      </c>
      <c r="K1130" s="2724">
        <f>'Part VII-Pro Forma'!K102</f>
        <v>3293789.095439373</v>
      </c>
      <c r="N1130" s="2607"/>
      <c r="O1130" s="2607"/>
    </row>
    <row r="1131" spans="1:15" ht="13.35" customHeight="1">
      <c r="A1131" s="2494" t="s">
        <v>2551</v>
      </c>
      <c r="B1131" s="2724" t="str">
        <f>'Part VII-Pro Forma'!B103</f>
        <v/>
      </c>
      <c r="C1131" s="2724" t="str">
        <f>'Part VII-Pro Forma'!C103</f>
        <v/>
      </c>
      <c r="D1131" s="2724" t="str">
        <f>'Part VII-Pro Forma'!D103</f>
        <v/>
      </c>
      <c r="E1131" s="2724" t="str">
        <f>'Part VII-Pro Forma'!E103</f>
        <v/>
      </c>
      <c r="F1131" s="2724" t="str">
        <f>'Part VII-Pro Forma'!F103</f>
        <v/>
      </c>
      <c r="G1131" s="2724" t="str">
        <f>'Part VII-Pro Forma'!G103</f>
        <v/>
      </c>
      <c r="H1131" s="2724" t="str">
        <f>'Part VII-Pro Forma'!H103</f>
        <v/>
      </c>
      <c r="I1131" s="2724" t="str">
        <f>'Part VII-Pro Forma'!I103</f>
        <v/>
      </c>
      <c r="J1131" s="2724" t="str">
        <f>'Part VII-Pro Forma'!J103</f>
        <v/>
      </c>
      <c r="K1131" s="2724" t="str">
        <f>'Part VII-Pro Forma'!K103</f>
        <v/>
      </c>
      <c r="N1131" s="2607"/>
      <c r="O1131" s="2607"/>
    </row>
    <row r="1132" spans="1:15" ht="13.35" customHeight="1">
      <c r="A1132" s="2494" t="s">
        <v>2552</v>
      </c>
      <c r="B1132" s="2724" t="str">
        <f>'Part VII-Pro Forma'!B104</f>
        <v/>
      </c>
      <c r="C1132" s="2724" t="str">
        <f>'Part VII-Pro Forma'!C104</f>
        <v/>
      </c>
      <c r="D1132" s="2724" t="str">
        <f>'Part VII-Pro Forma'!D104</f>
        <v/>
      </c>
      <c r="E1132" s="2724" t="str">
        <f>'Part VII-Pro Forma'!E104</f>
        <v/>
      </c>
      <c r="F1132" s="2724" t="str">
        <f>'Part VII-Pro Forma'!F104</f>
        <v/>
      </c>
      <c r="G1132" s="2724" t="str">
        <f>'Part VII-Pro Forma'!G104</f>
        <v/>
      </c>
      <c r="H1132" s="2724" t="str">
        <f>'Part VII-Pro Forma'!H104</f>
        <v/>
      </c>
      <c r="I1132" s="2724" t="str">
        <f>'Part VII-Pro Forma'!I104</f>
        <v/>
      </c>
      <c r="J1132" s="2724" t="str">
        <f>'Part VII-Pro Forma'!J104</f>
        <v/>
      </c>
      <c r="K1132" s="2724" t="str">
        <f>'Part VII-Pro Forma'!K104</f>
        <v/>
      </c>
      <c r="N1132" s="2607"/>
      <c r="O1132" s="2607"/>
    </row>
    <row r="1133" spans="1:15" ht="13.35" customHeight="1">
      <c r="A1133" s="2494" t="s">
        <v>764</v>
      </c>
      <c r="B1133" s="2724" t="str">
        <f>'Part VII-Pro Forma'!B105</f>
        <v/>
      </c>
      <c r="C1133" s="2724" t="str">
        <f>'Part VII-Pro Forma'!C105</f>
        <v/>
      </c>
      <c r="D1133" s="2724" t="str">
        <f>'Part VII-Pro Forma'!D105</f>
        <v/>
      </c>
      <c r="E1133" s="2724" t="str">
        <f>'Part VII-Pro Forma'!E105</f>
        <v/>
      </c>
      <c r="F1133" s="2724" t="str">
        <f>'Part VII-Pro Forma'!F105</f>
        <v/>
      </c>
      <c r="G1133" s="2724" t="str">
        <f>'Part VII-Pro Forma'!G105</f>
        <v/>
      </c>
      <c r="H1133" s="2724" t="str">
        <f>'Part VII-Pro Forma'!H105</f>
        <v/>
      </c>
      <c r="I1133" s="2724" t="str">
        <f>'Part VII-Pro Forma'!I105</f>
        <v/>
      </c>
      <c r="J1133" s="2724" t="str">
        <f>'Part VII-Pro Forma'!J105</f>
        <v/>
      </c>
      <c r="K1133" s="2724" t="str">
        <f>'Part VII-Pro Forma'!K105</f>
        <v/>
      </c>
      <c r="N1133" s="2607"/>
      <c r="O1133" s="2607"/>
    </row>
    <row r="1134" spans="1:15" ht="4.3499999999999996" customHeight="1">
      <c r="B1134" s="2724"/>
      <c r="C1134" s="2724"/>
      <c r="D1134" s="2724"/>
      <c r="E1134" s="2724"/>
      <c r="F1134" s="2724"/>
      <c r="G1134" s="2724"/>
      <c r="H1134" s="2724"/>
      <c r="I1134" s="2724"/>
      <c r="J1134" s="2724"/>
      <c r="K1134" s="2724"/>
    </row>
    <row r="1135" spans="1:15" ht="14.4" customHeight="1">
      <c r="A1135" s="2494" t="s">
        <v>2416</v>
      </c>
      <c r="B1135" s="2724">
        <f>K1105+1</f>
        <v>31</v>
      </c>
      <c r="C1135" s="2724">
        <f>B1135+1</f>
        <v>32</v>
      </c>
      <c r="D1135" s="2724">
        <f>C1135+1</f>
        <v>33</v>
      </c>
      <c r="E1135" s="2724">
        <f>D1135+1</f>
        <v>34</v>
      </c>
      <c r="F1135" s="2724">
        <f>E1135+1</f>
        <v>35</v>
      </c>
      <c r="G1135" s="2724"/>
      <c r="H1135" s="2724"/>
      <c r="I1135" s="2724"/>
      <c r="J1135" s="2724"/>
      <c r="K1135" s="2724"/>
      <c r="N1135" s="2494" t="s">
        <v>3527</v>
      </c>
    </row>
    <row r="1136" spans="1:15" ht="13.35" customHeight="1">
      <c r="A1136" s="2494" t="s">
        <v>2342</v>
      </c>
      <c r="B1136" s="2724">
        <f>'Part VII-Pro Forma'!B108</f>
        <v>3564759.5975153996</v>
      </c>
      <c r="C1136" s="2724">
        <f>'Part VII-Pro Forma'!C108</f>
        <v>3636054.7894657068</v>
      </c>
      <c r="D1136" s="2724">
        <f>'Part VII-Pro Forma'!D108</f>
        <v>3708775.8852550215</v>
      </c>
      <c r="E1136" s="2724">
        <f>'Part VII-Pro Forma'!E108</f>
        <v>3782951.4029601226</v>
      </c>
      <c r="F1136" s="2724">
        <f>'Part VII-Pro Forma'!F108</f>
        <v>3858610.4310193243</v>
      </c>
      <c r="G1136" s="2724"/>
      <c r="H1136" s="2724"/>
      <c r="I1136" s="2724"/>
      <c r="J1136" s="2724"/>
      <c r="K1136" s="2724"/>
      <c r="N1136" s="2607"/>
      <c r="O1136" s="2607"/>
    </row>
    <row r="1137" spans="1:19" ht="13.35" customHeight="1">
      <c r="A1137" s="2494" t="s">
        <v>994</v>
      </c>
      <c r="B1137" s="2724">
        <f>'Part VII-Pro Forma'!B109</f>
        <v>71295.191950307999</v>
      </c>
      <c r="C1137" s="2724">
        <f>'Part VII-Pro Forma'!C109</f>
        <v>72721.095789314131</v>
      </c>
      <c r="D1137" s="2724">
        <f>'Part VII-Pro Forma'!D109</f>
        <v>74175.517705100428</v>
      </c>
      <c r="E1137" s="2724">
        <f>'Part VII-Pro Forma'!E109</f>
        <v>75659.02805920245</v>
      </c>
      <c r="F1137" s="2724">
        <f>'Part VII-Pro Forma'!F109</f>
        <v>77172.208620386489</v>
      </c>
      <c r="G1137" s="2724"/>
      <c r="H1137" s="2724"/>
      <c r="I1137" s="2724"/>
      <c r="J1137" s="2724"/>
      <c r="K1137" s="2724"/>
      <c r="N1137" s="2607"/>
      <c r="O1137" s="2607"/>
    </row>
    <row r="1138" spans="1:19" ht="13.35" customHeight="1">
      <c r="A1138" s="2494" t="s">
        <v>2343</v>
      </c>
      <c r="B1138" s="2724">
        <f>'Part VII-Pro Forma'!B110</f>
        <v>-254523.83526259958</v>
      </c>
      <c r="C1138" s="2724">
        <f>'Part VII-Pro Forma'!C110</f>
        <v>-259614.31196785151</v>
      </c>
      <c r="D1138" s="2724">
        <f>'Part VII-Pro Forma'!D110</f>
        <v>-264806.59820720856</v>
      </c>
      <c r="E1138" s="2724">
        <f>'Part VII-Pro Forma'!E110</f>
        <v>-270102.73017135274</v>
      </c>
      <c r="F1138" s="2724">
        <f>'Part VII-Pro Forma'!F110</f>
        <v>-275504.78477477981</v>
      </c>
      <c r="G1138" s="2724"/>
      <c r="H1138" s="2724"/>
      <c r="I1138" s="2724"/>
      <c r="J1138" s="2724"/>
      <c r="K1138" s="2724"/>
      <c r="N1138" s="2607"/>
      <c r="O1138" s="2607"/>
    </row>
    <row r="1139" spans="1:19" ht="13.35" customHeight="1">
      <c r="A1139" s="2494" t="s">
        <v>50</v>
      </c>
      <c r="B1139" s="2724">
        <f>'Part VII-Pro Forma'!B111</f>
        <v>0</v>
      </c>
      <c r="C1139" s="2724">
        <f>'Part VII-Pro Forma'!C111</f>
        <v>0</v>
      </c>
      <c r="D1139" s="2724">
        <f>'Part VII-Pro Forma'!D111</f>
        <v>0</v>
      </c>
      <c r="E1139" s="2724">
        <f>'Part VII-Pro Forma'!E111</f>
        <v>0</v>
      </c>
      <c r="F1139" s="2724">
        <f>'Part VII-Pro Forma'!F111</f>
        <v>0</v>
      </c>
      <c r="G1139" s="2724"/>
      <c r="H1139" s="2724"/>
      <c r="I1139" s="2724"/>
      <c r="J1139" s="2724"/>
      <c r="K1139" s="2724"/>
      <c r="N1139" s="2607"/>
      <c r="O1139" s="2607"/>
    </row>
    <row r="1140" spans="1:19" ht="13.35" customHeight="1">
      <c r="A1140" s="2494" t="s">
        <v>51</v>
      </c>
      <c r="B1140" s="2724">
        <f>'Part VII-Pro Forma'!B112</f>
        <v>0</v>
      </c>
      <c r="C1140" s="2724">
        <f>'Part VII-Pro Forma'!C112</f>
        <v>0</v>
      </c>
      <c r="D1140" s="2724">
        <f>'Part VII-Pro Forma'!D112</f>
        <v>0</v>
      </c>
      <c r="E1140" s="2724">
        <f>'Part VII-Pro Forma'!E112</f>
        <v>0</v>
      </c>
      <c r="F1140" s="2724">
        <f>'Part VII-Pro Forma'!F112</f>
        <v>0</v>
      </c>
      <c r="G1140" s="2724"/>
      <c r="H1140" s="2724"/>
      <c r="I1140" s="2724"/>
      <c r="J1140" s="2724"/>
      <c r="K1140" s="2724"/>
      <c r="N1140" s="2607"/>
      <c r="O1140" s="2607"/>
    </row>
    <row r="1141" spans="1:19" ht="13.35" customHeight="1">
      <c r="A1141" s="2494" t="s">
        <v>4384</v>
      </c>
      <c r="B1141" s="2724">
        <f>'Part VII-Pro Forma'!B113</f>
        <v>3381530.9542031083</v>
      </c>
      <c r="C1141" s="2724">
        <f>'Part VII-Pro Forma'!C113</f>
        <v>3449161.5732871694</v>
      </c>
      <c r="D1141" s="2724">
        <f>'Part VII-Pro Forma'!D113</f>
        <v>3518144.8047529133</v>
      </c>
      <c r="E1141" s="2724">
        <f>'Part VII-Pro Forma'!E113</f>
        <v>3588507.7008479722</v>
      </c>
      <c r="F1141" s="2724">
        <f>'Part VII-Pro Forma'!F113</f>
        <v>3660277.8548649312</v>
      </c>
      <c r="G1141" s="2724"/>
      <c r="H1141" s="2724"/>
      <c r="I1141" s="2724"/>
      <c r="J1141" s="2724"/>
      <c r="K1141" s="2724"/>
      <c r="N1141" s="2607"/>
      <c r="O1141" s="2607"/>
    </row>
    <row r="1142" spans="1:19" ht="13.35" customHeight="1">
      <c r="A1142" s="2494" t="s">
        <v>597</v>
      </c>
      <c r="B1142" s="2724">
        <f>'Part VII-Pro Forma'!B114</f>
        <v>-2041813.1907647413</v>
      </c>
      <c r="C1142" s="2724">
        <f>'Part VII-Pro Forma'!C114</f>
        <v>-2103067.5864876839</v>
      </c>
      <c r="D1142" s="2724">
        <f>'Part VII-Pro Forma'!D114</f>
        <v>-2166159.6140823141</v>
      </c>
      <c r="E1142" s="2724">
        <f>'Part VII-Pro Forma'!E114</f>
        <v>-2231144.4025047836</v>
      </c>
      <c r="F1142" s="2724">
        <f>'Part VII-Pro Forma'!F114</f>
        <v>-2298078.7345799264</v>
      </c>
      <c r="G1142" s="2724"/>
      <c r="H1142" s="2724"/>
      <c r="I1142" s="2724"/>
      <c r="J1142" s="2724"/>
      <c r="K1142" s="2724"/>
      <c r="N1142" s="2607"/>
      <c r="O1142" s="2607"/>
    </row>
    <row r="1143" spans="1:19" ht="13.35" customHeight="1">
      <c r="A1143" s="2494" t="s">
        <v>1093</v>
      </c>
      <c r="B1143" s="2724">
        <f>'Part VII-Pro Forma'!B115</f>
        <v>-169077</v>
      </c>
      <c r="C1143" s="2724">
        <f>'Part VII-Pro Forma'!C115</f>
        <v>-172458</v>
      </c>
      <c r="D1143" s="2724">
        <f>'Part VII-Pro Forma'!D115</f>
        <v>-175907</v>
      </c>
      <c r="E1143" s="2724">
        <f>'Part VII-Pro Forma'!E115</f>
        <v>-179425</v>
      </c>
      <c r="F1143" s="2724">
        <f>'Part VII-Pro Forma'!F115</f>
        <v>-183014</v>
      </c>
      <c r="G1143" s="2724"/>
      <c r="H1143" s="2724"/>
      <c r="I1143" s="2724"/>
      <c r="J1143" s="2724"/>
      <c r="K1143" s="2724"/>
      <c r="N1143" s="2607"/>
      <c r="O1143" s="2607"/>
    </row>
    <row r="1144" spans="1:19" ht="13.35" customHeight="1">
      <c r="A1144" s="2494" t="s">
        <v>1176</v>
      </c>
      <c r="B1144" s="2724">
        <f>'Part VII-Pro Forma'!B116</f>
        <v>-121363.12355948295</v>
      </c>
      <c r="C1144" s="2724">
        <f>'Part VII-Pro Forma'!C116</f>
        <v>-125004.01726626746</v>
      </c>
      <c r="D1144" s="2724">
        <f>'Part VII-Pro Forma'!D116</f>
        <v>-128754.13778425546</v>
      </c>
      <c r="E1144" s="2724">
        <f>'Part VII-Pro Forma'!E116</f>
        <v>-132616.76191778312</v>
      </c>
      <c r="F1144" s="2724">
        <f>'Part VII-Pro Forma'!F116</f>
        <v>-136595.26477531661</v>
      </c>
      <c r="G1144" s="2724"/>
      <c r="H1144" s="2724"/>
      <c r="I1144" s="2724"/>
      <c r="J1144" s="2724"/>
      <c r="K1144" s="2724"/>
      <c r="N1144" s="2607"/>
      <c r="O1144" s="2607"/>
      <c r="Q1144" s="2613">
        <v>10</v>
      </c>
      <c r="R1144" s="2672">
        <f>-SUM(B1150:K1150)</f>
        <v>0</v>
      </c>
      <c r="S1144" s="2672">
        <f>SUM(B1151:K1151)+R1144</f>
        <v>0</v>
      </c>
    </row>
    <row r="1145" spans="1:19" ht="13.35" customHeight="1">
      <c r="A1145" s="2494" t="s">
        <v>4383</v>
      </c>
      <c r="B1145" s="2724">
        <f>'Part VII-Pro Forma'!B117</f>
        <v>0</v>
      </c>
      <c r="C1145" s="2724">
        <f>'Part VII-Pro Forma'!C117</f>
        <v>0</v>
      </c>
      <c r="D1145" s="2724">
        <f>'Part VII-Pro Forma'!D117</f>
        <v>0</v>
      </c>
      <c r="E1145" s="2724">
        <f>'Part VII-Pro Forma'!E117</f>
        <v>0</v>
      </c>
      <c r="F1145" s="2724">
        <f>'Part VII-Pro Forma'!F117</f>
        <v>0</v>
      </c>
      <c r="G1145" s="2724"/>
      <c r="H1145" s="2724"/>
      <c r="I1145" s="2724"/>
      <c r="J1145" s="2724"/>
      <c r="K1145" s="2724"/>
      <c r="N1145" s="2607"/>
      <c r="O1145" s="2607"/>
    </row>
    <row r="1146" spans="1:19" ht="13.35" customHeight="1">
      <c r="A1146" s="2494" t="s">
        <v>1177</v>
      </c>
      <c r="B1146" s="2724">
        <f>'Part VII-Pro Forma'!B118</f>
        <v>1049277.6398788842</v>
      </c>
      <c r="C1146" s="2724">
        <f>'Part VII-Pro Forma'!C118</f>
        <v>1048631.9695332181</v>
      </c>
      <c r="D1146" s="2724">
        <f>'Part VII-Pro Forma'!D118</f>
        <v>1047324.0528863438</v>
      </c>
      <c r="E1146" s="2724">
        <f>'Part VII-Pro Forma'!E118</f>
        <v>1045321.5364254054</v>
      </c>
      <c r="F1146" s="2724">
        <f>'Part VII-Pro Forma'!F118</f>
        <v>1042589.8555096883</v>
      </c>
      <c r="G1146" s="2724"/>
      <c r="H1146" s="2724"/>
      <c r="I1146" s="2724"/>
      <c r="J1146" s="2724"/>
      <c r="K1146" s="2724"/>
      <c r="N1146" s="2607"/>
      <c r="O1146" s="2607"/>
    </row>
    <row r="1147" spans="1:19" ht="13.35" customHeight="1">
      <c r="A1147" s="2494" t="str">
        <f>$A1117</f>
        <v>Mortgage A</v>
      </c>
      <c r="B1147" s="2724">
        <f>'Part VII-Pro Forma'!B119</f>
        <v>-727921.67425877007</v>
      </c>
      <c r="C1147" s="2724">
        <f>'Part VII-Pro Forma'!C119</f>
        <v>-727921.67425877007</v>
      </c>
      <c r="D1147" s="2724">
        <f>'Part VII-Pro Forma'!D119</f>
        <v>-727921.67425877007</v>
      </c>
      <c r="E1147" s="2724">
        <f>'Part VII-Pro Forma'!E119</f>
        <v>-727921.67425877007</v>
      </c>
      <c r="F1147" s="2724">
        <f>'Part VII-Pro Forma'!F119</f>
        <v>-727921.67425877007</v>
      </c>
      <c r="G1147" s="2724"/>
      <c r="H1147" s="2724"/>
      <c r="I1147" s="2724"/>
      <c r="J1147" s="2724"/>
      <c r="K1147" s="2724"/>
      <c r="N1147" s="2607"/>
      <c r="O1147" s="2607"/>
    </row>
    <row r="1148" spans="1:19" ht="13.35" customHeight="1">
      <c r="A1148" s="2494" t="str">
        <f>$A1118</f>
        <v>Mortgage B</v>
      </c>
      <c r="B1148" s="2724">
        <f>'Part VII-Pro Forma'!B120</f>
        <v>0</v>
      </c>
      <c r="C1148" s="2724">
        <f>'Part VII-Pro Forma'!C120</f>
        <v>0</v>
      </c>
      <c r="D1148" s="2724">
        <f>'Part VII-Pro Forma'!D120</f>
        <v>0</v>
      </c>
      <c r="E1148" s="2724">
        <f>'Part VII-Pro Forma'!E120</f>
        <v>0</v>
      </c>
      <c r="F1148" s="2724">
        <f>'Part VII-Pro Forma'!F120</f>
        <v>0</v>
      </c>
      <c r="G1148" s="2724"/>
      <c r="H1148" s="2724"/>
      <c r="I1148" s="2724"/>
      <c r="J1148" s="2724"/>
      <c r="K1148" s="2724"/>
      <c r="N1148" s="2607"/>
      <c r="O1148" s="2607"/>
    </row>
    <row r="1149" spans="1:19" ht="13.35" customHeight="1">
      <c r="A1149" s="2494" t="str">
        <f>$A1119</f>
        <v>Mortgage C</v>
      </c>
      <c r="B1149" s="2724">
        <f>'Part VII-Pro Forma'!B121</f>
        <v>0</v>
      </c>
      <c r="C1149" s="2724">
        <f>'Part VII-Pro Forma'!C121</f>
        <v>0</v>
      </c>
      <c r="D1149" s="2724">
        <f>'Part VII-Pro Forma'!D121</f>
        <v>0</v>
      </c>
      <c r="E1149" s="2724">
        <f>'Part VII-Pro Forma'!E121</f>
        <v>0</v>
      </c>
      <c r="F1149" s="2724">
        <f>'Part VII-Pro Forma'!F121</f>
        <v>0</v>
      </c>
      <c r="G1149" s="2724"/>
      <c r="H1149" s="2724"/>
      <c r="I1149" s="2724"/>
      <c r="J1149" s="2724"/>
      <c r="K1149" s="2724"/>
      <c r="N1149" s="2607"/>
      <c r="O1149" s="2607"/>
    </row>
    <row r="1150" spans="1:19" ht="13.35" customHeight="1">
      <c r="A1150" s="2494" t="str">
        <f>$A1120</f>
        <v>D/S Other Source,not DDF</v>
      </c>
      <c r="B1150" s="2724">
        <f>'Part VII-Pro Forma'!B122</f>
        <v>0</v>
      </c>
      <c r="C1150" s="2724">
        <f>'Part VII-Pro Forma'!C122</f>
        <v>0</v>
      </c>
      <c r="D1150" s="2724">
        <f>'Part VII-Pro Forma'!D122</f>
        <v>0</v>
      </c>
      <c r="E1150" s="2724">
        <f>'Part VII-Pro Forma'!E122</f>
        <v>0</v>
      </c>
      <c r="F1150" s="2724">
        <f>'Part VII-Pro Forma'!F122</f>
        <v>0</v>
      </c>
      <c r="G1150" s="2724"/>
      <c r="H1150" s="2724"/>
      <c r="I1150" s="2724"/>
      <c r="J1150" s="2724"/>
      <c r="K1150" s="2724"/>
      <c r="N1150" s="2607"/>
      <c r="O1150" s="2607"/>
    </row>
    <row r="1151" spans="1:19" ht="13.35" customHeight="1">
      <c r="A1151" s="2494" t="s">
        <v>745</v>
      </c>
      <c r="B1151" s="2724">
        <f>'Part VII-Pro Forma'!B123</f>
        <v>0</v>
      </c>
      <c r="C1151" s="2724">
        <f>'Part VII-Pro Forma'!C123</f>
        <v>0</v>
      </c>
      <c r="D1151" s="2724">
        <f>'Part VII-Pro Forma'!D123</f>
        <v>0</v>
      </c>
      <c r="E1151" s="2724">
        <f>'Part VII-Pro Forma'!E123</f>
        <v>0</v>
      </c>
      <c r="F1151" s="2724">
        <f>'Part VII-Pro Forma'!F123</f>
        <v>0</v>
      </c>
      <c r="G1151" s="2724"/>
      <c r="H1151" s="2724"/>
      <c r="I1151" s="2724"/>
      <c r="J1151" s="2724"/>
      <c r="K1151" s="2724"/>
      <c r="N1151" s="2607"/>
      <c r="O1151" s="2607"/>
    </row>
    <row r="1152" spans="1:19" ht="13.35" customHeight="1">
      <c r="A1152" s="2494" t="s">
        <v>1141</v>
      </c>
      <c r="B1152" s="2724">
        <f>'Part VII-Pro Forma'!B124</f>
        <v>-5000</v>
      </c>
      <c r="C1152" s="2724">
        <f>'Part VII-Pro Forma'!C124</f>
        <v>-5000</v>
      </c>
      <c r="D1152" s="2724">
        <f>'Part VII-Pro Forma'!D124</f>
        <v>-5000</v>
      </c>
      <c r="E1152" s="2724">
        <f>'Part VII-Pro Forma'!E124</f>
        <v>-5000</v>
      </c>
      <c r="F1152" s="2724">
        <f>'Part VII-Pro Forma'!F124</f>
        <v>-5000</v>
      </c>
      <c r="G1152" s="2724"/>
      <c r="H1152" s="2724"/>
      <c r="I1152" s="2724"/>
      <c r="J1152" s="2724"/>
      <c r="K1152" s="2724"/>
      <c r="N1152" s="2607"/>
      <c r="O1152" s="2607"/>
    </row>
    <row r="1153" spans="1:15" ht="13.35" customHeight="1">
      <c r="A1153" s="2494" t="s">
        <v>1142</v>
      </c>
      <c r="B1153" s="2724">
        <f>'Part VII-Pro Forma'!B125</f>
        <v>316355.96562011412</v>
      </c>
      <c r="C1153" s="2724">
        <f>'Part VII-Pro Forma'!C125</f>
        <v>315710.295274448</v>
      </c>
      <c r="D1153" s="2724">
        <f>'Part VII-Pro Forma'!D125</f>
        <v>314402.37862757372</v>
      </c>
      <c r="E1153" s="2724">
        <f>'Part VII-Pro Forma'!E125</f>
        <v>312399.86216663534</v>
      </c>
      <c r="F1153" s="2724">
        <f>'Part VII-Pro Forma'!F125</f>
        <v>309668.18125091819</v>
      </c>
      <c r="G1153" s="2724"/>
      <c r="H1153" s="2724"/>
      <c r="I1153" s="2724"/>
      <c r="J1153" s="2724"/>
      <c r="K1153" s="2724"/>
      <c r="N1153" s="2607"/>
      <c r="O1153" s="2607"/>
    </row>
    <row r="1154" spans="1:15" ht="13.35" customHeight="1">
      <c r="A1154" s="2494" t="str">
        <f>$A1124</f>
        <v>DCR Mortgage A</v>
      </c>
      <c r="B1154" s="2724">
        <f>'Part VII-Pro Forma'!B126</f>
        <v>1.4414705276461857</v>
      </c>
      <c r="C1154" s="2724">
        <f>'Part VII-Pro Forma'!C126</f>
        <v>1.4405835223975461</v>
      </c>
      <c r="D1154" s="2724">
        <f>'Part VII-Pro Forma'!D126</f>
        <v>1.4387867402805605</v>
      </c>
      <c r="E1154" s="2724">
        <f>'Part VII-Pro Forma'!E126</f>
        <v>1.4360357348746871</v>
      </c>
      <c r="F1154" s="2724">
        <f>'Part VII-Pro Forma'!F126</f>
        <v>1.4322830221690257</v>
      </c>
      <c r="G1154" s="2724"/>
      <c r="H1154" s="2724"/>
      <c r="I1154" s="2724"/>
      <c r="J1154" s="2724"/>
      <c r="K1154" s="2724"/>
      <c r="N1154" s="2607"/>
      <c r="O1154" s="2607"/>
    </row>
    <row r="1155" spans="1:15" ht="13.35" customHeight="1">
      <c r="A1155" s="2494" t="str">
        <f>$A1125</f>
        <v>DCR Mortgage B</v>
      </c>
      <c r="B1155" s="2724" t="str">
        <f>'Part VII-Pro Forma'!B127</f>
        <v/>
      </c>
      <c r="C1155" s="2724" t="str">
        <f>'Part VII-Pro Forma'!C127</f>
        <v/>
      </c>
      <c r="D1155" s="2724" t="str">
        <f>'Part VII-Pro Forma'!D127</f>
        <v/>
      </c>
      <c r="E1155" s="2724" t="str">
        <f>'Part VII-Pro Forma'!E127</f>
        <v/>
      </c>
      <c r="F1155" s="2724" t="str">
        <f>'Part VII-Pro Forma'!F127</f>
        <v/>
      </c>
      <c r="G1155" s="2724"/>
      <c r="H1155" s="2724"/>
      <c r="I1155" s="2724"/>
      <c r="J1155" s="2724"/>
      <c r="K1155" s="2724"/>
      <c r="N1155" s="2607"/>
      <c r="O1155" s="2607"/>
    </row>
    <row r="1156" spans="1:15" ht="13.35" customHeight="1">
      <c r="A1156" s="2494" t="str">
        <f>$A1126</f>
        <v>DCR Mortgage C</v>
      </c>
      <c r="B1156" s="2724" t="str">
        <f>'Part VII-Pro Forma'!B128</f>
        <v/>
      </c>
      <c r="C1156" s="2724" t="str">
        <f>'Part VII-Pro Forma'!C128</f>
        <v/>
      </c>
      <c r="D1156" s="2724" t="str">
        <f>'Part VII-Pro Forma'!D128</f>
        <v/>
      </c>
      <c r="E1156" s="2724" t="str">
        <f>'Part VII-Pro Forma'!E128</f>
        <v/>
      </c>
      <c r="F1156" s="2724" t="str">
        <f>'Part VII-Pro Forma'!F128</f>
        <v/>
      </c>
      <c r="G1156" s="2724"/>
      <c r="H1156" s="2724"/>
      <c r="I1156" s="2724"/>
      <c r="J1156" s="2724"/>
      <c r="K1156" s="2724"/>
      <c r="N1156" s="2607"/>
      <c r="O1156" s="2607"/>
    </row>
    <row r="1157" spans="1:15" ht="13.35" customHeight="1">
      <c r="A1157" s="2494" t="str">
        <f>$A1127</f>
        <v>DCR Other Source</v>
      </c>
      <c r="B1157" s="2724" t="str">
        <f>'Part VII-Pro Forma'!B129</f>
        <v/>
      </c>
      <c r="C1157" s="2724" t="str">
        <f>'Part VII-Pro Forma'!C129</f>
        <v/>
      </c>
      <c r="D1157" s="2724" t="str">
        <f>'Part VII-Pro Forma'!D129</f>
        <v/>
      </c>
      <c r="E1157" s="2724" t="str">
        <f>'Part VII-Pro Forma'!E129</f>
        <v/>
      </c>
      <c r="F1157" s="2724" t="str">
        <f>'Part VII-Pro Forma'!F129</f>
        <v/>
      </c>
      <c r="G1157" s="2724"/>
      <c r="H1157" s="2724"/>
      <c r="I1157" s="2724"/>
      <c r="J1157" s="2724"/>
      <c r="K1157" s="2724"/>
      <c r="N1157" s="2607"/>
      <c r="O1157" s="2607"/>
    </row>
    <row r="1158" spans="1:15" ht="13.35" customHeight="1">
      <c r="A1158" s="2494" t="s">
        <v>3536</v>
      </c>
      <c r="B1158" s="2724">
        <f>'Part VII-Pro Forma'!B130</f>
        <v>1.4414705276461857</v>
      </c>
      <c r="C1158" s="2724">
        <f>'Part VII-Pro Forma'!C130</f>
        <v>1.4405835223975461</v>
      </c>
      <c r="D1158" s="2724">
        <f>'Part VII-Pro Forma'!D130</f>
        <v>1.4387867402805605</v>
      </c>
      <c r="E1158" s="2724">
        <f>'Part VII-Pro Forma'!E130</f>
        <v>1.4360357348746871</v>
      </c>
      <c r="F1158" s="2724">
        <f>'Part VII-Pro Forma'!F130</f>
        <v>1.4322830221690257</v>
      </c>
      <c r="G1158" s="2724"/>
      <c r="H1158" s="2724"/>
      <c r="I1158" s="2724"/>
      <c r="J1158" s="2724"/>
      <c r="K1158" s="2724"/>
      <c r="N1158" s="2607"/>
      <c r="O1158" s="2607"/>
    </row>
    <row r="1159" spans="1:15" ht="13.35" customHeight="1">
      <c r="A1159" s="2494" t="s">
        <v>752</v>
      </c>
      <c r="B1159" s="2724">
        <f>'Part VII-Pro Forma'!B131</f>
        <v>1.4498986595643086</v>
      </c>
      <c r="C1159" s="2724">
        <f>'Part VII-Pro Forma'!C131</f>
        <v>1.4368335920095991</v>
      </c>
      <c r="D1159" s="2724">
        <f>'Part VII-Pro Forma'!D131</f>
        <v>1.4238769858538494</v>
      </c>
      <c r="E1159" s="2724">
        <f>'Part VII-Pro Forma'!E131</f>
        <v>1.4110283199274747</v>
      </c>
      <c r="F1159" s="2724">
        <f>'Part VII-Pro Forma'!F131</f>
        <v>1.398286524508072</v>
      </c>
      <c r="G1159" s="2724"/>
      <c r="H1159" s="2724"/>
      <c r="I1159" s="2724"/>
      <c r="J1159" s="2724"/>
      <c r="K1159" s="2724"/>
      <c r="N1159" s="2607"/>
      <c r="O1159" s="2607"/>
    </row>
    <row r="1160" spans="1:15" ht="13.35" customHeight="1">
      <c r="A1160" s="2494" t="s">
        <v>2550</v>
      </c>
      <c r="B1160" s="2724">
        <f>'Part VII-Pro Forma'!B132</f>
        <v>2686566.8418884636</v>
      </c>
      <c r="C1160" s="2724">
        <f>'Part VII-Pro Forma'!C132</f>
        <v>2054605.4168326575</v>
      </c>
      <c r="D1160" s="2724">
        <f>'Part VII-Pro Forma'!D132</f>
        <v>1396896.9082542881</v>
      </c>
      <c r="E1160" s="2724">
        <f>'Part VII-Pro Forma'!E132</f>
        <v>712392.34024496155</v>
      </c>
      <c r="F1160" s="2724">
        <f>'Part VII-Pro Forma'!F132</f>
        <v>-7.099006325006485E-7</v>
      </c>
      <c r="G1160" s="2724"/>
      <c r="H1160" s="2724"/>
      <c r="I1160" s="2724"/>
      <c r="J1160" s="2724"/>
      <c r="K1160" s="2724"/>
      <c r="N1160" s="2607"/>
      <c r="O1160" s="2607"/>
    </row>
    <row r="1161" spans="1:15" ht="13.35" customHeight="1">
      <c r="A1161" s="2494" t="s">
        <v>2551</v>
      </c>
      <c r="B1161" s="2724" t="str">
        <f>'Part VII-Pro Forma'!B133</f>
        <v/>
      </c>
      <c r="C1161" s="2724" t="str">
        <f>'Part VII-Pro Forma'!C133</f>
        <v/>
      </c>
      <c r="D1161" s="2724" t="str">
        <f>'Part VII-Pro Forma'!D133</f>
        <v/>
      </c>
      <c r="E1161" s="2724" t="str">
        <f>'Part VII-Pro Forma'!E133</f>
        <v/>
      </c>
      <c r="F1161" s="2724" t="str">
        <f>'Part VII-Pro Forma'!F133</f>
        <v/>
      </c>
      <c r="G1161" s="2724"/>
      <c r="H1161" s="2724"/>
      <c r="I1161" s="2724"/>
      <c r="J1161" s="2724"/>
      <c r="K1161" s="2724"/>
      <c r="N1161" s="2607"/>
      <c r="O1161" s="2607"/>
    </row>
    <row r="1162" spans="1:15" ht="13.35" customHeight="1">
      <c r="A1162" s="2494" t="s">
        <v>2552</v>
      </c>
      <c r="B1162" s="2724" t="str">
        <f>'Part VII-Pro Forma'!B134</f>
        <v/>
      </c>
      <c r="C1162" s="2724" t="str">
        <f>'Part VII-Pro Forma'!C134</f>
        <v/>
      </c>
      <c r="D1162" s="2724" t="str">
        <f>'Part VII-Pro Forma'!D134</f>
        <v/>
      </c>
      <c r="E1162" s="2724" t="str">
        <f>'Part VII-Pro Forma'!E134</f>
        <v/>
      </c>
      <c r="F1162" s="2724" t="str">
        <f>'Part VII-Pro Forma'!F134</f>
        <v/>
      </c>
      <c r="G1162" s="2724"/>
      <c r="H1162" s="2724"/>
      <c r="I1162" s="2724"/>
      <c r="J1162" s="2724"/>
      <c r="K1162" s="2724"/>
      <c r="N1162" s="2607"/>
      <c r="O1162" s="2607"/>
    </row>
    <row r="1163" spans="1:15" ht="13.35" customHeight="1">
      <c r="A1163" s="2494" t="s">
        <v>764</v>
      </c>
      <c r="B1163" s="2724" t="str">
        <f>'Part VII-Pro Forma'!B135</f>
        <v/>
      </c>
      <c r="C1163" s="2724" t="str">
        <f>'Part VII-Pro Forma'!C135</f>
        <v/>
      </c>
      <c r="D1163" s="2724" t="str">
        <f>'Part VII-Pro Forma'!D135</f>
        <v/>
      </c>
      <c r="E1163" s="2724" t="str">
        <f>'Part VII-Pro Forma'!E135</f>
        <v/>
      </c>
      <c r="F1163" s="2724" t="str">
        <f>'Part VII-Pro Forma'!F135</f>
        <v/>
      </c>
      <c r="G1163" s="2724"/>
      <c r="H1163" s="2724"/>
      <c r="I1163" s="2724"/>
      <c r="J1163" s="2724"/>
      <c r="K1163" s="2724"/>
      <c r="N1163" s="2607"/>
      <c r="O1163" s="2607"/>
    </row>
    <row r="1164" spans="1:15" ht="4.3499999999999996" customHeight="1"/>
    <row r="1165" spans="1:15" ht="12" customHeight="1">
      <c r="A1165" s="2494" t="s">
        <v>554</v>
      </c>
      <c r="G1165" s="2494" t="s">
        <v>1009</v>
      </c>
    </row>
    <row r="1166" spans="1:15" ht="12" customHeight="1"/>
    <row r="1167" spans="1:15" ht="59.4" customHeight="1">
      <c r="A1167" s="2524" t="str">
        <f>'Part VII-Pro Forma'!A139</f>
        <v>APPLICANTS: Explain any any debt service payment amounts that deviate from the amount shown in Permanent Sources (Part III)</v>
      </c>
      <c r="B1167" s="2524"/>
      <c r="C1167" s="2524"/>
      <c r="D1167" s="2524"/>
      <c r="E1167" s="2524"/>
      <c r="F1167" s="2524"/>
      <c r="G1167" s="2524">
        <f>'Part VII-Pro Forma'!G139</f>
        <v>0</v>
      </c>
      <c r="H1167" s="2524"/>
      <c r="I1167" s="2524"/>
      <c r="J1167" s="2524"/>
      <c r="K1167" s="2524"/>
      <c r="N1167" s="2497" t="s">
        <v>2614</v>
      </c>
      <c r="O1167" s="2497"/>
    </row>
    <row r="1171" spans="1:19" ht="14.1" customHeight="1">
      <c r="A1171" s="2408" t="str">
        <f>CONCATENATE("PART EIGHT - THRESHOLD CRITERIA","  -  ",'Part I-Project Information'!$O$6," ",'Part I-Project Information'!$F$34,", ",'Part I-Project Information'!F1208,", ",'Part I-Project Information'!J1209," County")</f>
        <v>PART EIGHT - THRESHOLD CRITERIA  -  2020-5 Lakeview Terrace, ,  County</v>
      </c>
      <c r="B1171" s="2408"/>
      <c r="C1171" s="2408"/>
      <c r="D1171" s="2408"/>
      <c r="E1171" s="2408"/>
      <c r="F1171" s="2408"/>
      <c r="G1171" s="2408"/>
      <c r="H1171" s="2408"/>
      <c r="I1171" s="2408"/>
      <c r="J1171" s="2408"/>
      <c r="K1171" s="2408"/>
      <c r="L1171" s="2408"/>
      <c r="M1171" s="2408"/>
      <c r="N1171" s="2408"/>
      <c r="O1171" s="2408"/>
      <c r="P1171" s="2408"/>
      <c r="Q1171" s="2408"/>
      <c r="R1171" s="2657" t="str">
        <f>'Part I-Project Information'!$B$6</f>
        <v>July 15, 2020 Version (4%)</v>
      </c>
      <c r="S1171" s="2657"/>
    </row>
    <row r="1172" spans="1:19" ht="3" customHeight="1">
      <c r="R1172" s="2657"/>
      <c r="S1172" s="2657"/>
    </row>
    <row r="1173" spans="1:19" ht="13.5" customHeight="1">
      <c r="A1173" s="2725"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25"/>
      <c r="C1173" s="2725"/>
      <c r="D1173" s="2725"/>
      <c r="E1173" s="2725"/>
      <c r="F1173" s="2725"/>
      <c r="G1173" s="2725"/>
      <c r="H1173" s="2725"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25"/>
      <c r="J1173" s="2725"/>
      <c r="K1173" s="2725"/>
      <c r="L1173" s="2725"/>
      <c r="M1173" s="2725"/>
      <c r="N1173" s="2725"/>
      <c r="O1173" s="2654" t="s">
        <v>913</v>
      </c>
      <c r="P1173" s="2654"/>
      <c r="Q1173" s="2251" t="s">
        <v>1796</v>
      </c>
      <c r="R1173" s="2657"/>
      <c r="S1173" s="2657"/>
    </row>
    <row r="1174" spans="1:19" ht="3" customHeight="1">
      <c r="A1174" s="2251"/>
      <c r="B1174" s="2654"/>
      <c r="C1174" s="2654"/>
      <c r="D1174" s="2654"/>
      <c r="E1174" s="2251"/>
      <c r="F1174" s="2251"/>
      <c r="G1174" s="2251"/>
      <c r="H1174" s="2251"/>
      <c r="I1174" s="2251"/>
      <c r="J1174" s="2251"/>
      <c r="K1174" s="2251"/>
      <c r="L1174" s="2251"/>
      <c r="M1174" s="2251"/>
      <c r="N1174" s="2251"/>
      <c r="P1174" s="2251"/>
      <c r="Q1174" s="2251"/>
      <c r="R1174" s="2657"/>
      <c r="S1174" s="2657"/>
    </row>
    <row r="1175" spans="1:19" ht="11.1" hidden="1" customHeight="1">
      <c r="A1175" s="2251"/>
      <c r="B1175" s="2251"/>
      <c r="C1175" s="2251"/>
      <c r="D1175" s="2251"/>
      <c r="E1175" s="2251"/>
      <c r="F1175" s="2251"/>
      <c r="G1175" s="2251"/>
      <c r="H1175" s="2251"/>
      <c r="I1175" s="2251"/>
      <c r="J1175" s="2251"/>
      <c r="K1175" s="2251"/>
      <c r="L1175" s="2251"/>
      <c r="M1175" s="2251"/>
      <c r="N1175" s="2251"/>
      <c r="P1175" s="2251"/>
      <c r="Q1175" s="2251"/>
      <c r="R1175" s="2657"/>
      <c r="S1175" s="2657"/>
    </row>
    <row r="1176" spans="1:19" ht="17.25" customHeight="1">
      <c r="A1176" s="2726" t="s">
        <v>550</v>
      </c>
      <c r="J1176" s="2727" t="s">
        <v>6895</v>
      </c>
      <c r="K1176" s="2727"/>
      <c r="L1176" s="2727"/>
      <c r="M1176" s="2727"/>
      <c r="N1176" s="2727"/>
      <c r="O1176" s="2727"/>
      <c r="P1176" s="2728"/>
      <c r="Q1176" s="2728"/>
      <c r="R1176" s="2657"/>
      <c r="S1176" s="2657"/>
    </row>
    <row r="1177" spans="1:19" ht="12.6" customHeight="1">
      <c r="A1177" s="2358" t="s">
        <v>3337</v>
      </c>
      <c r="H1177" s="2408"/>
      <c r="I1177" s="2408"/>
      <c r="J1177" s="2408"/>
      <c r="K1177" s="2408"/>
      <c r="L1177" s="2408"/>
      <c r="M1177" s="2251"/>
      <c r="N1177" s="2251"/>
    </row>
    <row r="1178" spans="1:19" ht="24.6" customHeight="1">
      <c r="A1178" s="2559" t="s">
        <v>1381</v>
      </c>
      <c r="B1178" s="2559"/>
      <c r="C1178" s="2559"/>
      <c r="D1178" s="2559"/>
      <c r="E1178" s="2559"/>
      <c r="F1178" s="2559"/>
      <c r="G1178" s="2559"/>
      <c r="H1178" s="2559"/>
      <c r="I1178" s="2559"/>
      <c r="J1178" s="2559"/>
      <c r="K1178" s="2559"/>
      <c r="L1178" s="2559"/>
      <c r="M1178" s="2559"/>
      <c r="N1178" s="2559"/>
      <c r="O1178" s="2559"/>
      <c r="P1178" s="2559"/>
      <c r="Q1178" s="2559"/>
      <c r="R1178" s="2497" t="s">
        <v>1984</v>
      </c>
      <c r="S1178" s="2497"/>
    </row>
    <row r="1179" spans="1:19" ht="24.6" customHeight="1">
      <c r="A1179" s="2559" t="s">
        <v>221</v>
      </c>
      <c r="B1179" s="2559"/>
      <c r="C1179" s="2559"/>
      <c r="D1179" s="2559"/>
      <c r="E1179" s="2559"/>
      <c r="F1179" s="2559"/>
      <c r="G1179" s="2559"/>
      <c r="H1179" s="2559"/>
      <c r="I1179" s="2559"/>
      <c r="J1179" s="2559"/>
      <c r="K1179" s="2559"/>
      <c r="L1179" s="2559"/>
      <c r="M1179" s="2559"/>
      <c r="N1179" s="2559"/>
      <c r="O1179" s="2559"/>
      <c r="P1179" s="2559"/>
      <c r="Q1179" s="2559"/>
      <c r="R1179" s="2497"/>
      <c r="S1179" s="2497"/>
    </row>
    <row r="1180" spans="1:19" ht="24.6" customHeight="1">
      <c r="A1180" s="2559" t="s">
        <v>1377</v>
      </c>
      <c r="B1180" s="2559"/>
      <c r="C1180" s="2559"/>
      <c r="D1180" s="2559"/>
      <c r="E1180" s="2559"/>
      <c r="F1180" s="2559"/>
      <c r="G1180" s="2559"/>
      <c r="H1180" s="2559"/>
      <c r="I1180" s="2559"/>
      <c r="J1180" s="2559"/>
      <c r="K1180" s="2559"/>
      <c r="L1180" s="2559"/>
      <c r="M1180" s="2559"/>
      <c r="N1180" s="2559"/>
      <c r="O1180" s="2559"/>
      <c r="P1180" s="2559"/>
      <c r="Q1180" s="2559"/>
      <c r="R1180" s="2497"/>
      <c r="S1180" s="2497"/>
    </row>
    <row r="1181" spans="1:19" ht="24.6" customHeight="1">
      <c r="A1181" s="2559" t="s">
        <v>1378</v>
      </c>
      <c r="B1181" s="2559"/>
      <c r="C1181" s="2559"/>
      <c r="D1181" s="2559"/>
      <c r="E1181" s="2559"/>
      <c r="F1181" s="2559"/>
      <c r="G1181" s="2559"/>
      <c r="H1181" s="2559"/>
      <c r="I1181" s="2559"/>
      <c r="J1181" s="2559"/>
      <c r="K1181" s="2559"/>
      <c r="L1181" s="2559"/>
      <c r="M1181" s="2559"/>
      <c r="N1181" s="2559"/>
      <c r="O1181" s="2559"/>
      <c r="P1181" s="2559"/>
      <c r="Q1181" s="2559"/>
      <c r="R1181" s="2497"/>
      <c r="S1181" s="2497"/>
    </row>
    <row r="1182" spans="1:19" ht="24" customHeight="1">
      <c r="A1182" s="2559" t="s">
        <v>1379</v>
      </c>
      <c r="B1182" s="2559"/>
      <c r="C1182" s="2559"/>
      <c r="D1182" s="2559"/>
      <c r="E1182" s="2559"/>
      <c r="F1182" s="2559"/>
      <c r="G1182" s="2559"/>
      <c r="H1182" s="2559"/>
      <c r="I1182" s="2559"/>
      <c r="J1182" s="2559"/>
      <c r="K1182" s="2559"/>
      <c r="L1182" s="2559"/>
      <c r="M1182" s="2559"/>
      <c r="N1182" s="2559"/>
      <c r="O1182" s="2559"/>
      <c r="P1182" s="2559"/>
      <c r="Q1182" s="2559"/>
      <c r="R1182" s="2490"/>
      <c r="S1182" s="2490"/>
    </row>
    <row r="1183" spans="1:19" ht="11.25" customHeight="1">
      <c r="A1183" s="2559" t="s">
        <v>1380</v>
      </c>
      <c r="B1183" s="2559"/>
      <c r="C1183" s="2559"/>
      <c r="D1183" s="2559"/>
      <c r="E1183" s="2559"/>
      <c r="F1183" s="2559"/>
      <c r="G1183" s="2559"/>
      <c r="H1183" s="2559"/>
      <c r="I1183" s="2559"/>
      <c r="J1183" s="2559"/>
      <c r="K1183" s="2559"/>
      <c r="L1183" s="2559"/>
      <c r="M1183" s="2559"/>
      <c r="N1183" s="2559"/>
      <c r="O1183" s="2559"/>
      <c r="P1183" s="2559"/>
      <c r="Q1183" s="2559"/>
      <c r="R1183" s="2490"/>
      <c r="S1183" s="2490"/>
    </row>
    <row r="1184" spans="1:19" ht="11.25" customHeight="1">
      <c r="A1184" s="2559" t="s">
        <v>1382</v>
      </c>
      <c r="B1184" s="2559"/>
      <c r="C1184" s="2559"/>
      <c r="D1184" s="2559"/>
      <c r="E1184" s="2559"/>
      <c r="F1184" s="2559"/>
      <c r="G1184" s="2559"/>
      <c r="H1184" s="2559"/>
      <c r="I1184" s="2559"/>
      <c r="J1184" s="2559"/>
      <c r="K1184" s="2559"/>
      <c r="L1184" s="2559"/>
      <c r="M1184" s="2559"/>
      <c r="N1184" s="2559"/>
      <c r="O1184" s="2559"/>
      <c r="P1184" s="2559"/>
      <c r="Q1184" s="2559"/>
    </row>
    <row r="1185" spans="1:19" ht="11.25" customHeight="1">
      <c r="A1185" s="2559" t="s">
        <v>1971</v>
      </c>
      <c r="B1185" s="2559"/>
      <c r="C1185" s="2559"/>
      <c r="D1185" s="2559"/>
      <c r="E1185" s="2559"/>
      <c r="F1185" s="2559"/>
      <c r="G1185" s="2559"/>
      <c r="H1185" s="2559"/>
      <c r="I1185" s="2559"/>
      <c r="J1185" s="2559"/>
      <c r="K1185" s="2559"/>
      <c r="L1185" s="2559"/>
      <c r="M1185" s="2559"/>
      <c r="N1185" s="2559"/>
      <c r="O1185" s="2559"/>
      <c r="P1185" s="2559"/>
      <c r="Q1185" s="2559"/>
      <c r="R1185" s="2497" t="s">
        <v>1984</v>
      </c>
      <c r="S1185" s="2497"/>
    </row>
    <row r="1186" spans="1:19" ht="11.25" customHeight="1">
      <c r="A1186" s="2559" t="s">
        <v>1972</v>
      </c>
      <c r="B1186" s="2559"/>
      <c r="C1186" s="2559"/>
      <c r="D1186" s="2559"/>
      <c r="E1186" s="2559"/>
      <c r="F1186" s="2559"/>
      <c r="G1186" s="2559"/>
      <c r="H1186" s="2559"/>
      <c r="I1186" s="2559"/>
      <c r="J1186" s="2559"/>
      <c r="K1186" s="2559"/>
      <c r="L1186" s="2559"/>
      <c r="M1186" s="2559"/>
      <c r="N1186" s="2559"/>
      <c r="O1186" s="2559"/>
      <c r="P1186" s="2559"/>
      <c r="Q1186" s="2559"/>
      <c r="R1186" s="2497"/>
      <c r="S1186" s="2497"/>
    </row>
    <row r="1187" spans="1:19" ht="11.25" customHeight="1">
      <c r="A1187" s="2559" t="s">
        <v>1973</v>
      </c>
      <c r="B1187" s="2559"/>
      <c r="C1187" s="2559"/>
      <c r="D1187" s="2559"/>
      <c r="E1187" s="2559"/>
      <c r="F1187" s="2559"/>
      <c r="G1187" s="2559"/>
      <c r="H1187" s="2559"/>
      <c r="I1187" s="2559"/>
      <c r="J1187" s="2559"/>
      <c r="K1187" s="2559"/>
      <c r="L1187" s="2559"/>
      <c r="M1187" s="2559"/>
      <c r="N1187" s="2559"/>
      <c r="O1187" s="2559"/>
      <c r="P1187" s="2559"/>
      <c r="Q1187" s="2559"/>
      <c r="R1187" s="2497"/>
      <c r="S1187" s="2497"/>
    </row>
    <row r="1188" spans="1:19" ht="11.25" customHeight="1">
      <c r="A1188" s="2559" t="s">
        <v>1974</v>
      </c>
      <c r="B1188" s="2559"/>
      <c r="C1188" s="2559"/>
      <c r="D1188" s="2559"/>
      <c r="E1188" s="2559"/>
      <c r="F1188" s="2559"/>
      <c r="G1188" s="2559"/>
      <c r="H1188" s="2559"/>
      <c r="I1188" s="2559"/>
      <c r="J1188" s="2559"/>
      <c r="K1188" s="2559"/>
      <c r="L1188" s="2559"/>
      <c r="M1188" s="2559"/>
      <c r="N1188" s="2559"/>
      <c r="O1188" s="2559"/>
      <c r="P1188" s="2559"/>
      <c r="Q1188" s="2559"/>
      <c r="R1188" s="2497"/>
      <c r="S1188" s="2497"/>
    </row>
    <row r="1189" spans="1:19" ht="11.25" customHeight="1">
      <c r="A1189" s="2559" t="s">
        <v>1975</v>
      </c>
      <c r="B1189" s="2559"/>
      <c r="C1189" s="2559"/>
      <c r="D1189" s="2559"/>
      <c r="E1189" s="2559"/>
      <c r="F1189" s="2559"/>
      <c r="G1189" s="2559"/>
      <c r="H1189" s="2559"/>
      <c r="I1189" s="2559"/>
      <c r="J1189" s="2559"/>
      <c r="K1189" s="2559"/>
      <c r="L1189" s="2559"/>
      <c r="M1189" s="2559"/>
      <c r="N1189" s="2559"/>
      <c r="O1189" s="2559"/>
      <c r="P1189" s="2559"/>
      <c r="Q1189" s="2559"/>
      <c r="R1189" s="2497"/>
      <c r="S1189" s="2497"/>
    </row>
    <row r="1190" spans="1:19" ht="11.25" customHeight="1">
      <c r="A1190" s="2559" t="s">
        <v>1976</v>
      </c>
      <c r="B1190" s="2559"/>
      <c r="C1190" s="2559"/>
      <c r="D1190" s="2559"/>
      <c r="E1190" s="2559"/>
      <c r="F1190" s="2559"/>
      <c r="G1190" s="2559"/>
      <c r="H1190" s="2559"/>
      <c r="I1190" s="2559"/>
      <c r="J1190" s="2559"/>
      <c r="K1190" s="2559"/>
      <c r="L1190" s="2559"/>
      <c r="M1190" s="2559"/>
      <c r="N1190" s="2559"/>
      <c r="O1190" s="2559"/>
      <c r="P1190" s="2559"/>
      <c r="Q1190" s="2559"/>
      <c r="R1190" s="2497"/>
      <c r="S1190" s="2497"/>
    </row>
    <row r="1191" spans="1:19" ht="11.25" customHeight="1">
      <c r="A1191" s="2559" t="s">
        <v>1977</v>
      </c>
      <c r="B1191" s="2559"/>
      <c r="C1191" s="2559"/>
      <c r="D1191" s="2559"/>
      <c r="E1191" s="2559"/>
      <c r="F1191" s="2559"/>
      <c r="G1191" s="2559"/>
      <c r="H1191" s="2559"/>
      <c r="I1191" s="2559"/>
      <c r="J1191" s="2559"/>
      <c r="K1191" s="2559"/>
      <c r="L1191" s="2559"/>
      <c r="M1191" s="2559"/>
      <c r="N1191" s="2559"/>
      <c r="O1191" s="2559"/>
      <c r="P1191" s="2559"/>
      <c r="Q1191" s="2559"/>
    </row>
    <row r="1192" spans="1:19" ht="11.25" customHeight="1">
      <c r="A1192" s="2559" t="s">
        <v>1978</v>
      </c>
      <c r="B1192" s="2559"/>
      <c r="C1192" s="2559"/>
      <c r="D1192" s="2559"/>
      <c r="E1192" s="2559"/>
      <c r="F1192" s="2559"/>
      <c r="G1192" s="2559"/>
      <c r="H1192" s="2559"/>
      <c r="I1192" s="2559"/>
      <c r="J1192" s="2559"/>
      <c r="K1192" s="2559"/>
      <c r="L1192" s="2559"/>
      <c r="M1192" s="2559"/>
      <c r="N1192" s="2559"/>
      <c r="O1192" s="2559"/>
      <c r="P1192" s="2559"/>
      <c r="Q1192" s="2559"/>
      <c r="R1192" s="2497" t="s">
        <v>1984</v>
      </c>
      <c r="S1192" s="2497"/>
    </row>
    <row r="1193" spans="1:19" ht="11.25" customHeight="1">
      <c r="A1193" s="2559" t="s">
        <v>1979</v>
      </c>
      <c r="B1193" s="2559"/>
      <c r="C1193" s="2559"/>
      <c r="D1193" s="2559"/>
      <c r="E1193" s="2559"/>
      <c r="F1193" s="2559"/>
      <c r="G1193" s="2559"/>
      <c r="H1193" s="2559"/>
      <c r="I1193" s="2559"/>
      <c r="J1193" s="2559"/>
      <c r="K1193" s="2559"/>
      <c r="L1193" s="2559"/>
      <c r="M1193" s="2559"/>
      <c r="N1193" s="2559"/>
      <c r="O1193" s="2559"/>
      <c r="P1193" s="2559"/>
      <c r="Q1193" s="2559"/>
      <c r="R1193" s="2497"/>
      <c r="S1193" s="2497"/>
    </row>
    <row r="1194" spans="1:19" ht="11.25" customHeight="1">
      <c r="A1194" s="2559" t="s">
        <v>1980</v>
      </c>
      <c r="B1194" s="2559"/>
      <c r="C1194" s="2559"/>
      <c r="D1194" s="2559"/>
      <c r="E1194" s="2559"/>
      <c r="F1194" s="2559"/>
      <c r="G1194" s="2559"/>
      <c r="H1194" s="2559"/>
      <c r="I1194" s="2559"/>
      <c r="J1194" s="2559"/>
      <c r="K1194" s="2559"/>
      <c r="L1194" s="2559"/>
      <c r="M1194" s="2559"/>
      <c r="N1194" s="2559"/>
      <c r="O1194" s="2559"/>
      <c r="P1194" s="2559"/>
      <c r="Q1194" s="2559"/>
      <c r="R1194" s="2497"/>
      <c r="S1194" s="2497"/>
    </row>
    <row r="1195" spans="1:19" ht="11.25" customHeight="1">
      <c r="A1195" s="2559" t="s">
        <v>1981</v>
      </c>
      <c r="B1195" s="2559"/>
      <c r="C1195" s="2559"/>
      <c r="D1195" s="2559"/>
      <c r="E1195" s="2559"/>
      <c r="F1195" s="2559"/>
      <c r="G1195" s="2559"/>
      <c r="H1195" s="2559"/>
      <c r="I1195" s="2559"/>
      <c r="J1195" s="2559"/>
      <c r="K1195" s="2559"/>
      <c r="L1195" s="2559"/>
      <c r="M1195" s="2559"/>
      <c r="N1195" s="2559"/>
      <c r="O1195" s="2559"/>
      <c r="P1195" s="2559"/>
      <c r="Q1195" s="2559"/>
      <c r="R1195" s="2497"/>
      <c r="S1195" s="2497"/>
    </row>
    <row r="1196" spans="1:19" ht="11.25" customHeight="1">
      <c r="A1196" s="2559" t="s">
        <v>1982</v>
      </c>
      <c r="B1196" s="2559"/>
      <c r="C1196" s="2559"/>
      <c r="D1196" s="2559"/>
      <c r="E1196" s="2559"/>
      <c r="F1196" s="2559"/>
      <c r="G1196" s="2559"/>
      <c r="H1196" s="2559"/>
      <c r="I1196" s="2559"/>
      <c r="J1196" s="2559"/>
      <c r="K1196" s="2559"/>
      <c r="L1196" s="2559"/>
      <c r="M1196" s="2559"/>
      <c r="N1196" s="2559"/>
      <c r="O1196" s="2559"/>
      <c r="P1196" s="2559"/>
      <c r="Q1196" s="2559"/>
      <c r="R1196" s="2497"/>
      <c r="S1196" s="2497"/>
    </row>
    <row r="1197" spans="1:19" ht="11.25" customHeight="1">
      <c r="A1197" s="2559" t="s">
        <v>1983</v>
      </c>
      <c r="B1197" s="2559"/>
      <c r="C1197" s="2559"/>
      <c r="D1197" s="2559"/>
      <c r="E1197" s="2559"/>
      <c r="F1197" s="2559"/>
      <c r="G1197" s="2559"/>
      <c r="H1197" s="2559"/>
      <c r="I1197" s="2559"/>
      <c r="J1197" s="2559"/>
      <c r="K1197" s="2559"/>
      <c r="L1197" s="2559"/>
      <c r="M1197" s="2559"/>
      <c r="N1197" s="2559"/>
      <c r="O1197" s="2559"/>
      <c r="P1197" s="2559"/>
      <c r="Q1197" s="2559"/>
      <c r="R1197" s="2497"/>
      <c r="S1197" s="2497"/>
    </row>
    <row r="1198" spans="1:19" ht="6" customHeight="1"/>
    <row r="1199" spans="1:19" ht="14.1" customHeight="1">
      <c r="A1199" s="2692" t="s">
        <v>598</v>
      </c>
      <c r="B1199" s="2607" t="s">
        <v>2579</v>
      </c>
      <c r="C1199" s="2729"/>
      <c r="D1199" s="512"/>
      <c r="E1199" s="512"/>
      <c r="F1199" s="512"/>
      <c r="G1199" s="512"/>
      <c r="I1199" s="1550"/>
      <c r="J1199" s="1550"/>
      <c r="K1199" s="1550"/>
      <c r="L1199" s="2251"/>
      <c r="M1199" s="2251"/>
      <c r="O1199" s="2730" t="s">
        <v>1821</v>
      </c>
      <c r="P1199" s="2654"/>
      <c r="Q1199" s="2654"/>
    </row>
    <row r="1200" spans="1:19" ht="3" customHeight="1"/>
    <row r="1201" spans="1:32" ht="11.25" customHeight="1">
      <c r="B1201" s="512" t="s">
        <v>3571</v>
      </c>
      <c r="C1201" s="512"/>
      <c r="D1201" s="512"/>
      <c r="E1201" s="512"/>
      <c r="F1201" s="512"/>
      <c r="G1201" s="1550"/>
      <c r="H1201" s="1550"/>
      <c r="I1201" s="1550"/>
      <c r="J1201" s="1550"/>
      <c r="K1201" s="2251"/>
      <c r="L1201" s="2251"/>
      <c r="M1201" s="2251"/>
      <c r="N1201" s="2251"/>
      <c r="O1201" s="2251"/>
      <c r="P1201" s="2251"/>
      <c r="S1201" s="2725"/>
      <c r="T1201" s="2725"/>
    </row>
    <row r="1202" spans="1:32" ht="108.75" customHeight="1">
      <c r="A1202" s="2729" t="str">
        <f>'Part VIII-Threshold Criteria'!A32</f>
        <v xml:space="preserve">All financing commitments are provided in tab 01. </v>
      </c>
      <c r="B1202" s="2729"/>
      <c r="C1202" s="2729"/>
      <c r="D1202" s="2729"/>
      <c r="E1202" s="2729"/>
      <c r="F1202" s="2729"/>
      <c r="G1202" s="2729"/>
      <c r="H1202" s="2729"/>
      <c r="I1202" s="2729"/>
      <c r="J1202" s="2729"/>
      <c r="K1202" s="2729"/>
      <c r="L1202" s="2729"/>
      <c r="M1202" s="2729"/>
      <c r="N1202" s="2729"/>
      <c r="O1202" s="2729"/>
      <c r="P1202" s="2729"/>
      <c r="Q1202" s="2729"/>
      <c r="R1202" s="2497" t="s">
        <v>1228</v>
      </c>
      <c r="S1202" s="2497"/>
      <c r="T1202" s="2725"/>
      <c r="U1202" s="2654"/>
      <c r="V1202" s="2654"/>
      <c r="W1202" s="2654"/>
      <c r="X1202" s="2654"/>
      <c r="Y1202" s="2654"/>
      <c r="Z1202" s="2654"/>
      <c r="AA1202" s="2654"/>
      <c r="AB1202" s="2654"/>
      <c r="AC1202" s="2654"/>
      <c r="AD1202" s="2654"/>
      <c r="AE1202" s="2654"/>
    </row>
    <row r="1203" spans="1:32" ht="11.25" customHeight="1">
      <c r="B1203" s="2729" t="s">
        <v>1820</v>
      </c>
      <c r="C1203" s="2729"/>
      <c r="D1203" s="2731"/>
      <c r="E1203" s="2731"/>
      <c r="F1203" s="2731"/>
      <c r="G1203" s="2731"/>
      <c r="H1203" s="2731"/>
      <c r="I1203" s="2731"/>
      <c r="J1203" s="2731"/>
      <c r="K1203" s="2731"/>
      <c r="L1203" s="2731"/>
      <c r="M1203" s="2731"/>
      <c r="N1203" s="2731"/>
      <c r="O1203" s="2731"/>
      <c r="P1203" s="2731"/>
    </row>
    <row r="1204" spans="1:32" ht="36" customHeight="1">
      <c r="A1204" s="2729"/>
      <c r="B1204" s="2729"/>
      <c r="C1204" s="2729"/>
      <c r="D1204" s="2729"/>
      <c r="E1204" s="2729"/>
      <c r="F1204" s="2729"/>
      <c r="G1204" s="2729"/>
      <c r="H1204" s="2729"/>
      <c r="I1204" s="2729"/>
      <c r="J1204" s="2729"/>
      <c r="K1204" s="2729"/>
      <c r="L1204" s="2729"/>
      <c r="M1204" s="2729"/>
      <c r="N1204" s="2729"/>
      <c r="O1204" s="2729"/>
      <c r="P1204" s="2729"/>
      <c r="Q1204" s="2729"/>
      <c r="R1204" s="2497" t="s">
        <v>1228</v>
      </c>
      <c r="S1204" s="2497"/>
    </row>
    <row r="1205" spans="1:32" ht="3" customHeight="1">
      <c r="B1205" s="1550"/>
      <c r="C1205" s="2731"/>
      <c r="D1205" s="2731"/>
      <c r="E1205" s="2731"/>
      <c r="F1205" s="2731"/>
      <c r="G1205" s="2731"/>
      <c r="H1205" s="2731"/>
      <c r="I1205" s="2731"/>
      <c r="J1205" s="2731"/>
      <c r="K1205" s="2731"/>
      <c r="L1205" s="2731"/>
      <c r="M1205" s="2731"/>
      <c r="N1205" s="2731"/>
      <c r="O1205" s="2731"/>
      <c r="P1205" s="2731"/>
      <c r="Q1205" s="2251"/>
    </row>
    <row r="1206" spans="1:32" ht="12.75" customHeight="1">
      <c r="A1206" s="2649" t="s">
        <v>722</v>
      </c>
      <c r="B1206" s="2408" t="s">
        <v>2631</v>
      </c>
      <c r="C1206" s="2408"/>
      <c r="D1206" s="2408"/>
      <c r="E1206" s="2731"/>
      <c r="G1206" s="2654"/>
      <c r="H1206" s="2654"/>
      <c r="I1206" s="2654"/>
      <c r="J1206" s="2408"/>
      <c r="L1206" s="2714"/>
      <c r="M1206" s="2714"/>
      <c r="N1206" s="2714"/>
      <c r="O1206" s="2730" t="s">
        <v>1821</v>
      </c>
      <c r="P1206" s="2654"/>
      <c r="Q1206" s="2654"/>
    </row>
    <row r="1207" spans="1:32" ht="11.25" customHeight="1">
      <c r="A1207" s="2732"/>
      <c r="B1207" s="2732"/>
      <c r="C1207" s="2732"/>
      <c r="D1207" s="2732"/>
      <c r="E1207" s="2732"/>
      <c r="F1207" s="2732"/>
      <c r="G1207" s="2505" t="s">
        <v>2635</v>
      </c>
      <c r="H1207" s="2505"/>
      <c r="I1207" s="512"/>
      <c r="J1207" s="2408"/>
      <c r="K1207" s="512" t="s">
        <v>3471</v>
      </c>
      <c r="L1207" s="512"/>
      <c r="M1207" s="512"/>
      <c r="N1207" s="512"/>
    </row>
    <row r="1208" spans="1:32" ht="11.25" customHeight="1">
      <c r="A1208" s="2732"/>
      <c r="B1208" s="2732"/>
      <c r="C1208" s="2732"/>
      <c r="D1208" s="2732"/>
      <c r="E1208" s="2732"/>
      <c r="F1208" s="2732"/>
      <c r="G1208" s="2505" t="s">
        <v>341</v>
      </c>
      <c r="H1208" s="2505"/>
      <c r="I1208" s="512"/>
      <c r="J1208" s="2408"/>
      <c r="K1208" s="512" t="s">
        <v>3472</v>
      </c>
      <c r="L1208" s="512"/>
      <c r="M1208" s="512"/>
      <c r="N1208" s="512"/>
      <c r="P1208" s="2532" t="s">
        <v>2650</v>
      </c>
      <c r="Q1208" s="1550">
        <f>'Part VIII-Threshold Criteria'!Q38</f>
        <v>0</v>
      </c>
    </row>
    <row r="1209" spans="1:32" ht="4.5" customHeight="1">
      <c r="A1209" s="2732"/>
      <c r="B1209" s="2732"/>
      <c r="C1209" s="2732"/>
      <c r="D1209" s="2732"/>
      <c r="E1209" s="2732"/>
      <c r="F1209" s="2732"/>
      <c r="G1209" s="512"/>
      <c r="H1209" s="512"/>
      <c r="I1209" s="512"/>
      <c r="J1209" s="2408"/>
      <c r="K1209" s="512"/>
      <c r="L1209" s="512"/>
      <c r="M1209" s="512"/>
      <c r="N1209" s="512"/>
      <c r="P1209" s="2509" t="s">
        <v>4538</v>
      </c>
      <c r="Q1209" s="2509"/>
    </row>
    <row r="1210" spans="1:32" ht="10.5" customHeight="1">
      <c r="D1210" s="2733" t="s">
        <v>2634</v>
      </c>
      <c r="F1210" s="2618" t="s">
        <v>3338</v>
      </c>
      <c r="G1210" s="2618" t="s">
        <v>4461</v>
      </c>
      <c r="H1210" s="2618"/>
      <c r="I1210" s="2618"/>
      <c r="K1210" s="2618" t="s">
        <v>3338</v>
      </c>
      <c r="L1210" s="2618" t="s">
        <v>4460</v>
      </c>
      <c r="M1210" s="2618"/>
      <c r="N1210" s="2618"/>
      <c r="P1210" s="2509"/>
      <c r="Q1210" s="2509"/>
      <c r="R1210" s="2489"/>
      <c r="V1210" s="2408"/>
      <c r="W1210" s="2408"/>
      <c r="X1210" s="2650"/>
      <c r="Y1210" s="2408"/>
      <c r="Z1210" s="512"/>
      <c r="AA1210" s="513"/>
      <c r="AB1210" s="513"/>
      <c r="AC1210" s="513"/>
      <c r="AD1210" s="513"/>
      <c r="AE1210" s="513"/>
      <c r="AF1210" s="513"/>
    </row>
    <row r="1211" spans="1:32" ht="10.5" customHeight="1">
      <c r="A1211" s="2559" t="s">
        <v>3252</v>
      </c>
      <c r="B1211" s="2559"/>
      <c r="C1211" s="2559"/>
      <c r="D1211" s="2734" t="s">
        <v>551</v>
      </c>
      <c r="E1211" s="1550">
        <v>0</v>
      </c>
      <c r="F1211" s="2735" t="str">
        <f>'Part VIII-Threshold Criteria'!F41</f>
        <v/>
      </c>
      <c r="G1211" s="2736">
        <f>'Part VIII-Threshold Criteria'!G41</f>
        <v>172490.4</v>
      </c>
      <c r="H1211" s="2684" t="str">
        <f>'Part VIII-Threshold Criteria'!H41</f>
        <v xml:space="preserve">x  units = </v>
      </c>
      <c r="I1211" s="2614" t="str">
        <f>IF(F1211="","",F1211*G1211)</f>
        <v/>
      </c>
      <c r="J1211" s="2408"/>
      <c r="K1211" s="2735" t="str">
        <f>'Part VIII-Threshold Criteria'!K41</f>
        <v/>
      </c>
      <c r="L1211" s="2736">
        <f>'Part VIII-Threshold Criteria'!L41</f>
        <v>189739.44</v>
      </c>
      <c r="M1211" s="2684" t="str">
        <f>'Part VIII-Threshold Criteria'!M41</f>
        <v xml:space="preserve">x  units = </v>
      </c>
      <c r="N1211" s="2614" t="str">
        <f>IF(K1211="","",K1211*L1211)</f>
        <v/>
      </c>
      <c r="O1211" s="2731"/>
      <c r="P1211" s="2509"/>
      <c r="Q1211" s="2509"/>
      <c r="R1211" s="2489"/>
      <c r="V1211" s="2408"/>
      <c r="W1211" s="2408"/>
      <c r="X1211" s="2650"/>
      <c r="Y1211" s="2408"/>
      <c r="Z1211" s="512"/>
      <c r="AA1211" s="513"/>
      <c r="AB1211" s="513"/>
      <c r="AC1211" s="513"/>
      <c r="AD1211" s="513"/>
      <c r="AE1211" s="513"/>
      <c r="AF1211" s="513"/>
    </row>
    <row r="1212" spans="1:32" ht="10.5" customHeight="1">
      <c r="A1212" s="2559"/>
      <c r="B1212" s="2559"/>
      <c r="C1212" s="2559"/>
      <c r="D1212" s="2734" t="s">
        <v>2377</v>
      </c>
      <c r="E1212" s="1550">
        <v>1</v>
      </c>
      <c r="F1212" s="2735" t="str">
        <f>'Part VIII-Threshold Criteria'!F42</f>
        <v/>
      </c>
      <c r="G1212" s="2736">
        <f>'Part VIII-Threshold Criteria'!G42</f>
        <v>213659.65</v>
      </c>
      <c r="H1212" s="2684" t="str">
        <f>'Part VIII-Threshold Criteria'!H42</f>
        <v xml:space="preserve">x  units = </v>
      </c>
      <c r="I1212" s="2614" t="str">
        <f>IF(F1212="","",F1212*G1212)</f>
        <v/>
      </c>
      <c r="J1212" s="2408"/>
      <c r="K1212" s="2735" t="str">
        <f>'Part VIII-Threshold Criteria'!K42</f>
        <v/>
      </c>
      <c r="L1212" s="2736">
        <f>'Part VIII-Threshold Criteria'!L42</f>
        <v>235025.61500000002</v>
      </c>
      <c r="M1212" s="2684" t="str">
        <f>'Part VIII-Threshold Criteria'!M42</f>
        <v xml:space="preserve">x  units = </v>
      </c>
      <c r="N1212" s="2614" t="str">
        <f>IF(K1212="","",K1212*L1212)</f>
        <v/>
      </c>
      <c r="O1212" s="2731"/>
      <c r="P1212" s="2657" t="str">
        <f>'Part VIII-Threshold Criteria'!P42</f>
        <v>Augusta</v>
      </c>
      <c r="Q1212" s="2657"/>
      <c r="R1212" s="2489"/>
      <c r="W1212" s="2408"/>
      <c r="X1212" s="2650"/>
      <c r="Y1212" s="2408"/>
      <c r="Z1212" s="512"/>
      <c r="AA1212" s="513"/>
      <c r="AB1212" s="513"/>
      <c r="AC1212" s="513"/>
      <c r="AD1212" s="513"/>
      <c r="AE1212" s="513"/>
      <c r="AF1212" s="513"/>
    </row>
    <row r="1213" spans="1:32" ht="10.5" customHeight="1">
      <c r="A1213" s="2559"/>
      <c r="B1213" s="2559"/>
      <c r="C1213" s="2559"/>
      <c r="D1213" s="2734" t="s">
        <v>2378</v>
      </c>
      <c r="E1213" s="1550">
        <v>2</v>
      </c>
      <c r="F1213" s="2735" t="str">
        <f>'Part VIII-Threshold Criteria'!F43</f>
        <v/>
      </c>
      <c r="G1213" s="2736">
        <f>'Part VIII-Threshold Criteria'!G43</f>
        <v>255516.19999999998</v>
      </c>
      <c r="H1213" s="2684" t="str">
        <f>'Part VIII-Threshold Criteria'!H43</f>
        <v xml:space="preserve">x  units = </v>
      </c>
      <c r="I1213" s="2614" t="str">
        <f>IF(F1213="","",F1213*G1213)</f>
        <v/>
      </c>
      <c r="J1213" s="2408"/>
      <c r="K1213" s="2735" t="str">
        <f>'Part VIII-Threshold Criteria'!K43</f>
        <v/>
      </c>
      <c r="L1213" s="2736">
        <f>'Part VIII-Threshold Criteria'!L43</f>
        <v>281067.82</v>
      </c>
      <c r="M1213" s="2684" t="str">
        <f>'Part VIII-Threshold Criteria'!M43</f>
        <v xml:space="preserve">x  units = </v>
      </c>
      <c r="N1213" s="2614" t="str">
        <f>IF(K1213="","",K1213*L1213)</f>
        <v/>
      </c>
      <c r="O1213" s="2731"/>
      <c r="P1213" s="2657"/>
      <c r="Q1213" s="2657"/>
      <c r="W1213" s="2408"/>
      <c r="X1213" s="2650"/>
      <c r="Y1213" s="2408"/>
      <c r="Z1213" s="512"/>
      <c r="AA1213" s="513"/>
      <c r="AB1213" s="513"/>
      <c r="AC1213" s="513"/>
      <c r="AD1213" s="513"/>
      <c r="AE1213" s="513"/>
      <c r="AF1213" s="513"/>
    </row>
    <row r="1214" spans="1:32" ht="10.5" customHeight="1">
      <c r="A1214" s="2559"/>
      <c r="B1214" s="2559"/>
      <c r="C1214" s="2559"/>
      <c r="D1214" s="2734" t="s">
        <v>2379</v>
      </c>
      <c r="E1214" s="1550">
        <v>3</v>
      </c>
      <c r="F1214" s="2735" t="str">
        <f>'Part VIII-Threshold Criteria'!F44</f>
        <v/>
      </c>
      <c r="G1214" s="2736">
        <f>'Part VIII-Threshold Criteria'!G44</f>
        <v>291187.60000000003</v>
      </c>
      <c r="H1214" s="2684" t="str">
        <f>'Part VIII-Threshold Criteria'!H44</f>
        <v xml:space="preserve">x  units = </v>
      </c>
      <c r="I1214" s="2614" t="str">
        <f>IF(F1214="","",F1214*G1214)</f>
        <v/>
      </c>
      <c r="J1214" s="2408"/>
      <c r="K1214" s="2735" t="str">
        <f>'Part VIII-Threshold Criteria'!K44</f>
        <v/>
      </c>
      <c r="L1214" s="2736">
        <f>'Part VIII-Threshold Criteria'!L44</f>
        <v>320306.36000000004</v>
      </c>
      <c r="M1214" s="2684" t="str">
        <f>'Part VIII-Threshold Criteria'!M44</f>
        <v xml:space="preserve">x  units = </v>
      </c>
      <c r="N1214" s="2614" t="str">
        <f>IF(K1214="","",K1214*L1214)</f>
        <v/>
      </c>
      <c r="O1214" s="2731"/>
      <c r="P1214" s="512" t="s">
        <v>4539</v>
      </c>
      <c r="Q1214" s="512"/>
      <c r="W1214" s="2408"/>
      <c r="X1214" s="2650"/>
      <c r="AC1214" s="513"/>
      <c r="AD1214" s="513"/>
      <c r="AE1214" s="513"/>
      <c r="AF1214" s="513"/>
    </row>
    <row r="1215" spans="1:32" ht="10.5" customHeight="1">
      <c r="C1215" s="2408"/>
      <c r="D1215" s="2734" t="s">
        <v>2380</v>
      </c>
      <c r="E1215" s="1550">
        <v>4</v>
      </c>
      <c r="F1215" s="2735" t="str">
        <f>'Part VIII-Threshold Criteria'!F45</f>
        <v/>
      </c>
      <c r="G1215" s="2736">
        <f>'Part VIII-Threshold Criteria'!G45</f>
        <v>342932.7</v>
      </c>
      <c r="H1215" s="2684" t="str">
        <f>'Part VIII-Threshold Criteria'!H45</f>
        <v xml:space="preserve">x  units = </v>
      </c>
      <c r="I1215" s="2614" t="str">
        <f>IF(F1215="","",F1215*G1215)</f>
        <v/>
      </c>
      <c r="J1215" s="2408"/>
      <c r="K1215" s="2735" t="str">
        <f>'Part VIII-Threshold Criteria'!K45</f>
        <v/>
      </c>
      <c r="L1215" s="2736">
        <f>'Part VIII-Threshold Criteria'!L45</f>
        <v>377225.97000000003</v>
      </c>
      <c r="M1215" s="2684" t="str">
        <f>'Part VIII-Threshold Criteria'!M45</f>
        <v xml:space="preserve">x  units = </v>
      </c>
      <c r="N1215" s="2614" t="str">
        <f>IF(K1215="","",K1215*L1215)</f>
        <v/>
      </c>
      <c r="O1215" s="2731"/>
      <c r="P1215" s="2701">
        <f>'Part IV-A-Uses of Funds'!$G$132</f>
        <v>43012994</v>
      </c>
      <c r="Q1215" s="2701"/>
      <c r="AC1215" s="513"/>
      <c r="AD1215" s="513"/>
      <c r="AE1215" s="513"/>
      <c r="AF1215" s="513"/>
    </row>
    <row r="1216" spans="1:32" ht="10.5" customHeight="1">
      <c r="C1216" s="2408"/>
      <c r="D1216" s="2737" t="s">
        <v>3262</v>
      </c>
      <c r="E1216" s="2607"/>
      <c r="F1216" s="2738">
        <f>SUM(F1211:F1215)</f>
        <v>0</v>
      </c>
      <c r="G1216" s="2739"/>
      <c r="H1216" s="2740"/>
      <c r="I1216" s="2741">
        <f>SUM(I1211:I1215)</f>
        <v>0</v>
      </c>
      <c r="J1216" s="2607"/>
      <c r="K1216" s="2738">
        <f>SUM(K1211:K1215)</f>
        <v>0</v>
      </c>
      <c r="L1216" s="2607"/>
      <c r="M1216" s="2740"/>
      <c r="N1216" s="2741">
        <f>SUM(N1211:N1215)</f>
        <v>0</v>
      </c>
      <c r="O1216" s="2731"/>
      <c r="P1216" s="512" t="s">
        <v>4524</v>
      </c>
      <c r="Q1216" s="512"/>
      <c r="R1216" s="2742" t="s">
        <v>4540</v>
      </c>
      <c r="S1216" s="2742"/>
      <c r="T1216" s="2742"/>
      <c r="V1216" s="2566"/>
      <c r="W1216" s="2566"/>
      <c r="AC1216" s="513"/>
      <c r="AD1216" s="513"/>
      <c r="AE1216" s="513"/>
      <c r="AF1216" s="513"/>
    </row>
    <row r="1217" spans="1:32" ht="1.5" customHeight="1">
      <c r="C1217" s="2408"/>
      <c r="D1217" s="2732"/>
      <c r="E1217" s="2732"/>
      <c r="F1217" s="2619"/>
      <c r="G1217" s="2729"/>
      <c r="I1217" s="2619"/>
      <c r="K1217" s="2619"/>
      <c r="M1217" s="2731"/>
      <c r="N1217" s="2619"/>
      <c r="O1217" s="2731"/>
      <c r="R1217" s="2489"/>
      <c r="AC1217" s="513"/>
      <c r="AD1217" s="513"/>
      <c r="AE1217" s="513"/>
      <c r="AF1217" s="513"/>
    </row>
    <row r="1218" spans="1:32" ht="10.5" customHeight="1">
      <c r="A1218" s="2559" t="s">
        <v>3247</v>
      </c>
      <c r="B1218" s="2559"/>
      <c r="C1218" s="2559"/>
      <c r="D1218" s="2734" t="s">
        <v>551</v>
      </c>
      <c r="E1218" s="2735">
        <v>0</v>
      </c>
      <c r="F1218" s="2735" t="str">
        <f>'Part VIII-Threshold Criteria'!F48</f>
        <v/>
      </c>
      <c r="G1218" s="2736">
        <f>'Part VIII-Threshold Criteria'!G48</f>
        <v>149410.79999999999</v>
      </c>
      <c r="H1218" s="2684" t="str">
        <f>'Part VIII-Threshold Criteria'!H48</f>
        <v xml:space="preserve">x  units = </v>
      </c>
      <c r="I1218" s="2614" t="str">
        <f>IF(F1218="","",F1218*G1218)</f>
        <v/>
      </c>
      <c r="J1218" s="2408"/>
      <c r="K1218" s="2735" t="s">
        <v>4493</v>
      </c>
      <c r="L1218" s="2736">
        <v>159979.19999999998</v>
      </c>
      <c r="M1218" s="2684" t="s">
        <v>6823</v>
      </c>
      <c r="N1218" s="2614" t="str">
        <f>IF(K1218="","",K1218*L1218)</f>
        <v/>
      </c>
      <c r="P1218" s="2701">
        <f>'Part VIII-Threshold Criteria'!P48</f>
        <v>41610634</v>
      </c>
      <c r="Q1218" s="2701"/>
      <c r="AC1218" s="513"/>
      <c r="AD1218" s="513"/>
      <c r="AE1218" s="513"/>
      <c r="AF1218" s="513"/>
    </row>
    <row r="1219" spans="1:32" ht="10.5" customHeight="1">
      <c r="A1219" s="2559"/>
      <c r="B1219" s="2559"/>
      <c r="C1219" s="2559"/>
      <c r="D1219" s="2734" t="s">
        <v>2377</v>
      </c>
      <c r="E1219" s="1550">
        <v>1</v>
      </c>
      <c r="F1219" s="2735" t="str">
        <f>'Part VIII-Threshold Criteria'!F49</f>
        <v/>
      </c>
      <c r="G1219" s="2736">
        <f>'Part VIII-Threshold Criteria'!G49</f>
        <v>186693.3</v>
      </c>
      <c r="H1219" s="2684" t="str">
        <f>'Part VIII-Threshold Criteria'!H49</f>
        <v xml:space="preserve">x  units = </v>
      </c>
      <c r="I1219" s="2614" t="str">
        <f>IF(F1219="","",F1219*G1219)</f>
        <v/>
      </c>
      <c r="J1219" s="2408"/>
      <c r="K1219" s="2735" t="s">
        <v>4493</v>
      </c>
      <c r="L1219" s="2736">
        <v>198564.74999999997</v>
      </c>
      <c r="M1219" s="2684" t="s">
        <v>6823</v>
      </c>
      <c r="N1219" s="2614" t="str">
        <f>IF(K1219="","",K1219*L1219)</f>
        <v/>
      </c>
      <c r="P1219" s="2505" t="s">
        <v>3780</v>
      </c>
      <c r="Q1219" s="2505"/>
      <c r="AC1219" s="513"/>
      <c r="AD1219" s="513"/>
      <c r="AE1219" s="513"/>
      <c r="AF1219" s="513"/>
    </row>
    <row r="1220" spans="1:32" ht="10.5" customHeight="1">
      <c r="A1220" s="2559"/>
      <c r="B1220" s="2559"/>
      <c r="C1220" s="2559"/>
      <c r="D1220" s="2734" t="s">
        <v>2378</v>
      </c>
      <c r="E1220" s="1550">
        <v>2</v>
      </c>
      <c r="F1220" s="2735" t="str">
        <f>'Part VIII-Threshold Criteria'!F50</f>
        <v/>
      </c>
      <c r="G1220" s="2736">
        <f>'Part VIII-Threshold Criteria'!G50</f>
        <v>225984.19999999998</v>
      </c>
      <c r="H1220" s="2684" t="str">
        <f>'Part VIII-Threshold Criteria'!H50</f>
        <v xml:space="preserve">x  units = </v>
      </c>
      <c r="I1220" s="2614" t="str">
        <f>IF(F1220="","",F1220*G1220)</f>
        <v/>
      </c>
      <c r="J1220" s="2408"/>
      <c r="K1220" s="2735" t="s">
        <v>4493</v>
      </c>
      <c r="L1220" s="2736">
        <v>237737.19999999998</v>
      </c>
      <c r="M1220" s="2684" t="s">
        <v>6823</v>
      </c>
      <c r="N1220" s="2614" t="str">
        <f>IF(K1220="","",K1220*L1220)</f>
        <v/>
      </c>
      <c r="O1220" s="2652"/>
      <c r="P1220" s="2743"/>
      <c r="Q1220" s="2743"/>
      <c r="R1220" s="2489"/>
      <c r="S1220" s="2744" t="s">
        <v>6920</v>
      </c>
      <c r="T1220" s="2744"/>
      <c r="U1220" s="2744"/>
      <c r="V1220" s="2744"/>
      <c r="AC1220" s="513"/>
      <c r="AD1220" s="513"/>
      <c r="AE1220" s="513"/>
      <c r="AF1220" s="513"/>
    </row>
    <row r="1221" spans="1:32" ht="10.5" customHeight="1">
      <c r="C1221" s="2408"/>
      <c r="D1221" s="2734" t="s">
        <v>2379</v>
      </c>
      <c r="E1221" s="1550">
        <v>3</v>
      </c>
      <c r="F1221" s="2735" t="str">
        <f>'Part VIII-Threshold Criteria'!F51</f>
        <v/>
      </c>
      <c r="G1221" s="2736">
        <f>'Part VIII-Threshold Criteria'!G51</f>
        <v>263362</v>
      </c>
      <c r="H1221" s="2684" t="str">
        <f>'Part VIII-Threshold Criteria'!H51</f>
        <v xml:space="preserve">x  units = </v>
      </c>
      <c r="I1221" s="2614" t="str">
        <f>IF(F1221="","",F1221*G1221)</f>
        <v/>
      </c>
      <c r="J1221" s="2408"/>
      <c r="K1221" s="2735" t="s">
        <v>4493</v>
      </c>
      <c r="L1221" s="2736">
        <v>271326</v>
      </c>
      <c r="M1221" s="2684" t="s">
        <v>6823</v>
      </c>
      <c r="N1221" s="2614" t="str">
        <f>IF(K1221="","",K1221*L1221)</f>
        <v/>
      </c>
      <c r="O1221" s="2652"/>
      <c r="P1221" s="2743"/>
      <c r="Q1221" s="2743"/>
      <c r="S1221" s="2744"/>
      <c r="T1221" s="2744"/>
      <c r="U1221" s="2744"/>
      <c r="V1221" s="2744"/>
      <c r="AC1221" s="513"/>
      <c r="AD1221" s="513"/>
      <c r="AE1221" s="513"/>
      <c r="AF1221" s="513"/>
    </row>
    <row r="1222" spans="1:32" ht="10.5" customHeight="1">
      <c r="C1222" s="2408"/>
      <c r="D1222" s="2734" t="s">
        <v>2380</v>
      </c>
      <c r="E1222" s="1550">
        <v>4</v>
      </c>
      <c r="F1222" s="2735" t="str">
        <f>'Part VIII-Threshold Criteria'!F52</f>
        <v/>
      </c>
      <c r="G1222" s="2736">
        <f>'Part VIII-Threshold Criteria'!G52</f>
        <v>312132.7</v>
      </c>
      <c r="H1222" s="2684" t="str">
        <f>'Part VIII-Threshold Criteria'!H52</f>
        <v xml:space="preserve">x  units = </v>
      </c>
      <c r="I1222" s="2614" t="str">
        <f>IF(F1222="","",F1222*G1222)</f>
        <v/>
      </c>
      <c r="J1222" s="2408"/>
      <c r="K1222" s="2735" t="s">
        <v>4493</v>
      </c>
      <c r="L1222" s="2736">
        <v>319916.30000000005</v>
      </c>
      <c r="M1222" s="2684" t="s">
        <v>6823</v>
      </c>
      <c r="N1222" s="2614" t="str">
        <f>IF(K1222="","",K1222*L1222)</f>
        <v/>
      </c>
      <c r="O1222" s="2652"/>
      <c r="P1222" s="2509" t="s">
        <v>3467</v>
      </c>
      <c r="Q1222" s="2509"/>
      <c r="S1222" s="2744"/>
      <c r="T1222" s="2744"/>
      <c r="U1222" s="2744"/>
      <c r="V1222" s="2744"/>
      <c r="AC1222" s="513"/>
      <c r="AD1222" s="513"/>
      <c r="AE1222" s="513"/>
      <c r="AF1222" s="513"/>
    </row>
    <row r="1223" spans="1:32" ht="10.5" customHeight="1">
      <c r="C1223" s="2408"/>
      <c r="D1223" s="2737" t="s">
        <v>3262</v>
      </c>
      <c r="E1223" s="2607"/>
      <c r="F1223" s="2738">
        <f>SUM(F1218:F1222)</f>
        <v>0</v>
      </c>
      <c r="G1223" s="2739"/>
      <c r="H1223" s="2740"/>
      <c r="I1223" s="2741">
        <f>SUM(I1218:I1222)</f>
        <v>0</v>
      </c>
      <c r="J1223" s="2607"/>
      <c r="K1223" s="2738">
        <f>SUM(K1218:K1222)</f>
        <v>0</v>
      </c>
      <c r="L1223" s="2607"/>
      <c r="M1223" s="2740"/>
      <c r="N1223" s="2741">
        <f>SUM(N1218:N1222)</f>
        <v>0</v>
      </c>
      <c r="O1223" s="2652"/>
      <c r="P1223" s="2663" t="s">
        <v>3141</v>
      </c>
      <c r="Q1223" s="2663" t="s">
        <v>251</v>
      </c>
      <c r="R1223" s="2489"/>
      <c r="S1223" s="2744"/>
      <c r="T1223" s="2744"/>
      <c r="U1223" s="2744"/>
      <c r="V1223" s="2744"/>
      <c r="AB1223" s="513"/>
      <c r="AC1223" s="513"/>
      <c r="AD1223" s="513"/>
      <c r="AE1223" s="513"/>
      <c r="AF1223" s="513"/>
    </row>
    <row r="1224" spans="1:32" ht="1.5" customHeight="1">
      <c r="C1224" s="2408"/>
      <c r="D1224" s="2732"/>
      <c r="E1224" s="2732"/>
      <c r="F1224" s="2619"/>
      <c r="G1224" s="2729"/>
      <c r="I1224" s="2619"/>
      <c r="K1224" s="2619"/>
      <c r="M1224" s="2731"/>
      <c r="N1224" s="2619"/>
      <c r="O1224" s="2652"/>
      <c r="R1224" s="2489"/>
      <c r="S1224" s="2744"/>
      <c r="T1224" s="2744"/>
      <c r="U1224" s="2744"/>
      <c r="V1224" s="2744"/>
      <c r="W1224" s="2408"/>
      <c r="AB1224" s="513"/>
      <c r="AC1224" s="513"/>
      <c r="AD1224" s="513"/>
      <c r="AE1224" s="513"/>
      <c r="AF1224" s="513"/>
    </row>
    <row r="1225" spans="1:32" ht="10.5" customHeight="1">
      <c r="A1225" s="2505" t="s">
        <v>3248</v>
      </c>
      <c r="C1225" s="2408"/>
      <c r="D1225" s="2734" t="s">
        <v>551</v>
      </c>
      <c r="E1225" s="1550">
        <v>0</v>
      </c>
      <c r="F1225" s="2735" t="str">
        <f>'Part VIII-Threshold Criteria'!F55</f>
        <v/>
      </c>
      <c r="G1225" s="2736">
        <f>'Part VIII-Threshold Criteria'!G55</f>
        <v>132063.6</v>
      </c>
      <c r="H1225" s="2684" t="str">
        <f>'Part VIII-Threshold Criteria'!H55</f>
        <v xml:space="preserve">x  units = </v>
      </c>
      <c r="I1225" s="2614" t="str">
        <f>IF(F1225="","",F1225*G1225)</f>
        <v/>
      </c>
      <c r="J1225" s="2408"/>
      <c r="K1225" s="2735" t="str">
        <f>'Part VIII-Threshold Criteria'!K55</f>
        <v/>
      </c>
      <c r="L1225" s="2736">
        <f>'Part VIII-Threshold Criteria'!L55</f>
        <v>145269.96000000002</v>
      </c>
      <c r="M1225" s="2684" t="str">
        <f>'Part VIII-Threshold Criteria'!M55</f>
        <v xml:space="preserve">x  units = </v>
      </c>
      <c r="N1225" s="2614" t="str">
        <f>IF(K1225="","",K1225*L1225)</f>
        <v/>
      </c>
      <c r="O1225" s="2652"/>
      <c r="P1225" s="2660">
        <f>'Part VIII-Threshold Criteria'!P55</f>
        <v>0</v>
      </c>
      <c r="Q1225" s="2660">
        <f>'Part VIII-Threshold Criteria'!Q55</f>
        <v>0</v>
      </c>
      <c r="R1225" s="2489"/>
      <c r="S1225" s="2744"/>
      <c r="T1225" s="2744"/>
      <c r="U1225" s="2744"/>
      <c r="V1225" s="2744"/>
      <c r="W1225" s="2408"/>
      <c r="AB1225" s="513"/>
      <c r="AC1225" s="513"/>
      <c r="AD1225" s="513"/>
      <c r="AE1225" s="513"/>
      <c r="AF1225" s="513"/>
    </row>
    <row r="1226" spans="1:32" ht="10.5" customHeight="1">
      <c r="C1226" s="2408"/>
      <c r="D1226" s="2734" t="s">
        <v>2377</v>
      </c>
      <c r="E1226" s="1550">
        <v>1</v>
      </c>
      <c r="F1226" s="2735">
        <f>'Part VIII-Threshold Criteria'!F56</f>
        <v>18</v>
      </c>
      <c r="G1226" s="2736">
        <f>'Part VIII-Threshold Criteria'!G56</f>
        <v>173042.8</v>
      </c>
      <c r="H1226" s="2684" t="str">
        <f>'Part VIII-Threshold Criteria'!H56</f>
        <v xml:space="preserve">x 18 units = </v>
      </c>
      <c r="I1226" s="2614">
        <f>IF(F1226="","",F1226*G1226)</f>
        <v>3114770.4</v>
      </c>
      <c r="J1226" s="2408"/>
      <c r="K1226" s="2735" t="str">
        <f>'Part VIII-Threshold Criteria'!K56</f>
        <v/>
      </c>
      <c r="L1226" s="2736">
        <f>'Part VIII-Threshold Criteria'!L56</f>
        <v>190347.08000000002</v>
      </c>
      <c r="M1226" s="2684" t="str">
        <f>'Part VIII-Threshold Criteria'!M56</f>
        <v xml:space="preserve">x  units = </v>
      </c>
      <c r="N1226" s="2614" t="str">
        <f>IF(K1226="","",K1226*L1226)</f>
        <v/>
      </c>
      <c r="P1226" s="2509" t="s">
        <v>3468</v>
      </c>
      <c r="Q1226" s="2509"/>
      <c r="S1226" s="2744"/>
      <c r="T1226" s="2744"/>
      <c r="U1226" s="2744"/>
      <c r="V1226" s="2744"/>
      <c r="W1226" s="2408"/>
      <c r="AB1226" s="513"/>
      <c r="AC1226" s="513"/>
      <c r="AD1226" s="513"/>
      <c r="AE1226" s="513"/>
      <c r="AF1226" s="513"/>
    </row>
    <row r="1227" spans="1:32" ht="10.5" customHeight="1">
      <c r="C1227" s="2408"/>
      <c r="D1227" s="2734" t="s">
        <v>2378</v>
      </c>
      <c r="E1227" s="1550">
        <v>2</v>
      </c>
      <c r="F1227" s="2735">
        <f>'Part VIII-Threshold Criteria'!F57</f>
        <v>106</v>
      </c>
      <c r="G1227" s="2736">
        <f>'Part VIII-Threshold Criteria'!G57</f>
        <v>219212.99999999997</v>
      </c>
      <c r="H1227" s="2684" t="str">
        <f>'Part VIII-Threshold Criteria'!H57</f>
        <v xml:space="preserve">x 106 units = </v>
      </c>
      <c r="I1227" s="2614">
        <f>IF(F1227="","",F1227*G1227)</f>
        <v>23236577.999999996</v>
      </c>
      <c r="J1227" s="2408"/>
      <c r="K1227" s="2735" t="str">
        <f>'Part VIII-Threshold Criteria'!K57</f>
        <v/>
      </c>
      <c r="L1227" s="2736">
        <f>'Part VIII-Threshold Criteria'!L57</f>
        <v>241134.3</v>
      </c>
      <c r="M1227" s="2684" t="str">
        <f>'Part VIII-Threshold Criteria'!M57</f>
        <v xml:space="preserve">x  units = </v>
      </c>
      <c r="N1227" s="2614" t="str">
        <f>IF(K1227="","",K1227*L1227)</f>
        <v/>
      </c>
      <c r="P1227" s="2663" t="s">
        <v>3141</v>
      </c>
      <c r="Q1227" s="2663" t="s">
        <v>251</v>
      </c>
      <c r="S1227" s="2744"/>
      <c r="T1227" s="2744"/>
      <c r="U1227" s="2744"/>
      <c r="V1227" s="2744"/>
      <c r="W1227" s="2408"/>
      <c r="AB1227" s="513"/>
      <c r="AC1227" s="513"/>
      <c r="AD1227" s="513"/>
      <c r="AE1227" s="513"/>
      <c r="AF1227" s="513"/>
    </row>
    <row r="1228" spans="1:32" ht="10.5" customHeight="1">
      <c r="C1228" s="2408"/>
      <c r="D1228" s="2734" t="s">
        <v>2379</v>
      </c>
      <c r="E1228" s="1550">
        <v>3</v>
      </c>
      <c r="F1228" s="2735">
        <f>'Part VIII-Threshold Criteria'!F58</f>
        <v>76</v>
      </c>
      <c r="G1228" s="2736">
        <f>'Part VIII-Threshold Criteria'!G58</f>
        <v>276458.60000000003</v>
      </c>
      <c r="H1228" s="2684" t="str">
        <f>'Part VIII-Threshold Criteria'!H58</f>
        <v xml:space="preserve">x 76 units = </v>
      </c>
      <c r="I1228" s="2614">
        <f>IF(F1228="","",F1228*G1228)</f>
        <v>21010853.600000001</v>
      </c>
      <c r="J1228" s="2408"/>
      <c r="K1228" s="2735" t="str">
        <f>'Part VIII-Threshold Criteria'!K58</f>
        <v/>
      </c>
      <c r="L1228" s="2736">
        <f>'Part VIII-Threshold Criteria'!L58</f>
        <v>304104.46000000008</v>
      </c>
      <c r="M1228" s="2684" t="str">
        <f>'Part VIII-Threshold Criteria'!M58</f>
        <v xml:space="preserve">x  units = </v>
      </c>
      <c r="N1228" s="2614" t="str">
        <f>IF(K1228="","",K1228*L1228)</f>
        <v/>
      </c>
      <c r="O1228" s="2652"/>
      <c r="P1228" s="2660">
        <f>'Part VIII-Threshold Criteria'!P58</f>
        <v>0</v>
      </c>
      <c r="Q1228" s="2660">
        <f>'Part VIII-Threshold Criteria'!Q58</f>
        <v>0</v>
      </c>
      <c r="S1228" s="2744"/>
      <c r="T1228" s="2744"/>
      <c r="U1228" s="2744"/>
      <c r="V1228" s="2744"/>
      <c r="W1228" s="2408"/>
      <c r="AB1228" s="513"/>
      <c r="AC1228" s="513"/>
      <c r="AD1228" s="513"/>
      <c r="AE1228" s="513"/>
      <c r="AF1228" s="513"/>
    </row>
    <row r="1229" spans="1:32" ht="10.5" customHeight="1">
      <c r="C1229" s="2408"/>
      <c r="D1229" s="2734" t="s">
        <v>2380</v>
      </c>
      <c r="E1229" s="1550">
        <v>4</v>
      </c>
      <c r="F1229" s="2735" t="str">
        <f>'Part VIII-Threshold Criteria'!F59</f>
        <v/>
      </c>
      <c r="G1229" s="2736">
        <f>'Part VIII-Threshold Criteria'!G59</f>
        <v>342822.7</v>
      </c>
      <c r="H1229" s="2684" t="str">
        <f>'Part VIII-Threshold Criteria'!H59</f>
        <v xml:space="preserve">x  units = </v>
      </c>
      <c r="I1229" s="2614" t="str">
        <f>IF(F1229="","",F1229*G1229)</f>
        <v/>
      </c>
      <c r="J1229" s="2408"/>
      <c r="K1229" s="2735" t="str">
        <f>'Part VIII-Threshold Criteria'!K59</f>
        <v/>
      </c>
      <c r="L1229" s="2736">
        <f>'Part VIII-Threshold Criteria'!L59</f>
        <v>377104.97000000003</v>
      </c>
      <c r="M1229" s="2684" t="str">
        <f>'Part VIII-Threshold Criteria'!M59</f>
        <v xml:space="preserve">x  units = </v>
      </c>
      <c r="N1229" s="2614" t="str">
        <f>IF(K1229="","",K1229*L1229)</f>
        <v/>
      </c>
      <c r="O1229" s="2652"/>
      <c r="P1229" s="2494" t="s">
        <v>2679</v>
      </c>
      <c r="S1229" s="2744"/>
      <c r="T1229" s="2744"/>
      <c r="U1229" s="2744"/>
      <c r="V1229" s="2744"/>
      <c r="W1229" s="2408"/>
      <c r="AB1229" s="513"/>
      <c r="AC1229" s="513"/>
      <c r="AD1229" s="513"/>
      <c r="AE1229" s="513"/>
      <c r="AF1229" s="513"/>
    </row>
    <row r="1230" spans="1:32" ht="10.5" customHeight="1">
      <c r="C1230" s="2408"/>
      <c r="D1230" s="2737" t="s">
        <v>3262</v>
      </c>
      <c r="E1230" s="2607"/>
      <c r="F1230" s="2738">
        <f>SUM(F1225:F1229)</f>
        <v>200</v>
      </c>
      <c r="G1230" s="2739"/>
      <c r="H1230" s="2740"/>
      <c r="I1230" s="2741">
        <f>SUM(I1225:I1229)</f>
        <v>47362202</v>
      </c>
      <c r="J1230" s="2607"/>
      <c r="K1230" s="2738">
        <f>SUM(K1225:K1229)</f>
        <v>0</v>
      </c>
      <c r="L1230" s="2607"/>
      <c r="M1230" s="2740"/>
      <c r="N1230" s="2741">
        <f>SUM(N1225:N1229)</f>
        <v>0</v>
      </c>
      <c r="O1230" s="2652"/>
      <c r="S1230" s="2744"/>
      <c r="T1230" s="2744"/>
      <c r="U1230" s="2744"/>
      <c r="V1230" s="2744"/>
      <c r="W1230" s="2408"/>
      <c r="AB1230" s="513"/>
      <c r="AC1230" s="513"/>
      <c r="AD1230" s="513"/>
      <c r="AE1230" s="513"/>
      <c r="AF1230" s="513"/>
    </row>
    <row r="1231" spans="1:32" ht="1.5" customHeight="1">
      <c r="C1231" s="2408"/>
      <c r="D1231" s="2732"/>
      <c r="E1231" s="2732"/>
      <c r="F1231" s="2619"/>
      <c r="G1231" s="2729"/>
      <c r="I1231" s="2619"/>
      <c r="K1231" s="2619"/>
      <c r="M1231" s="2731"/>
      <c r="N1231" s="2619"/>
      <c r="O1231" s="2652"/>
      <c r="R1231" s="2489"/>
      <c r="S1231" s="2744"/>
      <c r="T1231" s="2744"/>
      <c r="U1231" s="2744"/>
      <c r="V1231" s="2744"/>
      <c r="W1231" s="2408"/>
      <c r="AB1231" s="513"/>
      <c r="AC1231" s="513"/>
      <c r="AD1231" s="513"/>
      <c r="AE1231" s="513"/>
      <c r="AF1231" s="513"/>
    </row>
    <row r="1232" spans="1:32" ht="10.5" customHeight="1">
      <c r="A1232" s="2505" t="s">
        <v>3249</v>
      </c>
      <c r="C1232" s="2408"/>
      <c r="D1232" s="2734" t="s">
        <v>551</v>
      </c>
      <c r="E1232" s="1550">
        <v>0</v>
      </c>
      <c r="F1232" s="2735" t="str">
        <f>'Part VIII-Threshold Criteria'!F62</f>
        <v/>
      </c>
      <c r="G1232" s="2736">
        <f>'Part VIII-Threshold Criteria'!G62</f>
        <v>134532</v>
      </c>
      <c r="H1232" s="2684" t="str">
        <f>'Part VIII-Threshold Criteria'!H62</f>
        <v xml:space="preserve">x  units = </v>
      </c>
      <c r="I1232" s="2614" t="str">
        <f>IF(F1232="","",F1232*G1232)</f>
        <v/>
      </c>
      <c r="J1232" s="2408"/>
      <c r="K1232" s="2735" t="str">
        <f>'Part VIII-Threshold Criteria'!K62</f>
        <v/>
      </c>
      <c r="L1232" s="2736">
        <f>'Part VIII-Threshold Criteria'!L62</f>
        <v>147985.20000000001</v>
      </c>
      <c r="M1232" s="2684" t="str">
        <f>'Part VIII-Threshold Criteria'!M62</f>
        <v xml:space="preserve">x  units = </v>
      </c>
      <c r="N1232" s="2614" t="str">
        <f>IF(K1232="","",K1232*L1232)</f>
        <v/>
      </c>
      <c r="O1232" s="2652"/>
      <c r="R1232" s="2489"/>
      <c r="S1232" s="2744"/>
      <c r="T1232" s="2744"/>
      <c r="U1232" s="2744"/>
      <c r="V1232" s="2744"/>
      <c r="W1232" s="2408"/>
      <c r="X1232" s="2650"/>
      <c r="Y1232" s="2408"/>
      <c r="Z1232" s="512"/>
      <c r="AA1232" s="513"/>
      <c r="AB1232" s="513"/>
      <c r="AC1232" s="513"/>
      <c r="AD1232" s="513"/>
      <c r="AE1232" s="513"/>
      <c r="AF1232" s="513"/>
    </row>
    <row r="1233" spans="1:32" ht="10.5" customHeight="1">
      <c r="C1233" s="2408"/>
      <c r="D1233" s="2734" t="s">
        <v>2377</v>
      </c>
      <c r="E1233" s="1550">
        <v>1</v>
      </c>
      <c r="F1233" s="2735" t="str">
        <f>'Part VIII-Threshold Criteria'!F63</f>
        <v/>
      </c>
      <c r="G1233" s="2736">
        <f>'Part VIII-Threshold Criteria'!G63</f>
        <v>180498.25</v>
      </c>
      <c r="H1233" s="2684" t="str">
        <f>'Part VIII-Threshold Criteria'!H63</f>
        <v xml:space="preserve">x  units = </v>
      </c>
      <c r="I1233" s="2614" t="str">
        <f>IF(F1233="","",F1233*G1233)</f>
        <v/>
      </c>
      <c r="J1233" s="2408"/>
      <c r="K1233" s="2735" t="str">
        <f>'Part VIII-Threshold Criteria'!K63</f>
        <v/>
      </c>
      <c r="L1233" s="2736">
        <f>'Part VIII-Threshold Criteria'!L63</f>
        <v>198548.07500000001</v>
      </c>
      <c r="M1233" s="2684" t="str">
        <f>'Part VIII-Threshold Criteria'!M63</f>
        <v xml:space="preserve">x  units = </v>
      </c>
      <c r="N1233" s="2614" t="str">
        <f>IF(K1233="","",K1233*L1233)</f>
        <v/>
      </c>
      <c r="O1233" s="2652"/>
      <c r="P1233" s="2745">
        <f>'Part VIII-Threshold Criteria'!P63</f>
        <v>47362202</v>
      </c>
      <c r="Q1233" s="2745"/>
      <c r="R1233" s="2408"/>
      <c r="S1233" s="2408"/>
      <c r="V1233" s="2408"/>
      <c r="W1233" s="2408"/>
      <c r="X1233" s="2650"/>
      <c r="Y1233" s="2408"/>
      <c r="Z1233" s="512"/>
      <c r="AA1233" s="513"/>
      <c r="AB1233" s="513"/>
      <c r="AC1233" s="513"/>
      <c r="AD1233" s="513"/>
      <c r="AE1233" s="513"/>
      <c r="AF1233" s="513"/>
    </row>
    <row r="1234" spans="1:32" ht="10.5" customHeight="1">
      <c r="C1234" s="2408"/>
      <c r="D1234" s="2734" t="s">
        <v>2378</v>
      </c>
      <c r="E1234" s="1550">
        <v>2</v>
      </c>
      <c r="F1234" s="2735" t="str">
        <f>'Part VIII-Threshold Criteria'!F64</f>
        <v/>
      </c>
      <c r="G1234" s="2736">
        <f>'Part VIII-Threshold Criteria'!G64</f>
        <v>232068.84999999998</v>
      </c>
      <c r="H1234" s="2684" t="str">
        <f>'Part VIII-Threshold Criteria'!H64</f>
        <v xml:space="preserve">x  units = </v>
      </c>
      <c r="I1234" s="2614" t="str">
        <f>IF(F1234="","",F1234*G1234)</f>
        <v/>
      </c>
      <c r="J1234" s="2408"/>
      <c r="K1234" s="2735" t="str">
        <f>'Part VIII-Threshold Criteria'!K64</f>
        <v/>
      </c>
      <c r="L1234" s="2736">
        <f>'Part VIII-Threshold Criteria'!L64</f>
        <v>255275.73499999999</v>
      </c>
      <c r="M1234" s="2684" t="str">
        <f>'Part VIII-Threshold Criteria'!M64</f>
        <v xml:space="preserve">x  units = </v>
      </c>
      <c r="N1234" s="2614" t="str">
        <f>IF(K1234="","",K1234*L1234)</f>
        <v/>
      </c>
      <c r="P1234" s="2745"/>
      <c r="Q1234" s="2745"/>
      <c r="R1234" s="2408"/>
      <c r="S1234" s="2408"/>
      <c r="V1234" s="2408"/>
      <c r="W1234" s="2408"/>
      <c r="X1234" s="2650"/>
      <c r="Y1234" s="2408"/>
      <c r="Z1234" s="512"/>
      <c r="AA1234" s="513"/>
      <c r="AB1234" s="513"/>
      <c r="AC1234" s="513"/>
      <c r="AD1234" s="513"/>
      <c r="AE1234" s="513"/>
      <c r="AF1234" s="513"/>
    </row>
    <row r="1235" spans="1:32" ht="10.5" customHeight="1">
      <c r="C1235" s="2408"/>
      <c r="D1235" s="2734" t="s">
        <v>2379</v>
      </c>
      <c r="E1235" s="1550">
        <v>3</v>
      </c>
      <c r="F1235" s="2735" t="str">
        <f>'Part VIII-Threshold Criteria'!F65</f>
        <v/>
      </c>
      <c r="G1235" s="2736">
        <f>'Part VIII-Threshold Criteria'!G65</f>
        <v>295971.5</v>
      </c>
      <c r="H1235" s="2684" t="str">
        <f>'Part VIII-Threshold Criteria'!H65</f>
        <v xml:space="preserve">x  units = </v>
      </c>
      <c r="I1235" s="2614" t="str">
        <f>IF(F1235="","",F1235*G1235)</f>
        <v/>
      </c>
      <c r="J1235" s="2408"/>
      <c r="K1235" s="2735" t="str">
        <f>'Part VIII-Threshold Criteria'!K65</f>
        <v/>
      </c>
      <c r="L1235" s="2736">
        <f>'Part VIII-Threshold Criteria'!L65</f>
        <v>325568.65000000002</v>
      </c>
      <c r="M1235" s="2684" t="str">
        <f>'Part VIII-Threshold Criteria'!M65</f>
        <v xml:space="preserve">x  units = </v>
      </c>
      <c r="N1235" s="2614" t="str">
        <f>IF(K1235="","",K1235*L1235)</f>
        <v/>
      </c>
      <c r="P1235" s="2732" t="s">
        <v>6820</v>
      </c>
      <c r="Q1235" s="2732"/>
      <c r="R1235" s="2489"/>
      <c r="V1235" s="2408"/>
      <c r="W1235" s="2408"/>
      <c r="X1235" s="2650"/>
      <c r="Y1235" s="2408"/>
      <c r="Z1235" s="512"/>
      <c r="AA1235" s="513"/>
      <c r="AB1235" s="513"/>
      <c r="AC1235" s="513"/>
      <c r="AD1235" s="513"/>
      <c r="AE1235" s="513"/>
      <c r="AF1235" s="513"/>
    </row>
    <row r="1236" spans="1:32" ht="10.5" customHeight="1">
      <c r="C1236" s="2408"/>
      <c r="D1236" s="2734" t="s">
        <v>2380</v>
      </c>
      <c r="E1236" s="1550">
        <v>4</v>
      </c>
      <c r="F1236" s="2735" t="str">
        <f>'Part VIII-Threshold Criteria'!F66</f>
        <v/>
      </c>
      <c r="G1236" s="2736">
        <f>'Part VIII-Threshold Criteria'!G66</f>
        <v>369964.10000000003</v>
      </c>
      <c r="H1236" s="2684" t="str">
        <f>'Part VIII-Threshold Criteria'!H66</f>
        <v xml:space="preserve">x  units = </v>
      </c>
      <c r="I1236" s="2614" t="str">
        <f>IF(F1236="","",F1236*G1236)</f>
        <v/>
      </c>
      <c r="J1236" s="2408"/>
      <c r="K1236" s="2735" t="str">
        <f>'Part VIII-Threshold Criteria'!K66</f>
        <v/>
      </c>
      <c r="L1236" s="2736">
        <f>'Part VIII-Threshold Criteria'!L66</f>
        <v>406960.51000000007</v>
      </c>
      <c r="M1236" s="2684" t="str">
        <f>'Part VIII-Threshold Criteria'!M66</f>
        <v xml:space="preserve">x  units = </v>
      </c>
      <c r="N1236" s="2614" t="str">
        <f>IF(K1236="","",K1236*L1236)</f>
        <v/>
      </c>
      <c r="O1236" s="2652"/>
      <c r="P1236" s="2732"/>
      <c r="Q1236" s="2732"/>
      <c r="R1236" s="2489"/>
      <c r="V1236" s="2408"/>
      <c r="W1236" s="2408"/>
      <c r="X1236" s="2650"/>
      <c r="Y1236" s="2408"/>
      <c r="Z1236" s="512"/>
      <c r="AA1236" s="513"/>
      <c r="AB1236" s="513"/>
      <c r="AC1236" s="513"/>
      <c r="AD1236" s="513"/>
      <c r="AE1236" s="513"/>
      <c r="AF1236" s="513"/>
    </row>
    <row r="1237" spans="1:32" ht="10.5" customHeight="1">
      <c r="C1237" s="2408"/>
      <c r="D1237" s="2737" t="s">
        <v>3262</v>
      </c>
      <c r="E1237" s="2607"/>
      <c r="F1237" s="2738">
        <f>SUM(F1232:F1236)</f>
        <v>0</v>
      </c>
      <c r="G1237" s="2739"/>
      <c r="H1237" s="2740"/>
      <c r="I1237" s="2741">
        <f>SUM(I1232:I1236)</f>
        <v>0</v>
      </c>
      <c r="J1237" s="2607"/>
      <c r="K1237" s="2738">
        <f>SUM(K1232:K1236)</f>
        <v>0</v>
      </c>
      <c r="L1237" s="2607"/>
      <c r="M1237" s="2740"/>
      <c r="N1237" s="2741">
        <f>SUM(N1232:N1236)</f>
        <v>0</v>
      </c>
      <c r="O1237" s="2652"/>
      <c r="P1237" s="2732"/>
      <c r="Q1237" s="2732"/>
      <c r="R1237" s="2489"/>
      <c r="V1237" s="2408"/>
      <c r="W1237" s="2408"/>
      <c r="X1237" s="2650"/>
      <c r="Y1237" s="2408"/>
      <c r="Z1237" s="512"/>
      <c r="AA1237" s="513"/>
      <c r="AB1237" s="513"/>
      <c r="AC1237" s="513"/>
      <c r="AD1237" s="513"/>
      <c r="AE1237" s="513"/>
      <c r="AF1237" s="513"/>
    </row>
    <row r="1238" spans="1:32" ht="1.5" customHeight="1">
      <c r="C1238" s="2408"/>
      <c r="D1238" s="2408"/>
      <c r="E1238" s="2650"/>
      <c r="F1238" s="2408"/>
      <c r="G1238" s="512"/>
      <c r="H1238" s="2746"/>
      <c r="I1238" s="2746"/>
      <c r="J1238" s="2746"/>
      <c r="K1238" s="2746"/>
      <c r="L1238" s="2746"/>
      <c r="M1238" s="2746"/>
      <c r="N1238" s="1550"/>
      <c r="O1238" s="2652"/>
      <c r="P1238" s="2732"/>
      <c r="Q1238" s="2732"/>
      <c r="R1238" s="2489"/>
      <c r="S1238" s="2489"/>
      <c r="V1238" s="2408"/>
      <c r="W1238" s="2408"/>
      <c r="X1238" s="2650"/>
      <c r="Y1238" s="2408"/>
      <c r="Z1238" s="512"/>
      <c r="AA1238" s="513"/>
      <c r="AB1238" s="513"/>
      <c r="AC1238" s="513"/>
      <c r="AD1238" s="513"/>
      <c r="AE1238" s="513"/>
      <c r="AF1238" s="513"/>
    </row>
    <row r="1239" spans="1:32" ht="12.75" customHeight="1">
      <c r="A1239" s="2684" t="s">
        <v>3263</v>
      </c>
      <c r="B1239" s="2408"/>
      <c r="C1239" s="2408"/>
      <c r="D1239" s="2408"/>
      <c r="E1239" s="2654"/>
      <c r="F1239" s="2747">
        <f>F1216+F1223+F1230+F1237</f>
        <v>200</v>
      </c>
      <c r="G1239" s="2509"/>
      <c r="H1239" s="2575">
        <f>I1216+I1223+I1230+I1237</f>
        <v>47362202</v>
      </c>
      <c r="I1239" s="2575"/>
      <c r="J1239" s="2575"/>
      <c r="K1239" s="2747">
        <f>K1216+K1223+K1230+K1237</f>
        <v>0</v>
      </c>
      <c r="L1239" s="2748"/>
      <c r="M1239" s="2575">
        <f>N1216+N1223+N1230+N1237</f>
        <v>0</v>
      </c>
      <c r="N1239" s="2575"/>
      <c r="O1239" s="2575"/>
      <c r="P1239" s="2732"/>
      <c r="Q1239" s="2732"/>
      <c r="R1239" s="2489"/>
      <c r="S1239" s="2489"/>
      <c r="V1239" s="2408"/>
      <c r="W1239" s="2408"/>
      <c r="X1239" s="2650"/>
      <c r="Y1239" s="2408"/>
      <c r="Z1239" s="512"/>
      <c r="AA1239" s="513"/>
      <c r="AB1239" s="513"/>
      <c r="AC1239" s="513"/>
      <c r="AD1239" s="513"/>
      <c r="AE1239" s="513"/>
      <c r="AF1239" s="513"/>
    </row>
    <row r="1240" spans="1:32" ht="10.5" customHeight="1">
      <c r="B1240" s="2684" t="s">
        <v>3571</v>
      </c>
      <c r="D1240" s="2684"/>
      <c r="E1240" s="2684"/>
      <c r="F1240" s="2684"/>
      <c r="G1240" s="2684"/>
      <c r="H1240" s="2684"/>
      <c r="I1240" s="1550"/>
      <c r="J1240" s="1550"/>
      <c r="K1240" s="2729" t="s">
        <v>1820</v>
      </c>
      <c r="L1240" s="2251"/>
      <c r="M1240" s="2251"/>
      <c r="N1240" s="2251"/>
      <c r="O1240" s="2251"/>
      <c r="P1240" s="2732"/>
      <c r="Q1240" s="2732"/>
    </row>
    <row r="1241" spans="1:32" ht="10.5" customHeight="1">
      <c r="A1241" s="2729" t="str">
        <f>'Part VIII-Threshold Criteria'!A71</f>
        <v>This development meets the threshold for cost limits.</v>
      </c>
      <c r="B1241" s="2729"/>
      <c r="C1241" s="2729"/>
      <c r="D1241" s="2729"/>
      <c r="E1241" s="2729"/>
      <c r="F1241" s="2729"/>
      <c r="G1241" s="2729"/>
      <c r="H1241" s="2729"/>
      <c r="I1241" s="2729"/>
      <c r="J1241" s="2729"/>
      <c r="K1241" s="2729"/>
      <c r="L1241" s="2729"/>
      <c r="M1241" s="2729"/>
      <c r="N1241" s="2729"/>
      <c r="O1241" s="2729"/>
      <c r="P1241" s="2729"/>
      <c r="Q1241" s="2729"/>
      <c r="R1241" s="2497" t="s">
        <v>1228</v>
      </c>
      <c r="U1241" s="2654"/>
      <c r="V1241" s="2654"/>
      <c r="W1241" s="2654"/>
      <c r="X1241" s="2654"/>
      <c r="Y1241" s="2654"/>
      <c r="Z1241" s="2654"/>
      <c r="AA1241" s="2654"/>
      <c r="AB1241" s="2654"/>
      <c r="AC1241" s="2654"/>
      <c r="AD1241" s="2654"/>
      <c r="AE1241" s="2654"/>
    </row>
    <row r="1242" spans="1:32" ht="3" customHeight="1">
      <c r="B1242" s="1550"/>
      <c r="C1242" s="2731"/>
      <c r="D1242" s="2731"/>
      <c r="E1242" s="2731"/>
      <c r="F1242" s="2731"/>
      <c r="G1242" s="2731"/>
      <c r="H1242" s="2731"/>
      <c r="I1242" s="2731"/>
      <c r="J1242" s="2731"/>
      <c r="K1242" s="2731"/>
      <c r="L1242" s="2731"/>
      <c r="M1242" s="2731"/>
      <c r="N1242" s="2731"/>
      <c r="O1242" s="2731"/>
      <c r="P1242" s="2731"/>
      <c r="Q1242" s="2251"/>
    </row>
    <row r="1243" spans="1:32" ht="12.75" customHeight="1">
      <c r="A1243" s="2649" t="s">
        <v>724</v>
      </c>
      <c r="B1243" s="2408" t="s">
        <v>1166</v>
      </c>
      <c r="C1243" s="2408"/>
      <c r="D1243" s="2408"/>
      <c r="E1243" s="2731"/>
      <c r="F1243" s="2731"/>
      <c r="G1243" s="2729" t="s">
        <v>4563</v>
      </c>
      <c r="H1243" s="2731"/>
      <c r="J1243" s="512" t="str">
        <f>'Part I-Project Information'!$H$82</f>
        <v>Family</v>
      </c>
      <c r="K1243" s="512"/>
      <c r="L1243" s="512"/>
      <c r="O1243" s="2730" t="s">
        <v>1821</v>
      </c>
      <c r="P1243" s="2654"/>
      <c r="Q1243" s="2654"/>
    </row>
    <row r="1244" spans="1:32" ht="10.5" customHeight="1">
      <c r="B1244" s="2684" t="s">
        <v>3571</v>
      </c>
      <c r="D1244" s="2684"/>
      <c r="E1244" s="2684"/>
      <c r="F1244" s="2684"/>
      <c r="G1244" s="2684"/>
      <c r="H1244" s="2684"/>
      <c r="I1244" s="1550"/>
      <c r="J1244" s="1550"/>
      <c r="K1244" s="2729" t="s">
        <v>1820</v>
      </c>
      <c r="L1244" s="2251"/>
      <c r="M1244" s="2251"/>
      <c r="N1244" s="2251"/>
      <c r="O1244" s="2251"/>
      <c r="P1244" s="2251"/>
      <c r="Q1244" s="2251"/>
    </row>
    <row r="1245" spans="1:32" ht="10.5" customHeight="1">
      <c r="A1245" s="2729" t="str">
        <f>'Part VIII-Threshold Criteria'!A75</f>
        <v>This is a family development</v>
      </c>
      <c r="B1245" s="2729"/>
      <c r="C1245" s="2729"/>
      <c r="D1245" s="2729"/>
      <c r="E1245" s="2729"/>
      <c r="F1245" s="2729"/>
      <c r="G1245" s="2729"/>
      <c r="H1245" s="2729"/>
      <c r="I1245" s="2729"/>
      <c r="J1245" s="2729"/>
      <c r="K1245" s="2729"/>
      <c r="L1245" s="2729"/>
      <c r="M1245" s="2729"/>
      <c r="N1245" s="2729"/>
      <c r="O1245" s="2729"/>
      <c r="P1245" s="2729"/>
      <c r="Q1245" s="2729"/>
      <c r="R1245" s="2497" t="s">
        <v>1228</v>
      </c>
      <c r="U1245" s="2654"/>
      <c r="V1245" s="2654"/>
      <c r="W1245" s="2654"/>
      <c r="X1245" s="2654"/>
      <c r="Y1245" s="2654"/>
      <c r="Z1245" s="2654"/>
      <c r="AA1245" s="2654"/>
      <c r="AB1245" s="2654"/>
      <c r="AC1245" s="2654"/>
      <c r="AD1245" s="2654"/>
      <c r="AE1245" s="2654"/>
    </row>
    <row r="1246" spans="1:32" ht="3" customHeight="1">
      <c r="A1246" s="2251"/>
      <c r="B1246" s="1550"/>
      <c r="C1246" s="2731"/>
      <c r="D1246" s="2731"/>
      <c r="E1246" s="2731"/>
      <c r="F1246" s="2731"/>
      <c r="G1246" s="2731"/>
      <c r="H1246" s="2731"/>
      <c r="I1246" s="2731"/>
      <c r="J1246" s="2731"/>
      <c r="K1246" s="2731"/>
      <c r="L1246" s="2731"/>
      <c r="M1246" s="2731"/>
      <c r="N1246" s="2731"/>
      <c r="O1246" s="2731"/>
      <c r="P1246" s="2731"/>
      <c r="Q1246" s="2251"/>
    </row>
    <row r="1247" spans="1:32" ht="12.75" customHeight="1">
      <c r="A1247" s="2649" t="s">
        <v>1748</v>
      </c>
      <c r="B1247" s="2649" t="s">
        <v>2580</v>
      </c>
      <c r="C1247" s="2684"/>
      <c r="D1247" s="2731"/>
      <c r="E1247" s="2731"/>
      <c r="F1247" s="2731"/>
      <c r="G1247" s="2731"/>
      <c r="H1247" s="2731"/>
      <c r="I1247" s="2731"/>
      <c r="J1247" s="2731"/>
      <c r="L1247" s="2749" t="s">
        <v>4256</v>
      </c>
      <c r="M1247" s="1550" t="s">
        <v>4257</v>
      </c>
      <c r="O1247" s="2730" t="s">
        <v>1821</v>
      </c>
      <c r="P1247" s="2654"/>
      <c r="Q1247" s="2654"/>
    </row>
    <row r="1248" spans="1:32" ht="1.5" customHeight="1"/>
    <row r="1249" spans="1:31" ht="12" customHeight="1">
      <c r="A1249" s="2730" t="s">
        <v>1936</v>
      </c>
      <c r="B1249" s="2729" t="s">
        <v>4249</v>
      </c>
      <c r="C1249" s="2729"/>
      <c r="D1249" s="2729"/>
      <c r="E1249" s="2729"/>
      <c r="F1249" s="2729"/>
      <c r="G1249" s="2729"/>
      <c r="H1249" s="2729"/>
      <c r="I1249" s="2729"/>
      <c r="J1249" s="2729"/>
      <c r="L1249" s="2740" t="s">
        <v>2808</v>
      </c>
      <c r="M1249" s="2619">
        <v>2</v>
      </c>
      <c r="N1249" s="2729" t="s">
        <v>4708</v>
      </c>
      <c r="P1249" s="512" t="str">
        <f>'Part VIII-Threshold Criteria'!P79</f>
        <v>Agree</v>
      </c>
      <c r="Q1249" s="512"/>
    </row>
    <row r="1250" spans="1:31" ht="12" customHeight="1">
      <c r="A1250" s="2730"/>
      <c r="B1250" s="2729"/>
      <c r="C1250" s="2729"/>
      <c r="D1250" s="2729"/>
      <c r="E1250" s="2729"/>
      <c r="F1250" s="2729"/>
      <c r="G1250" s="2729"/>
      <c r="H1250" s="2729"/>
      <c r="I1250" s="2729"/>
      <c r="J1250" s="2729"/>
      <c r="L1250" s="2740" t="s">
        <v>4255</v>
      </c>
      <c r="M1250" s="2740">
        <v>4</v>
      </c>
      <c r="O1250" s="2729"/>
      <c r="P1250" s="512"/>
      <c r="Q1250" s="512"/>
    </row>
    <row r="1251" spans="1:31" ht="12" customHeight="1">
      <c r="A1251" s="2749" t="s">
        <v>1938</v>
      </c>
      <c r="B1251" s="2729" t="s">
        <v>4258</v>
      </c>
      <c r="C1251" s="2729"/>
      <c r="D1251" s="2729"/>
      <c r="E1251" s="2729"/>
      <c r="F1251" s="2729"/>
      <c r="G1251" s="2729"/>
      <c r="H1251" s="2729"/>
      <c r="I1251" s="2729"/>
      <c r="J1251" s="2729"/>
      <c r="K1251" s="2729"/>
      <c r="L1251" s="2729"/>
      <c r="N1251" s="2729"/>
      <c r="O1251" s="2729"/>
      <c r="P1251" s="2729"/>
    </row>
    <row r="1252" spans="1:31" ht="12" customHeight="1">
      <c r="A1252" s="2749"/>
      <c r="B1252" s="2731" t="s">
        <v>1694</v>
      </c>
      <c r="C1252" s="2729" t="s">
        <v>4262</v>
      </c>
      <c r="D1252" s="2729"/>
      <c r="E1252" s="2729"/>
      <c r="F1252" s="2729"/>
      <c r="G1252" s="2729"/>
      <c r="H1252" s="2729"/>
      <c r="I1252" s="2729"/>
      <c r="J1252" s="2729"/>
      <c r="K1252" s="2729"/>
      <c r="L1252" s="2729"/>
      <c r="N1252" s="2729" t="s">
        <v>4709</v>
      </c>
      <c r="O1252" s="2729"/>
      <c r="P1252" s="1550" t="str">
        <f>'Part VIII-Threshold Criteria'!P82</f>
        <v>Agree</v>
      </c>
      <c r="Q1252" s="1550"/>
    </row>
    <row r="1253" spans="1:31" ht="12" customHeight="1">
      <c r="A1253" s="2749"/>
      <c r="B1253" s="2731" t="s">
        <v>1695</v>
      </c>
      <c r="C1253" s="2729" t="s">
        <v>4259</v>
      </c>
      <c r="D1253" s="2729"/>
      <c r="E1253" s="2729"/>
      <c r="F1253" s="2729"/>
      <c r="G1253" s="2729"/>
      <c r="H1253" s="2729"/>
      <c r="I1253" s="2729"/>
      <c r="J1253" s="2729"/>
      <c r="K1253" s="2729"/>
      <c r="L1253" s="2729"/>
      <c r="N1253" s="2729" t="s">
        <v>4710</v>
      </c>
      <c r="O1253" s="2729"/>
      <c r="P1253" s="1550" t="str">
        <f>'Part VIII-Threshold Criteria'!P83</f>
        <v>Agree</v>
      </c>
      <c r="Q1253" s="1550"/>
    </row>
    <row r="1254" spans="1:31" ht="12" customHeight="1">
      <c r="A1254" s="2730"/>
      <c r="B1254" s="2731" t="s">
        <v>1696</v>
      </c>
      <c r="C1254" s="2729" t="s">
        <v>4260</v>
      </c>
      <c r="E1254" s="2729"/>
      <c r="F1254" s="2729"/>
      <c r="G1254" s="2729"/>
      <c r="H1254" s="2729"/>
      <c r="I1254" s="2729"/>
      <c r="J1254" s="2729"/>
      <c r="K1254" s="2729"/>
      <c r="L1254" s="2729"/>
      <c r="M1254" s="2729"/>
      <c r="N1254" s="2729" t="s">
        <v>4711</v>
      </c>
      <c r="O1254" s="2729"/>
      <c r="P1254" s="1550" t="str">
        <f>'Part VIII-Threshold Criteria'!P84</f>
        <v>Agree</v>
      </c>
      <c r="Q1254" s="1550"/>
    </row>
    <row r="1255" spans="1:31" ht="11.1" customHeight="1">
      <c r="A1255" s="2750"/>
      <c r="B1255" s="2731" t="s">
        <v>2305</v>
      </c>
      <c r="C1255" s="2731" t="s">
        <v>4263</v>
      </c>
      <c r="D1255" s="512"/>
      <c r="E1255" s="512"/>
      <c r="F1255" s="512"/>
      <c r="G1255" s="512"/>
      <c r="H1255" s="512"/>
      <c r="I1255" s="2408"/>
      <c r="J1255" s="2408"/>
      <c r="N1255" s="2729" t="s">
        <v>4712</v>
      </c>
      <c r="O1255" s="2729"/>
      <c r="P1255" s="1550" t="str">
        <f>'Part VIII-Threshold Criteria'!P85</f>
        <v>Agree</v>
      </c>
      <c r="Q1255" s="1550"/>
    </row>
    <row r="1256" spans="1:31" ht="11.1" customHeight="1">
      <c r="A1256" s="2750"/>
      <c r="B1256" s="2731"/>
      <c r="C1256" s="2729" t="s">
        <v>4264</v>
      </c>
      <c r="D1256" s="512"/>
      <c r="E1256" s="512"/>
      <c r="F1256" s="512"/>
      <c r="G1256" s="512"/>
      <c r="H1256" s="512"/>
      <c r="I1256" s="2408"/>
      <c r="J1256" s="2408"/>
      <c r="L1256" s="512" t="str">
        <f>'Part VIII-Threshold Criteria'!L86</f>
        <v>Not applicable for this development</v>
      </c>
      <c r="M1256" s="512"/>
      <c r="N1256" s="512"/>
      <c r="O1256" s="512"/>
      <c r="P1256" s="512"/>
      <c r="Q1256" s="512"/>
    </row>
    <row r="1257" spans="1:31" ht="11.25" customHeight="1">
      <c r="A1257" s="2750"/>
      <c r="B1257" s="2731" t="s">
        <v>1516</v>
      </c>
      <c r="C1257" s="2729" t="s">
        <v>4261</v>
      </c>
      <c r="D1257" s="2729"/>
      <c r="E1257" s="2729"/>
      <c r="F1257" s="2729"/>
      <c r="G1257" s="2729"/>
      <c r="H1257" s="2729"/>
      <c r="I1257" s="2729"/>
      <c r="J1257" s="2729"/>
      <c r="K1257" s="2729"/>
      <c r="L1257" s="2729"/>
      <c r="M1257" s="2618"/>
      <c r="N1257" s="2729" t="s">
        <v>4713</v>
      </c>
      <c r="O1257" s="2729"/>
      <c r="P1257" s="1550" t="str">
        <f>'Part VIII-Threshold Criteria'!P87</f>
        <v>Agree</v>
      </c>
      <c r="Q1257" s="1550"/>
    </row>
    <row r="1258" spans="1:31" ht="11.25" customHeight="1">
      <c r="A1258" s="2749"/>
      <c r="C1258" s="2729"/>
      <c r="D1258" s="2729"/>
      <c r="E1258" s="2729"/>
      <c r="F1258" s="2729"/>
      <c r="G1258" s="2729"/>
      <c r="H1258" s="2729"/>
      <c r="I1258" s="2729"/>
      <c r="J1258" s="2729"/>
      <c r="K1258" s="2729"/>
      <c r="L1258" s="2729"/>
      <c r="M1258" s="2618"/>
    </row>
    <row r="1259" spans="1:31" ht="10.5" customHeight="1">
      <c r="B1259" s="2684" t="s">
        <v>3571</v>
      </c>
      <c r="D1259" s="2684"/>
      <c r="E1259" s="2684"/>
      <c r="F1259" s="2684"/>
      <c r="G1259" s="2684"/>
      <c r="H1259" s="2684"/>
      <c r="I1259" s="1550"/>
      <c r="J1259" s="1550"/>
      <c r="K1259" s="2729" t="s">
        <v>1820</v>
      </c>
      <c r="L1259" s="2251"/>
      <c r="M1259" s="2251"/>
      <c r="N1259" s="2251"/>
      <c r="O1259" s="2251"/>
      <c r="P1259" s="2251"/>
      <c r="Q1259" s="2251"/>
    </row>
    <row r="1260" spans="1:31" ht="10.5" customHeight="1">
      <c r="A1260" s="2729" t="str">
        <f>'Part VIII-Threshold Criteria'!A90</f>
        <v>We agree to the required services selected above.</v>
      </c>
      <c r="B1260" s="2729"/>
      <c r="C1260" s="2729"/>
      <c r="D1260" s="2729"/>
      <c r="E1260" s="2729"/>
      <c r="F1260" s="2729"/>
      <c r="G1260" s="2729"/>
      <c r="H1260" s="2729"/>
      <c r="I1260" s="2729"/>
      <c r="J1260" s="2729"/>
      <c r="K1260" s="2729"/>
      <c r="L1260" s="2729"/>
      <c r="M1260" s="2729"/>
      <c r="N1260" s="2729"/>
      <c r="O1260" s="2729"/>
      <c r="P1260" s="2729"/>
      <c r="Q1260" s="2729"/>
      <c r="R1260" s="2497" t="s">
        <v>1228</v>
      </c>
      <c r="U1260" s="2654"/>
      <c r="V1260" s="2654"/>
      <c r="W1260" s="2654"/>
      <c r="X1260" s="2654"/>
      <c r="Y1260" s="2654"/>
      <c r="Z1260" s="2654"/>
      <c r="AA1260" s="2654"/>
      <c r="AB1260" s="2654"/>
      <c r="AC1260" s="2654"/>
      <c r="AD1260" s="2654"/>
      <c r="AE1260" s="2654"/>
    </row>
    <row r="1261" spans="1:31" ht="3" customHeight="1">
      <c r="A1261" s="2251"/>
      <c r="B1261" s="1550"/>
      <c r="C1261" s="2731"/>
      <c r="D1261" s="2731"/>
      <c r="E1261" s="2731"/>
      <c r="F1261" s="2731"/>
      <c r="G1261" s="2731"/>
      <c r="H1261" s="2731"/>
      <c r="I1261" s="2731"/>
      <c r="J1261" s="2731"/>
      <c r="K1261" s="2731"/>
      <c r="L1261" s="2731"/>
      <c r="M1261" s="2731"/>
      <c r="N1261" s="2731"/>
      <c r="O1261" s="2731"/>
      <c r="P1261" s="2731"/>
      <c r="Q1261" s="2251"/>
    </row>
    <row r="1262" spans="1:31" ht="14.1" customHeight="1">
      <c r="A1262" s="2649" t="s">
        <v>1750</v>
      </c>
      <c r="B1262" s="2649" t="s">
        <v>4702</v>
      </c>
      <c r="C1262" s="2649"/>
      <c r="D1262" s="2731"/>
      <c r="E1262" s="2731"/>
      <c r="F1262" s="2731"/>
      <c r="G1262" s="2731"/>
      <c r="H1262" s="1550" t="str">
        <f>'Part I-Project Information'!$K$40</f>
        <v>Urban</v>
      </c>
      <c r="J1262" s="2749" t="s">
        <v>4707</v>
      </c>
      <c r="K1262" s="512" t="str">
        <f>'Part I-Project Information'!$H$105</f>
        <v>N/A - 4% Bond</v>
      </c>
      <c r="L1262" s="2749" t="s">
        <v>4316</v>
      </c>
      <c r="M1262" s="2684" t="str">
        <f>'Part I-Project Information'!$H$82</f>
        <v>Family</v>
      </c>
      <c r="O1262" s="2730" t="s">
        <v>1821</v>
      </c>
      <c r="P1262" s="2654"/>
      <c r="Q1262" s="2654"/>
    </row>
    <row r="1263" spans="1:31" ht="3" customHeight="1"/>
    <row r="1264" spans="1:31" ht="10.5" customHeight="1">
      <c r="A1264" s="2749" t="s">
        <v>1936</v>
      </c>
      <c r="B1264" s="512" t="s">
        <v>2396</v>
      </c>
      <c r="D1264" s="512"/>
      <c r="E1264" s="512"/>
      <c r="F1264" s="512"/>
      <c r="G1264" s="512"/>
      <c r="H1264" s="512"/>
      <c r="I1264" s="2408"/>
      <c r="J1264" s="2408"/>
      <c r="K1264" s="2408"/>
      <c r="L1264" s="2749" t="s">
        <v>1936</v>
      </c>
      <c r="M1264" s="512" t="str">
        <f>'Part VIII-Threshold Criteria'!M94</f>
        <v>Gibson Consulting, LLC</v>
      </c>
      <c r="N1264" s="512"/>
      <c r="O1264" s="512"/>
      <c r="P1264" s="2408"/>
      <c r="Q1264" s="1550"/>
    </row>
    <row r="1265" spans="1:31" ht="10.5" customHeight="1">
      <c r="A1265" s="2749" t="s">
        <v>1938</v>
      </c>
      <c r="B1265" s="512" t="s">
        <v>4564</v>
      </c>
      <c r="D1265" s="512"/>
      <c r="E1265" s="512"/>
      <c r="F1265" s="512"/>
      <c r="L1265" s="2749" t="s">
        <v>1938</v>
      </c>
      <c r="M1265" s="512">
        <f>'Part VIII-Threshold Criteria'!M95</f>
        <v>0</v>
      </c>
      <c r="N1265" s="512"/>
      <c r="O1265" s="512"/>
      <c r="P1265" s="2408"/>
      <c r="Q1265" s="1550"/>
    </row>
    <row r="1266" spans="1:31" ht="10.5" customHeight="1">
      <c r="A1266" s="2749" t="s">
        <v>731</v>
      </c>
      <c r="B1266" s="512" t="s">
        <v>2779</v>
      </c>
      <c r="D1266" s="512"/>
      <c r="E1266" s="512"/>
      <c r="F1266" s="512"/>
      <c r="L1266" s="2749" t="s">
        <v>731</v>
      </c>
      <c r="M1266" s="2751">
        <f>'Part VIII-Threshold Criteria'!M96</f>
        <v>0</v>
      </c>
      <c r="N1266" s="2751"/>
      <c r="O1266" s="2751"/>
      <c r="P1266" s="2752"/>
      <c r="Q1266" s="1550"/>
    </row>
    <row r="1267" spans="1:31" ht="10.5" customHeight="1">
      <c r="A1267" s="2749" t="s">
        <v>2065</v>
      </c>
      <c r="B1267" s="512" t="s">
        <v>3672</v>
      </c>
      <c r="D1267" s="512"/>
      <c r="E1267" s="512"/>
      <c r="F1267" s="512"/>
      <c r="L1267" s="2749" t="s">
        <v>3673</v>
      </c>
      <c r="M1267" s="2753">
        <f>'Part VIII-Threshold Criteria'!M97</f>
        <v>0</v>
      </c>
      <c r="N1267" s="2751"/>
      <c r="O1267" s="2754" t="s">
        <v>3812</v>
      </c>
      <c r="P1267" s="2755">
        <f>'Part VIII-Threshold Criteria'!P97</f>
        <v>0</v>
      </c>
      <c r="Q1267" s="1550"/>
    </row>
    <row r="1268" spans="1:31" ht="10.5" customHeight="1">
      <c r="A1268" s="2749" t="s">
        <v>1692</v>
      </c>
      <c r="B1268" s="512" t="s">
        <v>4565</v>
      </c>
      <c r="D1268" s="2729"/>
      <c r="E1268" s="2729"/>
      <c r="F1268" s="2729"/>
      <c r="G1268" s="2729"/>
      <c r="H1268" s="2729"/>
      <c r="I1268" s="2729"/>
      <c r="J1268" s="2729"/>
      <c r="K1268" s="2729"/>
      <c r="L1268" s="2729"/>
      <c r="M1268" s="2729"/>
      <c r="N1268" s="2729"/>
      <c r="O1268" s="2729"/>
      <c r="P1268" s="2729"/>
      <c r="Q1268" s="2729"/>
    </row>
    <row r="1269" spans="1:31" ht="10.5" customHeight="1">
      <c r="B1269" s="2749"/>
      <c r="C1269" s="512"/>
      <c r="D1269" s="1550" t="s">
        <v>2317</v>
      </c>
      <c r="E1269" s="2684" t="s">
        <v>599</v>
      </c>
      <c r="F1269" s="2684"/>
      <c r="H1269" s="512"/>
      <c r="I1269" s="1550" t="s">
        <v>2317</v>
      </c>
      <c r="J1269" s="2684" t="s">
        <v>599</v>
      </c>
      <c r="K1269" s="2684"/>
      <c r="M1269" s="512"/>
      <c r="N1269" s="1550" t="s">
        <v>2317</v>
      </c>
      <c r="O1269" s="2684" t="s">
        <v>599</v>
      </c>
      <c r="P1269" s="2684"/>
      <c r="Q1269" s="2749"/>
    </row>
    <row r="1270" spans="1:31" ht="10.5" customHeight="1">
      <c r="C1270" s="2749" t="s">
        <v>1694</v>
      </c>
      <c r="D1270" s="1550" t="str">
        <f>'Part VIII-Threshold Criteria'!D100</f>
        <v>2015-508</v>
      </c>
      <c r="E1270" s="512" t="str">
        <f>'Part VIII-Threshold Criteria'!E100</f>
        <v>Gardens at Harvest Point</v>
      </c>
      <c r="F1270" s="512"/>
      <c r="G1270" s="512"/>
      <c r="H1270" s="2749" t="s">
        <v>1696</v>
      </c>
      <c r="I1270" s="1550" t="str">
        <f>'Part VIII-Threshold Criteria'!I100</f>
        <v>2017-501</v>
      </c>
      <c r="J1270" s="512" t="str">
        <f>'Part VIII-Threshold Criteria'!J100</f>
        <v>Richmond Villas</v>
      </c>
      <c r="K1270" s="512"/>
      <c r="L1270" s="512"/>
      <c r="M1270" s="2749" t="s">
        <v>1516</v>
      </c>
      <c r="N1270" s="1550" t="str">
        <f>'Part VIII-Threshold Criteria'!N100</f>
        <v>2016-509</v>
      </c>
      <c r="O1270" s="512" t="str">
        <f>'Part VIII-Threshold Criteria'!O100</f>
        <v>Peach Orchard</v>
      </c>
      <c r="P1270" s="512"/>
      <c r="Q1270" s="512"/>
    </row>
    <row r="1271" spans="1:31" ht="10.5" customHeight="1">
      <c r="C1271" s="2749" t="s">
        <v>1695</v>
      </c>
      <c r="D1271" s="1550" t="str">
        <f>'Part VIII-Threshold Criteria'!D101</f>
        <v>2005-045</v>
      </c>
      <c r="E1271" s="512" t="str">
        <f>'Part VIII-Threshold Criteria'!E101</f>
        <v>Cedarwood Apartments</v>
      </c>
      <c r="F1271" s="512"/>
      <c r="G1271" s="512"/>
      <c r="H1271" s="2749" t="s">
        <v>2305</v>
      </c>
      <c r="I1271" s="1550" t="str">
        <f>'Part VIII-Threshold Criteria'!I101</f>
        <v>2009-010</v>
      </c>
      <c r="J1271" s="512" t="str">
        <f>'Part VIII-Threshold Criteria'!J101</f>
        <v>The Crest at Edinburgh</v>
      </c>
      <c r="K1271" s="512"/>
      <c r="L1271" s="512"/>
      <c r="M1271" s="2749" t="s">
        <v>1517</v>
      </c>
      <c r="N1271" s="1550" t="str">
        <f>'Part VIII-Threshold Criteria'!N101</f>
        <v>2008-006</v>
      </c>
      <c r="O1271" s="512" t="str">
        <f>'Part VIII-Threshold Criteria'!O101</f>
        <v>Terrace at Edinburgh</v>
      </c>
      <c r="P1271" s="512"/>
      <c r="Q1271" s="512"/>
    </row>
    <row r="1272" spans="1:31" ht="10.5" customHeight="1">
      <c r="A1272" s="2749" t="s">
        <v>1693</v>
      </c>
      <c r="B1272" s="512" t="s">
        <v>0</v>
      </c>
      <c r="D1272" s="512"/>
      <c r="E1272" s="512"/>
      <c r="F1272" s="512"/>
      <c r="G1272" s="512"/>
      <c r="H1272" s="512"/>
      <c r="I1272" s="2408"/>
      <c r="J1272" s="2408"/>
      <c r="K1272" s="512"/>
      <c r="L1272" s="2684"/>
      <c r="M1272" s="2684"/>
      <c r="O1272" s="2749" t="s">
        <v>1693</v>
      </c>
      <c r="P1272" s="1550" t="str">
        <f>'Part VIII-Threshold Criteria'!P102</f>
        <v>Yes</v>
      </c>
      <c r="Q1272" s="1550"/>
    </row>
    <row r="1273" spans="1:31" s="2607" customFormat="1" ht="43.2" customHeight="1">
      <c r="A1273" s="2730" t="s">
        <v>1900</v>
      </c>
      <c r="B1273" s="2729" t="s">
        <v>6862</v>
      </c>
      <c r="C1273" s="2729"/>
      <c r="D1273" s="2729"/>
      <c r="E1273" s="2729"/>
      <c r="F1273" s="2729"/>
      <c r="G1273" s="2729"/>
      <c r="H1273" s="2729"/>
      <c r="I1273" s="2729"/>
      <c r="J1273" s="2729"/>
      <c r="K1273" s="2729"/>
      <c r="L1273" s="2729"/>
      <c r="M1273" s="2729"/>
      <c r="N1273" s="2729"/>
      <c r="O1273" s="2730" t="s">
        <v>4797</v>
      </c>
      <c r="P1273" s="2740" t="str">
        <f>'Part VIII-Threshold Criteria'!P103</f>
        <v>Yes</v>
      </c>
      <c r="Q1273" s="2740"/>
    </row>
    <row r="1274" spans="1:31" s="2408" customFormat="1" ht="10.5" customHeight="1">
      <c r="A1274" s="2749"/>
      <c r="B1274" s="2731" t="s">
        <v>1695</v>
      </c>
      <c r="C1274" s="512" t="s">
        <v>4798</v>
      </c>
      <c r="D1274" s="512"/>
      <c r="E1274" s="512"/>
      <c r="F1274" s="512"/>
      <c r="G1274" s="512"/>
      <c r="H1274" s="512"/>
      <c r="K1274" s="512"/>
      <c r="L1274" s="2684"/>
      <c r="M1274" s="2684"/>
      <c r="O1274" s="2749" t="s">
        <v>1695</v>
      </c>
      <c r="P1274" s="1550" t="str">
        <f>'Part VIII-Threshold Criteria'!P104</f>
        <v>No</v>
      </c>
      <c r="Q1274" s="1550"/>
    </row>
    <row r="1275" spans="1:31" ht="9.75" customHeight="1">
      <c r="B1275" s="2684" t="s">
        <v>3571</v>
      </c>
      <c r="D1275" s="2684"/>
      <c r="E1275" s="2684"/>
      <c r="F1275" s="2684"/>
      <c r="G1275" s="2684"/>
      <c r="H1275" s="2684"/>
      <c r="I1275" s="1550"/>
      <c r="J1275" s="1550"/>
      <c r="K1275" s="1550"/>
      <c r="L1275" s="2251"/>
      <c r="M1275" s="2251"/>
      <c r="N1275" s="2251"/>
      <c r="O1275" s="2251"/>
      <c r="P1275" s="2251"/>
      <c r="Q1275" s="2251"/>
    </row>
    <row r="1276" spans="1:31" ht="33" customHeight="1">
      <c r="A1276" s="2729" t="str">
        <f>'Part VIII-Threshold Criteria'!A106</f>
        <v>The project meets all of the market feasibility requirements. Note: Not included in the DCA Projects is Augusta Springs Seniors II.</v>
      </c>
      <c r="B1276" s="2729"/>
      <c r="C1276" s="2729"/>
      <c r="D1276" s="2729"/>
      <c r="E1276" s="2729"/>
      <c r="F1276" s="2729"/>
      <c r="G1276" s="2729"/>
      <c r="H1276" s="2729"/>
      <c r="I1276" s="2729"/>
      <c r="J1276" s="2729"/>
      <c r="K1276" s="2729"/>
      <c r="L1276" s="2729"/>
      <c r="M1276" s="2729"/>
      <c r="N1276" s="2729"/>
      <c r="O1276" s="2729"/>
      <c r="P1276" s="2729"/>
      <c r="Q1276" s="2729"/>
      <c r="U1276" s="2654"/>
      <c r="V1276" s="2654"/>
      <c r="W1276" s="2654"/>
      <c r="X1276" s="2654"/>
      <c r="Y1276" s="2654"/>
      <c r="Z1276" s="2654"/>
      <c r="AA1276" s="2654"/>
      <c r="AB1276" s="2654"/>
      <c r="AC1276" s="2654"/>
      <c r="AD1276" s="2654"/>
      <c r="AE1276" s="2654"/>
    </row>
    <row r="1277" spans="1:31" ht="9.75" customHeight="1">
      <c r="B1277" s="2729" t="s">
        <v>1820</v>
      </c>
      <c r="C1277" s="2729"/>
      <c r="D1277" s="2731"/>
      <c r="E1277" s="2731"/>
      <c r="F1277" s="2731"/>
      <c r="G1277" s="2731"/>
      <c r="H1277" s="2731"/>
      <c r="I1277" s="2731"/>
      <c r="J1277" s="2731"/>
      <c r="K1277" s="2731"/>
      <c r="L1277" s="2731"/>
      <c r="M1277" s="2731"/>
      <c r="N1277" s="2731"/>
      <c r="O1277" s="2731"/>
      <c r="P1277" s="2731"/>
      <c r="Q1277" s="2731"/>
    </row>
    <row r="1278" spans="1:31" ht="33" customHeight="1">
      <c r="A1278" s="2729"/>
      <c r="B1278" s="2729"/>
      <c r="C1278" s="2729"/>
      <c r="D1278" s="2729"/>
      <c r="E1278" s="2729"/>
      <c r="F1278" s="2729"/>
      <c r="G1278" s="2729"/>
      <c r="H1278" s="2729"/>
      <c r="I1278" s="2729"/>
      <c r="J1278" s="2729"/>
      <c r="K1278" s="2729"/>
      <c r="L1278" s="2729"/>
      <c r="M1278" s="2729"/>
      <c r="N1278" s="2729"/>
      <c r="O1278" s="2729"/>
      <c r="P1278" s="2729"/>
      <c r="Q1278" s="2729"/>
    </row>
    <row r="1279" spans="1:31" ht="14.1" customHeight="1">
      <c r="A1279" s="2649" t="s">
        <v>516</v>
      </c>
      <c r="B1279" s="2649" t="s">
        <v>2581</v>
      </c>
      <c r="C1279" s="2649"/>
      <c r="D1279" s="2731"/>
      <c r="E1279" s="2731"/>
      <c r="F1279" s="2731"/>
      <c r="G1279" s="2731"/>
      <c r="H1279" s="2731"/>
      <c r="I1279" s="2731"/>
      <c r="J1279" s="2731"/>
      <c r="K1279" s="2731"/>
      <c r="L1279" s="2731"/>
      <c r="M1279" s="2731"/>
      <c r="O1279" s="2730" t="s">
        <v>1821</v>
      </c>
      <c r="P1279" s="2654"/>
      <c r="Q1279" s="2654"/>
    </row>
    <row r="1280" spans="1:31" ht="3" customHeight="1"/>
    <row r="1281" spans="1:17" ht="10.5" customHeight="1">
      <c r="A1281" s="2749" t="s">
        <v>1936</v>
      </c>
      <c r="B1281" s="512" t="s">
        <v>4714</v>
      </c>
      <c r="C1281" s="512"/>
      <c r="E1281" s="512"/>
      <c r="F1281" s="512"/>
      <c r="G1281" s="512"/>
      <c r="H1281" s="512"/>
      <c r="I1281" s="512"/>
      <c r="J1281" s="512"/>
      <c r="K1281" s="512"/>
      <c r="L1281" s="2684"/>
      <c r="M1281" s="2684"/>
      <c r="O1281" s="2749" t="s">
        <v>1936</v>
      </c>
      <c r="P1281" s="1550" t="str">
        <f>'Part VIII-Threshold Criteria'!P111</f>
        <v>Yes</v>
      </c>
      <c r="Q1281" s="1550"/>
    </row>
    <row r="1282" spans="1:17" ht="10.5" customHeight="1">
      <c r="B1282" s="2731" t="s">
        <v>1694</v>
      </c>
      <c r="C1282" s="512" t="s">
        <v>538</v>
      </c>
      <c r="E1282" s="2408"/>
      <c r="F1282" s="2408"/>
      <c r="G1282" s="2408"/>
      <c r="H1282" s="2408"/>
      <c r="I1282" s="2408"/>
      <c r="L1282" s="2749" t="s">
        <v>539</v>
      </c>
      <c r="M1282" s="512" t="str">
        <f>'Part VIII-Threshold Criteria'!M112</f>
        <v>Novogradac</v>
      </c>
      <c r="N1282" s="512"/>
      <c r="O1282" s="512"/>
      <c r="P1282" s="2408"/>
      <c r="Q1282" s="1550"/>
    </row>
    <row r="1283" spans="1:17" s="2408" customFormat="1" ht="9.75" customHeight="1">
      <c r="B1283" s="2684" t="s">
        <v>1695</v>
      </c>
      <c r="C1283" s="512" t="s">
        <v>4382</v>
      </c>
      <c r="O1283" s="2749" t="s">
        <v>1695</v>
      </c>
      <c r="P1283" s="1550" t="str">
        <f>'Part VIII-Threshold Criteria'!P113</f>
        <v>Yes</v>
      </c>
      <c r="Q1283" s="1550"/>
    </row>
    <row r="1284" spans="1:17" s="2408" customFormat="1" ht="9.75" customHeight="1">
      <c r="B1284" s="2731" t="s">
        <v>1696</v>
      </c>
      <c r="C1284" s="512" t="s">
        <v>4750</v>
      </c>
      <c r="O1284" s="2730" t="s">
        <v>1696</v>
      </c>
      <c r="P1284" s="2756">
        <f>'Part VIII-Threshold Criteria'!P114</f>
        <v>44403</v>
      </c>
      <c r="Q1284" s="2756"/>
    </row>
    <row r="1285" spans="1:17" ht="10.5" customHeight="1">
      <c r="A1285" s="1550"/>
      <c r="B1285" s="2731" t="s">
        <v>2305</v>
      </c>
      <c r="C1285" s="2684" t="s">
        <v>4265</v>
      </c>
      <c r="D1285" s="2649"/>
      <c r="E1285" s="2649"/>
      <c r="F1285" s="2649"/>
      <c r="G1285" s="2649"/>
      <c r="H1285" s="2649"/>
      <c r="I1285" s="2649"/>
      <c r="J1285" s="2649"/>
      <c r="K1285" s="2649"/>
      <c r="L1285" s="2649"/>
      <c r="M1285" s="2649"/>
      <c r="O1285" s="2730" t="s">
        <v>2305</v>
      </c>
      <c r="P1285" s="1550" t="str">
        <f>'Part VIII-Threshold Criteria'!P115</f>
        <v>Yes</v>
      </c>
      <c r="Q1285" s="1550"/>
    </row>
    <row r="1286" spans="1:17" ht="10.5" customHeight="1">
      <c r="A1286" s="1550"/>
      <c r="B1286" s="2731" t="s">
        <v>1516</v>
      </c>
      <c r="C1286" s="2684" t="s">
        <v>3353</v>
      </c>
      <c r="D1286" s="2649"/>
      <c r="E1286" s="2649"/>
      <c r="F1286" s="2649"/>
      <c r="G1286" s="2649"/>
      <c r="H1286" s="2649"/>
      <c r="I1286" s="2649"/>
      <c r="J1286" s="2649"/>
      <c r="K1286" s="2649"/>
      <c r="L1286" s="2649"/>
      <c r="M1286" s="2649"/>
      <c r="O1286" s="2730" t="s">
        <v>1516</v>
      </c>
      <c r="P1286" s="1550" t="str">
        <f>'Part VIII-Threshold Criteria'!P116</f>
        <v>Yes</v>
      </c>
      <c r="Q1286" s="1550"/>
    </row>
    <row r="1287" spans="1:17" ht="10.5" customHeight="1">
      <c r="A1287" s="1550"/>
      <c r="B1287" s="2731" t="s">
        <v>1517</v>
      </c>
      <c r="C1287" s="2684" t="s">
        <v>3354</v>
      </c>
      <c r="D1287" s="2649"/>
      <c r="E1287" s="2649"/>
      <c r="F1287" s="2649"/>
      <c r="G1287" s="2649"/>
      <c r="H1287" s="2649"/>
      <c r="I1287" s="2649"/>
      <c r="J1287" s="2649"/>
      <c r="K1287" s="2649"/>
      <c r="L1287" s="2649"/>
      <c r="M1287" s="2649"/>
      <c r="O1287" s="2730" t="s">
        <v>1517</v>
      </c>
      <c r="P1287" s="1550" t="str">
        <f>'Part VIII-Threshold Criteria'!P117</f>
        <v>Yes</v>
      </c>
      <c r="Q1287" s="1550"/>
    </row>
    <row r="1288" spans="1:17" ht="10.5" customHeight="1">
      <c r="A1288" s="1550"/>
      <c r="B1288" s="2731" t="s">
        <v>96</v>
      </c>
      <c r="C1288" s="2684" t="s">
        <v>2780</v>
      </c>
      <c r="D1288" s="2684"/>
      <c r="E1288" s="2684"/>
      <c r="F1288" s="2684"/>
      <c r="G1288" s="2684"/>
      <c r="H1288" s="2684"/>
      <c r="I1288" s="2684"/>
      <c r="J1288" s="2684"/>
      <c r="K1288" s="2684"/>
      <c r="L1288" s="2684"/>
      <c r="M1288" s="2658"/>
      <c r="O1288" s="2730" t="s">
        <v>96</v>
      </c>
      <c r="P1288" s="1550" t="str">
        <f>'Part VIII-Threshold Criteria'!P118</f>
        <v>Yes</v>
      </c>
      <c r="Q1288" s="1550"/>
    </row>
    <row r="1289" spans="1:17" s="2607" customFormat="1" ht="20.399999999999999" customHeight="1">
      <c r="A1289" s="2740"/>
      <c r="B1289" s="2731" t="s">
        <v>500</v>
      </c>
      <c r="C1289" s="2729" t="s">
        <v>4567</v>
      </c>
      <c r="D1289" s="2729"/>
      <c r="E1289" s="2729"/>
      <c r="F1289" s="2729"/>
      <c r="G1289" s="2729"/>
      <c r="H1289" s="2729"/>
      <c r="I1289" s="2729"/>
      <c r="J1289" s="2729"/>
      <c r="K1289" s="2729"/>
      <c r="L1289" s="2729"/>
      <c r="M1289" s="2729"/>
      <c r="N1289" s="2729"/>
      <c r="O1289" s="2730" t="s">
        <v>500</v>
      </c>
      <c r="P1289" s="2740">
        <f>'Part VIII-Threshold Criteria'!P119</f>
        <v>0</v>
      </c>
      <c r="Q1289" s="2740"/>
    </row>
    <row r="1290" spans="1:17" ht="10.5" customHeight="1">
      <c r="A1290" s="2749" t="s">
        <v>1938</v>
      </c>
      <c r="B1290" s="512" t="s">
        <v>4566</v>
      </c>
      <c r="C1290" s="512"/>
      <c r="E1290" s="512"/>
      <c r="F1290" s="512"/>
      <c r="G1290" s="512"/>
      <c r="H1290" s="512"/>
      <c r="I1290" s="512"/>
      <c r="J1290" s="512"/>
      <c r="K1290" s="512"/>
      <c r="L1290" s="512"/>
      <c r="M1290" s="512"/>
      <c r="O1290" s="2749" t="s">
        <v>1938</v>
      </c>
      <c r="P1290" s="1550" t="str">
        <f>'Part VIII-Threshold Criteria'!P120</f>
        <v>No</v>
      </c>
      <c r="Q1290" s="1550"/>
    </row>
    <row r="1291" spans="1:17" ht="10.5" customHeight="1">
      <c r="B1291" s="2731" t="s">
        <v>1694</v>
      </c>
      <c r="C1291" s="512" t="s">
        <v>4806</v>
      </c>
      <c r="D1291" s="512"/>
      <c r="E1291" s="512"/>
      <c r="F1291" s="512"/>
      <c r="G1291" s="512"/>
      <c r="H1291" s="512"/>
      <c r="I1291" s="512"/>
      <c r="J1291" s="512"/>
      <c r="K1291" s="512"/>
      <c r="L1291" s="512"/>
      <c r="M1291" s="512"/>
      <c r="O1291" s="2730" t="s">
        <v>1694</v>
      </c>
      <c r="P1291" s="1550">
        <f>'Part VIII-Threshold Criteria'!P121</f>
        <v>0</v>
      </c>
      <c r="Q1291" s="1550"/>
    </row>
    <row r="1292" spans="1:17" ht="10.5" customHeight="1">
      <c r="A1292" s="2749"/>
      <c r="B1292" s="2684" t="s">
        <v>1695</v>
      </c>
      <c r="C1292" s="512" t="s">
        <v>4805</v>
      </c>
      <c r="D1292" s="512"/>
      <c r="E1292" s="512"/>
      <c r="F1292" s="512"/>
      <c r="G1292" s="512"/>
      <c r="H1292" s="512"/>
      <c r="I1292" s="512"/>
      <c r="J1292" s="512"/>
      <c r="K1292" s="512"/>
      <c r="L1292" s="512"/>
      <c r="M1292" s="512"/>
      <c r="O1292" s="2749" t="s">
        <v>1695</v>
      </c>
      <c r="P1292" s="1550">
        <f>'Part VIII-Threshold Criteria'!P122</f>
        <v>0</v>
      </c>
      <c r="Q1292" s="1550"/>
    </row>
    <row r="1293" spans="1:17" ht="10.5" customHeight="1">
      <c r="A1293" s="2749" t="s">
        <v>731</v>
      </c>
      <c r="B1293" s="512" t="s">
        <v>1400</v>
      </c>
      <c r="D1293" s="512"/>
      <c r="E1293" s="512"/>
      <c r="G1293" s="512"/>
      <c r="I1293" s="512"/>
      <c r="K1293" s="512"/>
      <c r="L1293" s="2684"/>
      <c r="M1293" s="2684"/>
      <c r="N1293" s="2684"/>
      <c r="O1293" s="2749" t="s">
        <v>731</v>
      </c>
      <c r="P1293" s="2684"/>
      <c r="Q1293" s="2684"/>
    </row>
    <row r="1294" spans="1:17" ht="10.5" customHeight="1">
      <c r="A1294" s="2749"/>
      <c r="B1294" s="2684" t="s">
        <v>1694</v>
      </c>
      <c r="C1294" s="512" t="s">
        <v>1401</v>
      </c>
      <c r="E1294" s="512"/>
      <c r="F1294" s="512"/>
      <c r="G1294" s="512"/>
      <c r="H1294" s="512"/>
      <c r="I1294" s="512"/>
      <c r="J1294" s="512"/>
      <c r="K1294" s="512"/>
      <c r="L1294" s="2684"/>
      <c r="M1294" s="2684"/>
      <c r="O1294" s="2749" t="s">
        <v>1694</v>
      </c>
      <c r="P1294" s="1550" t="str">
        <f>'Part VIII-Threshold Criteria'!P124</f>
        <v>No</v>
      </c>
      <c r="Q1294" s="1550"/>
    </row>
    <row r="1295" spans="1:17" ht="10.5" customHeight="1">
      <c r="B1295" s="2684" t="s">
        <v>1695</v>
      </c>
      <c r="C1295" s="512" t="s">
        <v>1402</v>
      </c>
      <c r="E1295" s="512"/>
      <c r="F1295" s="512"/>
      <c r="G1295" s="512"/>
      <c r="H1295" s="512"/>
      <c r="I1295" s="512"/>
      <c r="J1295" s="512"/>
      <c r="K1295" s="512"/>
      <c r="L1295" s="2684"/>
      <c r="M1295" s="2684"/>
      <c r="O1295" s="2749" t="s">
        <v>1695</v>
      </c>
      <c r="P1295" s="1550" t="str">
        <f>'Part VIII-Threshold Criteria'!P125</f>
        <v>No</v>
      </c>
      <c r="Q1295" s="1550"/>
    </row>
    <row r="1296" spans="1:17" ht="10.5" customHeight="1">
      <c r="B1296" s="2684" t="s">
        <v>1696</v>
      </c>
      <c r="C1296" s="512" t="s">
        <v>1403</v>
      </c>
      <c r="E1296" s="512"/>
      <c r="F1296" s="512"/>
      <c r="G1296" s="512"/>
      <c r="H1296" s="512"/>
      <c r="I1296" s="512"/>
      <c r="J1296" s="512"/>
      <c r="K1296" s="512"/>
      <c r="L1296" s="2684"/>
      <c r="M1296" s="2684"/>
      <c r="O1296" s="2749" t="s">
        <v>1696</v>
      </c>
      <c r="P1296" s="1550" t="str">
        <f>'Part VIII-Threshold Criteria'!P126</f>
        <v>No</v>
      </c>
      <c r="Q1296" s="1550"/>
    </row>
    <row r="1297" spans="1:31" ht="10.5" customHeight="1">
      <c r="B1297" s="2684" t="s">
        <v>3571</v>
      </c>
      <c r="D1297" s="2684"/>
      <c r="E1297" s="2684"/>
      <c r="F1297" s="2684"/>
      <c r="G1297" s="2684"/>
      <c r="H1297" s="2684"/>
      <c r="I1297" s="1550"/>
      <c r="J1297" s="1550"/>
      <c r="K1297" s="1550"/>
      <c r="L1297" s="2251"/>
      <c r="M1297" s="2251"/>
      <c r="N1297" s="2251"/>
      <c r="O1297" s="2251"/>
      <c r="P1297" s="2251"/>
      <c r="Q1297" s="2251"/>
    </row>
    <row r="1298" spans="1:31" ht="22.5" customHeight="1">
      <c r="A1298" s="2729" t="str">
        <f>'Part VIII-Threshold Criteria'!A128</f>
        <v>The property is zoned B-2 General Business which allows for all uses in the B-1, R-3C, R-3B and R-3A zoning districts (all ordiances included in the attachements).</v>
      </c>
      <c r="B1298" s="2729"/>
      <c r="C1298" s="2729"/>
      <c r="D1298" s="2729"/>
      <c r="E1298" s="2729"/>
      <c r="F1298" s="2729"/>
      <c r="G1298" s="2729"/>
      <c r="H1298" s="2729"/>
      <c r="I1298" s="2729"/>
      <c r="J1298" s="2729"/>
      <c r="K1298" s="2729"/>
      <c r="L1298" s="2729"/>
      <c r="M1298" s="2729"/>
      <c r="N1298" s="2729"/>
      <c r="O1298" s="2729"/>
      <c r="P1298" s="2729"/>
      <c r="Q1298" s="2729"/>
      <c r="U1298" s="2654"/>
      <c r="V1298" s="2654"/>
      <c r="W1298" s="2654"/>
      <c r="X1298" s="2654"/>
      <c r="Y1298" s="2654"/>
      <c r="Z1298" s="2654"/>
      <c r="AA1298" s="2654"/>
      <c r="AB1298" s="2654"/>
      <c r="AC1298" s="2654"/>
      <c r="AD1298" s="2654"/>
      <c r="AE1298" s="2654"/>
    </row>
    <row r="1299" spans="1:31" ht="11.25" customHeight="1">
      <c r="B1299" s="2729" t="s">
        <v>1820</v>
      </c>
      <c r="C1299" s="2729"/>
      <c r="D1299" s="2731"/>
      <c r="E1299" s="2731"/>
      <c r="F1299" s="2731"/>
      <c r="G1299" s="2731"/>
      <c r="H1299" s="2731"/>
      <c r="I1299" s="2731"/>
      <c r="J1299" s="2731"/>
      <c r="K1299" s="2731"/>
      <c r="L1299" s="2731"/>
      <c r="M1299" s="2731"/>
      <c r="N1299" s="2731"/>
      <c r="O1299" s="2731"/>
      <c r="P1299" s="2731"/>
      <c r="Q1299" s="2731"/>
    </row>
    <row r="1300" spans="1:31" ht="22.5" customHeight="1">
      <c r="A1300" s="2729"/>
      <c r="B1300" s="2729"/>
      <c r="C1300" s="2729"/>
      <c r="D1300" s="2729"/>
      <c r="E1300" s="2729"/>
      <c r="F1300" s="2729"/>
      <c r="G1300" s="2729"/>
      <c r="H1300" s="2729"/>
      <c r="I1300" s="2729"/>
      <c r="J1300" s="2729"/>
      <c r="K1300" s="2729"/>
      <c r="L1300" s="2729"/>
      <c r="M1300" s="2729"/>
      <c r="N1300" s="2729"/>
      <c r="O1300" s="2729"/>
      <c r="P1300" s="2729"/>
      <c r="Q1300" s="2729"/>
    </row>
    <row r="1301" spans="1:31" ht="14.1" customHeight="1">
      <c r="A1301" s="2649" t="s">
        <v>754</v>
      </c>
      <c r="B1301" s="2649" t="s">
        <v>2582</v>
      </c>
      <c r="C1301" s="2684"/>
      <c r="D1301" s="2731"/>
      <c r="E1301" s="2731"/>
      <c r="F1301" s="2731"/>
      <c r="G1301" s="2731"/>
      <c r="H1301" s="2731"/>
      <c r="I1301" s="2731"/>
      <c r="J1301" s="2731"/>
      <c r="K1301" s="2731"/>
      <c r="L1301" s="2731"/>
      <c r="M1301" s="2731"/>
      <c r="O1301" s="2730" t="s">
        <v>1821</v>
      </c>
      <c r="P1301" s="2654"/>
      <c r="Q1301" s="2654"/>
    </row>
    <row r="1302" spans="1:31" ht="6.6" customHeight="1"/>
    <row r="1303" spans="1:31" ht="12" customHeight="1">
      <c r="A1303" s="2749" t="s">
        <v>1936</v>
      </c>
      <c r="B1303" s="512" t="s">
        <v>3473</v>
      </c>
      <c r="D1303" s="512"/>
      <c r="E1303" s="512"/>
      <c r="F1303" s="512"/>
      <c r="G1303" s="512"/>
      <c r="H1303" s="512"/>
      <c r="I1303" s="2408"/>
      <c r="J1303" s="2408"/>
      <c r="K1303" s="2749" t="s">
        <v>1936</v>
      </c>
      <c r="L1303" s="2654" t="str">
        <f>'Part VIII-Threshold Criteria'!L133</f>
        <v>Geotechnical &amp; Environmental Consultants, Inc. (GEC)</v>
      </c>
      <c r="M1303" s="2654"/>
      <c r="N1303" s="2654"/>
      <c r="O1303" s="2654"/>
      <c r="P1303" s="2654"/>
      <c r="Q1303" s="1550"/>
    </row>
    <row r="1304" spans="1:31" ht="12" customHeight="1">
      <c r="A1304" s="2749" t="s">
        <v>1938</v>
      </c>
      <c r="B1304" s="512" t="s">
        <v>1505</v>
      </c>
      <c r="D1304" s="512"/>
      <c r="E1304" s="512"/>
      <c r="F1304" s="512"/>
      <c r="G1304" s="512"/>
      <c r="H1304" s="512"/>
      <c r="I1304" s="2408"/>
      <c r="J1304" s="2408"/>
      <c r="K1304" s="512"/>
      <c r="L1304" s="2684"/>
      <c r="O1304" s="2749" t="s">
        <v>1938</v>
      </c>
      <c r="P1304" s="1550" t="str">
        <f>'Part VIII-Threshold Criteria'!P134</f>
        <v>No</v>
      </c>
      <c r="Q1304" s="1550"/>
    </row>
    <row r="1305" spans="1:31" ht="12" customHeight="1">
      <c r="A1305" s="2749" t="s">
        <v>731</v>
      </c>
      <c r="B1305" s="512" t="s">
        <v>147</v>
      </c>
      <c r="D1305" s="512"/>
      <c r="E1305" s="512"/>
      <c r="F1305" s="512"/>
      <c r="G1305" s="512"/>
      <c r="H1305" s="512"/>
      <c r="I1305" s="2408"/>
      <c r="J1305" s="2408"/>
      <c r="K1305" s="2684"/>
      <c r="L1305" s="2684"/>
      <c r="O1305" s="2749" t="s">
        <v>731</v>
      </c>
      <c r="P1305" s="1550" t="str">
        <f>'Part VIII-Threshold Criteria'!P135</f>
        <v>Yes</v>
      </c>
      <c r="Q1305" s="1550"/>
    </row>
    <row r="1306" spans="1:31" ht="12" customHeight="1">
      <c r="A1306" s="2749"/>
      <c r="B1306" s="2684" t="s">
        <v>1694</v>
      </c>
      <c r="C1306" s="512" t="s">
        <v>2611</v>
      </c>
      <c r="E1306" s="512"/>
      <c r="F1306" s="512"/>
      <c r="G1306" s="512"/>
      <c r="H1306" s="512"/>
      <c r="I1306" s="2408"/>
      <c r="J1306" s="2408"/>
      <c r="K1306" s="2749" t="s">
        <v>1694</v>
      </c>
      <c r="L1306" s="2654" t="str">
        <f>'Part VIII-Threshold Criteria'!L136</f>
        <v>GEC</v>
      </c>
      <c r="M1306" s="2654"/>
      <c r="N1306" s="2654"/>
      <c r="O1306" s="2654"/>
      <c r="P1306" s="2654"/>
      <c r="Q1306" s="1550"/>
    </row>
    <row r="1307" spans="1:31" ht="12" customHeight="1">
      <c r="A1307" s="2673"/>
      <c r="B1307" s="2684" t="s">
        <v>1695</v>
      </c>
      <c r="C1307" s="512" t="s">
        <v>3355</v>
      </c>
      <c r="E1307" s="2408"/>
      <c r="F1307" s="2408"/>
      <c r="G1307" s="2408"/>
      <c r="H1307" s="512"/>
      <c r="I1307" s="2408"/>
      <c r="J1307" s="2408"/>
      <c r="K1307" s="512"/>
      <c r="L1307" s="2684"/>
      <c r="M1307" s="2684"/>
      <c r="O1307" s="2749" t="s">
        <v>1695</v>
      </c>
      <c r="P1307" s="1550">
        <f>'Part VIII-Threshold Criteria'!P137</f>
        <v>65</v>
      </c>
      <c r="Q1307" s="1550"/>
    </row>
    <row r="1308" spans="1:31" ht="12" customHeight="1">
      <c r="A1308" s="2673"/>
      <c r="B1308" s="2684" t="s">
        <v>1696</v>
      </c>
      <c r="C1308" s="512" t="s">
        <v>4250</v>
      </c>
      <c r="E1308" s="2408"/>
      <c r="F1308" s="2408"/>
      <c r="G1308" s="2408"/>
      <c r="H1308" s="512"/>
      <c r="I1308" s="2408"/>
      <c r="J1308" s="2408"/>
      <c r="K1308" s="512"/>
      <c r="L1308" s="2684"/>
      <c r="M1308" s="2684"/>
      <c r="O1308" s="2749" t="s">
        <v>1696</v>
      </c>
      <c r="P1308" s="1550" t="str">
        <f>'Part VIII-Threshold Criteria'!P138</f>
        <v>N/Ap</v>
      </c>
      <c r="Q1308" s="1550"/>
    </row>
    <row r="1309" spans="1:31" ht="12" customHeight="1">
      <c r="A1309" s="2749" t="s">
        <v>2065</v>
      </c>
      <c r="B1309" s="512" t="s">
        <v>1234</v>
      </c>
      <c r="D1309" s="512"/>
      <c r="E1309" s="512"/>
      <c r="F1309" s="512"/>
      <c r="G1309" s="512"/>
      <c r="H1309" s="512"/>
      <c r="I1309" s="2408"/>
      <c r="J1309" s="2408"/>
      <c r="K1309" s="512"/>
      <c r="L1309" s="2684"/>
      <c r="M1309" s="2684"/>
      <c r="N1309" s="2684"/>
      <c r="O1309" s="2749" t="s">
        <v>2065</v>
      </c>
    </row>
    <row r="1310" spans="1:31" ht="12" customHeight="1">
      <c r="A1310" s="2749"/>
      <c r="B1310" s="2684" t="s">
        <v>1694</v>
      </c>
      <c r="C1310" s="512" t="s">
        <v>145</v>
      </c>
      <c r="E1310" s="512"/>
      <c r="F1310" s="512"/>
      <c r="G1310" s="512"/>
      <c r="H1310" s="512"/>
      <c r="I1310" s="2408"/>
      <c r="J1310" s="2408"/>
      <c r="K1310" s="512"/>
      <c r="L1310" s="2684"/>
      <c r="M1310" s="2684"/>
      <c r="O1310" s="2749" t="s">
        <v>1694</v>
      </c>
      <c r="P1310" s="1550" t="str">
        <f>'Part VIII-Threshold Criteria'!P140</f>
        <v>No</v>
      </c>
      <c r="Q1310" s="1550"/>
    </row>
    <row r="1311" spans="1:31" ht="12" customHeight="1">
      <c r="A1311" s="2749"/>
      <c r="B1311" s="2684" t="s">
        <v>1695</v>
      </c>
      <c r="C1311" s="512" t="s">
        <v>1235</v>
      </c>
      <c r="E1311" s="512"/>
      <c r="F1311" s="512"/>
      <c r="G1311" s="512"/>
      <c r="H1311" s="2408"/>
      <c r="I1311" s="2408"/>
      <c r="J1311" s="2408"/>
      <c r="K1311" s="512"/>
      <c r="L1311" s="2684"/>
      <c r="M1311" s="2684"/>
      <c r="O1311" s="2749" t="s">
        <v>1695</v>
      </c>
      <c r="P1311" s="1550" t="str">
        <f>'Part VIII-Threshold Criteria'!P141</f>
        <v>No</v>
      </c>
      <c r="Q1311" s="1550"/>
    </row>
    <row r="1312" spans="1:31" ht="12" customHeight="1">
      <c r="A1312" s="2749"/>
      <c r="B1312" s="2684"/>
      <c r="C1312" s="512" t="s">
        <v>2562</v>
      </c>
      <c r="E1312" s="2749" t="s">
        <v>2372</v>
      </c>
      <c r="F1312" s="512" t="s">
        <v>2563</v>
      </c>
      <c r="G1312" s="2408"/>
      <c r="H1312" s="512"/>
      <c r="I1312" s="2408"/>
      <c r="J1312" s="2408"/>
      <c r="K1312" s="512"/>
      <c r="L1312" s="2684"/>
      <c r="M1312" s="2684"/>
      <c r="O1312" s="2749" t="s">
        <v>2372</v>
      </c>
      <c r="P1312" s="2757">
        <f>'Part VIII-Threshold Criteria'!P142</f>
        <v>0</v>
      </c>
      <c r="Q1312" s="2757"/>
    </row>
    <row r="1313" spans="1:17" ht="12" customHeight="1">
      <c r="A1313" s="2749"/>
      <c r="B1313" s="2684"/>
      <c r="E1313" s="2749" t="s">
        <v>2373</v>
      </c>
      <c r="F1313" s="512" t="s">
        <v>2564</v>
      </c>
      <c r="G1313" s="2408"/>
      <c r="H1313" s="512"/>
      <c r="I1313" s="2408"/>
      <c r="J1313" s="2408"/>
      <c r="K1313" s="512"/>
      <c r="L1313" s="2684"/>
      <c r="M1313" s="2684"/>
      <c r="O1313" s="2749" t="s">
        <v>2373</v>
      </c>
      <c r="P1313" s="1550">
        <f>'Part VIII-Threshold Criteria'!P143</f>
        <v>0</v>
      </c>
      <c r="Q1313" s="1550"/>
    </row>
    <row r="1314" spans="1:17" ht="12" customHeight="1">
      <c r="A1314" s="2749"/>
      <c r="B1314" s="2684"/>
      <c r="E1314" s="2749" t="s">
        <v>2374</v>
      </c>
      <c r="F1314" s="512" t="s">
        <v>2565</v>
      </c>
      <c r="G1314" s="2408"/>
      <c r="H1314" s="512"/>
      <c r="I1314" s="2408"/>
      <c r="J1314" s="2408"/>
      <c r="K1314" s="512"/>
      <c r="L1314" s="2684"/>
      <c r="M1314" s="2684"/>
      <c r="O1314" s="2749" t="s">
        <v>2374</v>
      </c>
      <c r="P1314" s="1550">
        <f>'Part VIII-Threshold Criteria'!P144</f>
        <v>0</v>
      </c>
      <c r="Q1314" s="1550"/>
    </row>
    <row r="1315" spans="1:17" ht="12" customHeight="1">
      <c r="A1315" s="2749"/>
      <c r="B1315" s="2684" t="s">
        <v>1696</v>
      </c>
      <c r="C1315" s="512" t="s">
        <v>1236</v>
      </c>
      <c r="E1315" s="512"/>
      <c r="F1315" s="512"/>
      <c r="G1315" s="512"/>
      <c r="H1315" s="512"/>
      <c r="I1315" s="2408"/>
      <c r="J1315" s="2408"/>
      <c r="K1315" s="512"/>
      <c r="L1315" s="2684"/>
      <c r="M1315" s="2684"/>
      <c r="O1315" s="2749" t="s">
        <v>1696</v>
      </c>
      <c r="P1315" s="1550" t="str">
        <f>'Part VIII-Threshold Criteria'!P145</f>
        <v>Yes</v>
      </c>
      <c r="Q1315" s="1550"/>
    </row>
    <row r="1316" spans="1:17" ht="12" customHeight="1">
      <c r="A1316" s="2749"/>
      <c r="B1316" s="2749"/>
      <c r="C1316" s="512" t="s">
        <v>2562</v>
      </c>
      <c r="E1316" s="2749" t="s">
        <v>2372</v>
      </c>
      <c r="F1316" s="512" t="s">
        <v>2566</v>
      </c>
      <c r="G1316" s="2408"/>
      <c r="H1316" s="512"/>
      <c r="I1316" s="2408"/>
      <c r="J1316" s="2408"/>
      <c r="K1316" s="512"/>
      <c r="L1316" s="2684"/>
      <c r="O1316" s="2749" t="s">
        <v>2372</v>
      </c>
      <c r="P1316" s="2757">
        <f>'Part VIII-Threshold Criteria'!P146</f>
        <v>2.8000000000000001E-2</v>
      </c>
      <c r="Q1316" s="2757"/>
    </row>
    <row r="1317" spans="1:17" ht="12" customHeight="1">
      <c r="A1317" s="2749"/>
      <c r="B1317" s="2749"/>
      <c r="E1317" s="2749" t="s">
        <v>2373</v>
      </c>
      <c r="F1317" s="512" t="s">
        <v>2567</v>
      </c>
      <c r="G1317" s="2408"/>
      <c r="H1317" s="512"/>
      <c r="I1317" s="2408"/>
      <c r="J1317" s="2408"/>
      <c r="O1317" s="2749" t="s">
        <v>2373</v>
      </c>
      <c r="P1317" s="1550" t="str">
        <f>'Part VIII-Threshold Criteria'!P147</f>
        <v>No</v>
      </c>
      <c r="Q1317" s="1550"/>
    </row>
    <row r="1318" spans="1:17" ht="12" customHeight="1">
      <c r="A1318" s="2749"/>
      <c r="B1318" s="2749"/>
      <c r="E1318" s="2749" t="s">
        <v>2374</v>
      </c>
      <c r="F1318" s="512" t="s">
        <v>2565</v>
      </c>
      <c r="G1318" s="2408"/>
      <c r="H1318" s="512"/>
      <c r="I1318" s="2408"/>
      <c r="J1318" s="2408"/>
      <c r="O1318" s="2749" t="s">
        <v>2374</v>
      </c>
      <c r="P1318" s="1550" t="str">
        <f>'Part VIII-Threshold Criteria'!P148</f>
        <v>Yes</v>
      </c>
      <c r="Q1318" s="1550"/>
    </row>
    <row r="1319" spans="1:17" ht="12" customHeight="1">
      <c r="A1319" s="2749" t="s">
        <v>1692</v>
      </c>
      <c r="B1319" s="2684" t="s">
        <v>2352</v>
      </c>
      <c r="D1319" s="512"/>
      <c r="E1319" s="512"/>
      <c r="F1319" s="512"/>
      <c r="G1319" s="512"/>
      <c r="H1319" s="512"/>
      <c r="I1319" s="2408"/>
      <c r="J1319" s="2408"/>
      <c r="K1319" s="512"/>
      <c r="L1319" s="2684"/>
      <c r="M1319" s="2684"/>
      <c r="N1319" s="2684"/>
      <c r="O1319" s="2684"/>
      <c r="P1319" s="2684"/>
      <c r="Q1319" s="2684"/>
    </row>
    <row r="1320" spans="1:17" ht="12" customHeight="1">
      <c r="B1320" s="2684" t="s">
        <v>1694</v>
      </c>
      <c r="C1320" s="512" t="s">
        <v>2430</v>
      </c>
      <c r="E1320" s="512"/>
      <c r="F1320" s="1550" t="str">
        <f>'Part VIII-Threshold Criteria'!F150</f>
        <v>No</v>
      </c>
      <c r="G1320" s="1550"/>
      <c r="H1320" s="2749" t="s">
        <v>4413</v>
      </c>
      <c r="I1320" s="2618" t="s">
        <v>2569</v>
      </c>
      <c r="L1320" s="1550" t="str">
        <f>'Part VIII-Threshold Criteria'!L150</f>
        <v>No</v>
      </c>
      <c r="M1320" s="1550"/>
      <c r="N1320" s="2749" t="s">
        <v>4417</v>
      </c>
      <c r="O1320" s="512" t="s">
        <v>1519</v>
      </c>
      <c r="P1320" s="1550" t="str">
        <f>'Part VIII-Threshold Criteria'!P150</f>
        <v>No</v>
      </c>
      <c r="Q1320" s="1550"/>
    </row>
    <row r="1321" spans="1:17" ht="12" customHeight="1">
      <c r="A1321" s="512"/>
      <c r="B1321" s="2684" t="s">
        <v>1695</v>
      </c>
      <c r="C1321" s="512" t="s">
        <v>2710</v>
      </c>
      <c r="E1321" s="512"/>
      <c r="F1321" s="1550" t="str">
        <f>'Part VIII-Threshold Criteria'!F151</f>
        <v>Yes</v>
      </c>
      <c r="G1321" s="1550"/>
      <c r="H1321" s="2749" t="s">
        <v>4414</v>
      </c>
      <c r="I1321" s="2618" t="s">
        <v>2570</v>
      </c>
      <c r="L1321" s="1550" t="str">
        <f>'Part VIII-Threshold Criteria'!L151</f>
        <v>No</v>
      </c>
      <c r="M1321" s="1550"/>
      <c r="N1321" s="2749" t="s">
        <v>4418</v>
      </c>
      <c r="O1321" s="512" t="s">
        <v>1518</v>
      </c>
      <c r="P1321" s="1550" t="str">
        <f>'Part VIII-Threshold Criteria'!P151</f>
        <v>No</v>
      </c>
      <c r="Q1321" s="1550"/>
    </row>
    <row r="1322" spans="1:17" ht="12" customHeight="1">
      <c r="A1322" s="512"/>
      <c r="B1322" s="2684" t="s">
        <v>1696</v>
      </c>
      <c r="C1322" s="512" t="s">
        <v>2568</v>
      </c>
      <c r="E1322" s="512"/>
      <c r="F1322" s="1550" t="str">
        <f>'Part VIII-Threshold Criteria'!F152</f>
        <v>No</v>
      </c>
      <c r="G1322" s="1550"/>
      <c r="H1322" s="2749" t="s">
        <v>4415</v>
      </c>
      <c r="I1322" s="2618" t="s">
        <v>3636</v>
      </c>
      <c r="L1322" s="1550" t="str">
        <f>'Part VIII-Threshold Criteria'!L152</f>
        <v>No</v>
      </c>
      <c r="M1322" s="1550"/>
      <c r="N1322" s="2749" t="s">
        <v>4419</v>
      </c>
      <c r="O1322" s="512" t="s">
        <v>1520</v>
      </c>
      <c r="P1322" s="1550" t="str">
        <f>'Part VIII-Threshold Criteria'!P152</f>
        <v>No</v>
      </c>
      <c r="Q1322" s="1550"/>
    </row>
    <row r="1323" spans="1:17" ht="12" customHeight="1">
      <c r="A1323" s="512"/>
      <c r="B1323" s="2684" t="s">
        <v>2305</v>
      </c>
      <c r="C1323" s="512" t="s">
        <v>2712</v>
      </c>
      <c r="E1323" s="512"/>
      <c r="F1323" s="1550" t="str">
        <f>'Part VIII-Threshold Criteria'!F153</f>
        <v>No</v>
      </c>
      <c r="G1323" s="1550"/>
      <c r="H1323" s="2749" t="s">
        <v>4416</v>
      </c>
      <c r="I1323" s="512" t="s">
        <v>2709</v>
      </c>
      <c r="L1323" s="1550" t="str">
        <f>'Part VIII-Threshold Criteria'!L153</f>
        <v>No</v>
      </c>
      <c r="M1323" s="1550"/>
      <c r="O1323" s="2749"/>
    </row>
    <row r="1324" spans="1:17" ht="12" customHeight="1">
      <c r="A1324" s="512"/>
      <c r="B1324" s="2684" t="s">
        <v>2792</v>
      </c>
      <c r="C1324" s="512" t="s">
        <v>2711</v>
      </c>
      <c r="E1324" s="512"/>
      <c r="F1324" s="512"/>
      <c r="G1324" s="512"/>
      <c r="H1324" s="512"/>
      <c r="I1324" s="512"/>
      <c r="J1324" s="512"/>
      <c r="K1324" s="512"/>
      <c r="L1324" s="512"/>
      <c r="M1324" s="512"/>
      <c r="O1324" s="2749"/>
      <c r="P1324" s="2749"/>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749" t="s">
        <v>1693</v>
      </c>
      <c r="B1326" s="512" t="s">
        <v>3438</v>
      </c>
      <c r="D1326" s="512"/>
      <c r="E1326" s="512"/>
      <c r="F1326" s="512"/>
      <c r="G1326" s="512"/>
      <c r="H1326" s="512"/>
      <c r="I1326" s="2408"/>
      <c r="J1326" s="2408"/>
      <c r="K1326" s="512"/>
      <c r="L1326" s="512"/>
      <c r="M1326" s="2684"/>
    </row>
    <row r="1327" spans="1:17" ht="12" customHeight="1">
      <c r="A1327" s="2408"/>
      <c r="B1327" s="2684" t="s">
        <v>1694</v>
      </c>
      <c r="C1327" s="512" t="s">
        <v>2713</v>
      </c>
      <c r="E1327" s="512"/>
      <c r="F1327" s="512"/>
      <c r="G1327" s="512"/>
      <c r="H1327" s="512"/>
      <c r="O1327" s="2749" t="s">
        <v>1694</v>
      </c>
      <c r="P1327" s="1550">
        <f>'Part VIII-Threshold Criteria'!P157</f>
        <v>0</v>
      </c>
      <c r="Q1327" s="1550"/>
    </row>
    <row r="1328" spans="1:17" ht="12" customHeight="1">
      <c r="A1328" s="1550"/>
      <c r="B1328" s="2684" t="s">
        <v>1695</v>
      </c>
      <c r="C1328" s="512" t="s">
        <v>480</v>
      </c>
      <c r="E1328" s="512"/>
      <c r="F1328" s="512"/>
      <c r="G1328" s="512"/>
      <c r="H1328" s="512"/>
      <c r="I1328" s="2408"/>
      <c r="J1328" s="2408"/>
      <c r="K1328" s="512"/>
      <c r="L1328" s="512"/>
      <c r="M1328" s="512"/>
      <c r="O1328" s="2749" t="s">
        <v>1695</v>
      </c>
      <c r="P1328" s="1550">
        <f>'Part VIII-Threshold Criteria'!P158</f>
        <v>0</v>
      </c>
      <c r="Q1328" s="1550"/>
    </row>
    <row r="1329" spans="1:31" ht="12" customHeight="1">
      <c r="A1329" s="1550"/>
      <c r="B1329" s="2684" t="s">
        <v>1696</v>
      </c>
      <c r="C1329" s="512" t="s">
        <v>663</v>
      </c>
      <c r="E1329" s="512"/>
      <c r="F1329" s="512"/>
      <c r="G1329" s="512"/>
      <c r="H1329" s="512"/>
      <c r="I1329" s="2408"/>
      <c r="J1329" s="2408"/>
      <c r="K1329" s="512"/>
      <c r="L1329" s="512"/>
      <c r="M1329" s="512"/>
      <c r="O1329" s="2749" t="s">
        <v>1696</v>
      </c>
      <c r="P1329" s="1550">
        <f>'Part VIII-Threshold Criteria'!P159</f>
        <v>0</v>
      </c>
      <c r="Q1329" s="1550"/>
    </row>
    <row r="1330" spans="1:31" ht="12" customHeight="1">
      <c r="A1330" s="1550"/>
      <c r="B1330" s="2684" t="s">
        <v>2305</v>
      </c>
      <c r="C1330" s="512" t="s">
        <v>4399</v>
      </c>
      <c r="E1330" s="512"/>
      <c r="F1330" s="512"/>
      <c r="G1330" s="512"/>
      <c r="H1330" s="512"/>
      <c r="I1330" s="2408"/>
      <c r="J1330" s="2408"/>
      <c r="K1330" s="512"/>
      <c r="L1330" s="512"/>
      <c r="M1330" s="512"/>
      <c r="O1330" s="2749" t="s">
        <v>2305</v>
      </c>
      <c r="P1330" s="1550">
        <f>'Part VIII-Threshold Criteria'!P160</f>
        <v>0</v>
      </c>
      <c r="Q1330" s="1550"/>
    </row>
    <row r="1331" spans="1:31" ht="12" customHeight="1">
      <c r="A1331" s="2618" t="s">
        <v>4568</v>
      </c>
      <c r="C1331" s="512"/>
      <c r="D1331" s="512"/>
      <c r="E1331" s="512"/>
      <c r="F1331" s="512"/>
      <c r="G1331" s="512"/>
      <c r="H1331" s="512"/>
      <c r="I1331" s="2408"/>
      <c r="J1331" s="2408"/>
      <c r="K1331" s="512"/>
      <c r="L1331" s="512"/>
      <c r="M1331" s="2684"/>
      <c r="N1331" s="2684"/>
      <c r="O1331" s="2684"/>
      <c r="P1331" s="2684"/>
      <c r="Q1331" s="2684"/>
      <c r="R1331" s="2684"/>
    </row>
    <row r="1332" spans="1:31" s="2408" customFormat="1" ht="23.4" customHeight="1">
      <c r="A1332" s="2749" t="s">
        <v>1900</v>
      </c>
      <c r="B1332" s="2729" t="s">
        <v>6921</v>
      </c>
      <c r="C1332" s="2729"/>
      <c r="D1332" s="2729"/>
      <c r="E1332" s="2729"/>
      <c r="F1332" s="2729"/>
      <c r="G1332" s="2729"/>
      <c r="H1332" s="2729"/>
      <c r="I1332" s="2729"/>
      <c r="J1332" s="2729"/>
      <c r="K1332" s="2729"/>
      <c r="L1332" s="2729"/>
      <c r="M1332" s="2749" t="s">
        <v>1900</v>
      </c>
      <c r="N1332" s="2729" t="str">
        <f>'Part VIII-Threshold Criteria'!N162</f>
        <v>&lt;&lt;Select&gt;&gt;</v>
      </c>
      <c r="O1332" s="2729"/>
      <c r="P1332" s="2729" t="s">
        <v>1727</v>
      </c>
      <c r="Q1332" s="2729"/>
    </row>
    <row r="1333" spans="1:31" ht="11.25" customHeight="1">
      <c r="B1333" s="2684" t="s">
        <v>3571</v>
      </c>
      <c r="D1333" s="2684"/>
      <c r="E1333" s="2684"/>
      <c r="F1333" s="2684"/>
      <c r="G1333" s="2684"/>
      <c r="H1333" s="2684"/>
      <c r="I1333" s="1550"/>
      <c r="J1333" s="1550"/>
      <c r="K1333" s="1550"/>
      <c r="L1333" s="2251"/>
      <c r="M1333" s="2251"/>
      <c r="N1333" s="2251"/>
      <c r="O1333" s="2251"/>
      <c r="P1333" s="2251"/>
      <c r="Q1333" s="2251"/>
    </row>
    <row r="1334" spans="1:31" ht="45" customHeight="1">
      <c r="A1334" s="2729" t="str">
        <f>'Part VIII-Threshold Criteria'!A164</f>
        <v>All noise assessment locations (NALs) total DNL are at or under the 65 dB limit. Therefore, GEC does not believe noise issues will be a concern that could preclude the development of the subject site as a DCA funded project. Details of the noise assessment process are included in the Phase I attachment.</v>
      </c>
      <c r="B1334" s="2729"/>
      <c r="C1334" s="2729"/>
      <c r="D1334" s="2729"/>
      <c r="E1334" s="2729"/>
      <c r="F1334" s="2729"/>
      <c r="G1334" s="2729"/>
      <c r="H1334" s="2729"/>
      <c r="I1334" s="2729"/>
      <c r="J1334" s="2729"/>
      <c r="K1334" s="2729"/>
      <c r="L1334" s="2729"/>
      <c r="M1334" s="2729"/>
      <c r="N1334" s="2729"/>
      <c r="O1334" s="2729"/>
      <c r="P1334" s="2729"/>
      <c r="Q1334" s="2729"/>
      <c r="R1334" s="2497" t="s">
        <v>1228</v>
      </c>
      <c r="S1334" s="2497"/>
      <c r="U1334" s="2654"/>
      <c r="V1334" s="2654"/>
      <c r="W1334" s="2654"/>
      <c r="X1334" s="2654"/>
      <c r="Y1334" s="2654"/>
      <c r="Z1334" s="2654"/>
      <c r="AA1334" s="2654"/>
      <c r="AB1334" s="2654"/>
      <c r="AC1334" s="2654"/>
      <c r="AD1334" s="2654"/>
      <c r="AE1334" s="2654"/>
    </row>
    <row r="1335" spans="1:31" ht="3" customHeight="1">
      <c r="R1335" s="2497"/>
      <c r="S1335" s="2497"/>
    </row>
    <row r="1336" spans="1:31" ht="11.25" customHeight="1">
      <c r="B1336" s="2729" t="s">
        <v>1820</v>
      </c>
      <c r="C1336" s="2729"/>
      <c r="D1336" s="2731"/>
      <c r="E1336" s="2731"/>
      <c r="F1336" s="2731"/>
      <c r="G1336" s="2731"/>
      <c r="H1336" s="2731"/>
      <c r="I1336" s="2731"/>
      <c r="J1336" s="2731"/>
      <c r="K1336" s="2731"/>
      <c r="L1336" s="2731"/>
      <c r="M1336" s="2731"/>
      <c r="N1336" s="2731"/>
      <c r="O1336" s="2731"/>
      <c r="P1336" s="2731"/>
      <c r="Q1336" s="2731"/>
    </row>
    <row r="1337" spans="1:31" ht="45" customHeight="1">
      <c r="A1337" s="2729"/>
      <c r="B1337" s="2729"/>
      <c r="C1337" s="2729"/>
      <c r="D1337" s="2729"/>
      <c r="E1337" s="2729"/>
      <c r="F1337" s="2729"/>
      <c r="G1337" s="2729"/>
      <c r="H1337" s="2729"/>
      <c r="I1337" s="2729"/>
      <c r="J1337" s="2729"/>
      <c r="K1337" s="2729"/>
      <c r="L1337" s="2729"/>
      <c r="M1337" s="2729"/>
      <c r="N1337" s="2729"/>
      <c r="O1337" s="2729"/>
      <c r="P1337" s="2729"/>
      <c r="Q1337" s="2729"/>
    </row>
    <row r="1338" spans="1:31" ht="3" customHeight="1">
      <c r="A1338" s="2251"/>
      <c r="B1338" s="1550"/>
      <c r="C1338" s="2731"/>
      <c r="D1338" s="2731"/>
      <c r="E1338" s="2731"/>
      <c r="F1338" s="2731"/>
      <c r="G1338" s="2731"/>
      <c r="H1338" s="2731"/>
      <c r="I1338" s="2731"/>
      <c r="J1338" s="2731"/>
      <c r="K1338" s="2731"/>
      <c r="L1338" s="2731"/>
      <c r="M1338" s="2731"/>
      <c r="N1338" s="2731"/>
      <c r="O1338" s="2731"/>
      <c r="P1338" s="2731"/>
      <c r="Q1338" s="2251"/>
    </row>
    <row r="1339" spans="1:31" ht="14.1" customHeight="1">
      <c r="A1339" s="2649" t="s">
        <v>287</v>
      </c>
      <c r="B1339" s="2649" t="s">
        <v>2583</v>
      </c>
      <c r="C1339" s="2649"/>
      <c r="D1339" s="2731"/>
      <c r="E1339" s="2731"/>
      <c r="F1339" s="2731"/>
      <c r="G1339" s="2731"/>
      <c r="H1339" s="2731"/>
      <c r="I1339" s="2731"/>
      <c r="J1339" s="2731"/>
      <c r="K1339" s="2731"/>
      <c r="O1339" s="2730" t="s">
        <v>1821</v>
      </c>
      <c r="P1339" s="2654"/>
      <c r="Q1339" s="2654"/>
    </row>
    <row r="1340" spans="1:31" ht="12" customHeight="1">
      <c r="A1340" s="2749" t="s">
        <v>1936</v>
      </c>
      <c r="B1340" s="2684" t="s">
        <v>1694</v>
      </c>
      <c r="C1340" s="512" t="s">
        <v>6863</v>
      </c>
      <c r="D1340" s="512"/>
      <c r="E1340" s="512"/>
      <c r="F1340" s="512"/>
      <c r="G1340" s="512"/>
      <c r="K1340" s="512" t="s">
        <v>2627</v>
      </c>
      <c r="M1340" s="2758">
        <f>'Part VIII-Threshold Criteria'!M170</f>
        <v>0</v>
      </c>
      <c r="N1340" s="2758"/>
      <c r="O1340" s="2749" t="s">
        <v>1694</v>
      </c>
      <c r="P1340" s="1550">
        <f>'Part VIII-Threshold Criteria'!P170</f>
        <v>0</v>
      </c>
      <c r="Q1340" s="1550"/>
    </row>
    <row r="1341" spans="1:31" ht="12" customHeight="1">
      <c r="A1341" s="2749"/>
      <c r="B1341" s="2684" t="s">
        <v>1695</v>
      </c>
      <c r="C1341" s="512" t="s">
        <v>6864</v>
      </c>
      <c r="D1341" s="512"/>
      <c r="E1341" s="512"/>
      <c r="F1341" s="512"/>
      <c r="G1341" s="512"/>
      <c r="K1341" s="512" t="s">
        <v>2627</v>
      </c>
      <c r="M1341" s="2758">
        <f>'Part VIII-Threshold Criteria'!M171</f>
        <v>44593</v>
      </c>
      <c r="N1341" s="2758"/>
      <c r="O1341" s="2749" t="s">
        <v>1695</v>
      </c>
      <c r="P1341" s="1550" t="str">
        <f>'Part VIII-Threshold Criteria'!P171</f>
        <v>Yes</v>
      </c>
      <c r="Q1341" s="1550"/>
    </row>
    <row r="1342" spans="1:31" ht="12" customHeight="1">
      <c r="A1342" s="2749" t="s">
        <v>1938</v>
      </c>
      <c r="B1342" s="2729" t="s">
        <v>146</v>
      </c>
      <c r="D1342" s="2729"/>
      <c r="E1342" s="2729"/>
      <c r="F1342" s="2729" t="str">
        <f>IF(N1342="Ground lease/Option","Ground lease/Option:","")</f>
        <v/>
      </c>
      <c r="H1342" s="2618" t="str">
        <f>IF(N1342="Ground lease/Option","Annual Pymt:","")</f>
        <v/>
      </c>
      <c r="I1342" s="2712" t="str">
        <f>IF(N1342="Ground lease/Option",'Part VI-Revenues &amp; Expenses'!$K$250,"")</f>
        <v/>
      </c>
      <c r="K1342" s="2759" t="str">
        <f>IF(N1342="Ground lease/Option","Term:","")</f>
        <v/>
      </c>
      <c r="L1342" s="2760" t="str">
        <f>IF(N1342="Ground lease/Option",'Part VI-Revenues &amp; Expenses'!$N$250,"")</f>
        <v/>
      </c>
      <c r="M1342" s="2749" t="s">
        <v>1938</v>
      </c>
      <c r="N1342" s="2618" t="str">
        <f>'Part VIII-Threshold Criteria'!N172</f>
        <v>Purchase Contract</v>
      </c>
      <c r="O1342" s="2618"/>
      <c r="P1342" s="2618" t="s">
        <v>1727</v>
      </c>
      <c r="Q1342" s="2618"/>
    </row>
    <row r="1343" spans="1:31" ht="12" customHeight="1">
      <c r="A1343" s="2749" t="s">
        <v>731</v>
      </c>
      <c r="B1343" s="2729" t="s">
        <v>664</v>
      </c>
      <c r="D1343" s="2729"/>
      <c r="E1343" s="2729"/>
      <c r="F1343" s="2729"/>
      <c r="G1343" s="2729"/>
      <c r="H1343" s="2729"/>
      <c r="J1343" s="2749" t="s">
        <v>731</v>
      </c>
      <c r="K1343" s="512" t="str">
        <f>'Part VIII-Threshold Criteria'!K173</f>
        <v>Augusta Management Group, LLC</v>
      </c>
      <c r="L1343" s="512"/>
      <c r="M1343" s="512"/>
      <c r="N1343" s="512"/>
      <c r="O1343" s="512"/>
      <c r="P1343" s="512"/>
      <c r="Q1343" s="1550"/>
    </row>
    <row r="1344" spans="1:31" ht="12" customHeight="1">
      <c r="B1344" s="2684" t="s">
        <v>3571</v>
      </c>
      <c r="D1344" s="2684"/>
      <c r="E1344" s="2684"/>
      <c r="F1344" s="2684"/>
      <c r="G1344" s="2684"/>
      <c r="H1344" s="2684"/>
      <c r="I1344" s="1550"/>
      <c r="J1344" s="1550"/>
      <c r="K1344" s="1550"/>
      <c r="L1344" s="2251"/>
      <c r="M1344" s="2251"/>
      <c r="N1344" s="2251"/>
      <c r="O1344" s="2251"/>
      <c r="P1344" s="2251"/>
      <c r="Q1344" s="2251"/>
    </row>
    <row r="1345" spans="1:31" ht="11.4" customHeight="1">
      <c r="A1345" s="2729" t="str">
        <f>'Part VIII-Threshold Criteria'!A175</f>
        <v>Lakeview Terrace, LP has been assigned a purchase contract to purchase the land.</v>
      </c>
      <c r="B1345" s="2729"/>
      <c r="C1345" s="2729"/>
      <c r="D1345" s="2729"/>
      <c r="E1345" s="2729"/>
      <c r="F1345" s="2729"/>
      <c r="G1345" s="2729"/>
      <c r="H1345" s="2729"/>
      <c r="I1345" s="2729"/>
      <c r="J1345" s="2729"/>
      <c r="K1345" s="2729"/>
      <c r="L1345" s="2729"/>
      <c r="M1345" s="2729"/>
      <c r="N1345" s="2729"/>
      <c r="O1345" s="2729"/>
      <c r="P1345" s="2729"/>
      <c r="Q1345" s="2729"/>
      <c r="U1345" s="2654"/>
      <c r="V1345" s="2654"/>
      <c r="W1345" s="2654"/>
      <c r="X1345" s="2654"/>
      <c r="Y1345" s="2654"/>
      <c r="Z1345" s="2654"/>
      <c r="AA1345" s="2654"/>
      <c r="AB1345" s="2654"/>
      <c r="AC1345" s="2654"/>
      <c r="AD1345" s="2654"/>
      <c r="AE1345" s="2654"/>
    </row>
    <row r="1346" spans="1:31" ht="12" customHeight="1">
      <c r="B1346" s="2729" t="s">
        <v>1820</v>
      </c>
      <c r="C1346" s="2729"/>
      <c r="D1346" s="2731"/>
      <c r="E1346" s="2731"/>
      <c r="F1346" s="2731"/>
      <c r="G1346" s="2731"/>
      <c r="H1346" s="2731"/>
      <c r="I1346" s="2731"/>
      <c r="J1346" s="2731"/>
      <c r="K1346" s="2731"/>
      <c r="L1346" s="2731"/>
      <c r="M1346" s="2731"/>
      <c r="N1346" s="2731"/>
      <c r="O1346" s="2731"/>
      <c r="P1346" s="2731"/>
      <c r="Q1346" s="2731"/>
    </row>
    <row r="1347" spans="1:31" ht="11.4" customHeight="1">
      <c r="A1347" s="2729"/>
      <c r="B1347" s="2729"/>
      <c r="C1347" s="2729"/>
      <c r="D1347" s="2729"/>
      <c r="E1347" s="2729"/>
      <c r="F1347" s="2729"/>
      <c r="G1347" s="2729"/>
      <c r="H1347" s="2729"/>
      <c r="I1347" s="2729"/>
      <c r="J1347" s="2729"/>
      <c r="K1347" s="2729"/>
      <c r="L1347" s="2729"/>
      <c r="M1347" s="2729"/>
      <c r="N1347" s="2729"/>
      <c r="O1347" s="2729"/>
      <c r="P1347" s="2729"/>
      <c r="Q1347" s="2729"/>
    </row>
    <row r="1348" spans="1:31" ht="3" customHeight="1">
      <c r="A1348" s="2251"/>
      <c r="B1348" s="1550"/>
      <c r="C1348" s="2731"/>
      <c r="D1348" s="2731"/>
      <c r="E1348" s="2731"/>
      <c r="F1348" s="2731"/>
      <c r="G1348" s="2731"/>
      <c r="H1348" s="2731"/>
      <c r="I1348" s="2731"/>
      <c r="J1348" s="2731"/>
      <c r="K1348" s="2731"/>
      <c r="L1348" s="2731"/>
      <c r="M1348" s="2731"/>
      <c r="Q1348" s="2251"/>
    </row>
    <row r="1349" spans="1:31" ht="14.1" customHeight="1">
      <c r="A1349" s="2649" t="s">
        <v>418</v>
      </c>
      <c r="B1349" s="2649" t="s">
        <v>2584</v>
      </c>
      <c r="C1349" s="2649"/>
      <c r="D1349" s="2731"/>
      <c r="E1349" s="2731"/>
      <c r="F1349" s="2731"/>
      <c r="G1349" s="2731"/>
      <c r="H1349" s="2731"/>
      <c r="I1349" s="2731"/>
      <c r="J1349" s="2731"/>
      <c r="K1349" s="2731"/>
      <c r="L1349" s="2731"/>
      <c r="M1349" s="2731"/>
      <c r="O1349" s="2730" t="s">
        <v>1821</v>
      </c>
      <c r="P1349" s="2654"/>
      <c r="Q1349" s="2654"/>
    </row>
    <row r="1350" spans="1:31" ht="21.75" customHeight="1">
      <c r="A1350" s="2730" t="s">
        <v>1936</v>
      </c>
      <c r="B1350" s="2729" t="s">
        <v>3560</v>
      </c>
      <c r="C1350" s="2729"/>
      <c r="D1350" s="2729"/>
      <c r="E1350" s="2729"/>
      <c r="F1350" s="2729"/>
      <c r="G1350" s="2729"/>
      <c r="H1350" s="2729"/>
      <c r="I1350" s="2729"/>
      <c r="J1350" s="2729"/>
      <c r="K1350" s="2729"/>
      <c r="L1350" s="2729"/>
      <c r="M1350" s="2729"/>
      <c r="N1350" s="2729"/>
      <c r="O1350" s="2730" t="s">
        <v>1936</v>
      </c>
      <c r="P1350" s="2740" t="str">
        <f>'Part VIII-Threshold Criteria'!P180</f>
        <v>Yes</v>
      </c>
      <c r="Q1350" s="2740"/>
    </row>
    <row r="1351" spans="1:31" ht="22.35" customHeight="1">
      <c r="A1351" s="2730" t="s">
        <v>1938</v>
      </c>
      <c r="B1351" s="2729" t="s">
        <v>4266</v>
      </c>
      <c r="C1351" s="2729"/>
      <c r="D1351" s="2729"/>
      <c r="E1351" s="2729"/>
      <c r="F1351" s="2729"/>
      <c r="G1351" s="2729"/>
      <c r="H1351" s="2729"/>
      <c r="I1351" s="2729"/>
      <c r="J1351" s="2729"/>
      <c r="K1351" s="2729"/>
      <c r="L1351" s="2729"/>
      <c r="M1351" s="2729"/>
      <c r="N1351" s="2729"/>
      <c r="O1351" s="2730" t="s">
        <v>1938</v>
      </c>
      <c r="P1351" s="2740">
        <f>'Part VIII-Threshold Criteria'!P181</f>
        <v>0</v>
      </c>
      <c r="Q1351" s="2740"/>
    </row>
    <row r="1352" spans="1:31" ht="22.35" customHeight="1">
      <c r="A1352" s="2730" t="s">
        <v>731</v>
      </c>
      <c r="B1352" s="2729" t="s">
        <v>3561</v>
      </c>
      <c r="C1352" s="2729"/>
      <c r="D1352" s="2729"/>
      <c r="E1352" s="2729"/>
      <c r="F1352" s="2729"/>
      <c r="G1352" s="2729"/>
      <c r="H1352" s="2729"/>
      <c r="I1352" s="2729"/>
      <c r="J1352" s="2729"/>
      <c r="K1352" s="2729"/>
      <c r="L1352" s="2729"/>
      <c r="M1352" s="2729"/>
      <c r="N1352" s="2729"/>
      <c r="O1352" s="2730" t="s">
        <v>731</v>
      </c>
      <c r="P1352" s="2740">
        <f>'Part VIII-Threshold Criteria'!P182</f>
        <v>0</v>
      </c>
      <c r="Q1352" s="2740"/>
    </row>
    <row r="1353" spans="1:31" ht="21.75" customHeight="1">
      <c r="A1353" s="2730" t="s">
        <v>2065</v>
      </c>
      <c r="B1353" s="2729" t="s">
        <v>4360</v>
      </c>
      <c r="C1353" s="2729"/>
      <c r="D1353" s="2729"/>
      <c r="E1353" s="2729"/>
      <c r="F1353" s="2729"/>
      <c r="G1353" s="2729"/>
      <c r="H1353" s="2729"/>
      <c r="I1353" s="2729"/>
      <c r="J1353" s="2729"/>
      <c r="K1353" s="2729"/>
      <c r="L1353" s="2729"/>
      <c r="M1353" s="2729"/>
      <c r="N1353" s="2729"/>
      <c r="O1353" s="2730" t="s">
        <v>2065</v>
      </c>
      <c r="P1353" s="2740">
        <f>'Part VIII-Threshold Criteria'!P183</f>
        <v>0</v>
      </c>
      <c r="Q1353" s="2740"/>
    </row>
    <row r="1354" spans="1:31" ht="12" customHeight="1">
      <c r="B1354" s="2684" t="s">
        <v>3571</v>
      </c>
      <c r="D1354" s="2684"/>
      <c r="E1354" s="2684"/>
      <c r="F1354" s="2684"/>
      <c r="G1354" s="2684"/>
      <c r="H1354" s="2684"/>
      <c r="I1354" s="1550"/>
      <c r="J1354" s="1550"/>
      <c r="K1354" s="1550"/>
      <c r="L1354" s="2251"/>
      <c r="M1354" s="2251"/>
      <c r="N1354" s="2251"/>
      <c r="O1354" s="2251"/>
      <c r="P1354" s="2251"/>
      <c r="Q1354" s="2251"/>
    </row>
    <row r="1355" spans="1:31" ht="11.4" customHeight="1">
      <c r="A1355" s="2729" t="str">
        <f>'Part VIII-Threshold Criteria'!A185</f>
        <v>The site has road frontage on Gordon Highway. See map in tab 09.</v>
      </c>
      <c r="B1355" s="2729"/>
      <c r="C1355" s="2729"/>
      <c r="D1355" s="2729"/>
      <c r="E1355" s="2729"/>
      <c r="F1355" s="2729"/>
      <c r="G1355" s="2729"/>
      <c r="H1355" s="2729"/>
      <c r="I1355" s="2729"/>
      <c r="J1355" s="2729"/>
      <c r="K1355" s="2729"/>
      <c r="L1355" s="2729"/>
      <c r="M1355" s="2729"/>
      <c r="N1355" s="2729"/>
      <c r="O1355" s="2729"/>
      <c r="P1355" s="2729"/>
      <c r="Q1355" s="2729"/>
      <c r="U1355" s="2654"/>
      <c r="V1355" s="2654"/>
      <c r="W1355" s="2654"/>
      <c r="X1355" s="2654"/>
      <c r="Y1355" s="2654"/>
      <c r="Z1355" s="2654"/>
      <c r="AA1355" s="2654"/>
      <c r="AB1355" s="2654"/>
      <c r="AC1355" s="2654"/>
      <c r="AD1355" s="2654"/>
      <c r="AE1355" s="2654"/>
    </row>
    <row r="1356" spans="1:31" ht="12" customHeight="1">
      <c r="B1356" s="2729" t="s">
        <v>1820</v>
      </c>
      <c r="C1356" s="2729"/>
      <c r="D1356" s="2731"/>
      <c r="E1356" s="2731"/>
      <c r="F1356" s="2731"/>
      <c r="G1356" s="2731"/>
      <c r="H1356" s="2731"/>
      <c r="I1356" s="2731"/>
      <c r="J1356" s="2731"/>
      <c r="K1356" s="2731"/>
      <c r="L1356" s="2731"/>
      <c r="M1356" s="2731"/>
      <c r="N1356" s="2731"/>
      <c r="O1356" s="2731"/>
      <c r="P1356" s="2731"/>
      <c r="Q1356" s="2731"/>
    </row>
    <row r="1357" spans="1:31" ht="11.4" customHeight="1">
      <c r="A1357" s="2729"/>
      <c r="B1357" s="2729"/>
      <c r="C1357" s="2729"/>
      <c r="D1357" s="2729"/>
      <c r="E1357" s="2729"/>
      <c r="F1357" s="2729"/>
      <c r="G1357" s="2729"/>
      <c r="H1357" s="2729"/>
      <c r="I1357" s="2729"/>
      <c r="J1357" s="2729"/>
      <c r="K1357" s="2729"/>
      <c r="L1357" s="2729"/>
      <c r="M1357" s="2729"/>
      <c r="N1357" s="2729"/>
      <c r="O1357" s="2729"/>
      <c r="P1357" s="2729"/>
      <c r="Q1357" s="2729"/>
    </row>
    <row r="1358" spans="1:31" ht="3" customHeight="1">
      <c r="B1358" s="1550"/>
      <c r="C1358" s="2731"/>
      <c r="D1358" s="2731"/>
      <c r="E1358" s="2731"/>
      <c r="F1358" s="2731"/>
      <c r="G1358" s="2731"/>
      <c r="H1358" s="2731"/>
      <c r="I1358" s="2731"/>
      <c r="J1358" s="2731"/>
      <c r="K1358" s="2731"/>
      <c r="L1358" s="2731"/>
      <c r="M1358" s="2731"/>
      <c r="N1358" s="2731"/>
      <c r="O1358" s="2731"/>
      <c r="P1358" s="2731"/>
      <c r="Q1358" s="2251"/>
    </row>
    <row r="1359" spans="1:31" ht="14.1" customHeight="1">
      <c r="A1359" s="2658" t="s">
        <v>356</v>
      </c>
      <c r="B1359" s="2408" t="s">
        <v>2585</v>
      </c>
      <c r="C1359" s="2408"/>
      <c r="D1359" s="2408"/>
      <c r="O1359" s="2730" t="s">
        <v>1821</v>
      </c>
      <c r="P1359" s="2654"/>
      <c r="Q1359" s="2654"/>
    </row>
    <row r="1360" spans="1:31" ht="12" customHeight="1">
      <c r="A1360" s="2730" t="s">
        <v>1936</v>
      </c>
      <c r="B1360" s="2731" t="s">
        <v>459</v>
      </c>
      <c r="D1360" s="2731"/>
      <c r="E1360" s="2731"/>
      <c r="F1360" s="2731"/>
      <c r="G1360" s="2731"/>
      <c r="H1360" s="2731"/>
      <c r="I1360" s="2731"/>
      <c r="J1360" s="2731"/>
      <c r="K1360" s="2731"/>
      <c r="L1360" s="2731"/>
      <c r="M1360" s="2731"/>
      <c r="O1360" s="2730" t="s">
        <v>1936</v>
      </c>
      <c r="P1360" s="1550" t="str">
        <f>'Part VIII-Threshold Criteria'!P190</f>
        <v>Yes</v>
      </c>
      <c r="Q1360" s="1550"/>
    </row>
    <row r="1361" spans="1:31" ht="12" customHeight="1">
      <c r="A1361" s="2730" t="s">
        <v>1938</v>
      </c>
      <c r="B1361" s="2731" t="s">
        <v>2571</v>
      </c>
      <c r="D1361" s="2731"/>
      <c r="E1361" s="2731"/>
      <c r="F1361" s="2731"/>
      <c r="G1361" s="2731"/>
      <c r="H1361" s="2731"/>
      <c r="I1361" s="2731"/>
      <c r="J1361" s="2731"/>
      <c r="K1361" s="2731"/>
      <c r="L1361" s="2731"/>
      <c r="M1361" s="2731"/>
      <c r="O1361" s="2730" t="s">
        <v>1938</v>
      </c>
      <c r="P1361" s="1550" t="str">
        <f>'Part VIII-Threshold Criteria'!P191</f>
        <v>Yes</v>
      </c>
      <c r="Q1361" s="1550"/>
    </row>
    <row r="1362" spans="1:31" ht="12" customHeight="1">
      <c r="A1362" s="2730" t="s">
        <v>731</v>
      </c>
      <c r="B1362" s="2731" t="s">
        <v>2572</v>
      </c>
      <c r="D1362" s="2731"/>
      <c r="E1362" s="2731"/>
      <c r="F1362" s="2731"/>
      <c r="G1362" s="2731"/>
      <c r="H1362" s="2731"/>
      <c r="I1362" s="2731"/>
      <c r="J1362" s="2729" t="s">
        <v>4372</v>
      </c>
      <c r="L1362" s="2731"/>
      <c r="M1362" s="2731"/>
      <c r="O1362" s="2730" t="s">
        <v>731</v>
      </c>
      <c r="P1362" s="1550" t="str">
        <f>'Part VIII-Threshold Criteria'!P192</f>
        <v>Yes</v>
      </c>
      <c r="Q1362" s="1550"/>
    </row>
    <row r="1363" spans="1:31" ht="12" customHeight="1">
      <c r="B1363" s="2684" t="s">
        <v>1694</v>
      </c>
      <c r="C1363" s="2684" t="s">
        <v>2573</v>
      </c>
      <c r="G1363" s="2731"/>
      <c r="H1363" s="2731"/>
      <c r="J1363" s="2731"/>
      <c r="K1363" s="2731"/>
      <c r="L1363" s="2731"/>
      <c r="M1363" s="2731"/>
      <c r="O1363" s="2759" t="s">
        <v>1694</v>
      </c>
      <c r="P1363" s="1550" t="str">
        <f>'Part VIII-Threshold Criteria'!P193</f>
        <v>Yes</v>
      </c>
      <c r="Q1363" s="1550"/>
    </row>
    <row r="1364" spans="1:31" ht="12" customHeight="1">
      <c r="A1364" s="2729"/>
      <c r="B1364" s="2684" t="s">
        <v>1695</v>
      </c>
      <c r="C1364" s="2684" t="s">
        <v>6922</v>
      </c>
      <c r="G1364" s="2731"/>
      <c r="H1364" s="2731"/>
      <c r="I1364" s="2731"/>
      <c r="J1364" s="2731"/>
      <c r="K1364" s="2731"/>
      <c r="L1364" s="2731"/>
      <c r="M1364" s="2731"/>
      <c r="O1364" s="2759" t="s">
        <v>1695</v>
      </c>
      <c r="P1364" s="1550" t="str">
        <f>'Part VIII-Threshold Criteria'!P194</f>
        <v>Yes</v>
      </c>
      <c r="Q1364" s="1550"/>
    </row>
    <row r="1365" spans="1:31" s="2607" customFormat="1" ht="21.75" customHeight="1">
      <c r="A1365" s="2730"/>
      <c r="B1365" s="2731" t="s">
        <v>1696</v>
      </c>
      <c r="C1365" s="2729" t="s">
        <v>3562</v>
      </c>
      <c r="D1365" s="2729"/>
      <c r="E1365" s="2729"/>
      <c r="F1365" s="2729"/>
      <c r="G1365" s="2729"/>
      <c r="H1365" s="2729"/>
      <c r="I1365" s="2729"/>
      <c r="J1365" s="2729"/>
      <c r="K1365" s="2729"/>
      <c r="L1365" s="2729"/>
      <c r="M1365" s="2729"/>
      <c r="N1365" s="2729"/>
      <c r="O1365" s="2730" t="s">
        <v>1696</v>
      </c>
      <c r="P1365" s="2740" t="str">
        <f>'Part VIII-Threshold Criteria'!P195</f>
        <v>Yes</v>
      </c>
      <c r="Q1365" s="2740"/>
    </row>
    <row r="1366" spans="1:31" ht="12" customHeight="1">
      <c r="A1366" s="2730"/>
      <c r="B1366" s="2684" t="s">
        <v>2305</v>
      </c>
      <c r="C1366" s="2684" t="s">
        <v>2575</v>
      </c>
      <c r="G1366" s="2731"/>
      <c r="H1366" s="2731"/>
      <c r="I1366" s="2731"/>
      <c r="J1366" s="2731"/>
      <c r="K1366" s="2731"/>
      <c r="L1366" s="2731"/>
      <c r="M1366" s="2731"/>
      <c r="O1366" s="2759" t="s">
        <v>2305</v>
      </c>
      <c r="P1366" s="1550" t="str">
        <f>'Part VIII-Threshold Criteria'!P196</f>
        <v>Yes</v>
      </c>
      <c r="Q1366" s="1550"/>
    </row>
    <row r="1367" spans="1:31" s="2607" customFormat="1" ht="21.75" customHeight="1">
      <c r="A1367" s="2730"/>
      <c r="B1367" s="2731" t="s">
        <v>1516</v>
      </c>
      <c r="C1367" s="2729" t="s">
        <v>2576</v>
      </c>
      <c r="D1367" s="2729"/>
      <c r="E1367" s="2729"/>
      <c r="F1367" s="2729"/>
      <c r="G1367" s="2729"/>
      <c r="H1367" s="2729"/>
      <c r="I1367" s="2729"/>
      <c r="J1367" s="2729"/>
      <c r="K1367" s="2729"/>
      <c r="L1367" s="2729"/>
      <c r="M1367" s="2729"/>
      <c r="N1367" s="2729"/>
      <c r="O1367" s="2730" t="s">
        <v>1516</v>
      </c>
      <c r="P1367" s="2740" t="str">
        <f>'Part VIII-Threshold Criteria'!P197</f>
        <v>N/Ap</v>
      </c>
      <c r="Q1367" s="2740"/>
    </row>
    <row r="1368" spans="1:31" s="2607" customFormat="1" ht="21.75" customHeight="1">
      <c r="A1368" s="2730"/>
      <c r="B1368" s="2731" t="s">
        <v>1517</v>
      </c>
      <c r="C1368" s="2729" t="s">
        <v>3674</v>
      </c>
      <c r="D1368" s="2729"/>
      <c r="E1368" s="2729"/>
      <c r="F1368" s="2729"/>
      <c r="G1368" s="2729"/>
      <c r="H1368" s="2729"/>
      <c r="I1368" s="2729"/>
      <c r="J1368" s="2729"/>
      <c r="K1368" s="2729"/>
      <c r="L1368" s="2729"/>
      <c r="M1368" s="2729"/>
      <c r="N1368" s="2729"/>
      <c r="O1368" s="2730" t="s">
        <v>1517</v>
      </c>
      <c r="P1368" s="2740" t="str">
        <f>'Part VIII-Threshold Criteria'!P198</f>
        <v>N/Ap</v>
      </c>
      <c r="Q1368" s="2740"/>
    </row>
    <row r="1369" spans="1:31" ht="21.75" customHeight="1">
      <c r="A1369" s="2730" t="s">
        <v>2065</v>
      </c>
      <c r="B1369" s="2729" t="s">
        <v>2577</v>
      </c>
      <c r="C1369" s="2729"/>
      <c r="D1369" s="2729"/>
      <c r="E1369" s="2729"/>
      <c r="F1369" s="2729"/>
      <c r="G1369" s="2729"/>
      <c r="H1369" s="2729"/>
      <c r="I1369" s="2729"/>
      <c r="J1369" s="2729"/>
      <c r="K1369" s="2729"/>
      <c r="L1369" s="2729"/>
      <c r="M1369" s="2729"/>
      <c r="N1369" s="2729"/>
      <c r="O1369" s="2730" t="s">
        <v>2065</v>
      </c>
      <c r="P1369" s="2740" t="str">
        <f>'Part VIII-Threshold Criteria'!P199</f>
        <v>Yes</v>
      </c>
      <c r="Q1369" s="2740"/>
    </row>
    <row r="1370" spans="1:31" ht="12" customHeight="1">
      <c r="A1370" s="2730" t="s">
        <v>1692</v>
      </c>
      <c r="B1370" s="2731" t="s">
        <v>2318</v>
      </c>
      <c r="D1370" s="2731"/>
      <c r="E1370" s="2731"/>
      <c r="F1370" s="2731"/>
      <c r="G1370" s="2731"/>
      <c r="H1370" s="2731"/>
      <c r="I1370" s="2731"/>
      <c r="J1370" s="2731"/>
      <c r="K1370" s="2731"/>
      <c r="L1370" s="2731"/>
      <c r="M1370" s="2731"/>
      <c r="O1370" s="2730" t="s">
        <v>1692</v>
      </c>
      <c r="P1370" s="1550" t="str">
        <f>'Part VIII-Threshold Criteria'!P200</f>
        <v>Yes</v>
      </c>
      <c r="Q1370" s="1550"/>
    </row>
    <row r="1371" spans="1:31" ht="12" customHeight="1">
      <c r="B1371" s="2684" t="s">
        <v>3571</v>
      </c>
      <c r="D1371" s="2684"/>
      <c r="E1371" s="2684"/>
      <c r="F1371" s="2684"/>
      <c r="G1371" s="2684"/>
      <c r="H1371" s="2684"/>
      <c r="I1371" s="1550"/>
      <c r="J1371" s="1550"/>
      <c r="K1371" s="1550"/>
      <c r="L1371" s="2251"/>
      <c r="M1371" s="2251"/>
      <c r="N1371" s="2251"/>
      <c r="O1371" s="2251"/>
      <c r="P1371" s="2251"/>
      <c r="Q1371" s="2251"/>
    </row>
    <row r="1372" spans="1:31" ht="11.4" customHeight="1">
      <c r="A1372" s="2729" t="str">
        <f>'Part VIII-Threshold Criteria'!A202</f>
        <v>The property is zoned for multi-family.  See zoning letter in tab 10 and site plan in tab 15.</v>
      </c>
      <c r="B1372" s="2729"/>
      <c r="C1372" s="2729"/>
      <c r="D1372" s="2729"/>
      <c r="E1372" s="2729"/>
      <c r="F1372" s="2729"/>
      <c r="G1372" s="2729"/>
      <c r="H1372" s="2729"/>
      <c r="I1372" s="2729"/>
      <c r="J1372" s="2729"/>
      <c r="K1372" s="2729"/>
      <c r="L1372" s="2729"/>
      <c r="M1372" s="2729"/>
      <c r="N1372" s="2729"/>
      <c r="O1372" s="2729"/>
      <c r="P1372" s="2729"/>
      <c r="Q1372" s="2729"/>
      <c r="U1372" s="2654"/>
      <c r="V1372" s="2654"/>
      <c r="W1372" s="2654"/>
      <c r="X1372" s="2654"/>
      <c r="Y1372" s="2654"/>
      <c r="Z1372" s="2654"/>
      <c r="AA1372" s="2654"/>
      <c r="AB1372" s="2654"/>
      <c r="AC1372" s="2654"/>
      <c r="AD1372" s="2654"/>
      <c r="AE1372" s="2654"/>
    </row>
    <row r="1373" spans="1:31" ht="12" customHeight="1">
      <c r="B1373" s="2729" t="s">
        <v>1820</v>
      </c>
      <c r="C1373" s="2729"/>
      <c r="D1373" s="2731"/>
      <c r="E1373" s="2731"/>
      <c r="F1373" s="2731"/>
      <c r="G1373" s="2731"/>
      <c r="H1373" s="2731"/>
      <c r="I1373" s="2731"/>
      <c r="J1373" s="2731"/>
      <c r="K1373" s="2731"/>
      <c r="L1373" s="2731"/>
      <c r="M1373" s="2731"/>
      <c r="N1373" s="2731"/>
      <c r="O1373" s="2731"/>
      <c r="P1373" s="2731"/>
      <c r="Q1373" s="2731"/>
    </row>
    <row r="1374" spans="1:31" ht="11.4" customHeight="1">
      <c r="A1374" s="2729"/>
      <c r="B1374" s="2729"/>
      <c r="C1374" s="2729"/>
      <c r="D1374" s="2729"/>
      <c r="E1374" s="2729"/>
      <c r="F1374" s="2729"/>
      <c r="G1374" s="2729"/>
      <c r="H1374" s="2729"/>
      <c r="I1374" s="2729"/>
      <c r="J1374" s="2729"/>
      <c r="K1374" s="2729"/>
      <c r="L1374" s="2729"/>
      <c r="M1374" s="2729"/>
      <c r="N1374" s="2729"/>
      <c r="O1374" s="2729"/>
      <c r="P1374" s="2729"/>
      <c r="Q1374" s="2729"/>
    </row>
    <row r="1375" spans="1:31" ht="3" customHeight="1">
      <c r="A1375" s="2251"/>
      <c r="B1375" s="1550"/>
      <c r="C1375" s="2731"/>
      <c r="D1375" s="2731"/>
      <c r="E1375" s="2731"/>
      <c r="F1375" s="2731"/>
      <c r="G1375" s="2731"/>
      <c r="H1375" s="2731"/>
      <c r="I1375" s="2731"/>
      <c r="J1375" s="2731"/>
      <c r="K1375" s="2731"/>
      <c r="L1375" s="2731"/>
      <c r="M1375" s="2731"/>
      <c r="N1375" s="2731"/>
      <c r="O1375" s="2731"/>
      <c r="P1375" s="2731"/>
      <c r="Q1375" s="2251"/>
    </row>
    <row r="1376" spans="1:31" ht="14.1" customHeight="1">
      <c r="A1376" s="2649" t="s">
        <v>357</v>
      </c>
      <c r="B1376" s="2649" t="s">
        <v>2586</v>
      </c>
      <c r="C1376" s="2649"/>
      <c r="D1376" s="2731"/>
      <c r="E1376" s="2692"/>
      <c r="F1376" s="2692"/>
      <c r="G1376" s="2731"/>
      <c r="J1376" s="2729"/>
      <c r="K1376" s="2729"/>
      <c r="L1376" s="2729"/>
      <c r="M1376" s="2729"/>
      <c r="N1376" s="2729"/>
      <c r="O1376" s="2730" t="s">
        <v>1821</v>
      </c>
      <c r="P1376" s="2654"/>
      <c r="Q1376" s="2654"/>
    </row>
    <row r="1377" spans="1:31" ht="22.5" customHeight="1">
      <c r="A1377" s="512" t="s">
        <v>4491</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73"/>
      <c r="B1378" s="2729" t="s">
        <v>95</v>
      </c>
      <c r="D1378" s="2729"/>
      <c r="E1378" s="2729"/>
      <c r="F1378" s="2729"/>
      <c r="G1378" s="2729"/>
      <c r="H1378" s="2749" t="s">
        <v>1694</v>
      </c>
      <c r="I1378" s="512" t="s">
        <v>148</v>
      </c>
      <c r="J1378" s="512" t="str">
        <f>'Part VIII-Threshold Criteria'!J208</f>
        <v>&lt;&lt;Enter Provider Name Here&gt;&gt;</v>
      </c>
      <c r="K1378" s="512"/>
      <c r="L1378" s="512"/>
      <c r="M1378" s="512"/>
      <c r="N1378" s="512"/>
      <c r="O1378" s="2749" t="s">
        <v>1694</v>
      </c>
      <c r="P1378" s="1550" t="str">
        <f>'Part VIII-Threshold Criteria'!P208</f>
        <v>No</v>
      </c>
      <c r="Q1378" s="1550"/>
    </row>
    <row r="1379" spans="1:31" ht="11.25" customHeight="1">
      <c r="A1379" s="2673"/>
      <c r="B1379" s="2684" t="s">
        <v>3571</v>
      </c>
      <c r="C1379" s="2607"/>
      <c r="D1379" s="2607"/>
      <c r="E1379" s="2607"/>
      <c r="F1379" s="2607"/>
      <c r="H1379" s="2749" t="s">
        <v>1695</v>
      </c>
      <c r="I1379" s="512" t="s">
        <v>1563</v>
      </c>
      <c r="J1379" s="512" t="str">
        <f>'Part VIII-Threshold Criteria'!J209</f>
        <v>Georgia Power</v>
      </c>
      <c r="K1379" s="512"/>
      <c r="L1379" s="512"/>
      <c r="M1379" s="512"/>
      <c r="N1379" s="512"/>
      <c r="O1379" s="2749" t="s">
        <v>1695</v>
      </c>
      <c r="P1379" s="1550" t="str">
        <f>'Part VIII-Threshold Criteria'!P209</f>
        <v>Yes</v>
      </c>
      <c r="Q1379" s="1550"/>
    </row>
    <row r="1380" spans="1:31" ht="11.4" customHeight="1">
      <c r="A1380" s="2729" t="str">
        <f>'Part VIII-Threshold Criteria'!A210</f>
        <v>See tab 11 for service availability letter from Georgia Power</v>
      </c>
      <c r="B1380" s="2729"/>
      <c r="C1380" s="2729"/>
      <c r="D1380" s="2729"/>
      <c r="E1380" s="2729"/>
      <c r="F1380" s="2729"/>
      <c r="G1380" s="2729"/>
      <c r="H1380" s="2729"/>
      <c r="I1380" s="2729"/>
      <c r="J1380" s="2729"/>
      <c r="K1380" s="2729"/>
      <c r="L1380" s="2729"/>
      <c r="M1380" s="2729"/>
      <c r="N1380" s="2729"/>
      <c r="O1380" s="2729"/>
      <c r="P1380" s="2729"/>
      <c r="Q1380" s="2729"/>
      <c r="U1380" s="2654"/>
      <c r="V1380" s="2654"/>
      <c r="W1380" s="2654"/>
      <c r="X1380" s="2654"/>
      <c r="Y1380" s="2654"/>
      <c r="Z1380" s="2654"/>
      <c r="AA1380" s="2654"/>
      <c r="AB1380" s="2654"/>
      <c r="AC1380" s="2654"/>
      <c r="AD1380" s="2654"/>
      <c r="AE1380" s="2654"/>
    </row>
    <row r="1381" spans="1:31" ht="11.25" customHeight="1">
      <c r="B1381" s="2729" t="s">
        <v>1820</v>
      </c>
      <c r="C1381" s="2729"/>
      <c r="D1381" s="2731"/>
      <c r="E1381" s="2731"/>
      <c r="F1381" s="2731"/>
      <c r="G1381" s="2731"/>
      <c r="H1381" s="2731"/>
      <c r="I1381" s="2731"/>
      <c r="J1381" s="2731"/>
      <c r="K1381" s="2731"/>
      <c r="L1381" s="2731"/>
      <c r="M1381" s="2731"/>
      <c r="N1381" s="2731"/>
      <c r="O1381" s="2731"/>
      <c r="P1381" s="2731"/>
      <c r="Q1381" s="2731"/>
    </row>
    <row r="1382" spans="1:31" ht="11.4" customHeight="1">
      <c r="A1382" s="2729"/>
      <c r="B1382" s="2729"/>
      <c r="C1382" s="2729"/>
      <c r="D1382" s="2729"/>
      <c r="E1382" s="2729"/>
      <c r="F1382" s="2729"/>
      <c r="G1382" s="2729"/>
      <c r="H1382" s="2729"/>
      <c r="I1382" s="2729"/>
      <c r="J1382" s="2729"/>
      <c r="K1382" s="2729"/>
      <c r="L1382" s="2729"/>
      <c r="M1382" s="2729"/>
      <c r="N1382" s="2729"/>
      <c r="O1382" s="2729"/>
      <c r="P1382" s="2729"/>
      <c r="Q1382" s="2729"/>
    </row>
    <row r="1383" spans="1:31" ht="4.3499999999999996" customHeight="1">
      <c r="B1383" s="1550"/>
      <c r="C1383" s="2731"/>
      <c r="D1383" s="2731"/>
      <c r="E1383" s="2731"/>
      <c r="F1383" s="2731"/>
      <c r="G1383" s="2731"/>
      <c r="H1383" s="2731"/>
      <c r="I1383" s="2731"/>
      <c r="J1383" s="2731"/>
      <c r="K1383" s="2731"/>
      <c r="L1383" s="2731"/>
      <c r="M1383" s="2731"/>
      <c r="Q1383" s="2251"/>
    </row>
    <row r="1384" spans="1:31" ht="14.1" customHeight="1">
      <c r="A1384" s="2649" t="s">
        <v>358</v>
      </c>
      <c r="B1384" s="2408" t="s">
        <v>2587</v>
      </c>
      <c r="C1384" s="2408"/>
      <c r="D1384" s="512"/>
      <c r="E1384" s="512"/>
      <c r="F1384" s="512"/>
      <c r="G1384" s="2731"/>
      <c r="H1384" s="2731"/>
      <c r="I1384" s="2731"/>
      <c r="J1384" s="2731"/>
      <c r="K1384" s="2731"/>
      <c r="L1384" s="2731"/>
      <c r="M1384" s="2731"/>
      <c r="O1384" s="2730" t="s">
        <v>1821</v>
      </c>
      <c r="P1384" s="2654"/>
      <c r="Q1384" s="2654"/>
    </row>
    <row r="1385" spans="1:31" ht="11.4" customHeight="1">
      <c r="A1385" s="2730" t="s">
        <v>1936</v>
      </c>
      <c r="B1385" s="2729" t="s">
        <v>1803</v>
      </c>
      <c r="C1385" s="2729"/>
      <c r="D1385" s="2729"/>
      <c r="E1385" s="2729"/>
      <c r="F1385" s="2729"/>
      <c r="G1385" s="2729"/>
      <c r="H1385" s="2749" t="s">
        <v>1694</v>
      </c>
      <c r="I1385" s="512" t="s">
        <v>617</v>
      </c>
      <c r="J1385" s="512" t="str">
        <f>'Part VIII-Threshold Criteria'!J215</f>
        <v>Augusta Utilities</v>
      </c>
      <c r="K1385" s="512"/>
      <c r="L1385" s="512"/>
      <c r="M1385" s="512"/>
      <c r="N1385" s="512"/>
      <c r="O1385" s="2730" t="s">
        <v>1455</v>
      </c>
      <c r="P1385" s="1550" t="str">
        <f>'Part VIII-Threshold Criteria'!P215</f>
        <v>Yes</v>
      </c>
      <c r="Q1385" s="1550"/>
    </row>
    <row r="1386" spans="1:31" ht="11.4" customHeight="1">
      <c r="A1386" s="2408"/>
      <c r="B1386" s="2729"/>
      <c r="C1386" s="2729"/>
      <c r="D1386" s="2729"/>
      <c r="E1386" s="2729"/>
      <c r="F1386" s="2729"/>
      <c r="G1386" s="2729"/>
      <c r="H1386" s="2749" t="s">
        <v>1695</v>
      </c>
      <c r="I1386" s="512" t="s">
        <v>113</v>
      </c>
      <c r="J1386" s="512" t="str">
        <f>'Part VIII-Threshold Criteria'!J216</f>
        <v>Augusta Utilities</v>
      </c>
      <c r="K1386" s="512"/>
      <c r="L1386" s="512"/>
      <c r="M1386" s="512"/>
      <c r="N1386" s="512"/>
      <c r="O1386" s="2730" t="s">
        <v>1695</v>
      </c>
      <c r="P1386" s="1550" t="str">
        <f>'Part VIII-Threshold Criteria'!P216</f>
        <v>Yes</v>
      </c>
      <c r="Q1386" s="1550"/>
    </row>
    <row r="1387" spans="1:31" ht="12" customHeight="1">
      <c r="A1387" s="2730" t="s">
        <v>1938</v>
      </c>
      <c r="B1387" s="512" t="s">
        <v>3679</v>
      </c>
      <c r="D1387" s="512"/>
      <c r="E1387" s="512"/>
      <c r="F1387" s="512"/>
      <c r="G1387" s="512"/>
      <c r="H1387" s="512"/>
      <c r="I1387" s="512"/>
      <c r="J1387" s="512"/>
      <c r="K1387" s="2408"/>
      <c r="L1387" s="512"/>
      <c r="M1387" s="512"/>
      <c r="O1387" s="2749" t="s">
        <v>1938</v>
      </c>
      <c r="P1387" s="1550" t="str">
        <f>'Part VIII-Threshold Criteria'!P217</f>
        <v>Yes</v>
      </c>
      <c r="Q1387" s="1550"/>
    </row>
    <row r="1388" spans="1:31" ht="12" customHeight="1">
      <c r="A1388" s="2749" t="s">
        <v>731</v>
      </c>
      <c r="B1388" s="512" t="s">
        <v>3680</v>
      </c>
      <c r="D1388" s="512"/>
      <c r="E1388" s="512"/>
      <c r="F1388" s="512"/>
      <c r="G1388" s="512"/>
      <c r="H1388" s="512"/>
      <c r="I1388" s="512"/>
      <c r="J1388" s="512"/>
      <c r="K1388" s="2408"/>
      <c r="L1388" s="512"/>
      <c r="M1388" s="512"/>
      <c r="O1388" s="2749" t="s">
        <v>731</v>
      </c>
      <c r="P1388" s="1550">
        <f>'Part VIII-Threshold Criteria'!P218</f>
        <v>0</v>
      </c>
      <c r="Q1388" s="1550"/>
    </row>
    <row r="1389" spans="1:31" ht="11.25" customHeight="1">
      <c r="B1389" s="2684" t="s">
        <v>3571</v>
      </c>
      <c r="D1389" s="2684"/>
      <c r="E1389" s="2684"/>
      <c r="F1389" s="2684"/>
      <c r="G1389" s="2684"/>
      <c r="H1389" s="2684"/>
      <c r="I1389" s="1550"/>
      <c r="J1389" s="1550"/>
      <c r="K1389" s="1550"/>
      <c r="L1389" s="2251"/>
      <c r="M1389" s="2251"/>
      <c r="N1389" s="2251"/>
      <c r="O1389" s="2251"/>
      <c r="P1389" s="2251"/>
      <c r="Q1389" s="2251"/>
    </row>
    <row r="1390" spans="1:31" ht="11.4" customHeight="1">
      <c r="A1390" s="2729" t="str">
        <f>'Part VIII-Threshold Criteria'!A220</f>
        <v>See tab 12 for service availability letter from Augusta Utilities.</v>
      </c>
      <c r="B1390" s="2729"/>
      <c r="C1390" s="2729"/>
      <c r="D1390" s="2729"/>
      <c r="E1390" s="2729"/>
      <c r="F1390" s="2729"/>
      <c r="G1390" s="2729"/>
      <c r="H1390" s="2729"/>
      <c r="I1390" s="2729"/>
      <c r="J1390" s="2729"/>
      <c r="K1390" s="2729"/>
      <c r="L1390" s="2729"/>
      <c r="M1390" s="2729"/>
      <c r="N1390" s="2729"/>
      <c r="O1390" s="2729"/>
      <c r="P1390" s="2729"/>
      <c r="Q1390" s="2729"/>
      <c r="U1390" s="2654"/>
      <c r="V1390" s="2654"/>
      <c r="W1390" s="2654"/>
      <c r="X1390" s="2654"/>
      <c r="Y1390" s="2654"/>
      <c r="Z1390" s="2654"/>
      <c r="AA1390" s="2654"/>
      <c r="AB1390" s="2654"/>
      <c r="AC1390" s="2654"/>
      <c r="AD1390" s="2654"/>
      <c r="AE1390" s="2654"/>
    </row>
    <row r="1391" spans="1:31" ht="11.25" customHeight="1">
      <c r="B1391" s="2729" t="s">
        <v>1820</v>
      </c>
      <c r="C1391" s="2729"/>
      <c r="D1391" s="2731"/>
      <c r="E1391" s="2731"/>
      <c r="F1391" s="2731"/>
      <c r="G1391" s="2731"/>
      <c r="H1391" s="2731"/>
      <c r="I1391" s="2731"/>
      <c r="J1391" s="2731"/>
      <c r="K1391" s="2731"/>
      <c r="L1391" s="2731"/>
      <c r="M1391" s="2731"/>
      <c r="N1391" s="2731"/>
      <c r="O1391" s="2731"/>
      <c r="P1391" s="2731"/>
      <c r="Q1391" s="2731"/>
    </row>
    <row r="1392" spans="1:31" ht="11.4" customHeight="1">
      <c r="A1392" s="2729"/>
      <c r="B1392" s="2729"/>
      <c r="C1392" s="2729"/>
      <c r="D1392" s="2729"/>
      <c r="E1392" s="2729"/>
      <c r="F1392" s="2729"/>
      <c r="G1392" s="2729"/>
      <c r="H1392" s="2729"/>
      <c r="I1392" s="2729"/>
      <c r="J1392" s="2729"/>
      <c r="K1392" s="2729"/>
      <c r="L1392" s="2729"/>
      <c r="M1392" s="2729"/>
      <c r="N1392" s="2729"/>
      <c r="O1392" s="2729"/>
      <c r="P1392" s="2729"/>
      <c r="Q1392" s="2729"/>
    </row>
    <row r="1393" spans="1:18" ht="3" customHeight="1">
      <c r="A1393" s="2251"/>
      <c r="B1393" s="1550"/>
      <c r="C1393" s="2731"/>
      <c r="D1393" s="2731"/>
      <c r="E1393" s="2731"/>
      <c r="F1393" s="2731"/>
      <c r="G1393" s="2731"/>
      <c r="H1393" s="2731"/>
      <c r="I1393" s="2731"/>
      <c r="J1393" s="2731"/>
      <c r="K1393" s="2731"/>
      <c r="L1393" s="2731"/>
      <c r="M1393" s="2731"/>
      <c r="Q1393" s="2251"/>
    </row>
    <row r="1394" spans="1:18" ht="14.1" customHeight="1">
      <c r="A1394" s="2649" t="s">
        <v>1683</v>
      </c>
      <c r="B1394" s="2649" t="s">
        <v>2588</v>
      </c>
      <c r="C1394" s="2684"/>
      <c r="D1394" s="2731"/>
      <c r="E1394" s="2731"/>
      <c r="F1394" s="2731"/>
      <c r="G1394" s="2731"/>
      <c r="H1394" s="2731"/>
      <c r="I1394" s="2731"/>
      <c r="J1394" s="2731"/>
      <c r="K1394" s="2731"/>
      <c r="L1394" s="2731"/>
      <c r="M1394" s="2731"/>
      <c r="O1394" s="2730" t="s">
        <v>1821</v>
      </c>
      <c r="P1394" s="2654"/>
      <c r="Q1394" s="2654"/>
    </row>
    <row r="1395" spans="1:18" ht="11.4" customHeight="1">
      <c r="B1395" s="2618" t="s">
        <v>1167</v>
      </c>
      <c r="N1395" s="2613"/>
      <c r="P1395" s="1550" t="str">
        <f>'Part VIII-Threshold Criteria'!P225</f>
        <v>No</v>
      </c>
      <c r="Q1395" s="1550"/>
    </row>
    <row r="1396" spans="1:18" ht="12" customHeight="1">
      <c r="A1396" s="2749" t="s">
        <v>1936</v>
      </c>
      <c r="B1396" s="512" t="s">
        <v>6987</v>
      </c>
      <c r="D1396" s="2408"/>
      <c r="E1396" s="2408"/>
      <c r="F1396" s="2408"/>
      <c r="G1396" s="2408"/>
      <c r="H1396" s="2408"/>
      <c r="I1396" s="2408"/>
      <c r="J1396" s="2408"/>
      <c r="K1396" s="2408"/>
      <c r="L1396" s="2408"/>
      <c r="M1396" s="2408"/>
      <c r="O1396" s="2749" t="s">
        <v>1936</v>
      </c>
      <c r="P1396" s="1550" t="str">
        <f>'Part VIII-Threshold Criteria'!P226</f>
        <v>Agree</v>
      </c>
      <c r="Q1396" s="1550"/>
    </row>
    <row r="1397" spans="1:18" ht="11.4" customHeight="1">
      <c r="A1397" s="2749"/>
      <c r="B1397" s="2684" t="s">
        <v>1694</v>
      </c>
      <c r="C1397" s="512" t="s">
        <v>1884</v>
      </c>
      <c r="E1397" s="512"/>
      <c r="F1397" s="512"/>
      <c r="G1397" s="512"/>
      <c r="H1397" s="512"/>
      <c r="I1397" s="2408"/>
      <c r="J1397" s="2749" t="s">
        <v>1455</v>
      </c>
      <c r="K1397" s="512" t="str">
        <f>'Part VIII-Threshold Criteria'!K227</f>
        <v>Building</v>
      </c>
      <c r="L1397" s="512"/>
      <c r="Q1397" s="1550"/>
    </row>
    <row r="1398" spans="1:18" ht="11.4" customHeight="1">
      <c r="A1398" s="2749"/>
      <c r="B1398" s="2684" t="s">
        <v>1695</v>
      </c>
      <c r="C1398" s="2684" t="s">
        <v>4251</v>
      </c>
      <c r="E1398" s="2684"/>
      <c r="F1398" s="2684"/>
      <c r="G1398" s="2684"/>
      <c r="H1398" s="2684"/>
      <c r="I1398" s="2408"/>
      <c r="J1398" s="2749" t="s">
        <v>1456</v>
      </c>
      <c r="K1398" s="512" t="str">
        <f>'Part VIII-Threshold Criteria'!K228</f>
        <v>Gazebo</v>
      </c>
      <c r="L1398" s="512"/>
      <c r="M1398" s="2531" t="str">
        <f>'Part VIII-Threshold Criteria'!M228</f>
        <v>If "Other", explain here</v>
      </c>
      <c r="N1398" s="2531"/>
      <c r="O1398" s="2531"/>
      <c r="P1398" s="2531"/>
      <c r="Q1398" s="1550"/>
    </row>
    <row r="1399" spans="1:18" ht="11.4" customHeight="1">
      <c r="A1399" s="2749"/>
      <c r="B1399" s="2684" t="s">
        <v>1696</v>
      </c>
      <c r="C1399" s="2684" t="s">
        <v>4254</v>
      </c>
      <c r="E1399" s="2684"/>
      <c r="F1399" s="2684"/>
      <c r="G1399" s="2684"/>
      <c r="H1399" s="2684"/>
      <c r="I1399" s="2408"/>
      <c r="J1399" s="2749" t="s">
        <v>1457</v>
      </c>
      <c r="K1399" s="512" t="str">
        <f>'Part VIII-Threshold Criteria'!K229</f>
        <v>Yes - W&amp;D hookups installed in each unit</v>
      </c>
      <c r="L1399" s="512"/>
      <c r="M1399" s="512"/>
      <c r="N1399" s="512"/>
      <c r="O1399" s="512"/>
      <c r="Q1399" s="1550"/>
      <c r="R1399" s="2408"/>
    </row>
    <row r="1400" spans="1:18" ht="11.4" customHeight="1">
      <c r="A1400" s="2749"/>
      <c r="B1400" s="2684" t="s">
        <v>2305</v>
      </c>
      <c r="C1400" s="2684" t="s">
        <v>4253</v>
      </c>
      <c r="E1400" s="2684"/>
      <c r="F1400" s="2684"/>
      <c r="G1400" s="2684"/>
      <c r="H1400" s="2684"/>
      <c r="I1400" s="2408"/>
      <c r="J1400" s="2749" t="s">
        <v>4252</v>
      </c>
      <c r="K1400" s="512" t="str">
        <f>'Part VIII-Threshold Criteria'!K230</f>
        <v>On-site laundry</v>
      </c>
      <c r="L1400" s="512"/>
      <c r="M1400" s="512"/>
      <c r="N1400" s="512"/>
      <c r="Q1400" s="1550"/>
      <c r="R1400" s="2408"/>
    </row>
    <row r="1401" spans="1:18" ht="11.25" customHeight="1">
      <c r="A1401" s="2749" t="s">
        <v>1938</v>
      </c>
      <c r="B1401" s="512" t="s">
        <v>6923</v>
      </c>
      <c r="D1401" s="512"/>
      <c r="E1401" s="512"/>
      <c r="F1401" s="512"/>
      <c r="G1401" s="512"/>
      <c r="H1401" s="512"/>
      <c r="I1401" s="512"/>
      <c r="J1401" s="512"/>
      <c r="K1401" s="2408"/>
      <c r="L1401" s="2408"/>
      <c r="M1401" s="2408"/>
      <c r="N1401" s="2408"/>
      <c r="O1401" s="2749" t="s">
        <v>1938</v>
      </c>
      <c r="P1401" s="1550" t="str">
        <f>'Part VIII-Threshold Criteria'!P231</f>
        <v>Agree</v>
      </c>
      <c r="Q1401" s="1550"/>
    </row>
    <row r="1402" spans="1:18" ht="11.1" customHeight="1">
      <c r="A1402" s="2749"/>
      <c r="B1402" s="512" t="s">
        <v>6865</v>
      </c>
      <c r="D1402" s="512"/>
      <c r="E1402" s="512"/>
      <c r="F1402" s="512"/>
      <c r="G1402" s="512"/>
      <c r="H1402" s="512"/>
      <c r="I1402" s="512"/>
      <c r="J1402" s="512"/>
      <c r="K1402" s="2408"/>
      <c r="L1402" s="2408"/>
      <c r="M1402" s="2408"/>
      <c r="N1402" s="2749" t="s">
        <v>3455</v>
      </c>
      <c r="O1402" s="2761">
        <f>'Part VI-Revenues &amp; Expenses'!$P$67</f>
        <v>200</v>
      </c>
      <c r="P1402" s="2618" t="s">
        <v>4410</v>
      </c>
      <c r="Q1402" s="2618"/>
    </row>
    <row r="1403" spans="1:18" ht="11.1" customHeight="1">
      <c r="A1403" s="2749"/>
      <c r="B1403" s="2684" t="s">
        <v>1694</v>
      </c>
      <c r="C1403" s="512" t="s">
        <v>4411</v>
      </c>
      <c r="D1403" s="512"/>
      <c r="E1403" s="512"/>
      <c r="F1403" s="512"/>
      <c r="H1403" s="2749" t="s">
        <v>4412</v>
      </c>
      <c r="I1403" s="512" t="s">
        <v>6988</v>
      </c>
      <c r="M1403" s="2408"/>
      <c r="N1403" s="2408"/>
      <c r="O1403" s="2602"/>
      <c r="P1403" s="2663" t="s">
        <v>755</v>
      </c>
      <c r="Q1403" s="2663" t="s">
        <v>4409</v>
      </c>
    </row>
    <row r="1404" spans="1:18" s="2762" customFormat="1" ht="11.4" customHeight="1">
      <c r="A1404" s="1550"/>
      <c r="B1404" s="2749" t="s">
        <v>2066</v>
      </c>
      <c r="C1404" s="2729" t="str">
        <f>'Part VIII-Threshold Criteria'!C234</f>
        <v>Equipped playground</v>
      </c>
      <c r="D1404" s="2729"/>
      <c r="E1404" s="2729"/>
      <c r="F1404" s="2729"/>
      <c r="G1404" s="2729"/>
      <c r="H1404" s="2749" t="s">
        <v>2066</v>
      </c>
      <c r="I1404" s="2559" t="str">
        <f>'Part VIII-Threshold Criteria'!I234</f>
        <v xml:space="preserve">  </v>
      </c>
      <c r="J1404" s="2559"/>
      <c r="K1404" s="2559"/>
      <c r="L1404" s="2559"/>
      <c r="M1404" s="2559"/>
      <c r="N1404" s="2559"/>
      <c r="O1404" s="2559"/>
      <c r="P1404" s="1550"/>
      <c r="Q1404" s="1550"/>
    </row>
    <row r="1405" spans="1:18" s="2762" customFormat="1" ht="11.4" customHeight="1">
      <c r="A1405" s="1550"/>
      <c r="B1405" s="2749" t="s">
        <v>2067</v>
      </c>
      <c r="C1405" s="2729" t="str">
        <f>'Part VIII-Threshold Criteria'!C235</f>
        <v xml:space="preserve">Covered pavilion with picnic/BBQ facilities </v>
      </c>
      <c r="D1405" s="2729"/>
      <c r="E1405" s="2729"/>
      <c r="F1405" s="2729"/>
      <c r="G1405" s="2729"/>
      <c r="H1405" s="2749" t="s">
        <v>2067</v>
      </c>
      <c r="I1405" s="2559">
        <f>'Part VIII-Threshold Criteria'!I235</f>
        <v>0</v>
      </c>
      <c r="J1405" s="2559"/>
      <c r="K1405" s="2559"/>
      <c r="L1405" s="2559"/>
      <c r="M1405" s="2559"/>
      <c r="N1405" s="2559"/>
      <c r="O1405" s="2559"/>
      <c r="P1405" s="1550"/>
      <c r="Q1405" s="1550"/>
    </row>
    <row r="1406" spans="1:18" s="2762" customFormat="1" ht="11.4" customHeight="1">
      <c r="A1406" s="1550"/>
      <c r="B1406" s="2749" t="s">
        <v>1691</v>
      </c>
      <c r="C1406" s="2729" t="str">
        <f>'Part VIII-Threshold Criteria'!C236</f>
        <v xml:space="preserve">Equipped Computer Center and WiFi </v>
      </c>
      <c r="D1406" s="2729"/>
      <c r="E1406" s="2729"/>
      <c r="F1406" s="2729"/>
      <c r="G1406" s="2729"/>
      <c r="H1406" s="2749" t="s">
        <v>1691</v>
      </c>
      <c r="I1406" s="2559" t="str">
        <f>'Part VIII-Threshold Criteria'!I236</f>
        <v xml:space="preserve">  </v>
      </c>
      <c r="J1406" s="2559"/>
      <c r="K1406" s="2559"/>
      <c r="L1406" s="2559"/>
      <c r="M1406" s="2559"/>
      <c r="N1406" s="2559"/>
      <c r="O1406" s="2559"/>
      <c r="P1406" s="1550"/>
      <c r="Q1406" s="1550"/>
    </row>
    <row r="1407" spans="1:18" s="2762" customFormat="1" ht="11.4" customHeight="1">
      <c r="A1407" s="1550"/>
      <c r="B1407" s="2749" t="s">
        <v>4420</v>
      </c>
      <c r="C1407" s="2729" t="str">
        <f>'Part VIII-Threshold Criteria'!C237</f>
        <v>Furnished Exercise /Fitness Center</v>
      </c>
      <c r="D1407" s="2729"/>
      <c r="E1407" s="2729"/>
      <c r="F1407" s="2729"/>
      <c r="G1407" s="2729"/>
      <c r="H1407" s="2749" t="s">
        <v>4420</v>
      </c>
      <c r="I1407" s="2559">
        <f>'Part VIII-Threshold Criteria'!I237</f>
        <v>0</v>
      </c>
      <c r="J1407" s="2559"/>
      <c r="K1407" s="2559"/>
      <c r="L1407" s="2559"/>
      <c r="M1407" s="2559"/>
      <c r="N1407" s="2559"/>
      <c r="O1407" s="2559"/>
      <c r="P1407" s="1550"/>
      <c r="Q1407" s="1550"/>
    </row>
    <row r="1408" spans="1:18" ht="12" customHeight="1">
      <c r="A1408" s="2749" t="s">
        <v>731</v>
      </c>
      <c r="B1408" s="512" t="s">
        <v>1354</v>
      </c>
      <c r="C1408" s="512"/>
      <c r="E1408" s="512"/>
      <c r="F1408" s="512"/>
      <c r="G1408" s="512"/>
      <c r="H1408" s="512"/>
      <c r="I1408" s="512"/>
      <c r="J1408" s="512"/>
      <c r="K1408" s="2408"/>
      <c r="L1408" s="512"/>
      <c r="M1408" s="512"/>
      <c r="O1408" s="2749" t="s">
        <v>731</v>
      </c>
      <c r="P1408" s="1550" t="str">
        <f>'Part VIII-Threshold Criteria'!P238</f>
        <v>Agree</v>
      </c>
      <c r="Q1408" s="1550"/>
    </row>
    <row r="1409" spans="1:31" ht="11.4" customHeight="1">
      <c r="A1409" s="2749"/>
      <c r="B1409" s="2684" t="s">
        <v>1694</v>
      </c>
      <c r="C1409" s="512" t="s">
        <v>3348</v>
      </c>
      <c r="E1409" s="512"/>
      <c r="F1409" s="512"/>
      <c r="L1409" s="2408"/>
      <c r="M1409" s="2408"/>
      <c r="O1409" s="2749" t="s">
        <v>1694</v>
      </c>
      <c r="P1409" s="1550" t="str">
        <f>'Part VIII-Threshold Criteria'!P239</f>
        <v>Yes</v>
      </c>
      <c r="Q1409" s="1550"/>
    </row>
    <row r="1410" spans="1:31" ht="11.4" customHeight="1">
      <c r="B1410" s="2684" t="s">
        <v>1695</v>
      </c>
      <c r="C1410" s="2684" t="s">
        <v>2714</v>
      </c>
      <c r="E1410" s="2684"/>
      <c r="F1410" s="2684"/>
      <c r="L1410" s="2408"/>
      <c r="M1410" s="2408"/>
      <c r="O1410" s="2749" t="s">
        <v>1695</v>
      </c>
      <c r="P1410" s="1550" t="str">
        <f>'Part VIII-Threshold Criteria'!P240</f>
        <v>Yes</v>
      </c>
      <c r="Q1410" s="1550"/>
    </row>
    <row r="1411" spans="1:31" ht="11.4" customHeight="1">
      <c r="B1411" s="2684" t="s">
        <v>1696</v>
      </c>
      <c r="C1411" s="2684" t="s">
        <v>4570</v>
      </c>
      <c r="E1411" s="2684"/>
      <c r="F1411" s="2684"/>
      <c r="G1411" s="2684"/>
      <c r="H1411" s="2684"/>
      <c r="I1411" s="2408"/>
      <c r="J1411" s="2408"/>
      <c r="K1411" s="2408"/>
      <c r="L1411" s="2408"/>
      <c r="M1411" s="2408"/>
      <c r="O1411" s="2749" t="s">
        <v>1696</v>
      </c>
      <c r="P1411" s="1550" t="str">
        <f>'Part VIII-Threshold Criteria'!P241</f>
        <v>Yes</v>
      </c>
      <c r="Q1411" s="1550"/>
    </row>
    <row r="1412" spans="1:31" ht="11.4" customHeight="1">
      <c r="A1412" s="2749"/>
      <c r="B1412" s="2684" t="s">
        <v>2305</v>
      </c>
      <c r="C1412" s="2684" t="s">
        <v>2715</v>
      </c>
      <c r="E1412" s="2684"/>
      <c r="F1412" s="2684"/>
      <c r="G1412" s="2684"/>
      <c r="H1412" s="2684"/>
      <c r="I1412" s="2408"/>
      <c r="J1412" s="2408"/>
      <c r="K1412" s="2408"/>
      <c r="L1412" s="2408"/>
      <c r="M1412" s="2408"/>
      <c r="O1412" s="2749" t="s">
        <v>2305</v>
      </c>
      <c r="P1412" s="1550" t="str">
        <f>'Part VIII-Threshold Criteria'!P242</f>
        <v>Yes</v>
      </c>
      <c r="Q1412" s="1550"/>
    </row>
    <row r="1413" spans="1:31" ht="11.4" customHeight="1">
      <c r="A1413" s="2749"/>
      <c r="B1413" s="2684" t="s">
        <v>1516</v>
      </c>
      <c r="C1413" s="2684" t="s">
        <v>2716</v>
      </c>
      <c r="E1413" s="2684"/>
      <c r="F1413" s="2684"/>
      <c r="G1413" s="2684"/>
      <c r="H1413" s="2684"/>
      <c r="I1413" s="2408"/>
      <c r="J1413" s="2408"/>
      <c r="K1413" s="2408"/>
      <c r="L1413" s="2408"/>
      <c r="M1413" s="2408"/>
      <c r="O1413" s="2749" t="s">
        <v>1516</v>
      </c>
      <c r="P1413" s="1550" t="str">
        <f>'Part VIII-Threshold Criteria'!P243</f>
        <v>Yes</v>
      </c>
      <c r="Q1413" s="1550"/>
    </row>
    <row r="1414" spans="1:31" ht="11.4" customHeight="1">
      <c r="A1414" s="2749"/>
      <c r="B1414" s="2684" t="s">
        <v>1517</v>
      </c>
      <c r="C1414" s="512" t="s">
        <v>6866</v>
      </c>
      <c r="E1414" s="512"/>
      <c r="F1414" s="512"/>
      <c r="G1414" s="512"/>
      <c r="H1414" s="512"/>
      <c r="I1414" s="2408"/>
      <c r="J1414" s="2408"/>
      <c r="K1414" s="2408"/>
      <c r="L1414" s="2408"/>
      <c r="M1414" s="2408"/>
      <c r="O1414" s="2749" t="s">
        <v>2706</v>
      </c>
      <c r="P1414" s="1550" t="str">
        <f>'Part VIII-Threshold Criteria'!P244</f>
        <v>Yes</v>
      </c>
      <c r="Q1414" s="1550"/>
    </row>
    <row r="1415" spans="1:31" ht="11.4" customHeight="1">
      <c r="A1415" s="2749"/>
      <c r="B1415" s="2749"/>
      <c r="C1415" s="512" t="s">
        <v>1458</v>
      </c>
      <c r="E1415" s="512"/>
      <c r="F1415" s="512"/>
      <c r="G1415" s="512"/>
      <c r="H1415" s="512"/>
      <c r="I1415" s="2408"/>
      <c r="J1415" s="2408"/>
      <c r="K1415" s="2408"/>
      <c r="L1415" s="2408"/>
      <c r="M1415" s="2408"/>
      <c r="O1415" s="2749" t="s">
        <v>2707</v>
      </c>
      <c r="P1415" s="1550" t="str">
        <f>'Part VIII-Threshold Criteria'!P245</f>
        <v>No</v>
      </c>
      <c r="Q1415" s="1550"/>
    </row>
    <row r="1416" spans="1:31" ht="11.25" customHeight="1">
      <c r="A1416" s="2749" t="s">
        <v>2065</v>
      </c>
      <c r="B1416" s="512" t="s">
        <v>4569</v>
      </c>
      <c r="C1416" s="512"/>
      <c r="E1416" s="512"/>
      <c r="F1416" s="512"/>
      <c r="G1416" s="512"/>
      <c r="H1416" s="512"/>
      <c r="I1416" s="512"/>
      <c r="J1416" s="512"/>
      <c r="K1416" s="2408"/>
      <c r="M1416" s="2749"/>
      <c r="N1416" s="2684" t="str">
        <f>'Part I-Project Information'!$H$82</f>
        <v>Family</v>
      </c>
      <c r="O1416" s="2749" t="s">
        <v>2065</v>
      </c>
      <c r="P1416" s="1550" t="str">
        <f>'Part VIII-Threshold Criteria'!P246</f>
        <v>N/A</v>
      </c>
      <c r="Q1416" s="1550"/>
    </row>
    <row r="1417" spans="1:31" ht="11.4" customHeight="1">
      <c r="B1417" s="2684" t="s">
        <v>1694</v>
      </c>
      <c r="C1417" s="512" t="s">
        <v>1229</v>
      </c>
      <c r="E1417" s="2408"/>
      <c r="F1417" s="2408"/>
      <c r="G1417" s="512"/>
      <c r="H1417" s="2684"/>
      <c r="I1417" s="2408"/>
      <c r="J1417" s="2684"/>
      <c r="K1417" s="2408"/>
      <c r="L1417" s="2684"/>
      <c r="M1417" s="2684"/>
      <c r="O1417" s="2749" t="s">
        <v>1694</v>
      </c>
      <c r="P1417" s="1550">
        <f>'Part VIII-Threshold Criteria'!P247</f>
        <v>0</v>
      </c>
      <c r="Q1417" s="1550"/>
    </row>
    <row r="1418" spans="1:31" ht="11.4" customHeight="1">
      <c r="B1418" s="2684" t="s">
        <v>1695</v>
      </c>
      <c r="C1418" s="512" t="s">
        <v>4267</v>
      </c>
      <c r="E1418" s="2408"/>
      <c r="F1418" s="2408"/>
      <c r="G1418" s="2684"/>
      <c r="H1418" s="2684"/>
      <c r="I1418" s="2408"/>
      <c r="J1418" s="2684"/>
      <c r="K1418" s="2408"/>
      <c r="L1418" s="2684"/>
      <c r="M1418" s="2684"/>
      <c r="O1418" s="2749" t="s">
        <v>1695</v>
      </c>
      <c r="P1418" s="1550">
        <f>'Part VIII-Threshold Criteria'!P248</f>
        <v>0</v>
      </c>
      <c r="Q1418" s="1550"/>
    </row>
    <row r="1419" spans="1:31" ht="11.25" customHeight="1">
      <c r="B1419" s="2684" t="s">
        <v>3571</v>
      </c>
      <c r="D1419" s="2684"/>
      <c r="E1419" s="2684"/>
      <c r="F1419" s="2684"/>
      <c r="G1419" s="2684"/>
      <c r="H1419" s="2684"/>
      <c r="I1419" s="1550"/>
      <c r="J1419" s="1550"/>
      <c r="K1419" s="1550"/>
      <c r="L1419" s="2251"/>
      <c r="M1419" s="2251"/>
      <c r="N1419" s="2251"/>
      <c r="O1419" s="2251"/>
      <c r="P1419" s="2251"/>
      <c r="Q1419" s="2251"/>
    </row>
    <row r="1420" spans="1:31" ht="11.4" customHeight="1">
      <c r="A1420" s="2729" t="str">
        <f>'Part VIII-Threshold Criteria'!A250</f>
        <v>We agree to all of the required amenities selected above.</v>
      </c>
      <c r="B1420" s="2729"/>
      <c r="C1420" s="2729"/>
      <c r="D1420" s="2729"/>
      <c r="E1420" s="2729"/>
      <c r="F1420" s="2729"/>
      <c r="G1420" s="2729"/>
      <c r="H1420" s="2729"/>
      <c r="I1420" s="2729"/>
      <c r="J1420" s="2729"/>
      <c r="K1420" s="2729"/>
      <c r="L1420" s="2729"/>
      <c r="M1420" s="2729"/>
      <c r="N1420" s="2729"/>
      <c r="O1420" s="2729"/>
      <c r="P1420" s="2729"/>
      <c r="Q1420" s="2729"/>
      <c r="R1420" s="2497" t="s">
        <v>1228</v>
      </c>
      <c r="S1420" s="2497"/>
      <c r="U1420" s="2654"/>
      <c r="V1420" s="2654"/>
      <c r="W1420" s="2654"/>
      <c r="X1420" s="2654"/>
      <c r="Y1420" s="2654"/>
      <c r="Z1420" s="2654"/>
      <c r="AA1420" s="2654"/>
      <c r="AB1420" s="2654"/>
      <c r="AC1420" s="2654"/>
      <c r="AD1420" s="2654"/>
      <c r="AE1420" s="2654"/>
    </row>
    <row r="1421" spans="1:31" ht="11.25" customHeight="1">
      <c r="B1421" s="2729" t="s">
        <v>1820</v>
      </c>
      <c r="C1421" s="2729"/>
      <c r="D1421" s="2731"/>
      <c r="E1421" s="2731"/>
      <c r="F1421" s="2731"/>
      <c r="G1421" s="2731"/>
      <c r="H1421" s="2731"/>
      <c r="I1421" s="2731"/>
      <c r="J1421" s="2731"/>
      <c r="K1421" s="2731"/>
      <c r="L1421" s="2731"/>
      <c r="M1421" s="2731"/>
      <c r="N1421" s="2731"/>
      <c r="O1421" s="2731"/>
      <c r="P1421" s="2731"/>
      <c r="Q1421" s="2731"/>
    </row>
    <row r="1422" spans="1:31" ht="11.25" customHeight="1">
      <c r="A1422" s="2729"/>
      <c r="B1422" s="2729"/>
      <c r="C1422" s="2729"/>
      <c r="D1422" s="2729"/>
      <c r="E1422" s="2729"/>
      <c r="F1422" s="2729"/>
      <c r="G1422" s="2729"/>
      <c r="H1422" s="2729"/>
      <c r="I1422" s="2729"/>
      <c r="J1422" s="2729"/>
      <c r="K1422" s="2729"/>
      <c r="L1422" s="2729"/>
      <c r="M1422" s="2729"/>
      <c r="N1422" s="2729"/>
      <c r="O1422" s="2729"/>
      <c r="P1422" s="2729"/>
      <c r="Q1422" s="2729"/>
    </row>
    <row r="1423" spans="1:31" ht="3" customHeight="1">
      <c r="A1423" s="2251"/>
      <c r="B1423" s="1550"/>
      <c r="C1423" s="2731"/>
      <c r="D1423" s="2731"/>
      <c r="E1423" s="2731"/>
      <c r="F1423" s="2731"/>
      <c r="G1423" s="2731"/>
      <c r="H1423" s="2731"/>
      <c r="I1423" s="2731"/>
      <c r="J1423" s="2731"/>
      <c r="K1423" s="2731"/>
      <c r="L1423" s="2731"/>
      <c r="M1423" s="2731"/>
      <c r="Q1423" s="2251"/>
    </row>
    <row r="1424" spans="1:31" ht="14.1" customHeight="1">
      <c r="A1424" s="2649" t="s">
        <v>2691</v>
      </c>
      <c r="B1424" s="2408" t="s">
        <v>4571</v>
      </c>
      <c r="C1424" s="2408"/>
      <c r="D1424" s="512"/>
      <c r="E1424" s="512"/>
      <c r="F1424" s="512"/>
      <c r="G1424" s="512"/>
      <c r="H1424" s="2731"/>
      <c r="I1424" s="2731"/>
      <c r="J1424" s="2731"/>
      <c r="K1424" s="2731"/>
      <c r="L1424" s="2619"/>
      <c r="M1424" s="2760"/>
      <c r="O1424" s="2730" t="s">
        <v>1821</v>
      </c>
      <c r="P1424" s="2654"/>
      <c r="Q1424" s="2654"/>
    </row>
    <row r="1425" spans="1:17" ht="11.4" customHeight="1">
      <c r="A1425" s="2749" t="s">
        <v>1936</v>
      </c>
      <c r="B1425" s="512" t="s">
        <v>1242</v>
      </c>
      <c r="D1425" s="2408"/>
      <c r="E1425" s="512"/>
      <c r="F1425" s="512"/>
      <c r="J1425" s="2749" t="s">
        <v>1936</v>
      </c>
      <c r="K1425" s="512" t="str">
        <f>'Part VIII-Threshold Criteria'!K255</f>
        <v>&lt;&lt;Select&gt;&gt;</v>
      </c>
      <c r="L1425" s="512"/>
      <c r="M1425" s="512"/>
      <c r="N1425" s="512"/>
      <c r="O1425" s="512"/>
      <c r="P1425" s="512" t="s">
        <v>1727</v>
      </c>
      <c r="Q1425" s="512"/>
    </row>
    <row r="1426" spans="1:17" ht="11.4" customHeight="1">
      <c r="A1426" s="2749" t="s">
        <v>1938</v>
      </c>
      <c r="B1426" s="512" t="s">
        <v>2717</v>
      </c>
      <c r="D1426" s="512"/>
      <c r="E1426" s="512"/>
      <c r="F1426" s="512"/>
      <c r="J1426" s="2749" t="s">
        <v>1938</v>
      </c>
      <c r="K1426" s="2763">
        <f>'Part VIII-Threshold Criteria'!K256</f>
        <v>0</v>
      </c>
      <c r="L1426" s="2763"/>
      <c r="M1426" s="2763"/>
      <c r="N1426" s="2763"/>
      <c r="O1426" s="2763"/>
      <c r="P1426" s="2763"/>
      <c r="Q1426" s="2763"/>
    </row>
    <row r="1427" spans="1:17" ht="11.4" customHeight="1">
      <c r="A1427" s="2749"/>
      <c r="B1427" s="512" t="s">
        <v>1898</v>
      </c>
      <c r="D1427" s="512"/>
      <c r="E1427" s="512"/>
      <c r="F1427" s="512"/>
      <c r="K1427" s="512">
        <f>'Part VIII-Threshold Criteria'!K257</f>
        <v>0</v>
      </c>
      <c r="L1427" s="512"/>
      <c r="M1427" s="512"/>
      <c r="N1427" s="512"/>
      <c r="O1427" s="512"/>
      <c r="P1427" s="512"/>
      <c r="Q1427" s="512"/>
    </row>
    <row r="1428" spans="1:17" ht="11.4" customHeight="1">
      <c r="A1428" s="2749"/>
      <c r="B1428" s="512" t="s">
        <v>2477</v>
      </c>
      <c r="D1428" s="512"/>
      <c r="E1428" s="512"/>
      <c r="F1428" s="512"/>
      <c r="G1428" s="512"/>
      <c r="H1428" s="512"/>
      <c r="I1428" s="2408"/>
      <c r="J1428" s="2408"/>
      <c r="M1428" s="512"/>
      <c r="N1428" s="2764"/>
      <c r="O1428" s="2749"/>
      <c r="P1428" s="1550">
        <f>'Part VIII-Threshold Criteria'!P258</f>
        <v>0</v>
      </c>
      <c r="Q1428" s="1550"/>
    </row>
    <row r="1429" spans="1:17" ht="11.4" customHeight="1">
      <c r="A1429" s="2749" t="s">
        <v>731</v>
      </c>
      <c r="B1429" s="512" t="s">
        <v>4361</v>
      </c>
      <c r="D1429" s="512"/>
      <c r="E1429" s="512"/>
      <c r="F1429" s="512"/>
      <c r="J1429" s="2749" t="s">
        <v>731</v>
      </c>
      <c r="K1429" s="2763">
        <f>'Part VIII-Threshold Criteria'!K259</f>
        <v>0</v>
      </c>
      <c r="L1429" s="2763"/>
      <c r="M1429" s="2763"/>
      <c r="N1429" s="2763"/>
      <c r="O1429" s="2763"/>
      <c r="P1429" s="2763"/>
      <c r="Q1429" s="2763"/>
    </row>
    <row r="1430" spans="1:17" ht="11.4" customHeight="1">
      <c r="A1430" s="2749"/>
      <c r="B1430" s="512" t="s">
        <v>4272</v>
      </c>
      <c r="D1430" s="512"/>
      <c r="E1430" s="512"/>
      <c r="F1430" s="512"/>
    </row>
    <row r="1431" spans="1:17" ht="11.4" customHeight="1">
      <c r="A1431" s="2749"/>
      <c r="C1431" s="512" t="s">
        <v>4270</v>
      </c>
      <c r="D1431" s="512"/>
      <c r="E1431" s="512"/>
      <c r="F1431" s="512"/>
      <c r="K1431" s="2749" t="s">
        <v>4269</v>
      </c>
      <c r="L1431" s="2755">
        <f>'Part VIII-Threshold Criteria'!L261</f>
        <v>0</v>
      </c>
      <c r="M1431" s="512"/>
      <c r="N1431" s="2764"/>
      <c r="O1431" s="2764"/>
      <c r="P1431" s="1550">
        <f>'Part VIII-Threshold Criteria'!P261</f>
        <v>0</v>
      </c>
      <c r="Q1431" s="1550"/>
    </row>
    <row r="1432" spans="1:17" ht="11.4" customHeight="1">
      <c r="A1432" s="2749"/>
      <c r="B1432" s="512"/>
      <c r="C1432" s="2618" t="s">
        <v>4494</v>
      </c>
      <c r="D1432" s="512"/>
      <c r="E1432" s="512"/>
      <c r="F1432" s="512"/>
      <c r="K1432" s="2749" t="s">
        <v>4271</v>
      </c>
      <c r="L1432" s="2765">
        <f>'Part VIII-Threshold Criteria'!L262</f>
        <v>0</v>
      </c>
      <c r="M1432" s="512"/>
      <c r="N1432" s="2764"/>
      <c r="O1432" s="2764"/>
      <c r="P1432" s="1550">
        <f>'Part VIII-Threshold Criteria'!P262</f>
        <v>0</v>
      </c>
      <c r="Q1432" s="1550"/>
    </row>
    <row r="1433" spans="1:17" ht="11.4" customHeight="1">
      <c r="A1433" s="2749"/>
      <c r="B1433" s="512" t="s">
        <v>4268</v>
      </c>
      <c r="D1433" s="512"/>
      <c r="E1433" s="512"/>
      <c r="F1433" s="512"/>
      <c r="K1433" s="512">
        <f>'Part VIII-Threshold Criteria'!K263</f>
        <v>0</v>
      </c>
      <c r="L1433" s="512"/>
      <c r="M1433" s="512"/>
      <c r="N1433" s="512"/>
      <c r="O1433" s="512"/>
      <c r="P1433" s="512"/>
      <c r="Q1433" s="512"/>
    </row>
    <row r="1434" spans="1:17" ht="11.4" customHeight="1">
      <c r="A1434" s="2749" t="s">
        <v>2065</v>
      </c>
      <c r="B1434" s="512" t="s">
        <v>3681</v>
      </c>
      <c r="D1434" s="512"/>
      <c r="E1434" s="512"/>
      <c r="F1434" s="512"/>
      <c r="G1434" s="512"/>
      <c r="H1434" s="512"/>
      <c r="I1434" s="2408"/>
      <c r="J1434" s="2408"/>
      <c r="K1434" s="2408"/>
      <c r="M1434" s="512"/>
      <c r="N1434" s="2764"/>
      <c r="O1434" s="2749" t="s">
        <v>2065</v>
      </c>
      <c r="P1434" s="1550">
        <f>'Part VIII-Threshold Criteria'!P264</f>
        <v>0</v>
      </c>
      <c r="Q1434" s="1550"/>
    </row>
    <row r="1435" spans="1:17" ht="11.4" customHeight="1">
      <c r="A1435" s="2749"/>
      <c r="B1435" s="2729" t="s">
        <v>3577</v>
      </c>
      <c r="C1435" s="2729"/>
      <c r="D1435" s="2729"/>
      <c r="E1435" s="2729"/>
      <c r="F1435" s="2729"/>
      <c r="G1435" s="2729"/>
      <c r="H1435" s="2618" t="s">
        <v>3803</v>
      </c>
      <c r="K1435" s="2408"/>
      <c r="M1435" s="512"/>
      <c r="N1435" s="2764"/>
      <c r="O1435" s="2749" t="s">
        <v>1694</v>
      </c>
      <c r="P1435" s="1550">
        <f>'Part VIII-Threshold Criteria'!P265</f>
        <v>0</v>
      </c>
      <c r="Q1435" s="1550"/>
    </row>
    <row r="1436" spans="1:17" ht="11.4" customHeight="1">
      <c r="A1436" s="2749"/>
      <c r="B1436" s="2729"/>
      <c r="C1436" s="2729"/>
      <c r="D1436" s="2729"/>
      <c r="E1436" s="2729"/>
      <c r="F1436" s="2729"/>
      <c r="G1436" s="2729"/>
      <c r="H1436" s="2618" t="s">
        <v>3804</v>
      </c>
      <c r="K1436" s="2408"/>
      <c r="M1436" s="512"/>
      <c r="N1436" s="2764"/>
      <c r="O1436" s="2749" t="s">
        <v>1695</v>
      </c>
      <c r="P1436" s="1550">
        <f>'Part VIII-Threshold Criteria'!P266</f>
        <v>0</v>
      </c>
      <c r="Q1436" s="1550"/>
    </row>
    <row r="1437" spans="1:17" ht="11.4" customHeight="1">
      <c r="A1437" s="2749"/>
      <c r="B1437" s="512"/>
      <c r="D1437" s="512"/>
      <c r="E1437" s="512"/>
      <c r="F1437" s="512"/>
      <c r="G1437" s="512"/>
      <c r="H1437" s="2618" t="s">
        <v>3805</v>
      </c>
      <c r="K1437" s="2408"/>
      <c r="M1437" s="512"/>
      <c r="N1437" s="2764"/>
      <c r="O1437" s="2749" t="s">
        <v>1696</v>
      </c>
      <c r="P1437" s="1550">
        <f>'Part VIII-Threshold Criteria'!P267</f>
        <v>0</v>
      </c>
      <c r="Q1437" s="1550"/>
    </row>
    <row r="1438" spans="1:17" ht="11.4" customHeight="1">
      <c r="A1438" s="2749"/>
      <c r="B1438" s="512"/>
      <c r="D1438" s="512"/>
      <c r="E1438" s="512"/>
      <c r="F1438" s="512"/>
      <c r="G1438" s="512"/>
      <c r="H1438" s="2618" t="s">
        <v>3806</v>
      </c>
      <c r="K1438" s="2408"/>
      <c r="M1438" s="512"/>
      <c r="N1438" s="2764"/>
      <c r="O1438" s="2749" t="s">
        <v>2305</v>
      </c>
      <c r="P1438" s="1550">
        <f>'Part VIII-Threshold Criteria'!P268</f>
        <v>0</v>
      </c>
      <c r="Q1438" s="1550"/>
    </row>
    <row r="1439" spans="1:17" ht="21.75" customHeight="1">
      <c r="B1439" s="2729" t="s">
        <v>6896</v>
      </c>
      <c r="C1439" s="2729"/>
      <c r="D1439" s="2729"/>
      <c r="E1439" s="2729"/>
      <c r="F1439" s="2729"/>
      <c r="G1439" s="2729"/>
      <c r="H1439" s="2729"/>
      <c r="I1439" s="2729"/>
      <c r="J1439" s="2729"/>
      <c r="K1439" s="2729"/>
      <c r="L1439" s="2729"/>
      <c r="M1439" s="2729"/>
      <c r="N1439" s="2729"/>
      <c r="O1439" s="2730" t="s">
        <v>1516</v>
      </c>
      <c r="P1439" s="2740">
        <f>'Part VIII-Threshold Criteria'!P269</f>
        <v>0</v>
      </c>
      <c r="Q1439" s="2740"/>
    </row>
    <row r="1440" spans="1:17" ht="11.25" customHeight="1">
      <c r="B1440" s="2684" t="s">
        <v>3571</v>
      </c>
      <c r="D1440" s="2684"/>
      <c r="E1440" s="2684"/>
      <c r="F1440" s="2684"/>
      <c r="G1440" s="2684"/>
      <c r="H1440" s="2684"/>
      <c r="I1440" s="1550"/>
      <c r="J1440" s="1550"/>
      <c r="K1440" s="1550"/>
      <c r="L1440" s="2251"/>
      <c r="M1440" s="2251"/>
      <c r="N1440" s="2251"/>
      <c r="O1440" s="2251"/>
      <c r="P1440" s="2251"/>
      <c r="Q1440" s="2251"/>
    </row>
    <row r="1441" spans="1:31" ht="13.35" customHeight="1">
      <c r="A1441" s="2729" t="str">
        <f>'Part VIII-Threshold Criteria'!A271</f>
        <v>N/A - This development is new construction.</v>
      </c>
      <c r="B1441" s="2729"/>
      <c r="C1441" s="2729"/>
      <c r="D1441" s="2729"/>
      <c r="E1441" s="2729"/>
      <c r="F1441" s="2729"/>
      <c r="G1441" s="2729"/>
      <c r="H1441" s="2729"/>
      <c r="I1441" s="2729"/>
      <c r="J1441" s="2729"/>
      <c r="K1441" s="2729"/>
      <c r="L1441" s="2729"/>
      <c r="M1441" s="2729"/>
      <c r="N1441" s="2729"/>
      <c r="O1441" s="2729"/>
      <c r="P1441" s="2729"/>
      <c r="Q1441" s="2729"/>
      <c r="R1441" s="2497" t="s">
        <v>1228</v>
      </c>
      <c r="S1441" s="2497"/>
      <c r="U1441" s="2654"/>
      <c r="V1441" s="2654"/>
      <c r="W1441" s="2654"/>
      <c r="X1441" s="2654"/>
      <c r="Y1441" s="2654"/>
      <c r="Z1441" s="2654"/>
      <c r="AA1441" s="2654"/>
      <c r="AB1441" s="2654"/>
      <c r="AC1441" s="2654"/>
      <c r="AD1441" s="2654"/>
      <c r="AE1441" s="2654"/>
    </row>
    <row r="1442" spans="1:31" ht="11.1" customHeight="1">
      <c r="B1442" s="2729" t="s">
        <v>1820</v>
      </c>
      <c r="C1442" s="2729"/>
      <c r="D1442" s="2731"/>
      <c r="E1442" s="2731"/>
      <c r="F1442" s="2731"/>
      <c r="G1442" s="2731"/>
      <c r="H1442" s="2731"/>
      <c r="I1442" s="2731"/>
      <c r="J1442" s="2731"/>
      <c r="K1442" s="2731"/>
      <c r="L1442" s="2731"/>
      <c r="M1442" s="2731"/>
      <c r="N1442" s="2731"/>
      <c r="O1442" s="2731"/>
      <c r="P1442" s="2731"/>
      <c r="Q1442" s="2731"/>
    </row>
    <row r="1443" spans="1:31" ht="13.35" customHeight="1">
      <c r="A1443" s="2729"/>
      <c r="B1443" s="2729"/>
      <c r="C1443" s="2729"/>
      <c r="D1443" s="2729"/>
      <c r="E1443" s="2729"/>
      <c r="F1443" s="2729"/>
      <c r="G1443" s="2729"/>
      <c r="H1443" s="2729"/>
      <c r="I1443" s="2729"/>
      <c r="J1443" s="2729"/>
      <c r="K1443" s="2729"/>
      <c r="L1443" s="2729"/>
      <c r="M1443" s="2729"/>
      <c r="N1443" s="2729"/>
      <c r="O1443" s="2729"/>
      <c r="P1443" s="2729"/>
      <c r="Q1443" s="2729"/>
    </row>
    <row r="1444" spans="1:31" ht="3" customHeight="1">
      <c r="A1444" s="2251"/>
      <c r="B1444" s="1550"/>
      <c r="C1444" s="2731"/>
      <c r="D1444" s="2731"/>
      <c r="E1444" s="2731"/>
      <c r="F1444" s="2731"/>
      <c r="G1444" s="2731"/>
      <c r="H1444" s="2731"/>
      <c r="I1444" s="2731"/>
      <c r="J1444" s="2731"/>
      <c r="K1444" s="2731"/>
      <c r="L1444" s="2731"/>
      <c r="M1444" s="2731"/>
      <c r="Q1444" s="2251"/>
    </row>
    <row r="1445" spans="1:31" ht="14.1" customHeight="1">
      <c r="A1445" s="2649" t="s">
        <v>2194</v>
      </c>
      <c r="B1445" s="2408" t="s">
        <v>2589</v>
      </c>
      <c r="C1445" s="2408"/>
      <c r="D1445" s="512"/>
      <c r="E1445" s="512"/>
      <c r="F1445" s="512"/>
      <c r="G1445" s="512"/>
      <c r="H1445" s="2731"/>
      <c r="I1445" s="2731"/>
      <c r="J1445" s="2731"/>
      <c r="K1445" s="2731"/>
      <c r="L1445" s="2731"/>
      <c r="M1445" s="2731"/>
      <c r="O1445" s="2730" t="s">
        <v>1821</v>
      </c>
      <c r="P1445" s="2654"/>
      <c r="Q1445" s="2654"/>
    </row>
    <row r="1446" spans="1:31" s="2607" customFormat="1" ht="21.75" customHeight="1">
      <c r="A1446" s="2730" t="s">
        <v>1936</v>
      </c>
      <c r="B1446" s="2731" t="s">
        <v>1694</v>
      </c>
      <c r="C1446" s="2729" t="s">
        <v>4718</v>
      </c>
      <c r="D1446" s="2729"/>
      <c r="E1446" s="2729"/>
      <c r="F1446" s="2729"/>
      <c r="G1446" s="2729"/>
      <c r="H1446" s="2729"/>
      <c r="I1446" s="2729"/>
      <c r="J1446" s="2729"/>
      <c r="K1446" s="2729"/>
      <c r="L1446" s="2729"/>
      <c r="M1446" s="2729"/>
      <c r="N1446" s="2729"/>
      <c r="O1446" s="2730" t="s">
        <v>1455</v>
      </c>
      <c r="P1446" s="2740" t="str">
        <f>'Part VIII-Threshold Criteria'!P276</f>
        <v>Yes</v>
      </c>
      <c r="Q1446" s="2740"/>
    </row>
    <row r="1447" spans="1:31" ht="11.4" customHeight="1">
      <c r="A1447" s="2749"/>
      <c r="B1447" s="2731" t="s">
        <v>1695</v>
      </c>
      <c r="C1447" s="512" t="s">
        <v>3574</v>
      </c>
      <c r="D1447" s="512"/>
      <c r="E1447" s="512"/>
      <c r="F1447" s="512"/>
      <c r="G1447" s="512"/>
      <c r="H1447" s="512"/>
      <c r="I1447" s="512"/>
      <c r="J1447" s="512"/>
      <c r="K1447" s="512"/>
      <c r="L1447" s="512"/>
      <c r="M1447" s="512"/>
      <c r="O1447" s="2730" t="s">
        <v>1695</v>
      </c>
      <c r="P1447" s="1550" t="str">
        <f>'Part VIII-Threshold Criteria'!P277</f>
        <v>Yes</v>
      </c>
      <c r="Q1447" s="1550"/>
    </row>
    <row r="1448" spans="1:31" ht="11.4" customHeight="1">
      <c r="A1448" s="2749" t="s">
        <v>1938</v>
      </c>
      <c r="B1448" s="512" t="s">
        <v>3575</v>
      </c>
      <c r="D1448" s="512"/>
      <c r="E1448" s="512"/>
      <c r="F1448" s="512"/>
      <c r="G1448" s="512"/>
      <c r="H1448" s="512"/>
      <c r="I1448" s="512"/>
      <c r="J1448" s="512"/>
      <c r="K1448" s="512"/>
      <c r="L1448" s="512"/>
      <c r="M1448" s="512"/>
      <c r="O1448" s="2749" t="s">
        <v>1938</v>
      </c>
      <c r="P1448" s="1550" t="str">
        <f>'Part VIII-Threshold Criteria'!P278</f>
        <v>Yes</v>
      </c>
      <c r="Q1448" s="1550"/>
    </row>
    <row r="1449" spans="1:31" s="2607" customFormat="1" ht="19.95" customHeight="1">
      <c r="A1449" s="2730" t="s">
        <v>731</v>
      </c>
      <c r="B1449" s="2731" t="s">
        <v>1694</v>
      </c>
      <c r="C1449" s="2729" t="s">
        <v>4754</v>
      </c>
      <c r="D1449" s="2729"/>
      <c r="E1449" s="2729"/>
      <c r="F1449" s="2729"/>
      <c r="G1449" s="2729"/>
      <c r="H1449" s="2729"/>
      <c r="I1449" s="2729"/>
      <c r="J1449" s="2729"/>
      <c r="K1449" s="2729"/>
      <c r="L1449" s="2729"/>
      <c r="M1449" s="2729"/>
      <c r="N1449" s="2729"/>
      <c r="O1449" s="2730" t="s">
        <v>4755</v>
      </c>
      <c r="P1449" s="2740" t="str">
        <f>'Part VIII-Threshold Criteria'!P279</f>
        <v>Yes</v>
      </c>
      <c r="Q1449" s="2740"/>
    </row>
    <row r="1450" spans="1:31" ht="11.4" customHeight="1">
      <c r="A1450" s="2749"/>
      <c r="B1450" s="2731" t="s">
        <v>1695</v>
      </c>
      <c r="C1450" s="512" t="s">
        <v>3576</v>
      </c>
      <c r="D1450" s="512"/>
      <c r="E1450" s="512"/>
      <c r="F1450" s="512"/>
      <c r="G1450" s="512"/>
      <c r="H1450" s="512"/>
      <c r="I1450" s="512"/>
      <c r="J1450" s="512"/>
      <c r="K1450" s="512"/>
      <c r="L1450" s="512"/>
      <c r="M1450" s="512"/>
      <c r="O1450" s="2730" t="s">
        <v>1695</v>
      </c>
      <c r="P1450" s="1550" t="str">
        <f>'Part VIII-Threshold Criteria'!P280</f>
        <v>Yes</v>
      </c>
      <c r="Q1450" s="1550"/>
    </row>
    <row r="1451" spans="1:31" ht="22.5" customHeight="1">
      <c r="A1451" s="2730" t="s">
        <v>2065</v>
      </c>
      <c r="B1451" s="2729" t="s">
        <v>4756</v>
      </c>
      <c r="C1451" s="2729"/>
      <c r="D1451" s="2729"/>
      <c r="E1451" s="2729"/>
      <c r="F1451" s="2729"/>
      <c r="G1451" s="2729"/>
      <c r="H1451" s="2729"/>
      <c r="I1451" s="2729"/>
      <c r="J1451" s="2729"/>
      <c r="K1451" s="2729"/>
      <c r="L1451" s="2729"/>
      <c r="M1451" s="2729"/>
      <c r="N1451" s="2729"/>
      <c r="O1451" s="2749" t="s">
        <v>2065</v>
      </c>
      <c r="P1451" s="2740" t="str">
        <f>'Part VIII-Threshold Criteria'!P281</f>
        <v>Yes</v>
      </c>
      <c r="Q1451" s="2740"/>
    </row>
    <row r="1452" spans="1:31" ht="11.25" customHeight="1">
      <c r="B1452" s="2684" t="s">
        <v>3571</v>
      </c>
      <c r="D1452" s="2684"/>
      <c r="E1452" s="2684"/>
      <c r="F1452" s="2684"/>
      <c r="G1452" s="2684"/>
      <c r="H1452" s="2684"/>
      <c r="I1452" s="1550"/>
      <c r="J1452" s="1550"/>
      <c r="K1452" s="1550"/>
      <c r="L1452" s="2251"/>
      <c r="M1452" s="2251"/>
      <c r="N1452" s="2251"/>
      <c r="O1452" s="2251"/>
      <c r="P1452" s="2251"/>
      <c r="Q1452" s="2251"/>
    </row>
    <row r="1453" spans="1:31" ht="13.35" customHeight="1">
      <c r="A1453" s="2729" t="str">
        <f>'Part VIII-Threshold Criteria'!A283</f>
        <v>Please see site plan in tab 15</v>
      </c>
      <c r="B1453" s="2729"/>
      <c r="C1453" s="2729"/>
      <c r="D1453" s="2729"/>
      <c r="E1453" s="2729"/>
      <c r="F1453" s="2729"/>
      <c r="G1453" s="2729"/>
      <c r="H1453" s="2729"/>
      <c r="I1453" s="2729"/>
      <c r="J1453" s="2729"/>
      <c r="K1453" s="2729"/>
      <c r="L1453" s="2729"/>
      <c r="M1453" s="2729"/>
      <c r="N1453" s="2729"/>
      <c r="O1453" s="2729"/>
      <c r="P1453" s="2729"/>
      <c r="Q1453" s="2729"/>
      <c r="R1453" s="2497" t="s">
        <v>1228</v>
      </c>
      <c r="S1453" s="2497"/>
      <c r="U1453" s="2654"/>
      <c r="V1453" s="2654"/>
      <c r="W1453" s="2654"/>
      <c r="X1453" s="2654"/>
      <c r="Y1453" s="2654"/>
      <c r="Z1453" s="2654"/>
      <c r="AA1453" s="2654"/>
      <c r="AB1453" s="2654"/>
      <c r="AC1453" s="2654"/>
      <c r="AD1453" s="2654"/>
      <c r="AE1453" s="2654"/>
    </row>
    <row r="1454" spans="1:31" ht="11.25" customHeight="1">
      <c r="B1454" s="2729" t="s">
        <v>1820</v>
      </c>
      <c r="C1454" s="2729"/>
      <c r="D1454" s="2731"/>
      <c r="E1454" s="2731"/>
      <c r="F1454" s="2731"/>
      <c r="G1454" s="2731"/>
      <c r="H1454" s="2731"/>
      <c r="I1454" s="2731"/>
      <c r="J1454" s="2731"/>
      <c r="K1454" s="2731"/>
      <c r="L1454" s="2731"/>
      <c r="M1454" s="2731"/>
      <c r="N1454" s="2731"/>
      <c r="O1454" s="2731"/>
      <c r="P1454" s="2731"/>
      <c r="Q1454" s="2731"/>
    </row>
    <row r="1455" spans="1:31" ht="13.35" customHeight="1">
      <c r="A1455" s="2729"/>
      <c r="B1455" s="2729"/>
      <c r="C1455" s="2729"/>
      <c r="D1455" s="2729"/>
      <c r="E1455" s="2729"/>
      <c r="F1455" s="2729"/>
      <c r="G1455" s="2729"/>
      <c r="H1455" s="2729"/>
      <c r="I1455" s="2729"/>
      <c r="J1455" s="2729"/>
      <c r="K1455" s="2729"/>
      <c r="L1455" s="2729"/>
      <c r="M1455" s="2729"/>
      <c r="N1455" s="2729"/>
      <c r="O1455" s="2729"/>
      <c r="P1455" s="2729"/>
      <c r="Q1455" s="2729"/>
    </row>
    <row r="1456" spans="1:31" ht="3" customHeight="1"/>
    <row r="1457" spans="1:18" ht="14.1" customHeight="1">
      <c r="A1457" s="2649" t="s">
        <v>3791</v>
      </c>
      <c r="B1457" s="2649" t="s">
        <v>2590</v>
      </c>
      <c r="C1457" s="2649"/>
      <c r="D1457" s="2731"/>
      <c r="E1457" s="2731"/>
      <c r="F1457" s="2731"/>
      <c r="G1457" s="2731"/>
      <c r="H1457" s="2731"/>
      <c r="I1457" s="2731"/>
      <c r="J1457" s="2731"/>
      <c r="K1457" s="2731"/>
      <c r="L1457" s="2731"/>
      <c r="M1457" s="2731"/>
      <c r="O1457" s="2730" t="s">
        <v>1821</v>
      </c>
      <c r="P1457" s="2654"/>
      <c r="Q1457" s="2654"/>
    </row>
    <row r="1458" spans="1:18" s="2607" customFormat="1" ht="30" customHeight="1">
      <c r="A1458" s="2730" t="s">
        <v>1936</v>
      </c>
      <c r="B1458" s="2729" t="s">
        <v>1694</v>
      </c>
      <c r="C1458" s="2729" t="s">
        <v>4400</v>
      </c>
      <c r="D1458" s="2729"/>
      <c r="E1458" s="2729"/>
      <c r="F1458" s="2729"/>
      <c r="G1458" s="2729"/>
      <c r="H1458" s="2729"/>
      <c r="I1458" s="2729"/>
      <c r="J1458" s="2729"/>
      <c r="K1458" s="2729"/>
      <c r="L1458" s="2729"/>
      <c r="M1458" s="2729"/>
      <c r="N1458" s="2729"/>
      <c r="O1458" s="2730" t="s">
        <v>1936</v>
      </c>
      <c r="P1458" s="2740" t="str">
        <f>'Part VIII-Threshold Criteria'!P288</f>
        <v>Agree</v>
      </c>
      <c r="Q1458" s="2740"/>
    </row>
    <row r="1459" spans="1:18" s="2607" customFormat="1" ht="21.75" customHeight="1">
      <c r="A1459" s="2730"/>
      <c r="B1459" s="2729" t="s">
        <v>1695</v>
      </c>
      <c r="C1459" s="2729" t="s">
        <v>2718</v>
      </c>
      <c r="D1459" s="2729"/>
      <c r="E1459" s="2729"/>
      <c r="F1459" s="2729"/>
      <c r="G1459" s="2729"/>
      <c r="H1459" s="2729"/>
      <c r="I1459" s="2729"/>
      <c r="J1459" s="2729"/>
      <c r="K1459" s="2729"/>
      <c r="L1459" s="2729"/>
      <c r="M1459" s="2729"/>
      <c r="N1459" s="2729"/>
      <c r="O1459" s="2730"/>
      <c r="P1459" s="2740" t="str">
        <f>'Part VIII-Threshold Criteria'!P289</f>
        <v>Agree</v>
      </c>
      <c r="Q1459" s="2740"/>
    </row>
    <row r="1460" spans="1:18" ht="11.4" customHeight="1">
      <c r="A1460" s="2673" t="s">
        <v>1938</v>
      </c>
      <c r="B1460" s="2654" t="s">
        <v>305</v>
      </c>
      <c r="D1460" s="2408"/>
      <c r="E1460" s="2408"/>
      <c r="R1460" s="2766"/>
    </row>
    <row r="1461" spans="1:18" ht="11.4" customHeight="1">
      <c r="A1461" s="2673"/>
      <c r="B1461" s="512" t="s">
        <v>4559</v>
      </c>
      <c r="D1461" s="2408"/>
      <c r="E1461" s="2408"/>
      <c r="O1461" s="2749" t="s">
        <v>1938</v>
      </c>
      <c r="P1461" s="2740" t="str">
        <f>'Part VIII-Threshold Criteria'!P291</f>
        <v>Agree</v>
      </c>
      <c r="Q1461" s="2740"/>
      <c r="R1461" s="2749"/>
    </row>
    <row r="1462" spans="1:18" s="2767" customFormat="1" ht="11.4" customHeight="1">
      <c r="A1462" s="2408"/>
      <c r="B1462" s="2684" t="s">
        <v>3571</v>
      </c>
      <c r="C1462" s="2408"/>
      <c r="D1462" s="2654"/>
      <c r="E1462" s="2654"/>
      <c r="F1462" s="2654"/>
      <c r="G1462" s="2654"/>
      <c r="K1462" s="512"/>
      <c r="M1462" s="2652"/>
      <c r="N1462" s="2652"/>
      <c r="O1462" s="2707"/>
      <c r="P1462" s="2652"/>
    </row>
    <row r="1463" spans="1:18" s="2762" customFormat="1" ht="21.75" customHeight="1">
      <c r="A1463" s="2729" t="str">
        <f>'Part VIII-Threshold Criteria'!A293</f>
        <v>This development will meet all energy requirements of the QAP and architectural manual.</v>
      </c>
      <c r="B1463" s="2729"/>
      <c r="C1463" s="2729"/>
      <c r="D1463" s="2729"/>
      <c r="E1463" s="2729"/>
      <c r="F1463" s="2729"/>
      <c r="G1463" s="2729"/>
      <c r="H1463" s="2729"/>
      <c r="I1463" s="2729"/>
      <c r="J1463" s="2729"/>
      <c r="K1463" s="2729"/>
      <c r="L1463" s="2729"/>
      <c r="M1463" s="2729"/>
      <c r="N1463" s="2729"/>
      <c r="O1463" s="2729"/>
      <c r="P1463" s="2729"/>
      <c r="Q1463" s="2729"/>
      <c r="R1463" s="2497" t="s">
        <v>1228</v>
      </c>
    </row>
    <row r="1464" spans="1:18" s="2762" customFormat="1" ht="11.25" customHeight="1">
      <c r="A1464" s="2494"/>
      <c r="B1464" s="2729" t="s">
        <v>1820</v>
      </c>
      <c r="C1464" s="2729"/>
      <c r="D1464" s="2731"/>
      <c r="E1464" s="2731"/>
      <c r="F1464" s="2731"/>
      <c r="G1464" s="2731"/>
      <c r="H1464" s="2731"/>
      <c r="I1464" s="2731"/>
      <c r="J1464" s="2731"/>
      <c r="K1464" s="2731"/>
      <c r="L1464" s="2731"/>
      <c r="M1464" s="2731"/>
      <c r="N1464" s="2731"/>
      <c r="O1464" s="2731"/>
      <c r="P1464" s="2731"/>
      <c r="Q1464" s="2731"/>
      <c r="R1464" s="2494"/>
    </row>
    <row r="1465" spans="1:18" s="2762" customFormat="1" ht="11.25" customHeight="1">
      <c r="A1465" s="2729"/>
      <c r="B1465" s="2729"/>
      <c r="C1465" s="2729"/>
      <c r="D1465" s="2729"/>
      <c r="E1465" s="2729"/>
      <c r="F1465" s="2729"/>
      <c r="G1465" s="2729"/>
      <c r="H1465" s="2729"/>
      <c r="I1465" s="2729"/>
      <c r="J1465" s="2729"/>
      <c r="K1465" s="2729"/>
      <c r="L1465" s="2729"/>
      <c r="M1465" s="2729"/>
      <c r="N1465" s="2729"/>
      <c r="O1465" s="2729"/>
      <c r="P1465" s="2729"/>
      <c r="Q1465" s="2729"/>
      <c r="R1465" s="2494"/>
    </row>
    <row r="1466" spans="1:18" s="2762" customFormat="1" ht="3" customHeight="1">
      <c r="A1466" s="2408"/>
      <c r="D1466" s="512"/>
      <c r="E1466" s="512"/>
      <c r="F1466" s="2652"/>
      <c r="G1466" s="2652"/>
      <c r="H1466" s="2652"/>
      <c r="I1466" s="2652"/>
      <c r="J1466" s="2684"/>
      <c r="K1466" s="2684"/>
      <c r="L1466" s="2684"/>
      <c r="M1466" s="1550"/>
      <c r="N1466" s="2652"/>
      <c r="O1466" s="2613"/>
      <c r="P1466" s="2707"/>
    </row>
    <row r="1467" spans="1:18" ht="14.1" customHeight="1">
      <c r="A1467" s="2649" t="s">
        <v>3792</v>
      </c>
      <c r="B1467" s="2649" t="s">
        <v>2591</v>
      </c>
      <c r="C1467" s="2692"/>
      <c r="D1467" s="2731"/>
      <c r="E1467" s="2731"/>
      <c r="F1467" s="2731"/>
      <c r="G1467" s="2731"/>
      <c r="H1467" s="2731"/>
      <c r="I1467" s="2731"/>
      <c r="J1467" s="2731"/>
      <c r="K1467" s="2731"/>
      <c r="L1467" s="2731"/>
      <c r="M1467" s="2731"/>
      <c r="O1467" s="2730" t="s">
        <v>1821</v>
      </c>
      <c r="P1467" s="2654"/>
      <c r="Q1467" s="2654"/>
    </row>
    <row r="1468" spans="1:18" ht="12.75" customHeight="1">
      <c r="A1468" s="2673" t="s">
        <v>1936</v>
      </c>
      <c r="B1468" s="2691" t="s">
        <v>6867</v>
      </c>
    </row>
    <row r="1469" spans="1:18" ht="44.25" customHeight="1">
      <c r="A1469" s="2730"/>
      <c r="B1469" s="2731" t="s">
        <v>1694</v>
      </c>
      <c r="C1469" s="2729" t="s">
        <v>3683</v>
      </c>
      <c r="D1469" s="2729"/>
      <c r="E1469" s="2729"/>
      <c r="F1469" s="2729"/>
      <c r="G1469" s="2729"/>
      <c r="H1469" s="2729"/>
      <c r="I1469" s="2729"/>
      <c r="J1469" s="2729"/>
      <c r="K1469" s="2729"/>
      <c r="L1469" s="2729"/>
      <c r="M1469" s="2729"/>
      <c r="N1469" s="2729"/>
      <c r="O1469" s="2730" t="s">
        <v>2643</v>
      </c>
      <c r="P1469" s="2740" t="str">
        <f>'Part VIII-Threshold Criteria'!P299</f>
        <v>Yes</v>
      </c>
      <c r="Q1469" s="2740"/>
    </row>
    <row r="1470" spans="1:18" s="2607" customFormat="1" ht="12" customHeight="1">
      <c r="A1470" s="2730"/>
      <c r="B1470" s="2731" t="s">
        <v>1695</v>
      </c>
      <c r="C1470" s="2729" t="s">
        <v>4753</v>
      </c>
      <c r="D1470" s="2729"/>
      <c r="E1470" s="2729"/>
      <c r="F1470" s="2729"/>
      <c r="G1470" s="2729"/>
      <c r="H1470" s="2729"/>
      <c r="I1470" s="2729"/>
      <c r="J1470" s="2729"/>
      <c r="K1470" s="2729"/>
      <c r="L1470" s="2729"/>
      <c r="M1470" s="2729"/>
      <c r="N1470" s="2729"/>
      <c r="O1470" s="2730" t="s">
        <v>1695</v>
      </c>
      <c r="P1470" s="2740" t="str">
        <f>'Part VIII-Threshold Criteria'!P300</f>
        <v>Yes</v>
      </c>
      <c r="Q1470" s="2740"/>
    </row>
    <row r="1471" spans="1:18" s="2607" customFormat="1" ht="21.75" customHeight="1">
      <c r="A1471" s="2730"/>
      <c r="B1471" s="2731" t="s">
        <v>1696</v>
      </c>
      <c r="C1471" s="2729" t="s">
        <v>3682</v>
      </c>
      <c r="D1471" s="2729"/>
      <c r="E1471" s="2729"/>
      <c r="F1471" s="2729"/>
      <c r="G1471" s="2729"/>
      <c r="H1471" s="2729"/>
      <c r="I1471" s="2729"/>
      <c r="J1471" s="2729"/>
      <c r="K1471" s="2729"/>
      <c r="L1471" s="2729"/>
      <c r="M1471" s="2729"/>
      <c r="N1471" s="2729"/>
      <c r="O1471" s="2730" t="s">
        <v>1696</v>
      </c>
      <c r="P1471" s="2740">
        <f>'Part VIII-Threshold Criteria'!P301</f>
        <v>0</v>
      </c>
      <c r="Q1471" s="2740"/>
    </row>
    <row r="1472" spans="1:18" s="2408" customFormat="1" ht="12.75" customHeight="1">
      <c r="A1472" s="2673" t="s">
        <v>1938</v>
      </c>
      <c r="B1472" s="2691" t="s">
        <v>3658</v>
      </c>
      <c r="D1472" s="2768"/>
      <c r="E1472" s="2768"/>
      <c r="F1472" s="2768"/>
      <c r="G1472" s="2768"/>
      <c r="H1472" s="2768"/>
      <c r="I1472" s="2768"/>
      <c r="J1472" s="2768"/>
      <c r="K1472" s="2768"/>
      <c r="L1472" s="2768"/>
      <c r="M1472" s="2768"/>
      <c r="N1472" s="2768"/>
      <c r="O1472" s="2749"/>
      <c r="P1472" s="2749"/>
      <c r="Q1472" s="2749"/>
    </row>
    <row r="1473" spans="1:33" s="2408" customFormat="1" ht="11.25" customHeight="1">
      <c r="A1473" s="2680"/>
      <c r="B1473" s="2731" t="s">
        <v>1694</v>
      </c>
      <c r="C1473" s="2729" t="s">
        <v>6868</v>
      </c>
      <c r="D1473" s="2729"/>
      <c r="E1473" s="2729"/>
      <c r="F1473" s="2729"/>
      <c r="G1473" s="2729"/>
      <c r="H1473" s="2729"/>
      <c r="I1473" s="2729"/>
      <c r="J1473" s="2618" t="s">
        <v>3607</v>
      </c>
      <c r="K1473" s="2618"/>
      <c r="L1473" s="2618"/>
      <c r="M1473" s="512" t="s">
        <v>3579</v>
      </c>
      <c r="N1473" s="512"/>
    </row>
    <row r="1474" spans="1:33" s="2498" customFormat="1" ht="10.5" customHeight="1">
      <c r="A1474" s="2502"/>
      <c r="B1474" s="2500"/>
      <c r="C1474" s="2729"/>
      <c r="D1474" s="2729"/>
      <c r="E1474" s="2729"/>
      <c r="F1474" s="2729"/>
      <c r="G1474" s="2729"/>
      <c r="H1474" s="2729"/>
      <c r="I1474" s="2499"/>
      <c r="J1474" s="2618"/>
      <c r="K1474" s="2618"/>
      <c r="L1474" s="2618"/>
      <c r="M1474" s="512" t="s">
        <v>3580</v>
      </c>
      <c r="N1474" s="1550" t="s">
        <v>3606</v>
      </c>
      <c r="P1474" s="2517"/>
    </row>
    <row r="1475" spans="1:33" s="2498" customFormat="1" ht="13.35" customHeight="1">
      <c r="A1475" s="2502"/>
      <c r="B1475" s="2500"/>
      <c r="C1475" s="2729"/>
      <c r="D1475" s="2729"/>
      <c r="E1475" s="2729"/>
      <c r="F1475" s="2729"/>
      <c r="G1475" s="2729"/>
      <c r="H1475" s="2729"/>
      <c r="I1475" s="512" t="s">
        <v>3808</v>
      </c>
      <c r="K1475" s="2769">
        <f>'Part VIII-Threshold Criteria'!K305</f>
        <v>10</v>
      </c>
      <c r="L1475" s="2500" t="str">
        <f>IF(K1475&lt;M1475,"Check!!!","")</f>
        <v/>
      </c>
      <c r="M1475" s="2770">
        <f>ROUNDUP('Part VI-Revenues &amp; Expenses'!$P$67*'Part VIII-Threshold Criteria'!N1475,0)</f>
        <v>0</v>
      </c>
      <c r="N1475" s="2771">
        <f>'DCA Underwriting Assumptions'!$Q$154</f>
        <v>0.05</v>
      </c>
      <c r="O1475" s="2749" t="s">
        <v>3474</v>
      </c>
      <c r="P1475" s="1550" t="str">
        <f>'Part VIII-Threshold Criteria'!P305</f>
        <v>Yes</v>
      </c>
      <c r="Q1475" s="1550"/>
      <c r="V1475" s="512"/>
      <c r="X1475" s="512"/>
      <c r="Z1475" s="2500" t="str">
        <f>IF(AA1475="","",IF(AA1475&lt;AC1475,"Check!!!",""))</f>
        <v/>
      </c>
      <c r="AA1475" s="2500" t="str">
        <f t="shared" ref="AA1475:AG1475" si="396">IF(AB1475="","",IF(AB1475&lt;AD1475,"Check!!!",""))</f>
        <v/>
      </c>
      <c r="AB1475" s="2500" t="str">
        <f t="shared" si="396"/>
        <v/>
      </c>
      <c r="AC1475" s="2500" t="str">
        <f t="shared" si="396"/>
        <v/>
      </c>
      <c r="AD1475" s="2500" t="str">
        <f t="shared" si="396"/>
        <v/>
      </c>
      <c r="AE1475" s="2500" t="str">
        <f t="shared" si="396"/>
        <v/>
      </c>
      <c r="AF1475" s="2500" t="str">
        <f t="shared" si="396"/>
        <v/>
      </c>
      <c r="AG1475" s="2500" t="str">
        <f t="shared" si="396"/>
        <v/>
      </c>
    </row>
    <row r="1476" spans="1:33" s="2408" customFormat="1" ht="12.75" customHeight="1">
      <c r="A1476" s="2730"/>
      <c r="B1476" s="2731"/>
      <c r="C1476" s="2729" t="s">
        <v>6869</v>
      </c>
      <c r="D1476" s="2729"/>
      <c r="E1476" s="2729"/>
      <c r="F1476" s="2729"/>
      <c r="G1476" s="2729"/>
      <c r="H1476" s="2729"/>
      <c r="I1476" s="2760" t="s">
        <v>3809</v>
      </c>
      <c r="J1476" s="2498"/>
      <c r="K1476" s="2769">
        <f>'Part VIII-Threshold Criteria'!K306</f>
        <v>4</v>
      </c>
      <c r="L1476" s="2500" t="str">
        <f>IF(K1476&lt;M1476,"Check!!!","")</f>
        <v/>
      </c>
      <c r="M1476" s="2770">
        <f>ROUNDUP(K1475*'Part VIII-Threshold Criteria'!N1476,0)</f>
        <v>0</v>
      </c>
      <c r="N1476" s="2771">
        <f>'DCA Underwriting Assumptions'!$Q$155</f>
        <v>0.4</v>
      </c>
      <c r="O1476" s="2749" t="s">
        <v>2067</v>
      </c>
      <c r="P1476" s="2729" t="str">
        <f>'Part VIII-Threshold Criteria'!P306</f>
        <v>Yes</v>
      </c>
      <c r="Q1476" s="2729"/>
      <c r="T1476" s="2729"/>
      <c r="U1476" s="2729"/>
      <c r="V1476" s="2729"/>
      <c r="W1476" s="2729"/>
      <c r="X1476" s="2729"/>
      <c r="Y1476" s="2729"/>
      <c r="Z1476" s="2729"/>
      <c r="AA1476" s="2729"/>
      <c r="AB1476" s="2729"/>
      <c r="AC1476" s="2729"/>
      <c r="AD1476" s="2729"/>
      <c r="AE1476" s="2729"/>
      <c r="AF1476" s="2729"/>
      <c r="AG1476" s="2729"/>
    </row>
    <row r="1477" spans="1:33" s="2498" customFormat="1" ht="10.5" customHeight="1">
      <c r="A1477" s="2502"/>
      <c r="B1477" s="2500"/>
      <c r="C1477" s="2729"/>
      <c r="D1477" s="2729"/>
      <c r="E1477" s="2729"/>
      <c r="F1477" s="2729"/>
      <c r="G1477" s="2729"/>
      <c r="H1477" s="2729"/>
      <c r="O1477" s="2684"/>
      <c r="P1477" s="2729">
        <f>'Part VIII-Threshold Criteria'!P307</f>
        <v>0</v>
      </c>
      <c r="Q1477" s="2729"/>
      <c r="V1477" s="512"/>
      <c r="W1477" s="2760"/>
      <c r="X1477" s="512"/>
      <c r="Z1477" s="2500" t="str">
        <f>IF(AA1477="","",IF(AA1477&lt;AC1477,"Check!!!",""))</f>
        <v/>
      </c>
      <c r="AA1477" s="2500" t="str">
        <f t="shared" ref="AA1477:AG1477" si="397">IF(AB1477="","",IF(AB1477&lt;AD1477,"Check!!!",""))</f>
        <v/>
      </c>
      <c r="AB1477" s="2500" t="str">
        <f t="shared" si="397"/>
        <v/>
      </c>
      <c r="AC1477" s="2500" t="str">
        <f t="shared" si="397"/>
        <v/>
      </c>
      <c r="AD1477" s="2500" t="str">
        <f t="shared" si="397"/>
        <v/>
      </c>
      <c r="AE1477" s="2500" t="str">
        <f t="shared" si="397"/>
        <v/>
      </c>
      <c r="AF1477" s="2500" t="str">
        <f t="shared" si="397"/>
        <v/>
      </c>
      <c r="AG1477" s="2500" t="str">
        <f t="shared" si="397"/>
        <v/>
      </c>
    </row>
    <row r="1478" spans="1:33" s="2408" customFormat="1" ht="12.75" customHeight="1">
      <c r="A1478" s="2730"/>
      <c r="B1478" s="2731" t="s">
        <v>1695</v>
      </c>
      <c r="C1478" s="2729" t="s">
        <v>6870</v>
      </c>
      <c r="D1478" s="2729"/>
      <c r="E1478" s="2729"/>
      <c r="F1478" s="2729"/>
      <c r="G1478" s="2729"/>
      <c r="H1478" s="2729"/>
      <c r="I1478" s="512" t="s">
        <v>3810</v>
      </c>
      <c r="J1478" s="2498"/>
      <c r="K1478" s="2769">
        <f>'Part VIII-Threshold Criteria'!K308</f>
        <v>4</v>
      </c>
      <c r="L1478" s="2500" t="str">
        <f>IF(K1478&lt;M1478,"Check!!!","")</f>
        <v/>
      </c>
      <c r="M1478" s="2770">
        <f>ROUNDUP('Part VI-Revenues &amp; Expenses'!$P$67*'Part VIII-Threshold Criteria'!N1478,0)</f>
        <v>0</v>
      </c>
      <c r="N1478" s="2771">
        <f>'DCA Underwriting Assumptions'!$Q$156</f>
        <v>0.02</v>
      </c>
      <c r="O1478" s="2749" t="s">
        <v>1695</v>
      </c>
      <c r="P1478" s="1550" t="str">
        <f>'Part VIII-Threshold Criteria'!P308</f>
        <v>Yes</v>
      </c>
      <c r="Q1478" s="1550"/>
      <c r="T1478" s="2729"/>
      <c r="U1478" s="2729"/>
      <c r="V1478" s="2729"/>
      <c r="W1478" s="2729"/>
      <c r="X1478" s="2729"/>
      <c r="Y1478" s="2729"/>
      <c r="Z1478" s="2729"/>
      <c r="AA1478" s="2729"/>
      <c r="AB1478" s="2729"/>
      <c r="AC1478" s="2729"/>
      <c r="AD1478" s="2729"/>
      <c r="AE1478" s="2729"/>
      <c r="AF1478" s="2729"/>
      <c r="AG1478" s="2729"/>
    </row>
    <row r="1479" spans="1:33" s="2498" customFormat="1" ht="3" customHeight="1">
      <c r="A1479" s="2502"/>
      <c r="C1479" s="2729"/>
      <c r="D1479" s="2729"/>
      <c r="E1479" s="2729"/>
      <c r="F1479" s="2729"/>
      <c r="G1479" s="2729"/>
      <c r="H1479" s="2729"/>
      <c r="J1479" s="512"/>
      <c r="K1479" s="512"/>
      <c r="L1479" s="2684"/>
      <c r="M1479" s="1550"/>
      <c r="O1479" s="512"/>
      <c r="P1479" s="1550"/>
      <c r="Q1479" s="512"/>
      <c r="T1479" s="512"/>
      <c r="U1479" s="2760"/>
      <c r="V1479" s="512"/>
      <c r="W1479" s="2760"/>
      <c r="X1479" s="512"/>
      <c r="Y1479" s="512"/>
      <c r="Z1479" s="512"/>
      <c r="AA1479" s="512"/>
      <c r="AB1479" s="512"/>
      <c r="AC1479" s="512"/>
      <c r="AD1479" s="512"/>
      <c r="AE1479" s="512"/>
      <c r="AF1479" s="512"/>
      <c r="AG1479" s="512"/>
    </row>
    <row r="1480" spans="1:33" s="2498" customFormat="1" ht="10.5" customHeight="1">
      <c r="A1480" s="2502"/>
      <c r="C1480" s="2729"/>
      <c r="D1480" s="2729"/>
      <c r="E1480" s="2729"/>
      <c r="F1480" s="2729"/>
      <c r="G1480" s="2729"/>
      <c r="H1480" s="2729"/>
      <c r="O1480" s="2684"/>
      <c r="P1480" s="2749"/>
      <c r="V1480" s="512"/>
      <c r="W1480" s="2760"/>
      <c r="X1480" s="512"/>
      <c r="Z1480" s="2500" t="str">
        <f>IF(AA1480="","",IF(AA1480&lt;AC1480,"Check!!!",""))</f>
        <v/>
      </c>
      <c r="AA1480" s="2500" t="str">
        <f t="shared" ref="AA1480:AG1480" si="398">IF(AB1480="","",IF(AB1480&lt;AD1480,"Check!!!",""))</f>
        <v/>
      </c>
      <c r="AB1480" s="2500" t="str">
        <f t="shared" si="398"/>
        <v/>
      </c>
      <c r="AC1480" s="2500" t="str">
        <f t="shared" si="398"/>
        <v/>
      </c>
      <c r="AD1480" s="2500" t="str">
        <f t="shared" si="398"/>
        <v/>
      </c>
      <c r="AE1480" s="2500" t="str">
        <f t="shared" si="398"/>
        <v/>
      </c>
      <c r="AF1480" s="2500" t="str">
        <f t="shared" si="398"/>
        <v/>
      </c>
      <c r="AG1480" s="2500" t="str">
        <f t="shared" si="398"/>
        <v/>
      </c>
    </row>
    <row r="1481" spans="1:33" s="2498" customFormat="1" ht="10.5" customHeight="1">
      <c r="A1481" s="2673" t="s">
        <v>731</v>
      </c>
      <c r="B1481" s="2691" t="s">
        <v>3659</v>
      </c>
      <c r="D1481" s="2731"/>
      <c r="E1481" s="2731"/>
      <c r="F1481" s="2731"/>
      <c r="G1481" s="2731"/>
      <c r="H1481" s="2731"/>
      <c r="O1481" s="2684"/>
      <c r="P1481" s="2749"/>
      <c r="V1481" s="512"/>
      <c r="W1481" s="2760"/>
      <c r="X1481" s="512"/>
      <c r="Z1481" s="2500"/>
      <c r="AA1481" s="2500"/>
      <c r="AB1481" s="2500"/>
      <c r="AC1481" s="2500"/>
      <c r="AD1481" s="2500"/>
      <c r="AE1481" s="2500"/>
      <c r="AF1481" s="2500"/>
      <c r="AG1481" s="2500"/>
    </row>
    <row r="1482" spans="1:33" s="2408" customFormat="1" ht="21.75" customHeight="1">
      <c r="B1482" s="2729" t="s">
        <v>3476</v>
      </c>
      <c r="C1482" s="2729"/>
      <c r="D1482" s="2729"/>
      <c r="E1482" s="2729"/>
      <c r="F1482" s="2729"/>
      <c r="G1482" s="2729"/>
      <c r="H1482" s="2729"/>
      <c r="I1482" s="2729"/>
      <c r="J1482" s="2729"/>
      <c r="K1482" s="2729"/>
      <c r="L1482" s="2729"/>
      <c r="M1482" s="2729"/>
      <c r="N1482" s="2729"/>
      <c r="O1482" s="2730" t="s">
        <v>731</v>
      </c>
      <c r="P1482" s="2740" t="str">
        <f>'Part VIII-Threshold Criteria'!P312</f>
        <v>Yes</v>
      </c>
      <c r="Q1482" s="2740"/>
    </row>
    <row r="1483" spans="1:33" s="2408" customFormat="1" ht="11.25" customHeight="1">
      <c r="B1483" s="2729" t="s">
        <v>3477</v>
      </c>
      <c r="D1483" s="2729"/>
      <c r="E1483" s="2729"/>
      <c r="F1483" s="2729"/>
      <c r="G1483" s="2729"/>
      <c r="H1483" s="2729"/>
      <c r="I1483" s="2729" t="s">
        <v>3578</v>
      </c>
      <c r="J1483" s="2729"/>
      <c r="K1483" s="2729"/>
      <c r="L1483" s="2729" t="str">
        <f>'Part VIII-Threshold Criteria'!L313</f>
        <v>Zeffert and Associates</v>
      </c>
      <c r="M1483" s="2729"/>
      <c r="N1483" s="2729"/>
      <c r="O1483" s="2729"/>
      <c r="P1483" s="2729"/>
      <c r="Q1483" s="2729"/>
      <c r="R1483" s="2729"/>
    </row>
    <row r="1484" spans="1:33" s="2607" customFormat="1" ht="44.25" customHeight="1">
      <c r="B1484" s="2731" t="s">
        <v>1694</v>
      </c>
      <c r="C1484" s="2729" t="s">
        <v>3475</v>
      </c>
      <c r="D1484" s="2729"/>
      <c r="E1484" s="2729"/>
      <c r="F1484" s="2729"/>
      <c r="G1484" s="2729"/>
      <c r="H1484" s="2729"/>
      <c r="I1484" s="2729"/>
      <c r="J1484" s="2729"/>
      <c r="K1484" s="2729"/>
      <c r="L1484" s="2729"/>
      <c r="M1484" s="2729"/>
      <c r="N1484" s="2729"/>
      <c r="O1484" s="2730" t="s">
        <v>3480</v>
      </c>
      <c r="P1484" s="2740" t="str">
        <f>'Part VIII-Threshold Criteria'!P314</f>
        <v>Yes</v>
      </c>
      <c r="Q1484" s="2740"/>
    </row>
    <row r="1485" spans="1:33" s="2607" customFormat="1" ht="34.5" customHeight="1">
      <c r="B1485" s="2731" t="s">
        <v>1695</v>
      </c>
      <c r="C1485" s="2729" t="s">
        <v>4362</v>
      </c>
      <c r="D1485" s="2729"/>
      <c r="E1485" s="2729"/>
      <c r="F1485" s="2729"/>
      <c r="G1485" s="2729"/>
      <c r="H1485" s="2729"/>
      <c r="I1485" s="2729"/>
      <c r="J1485" s="2729"/>
      <c r="K1485" s="2729"/>
      <c r="L1485" s="2729"/>
      <c r="M1485" s="2729"/>
      <c r="N1485" s="2729"/>
      <c r="O1485" s="2730" t="s">
        <v>3481</v>
      </c>
      <c r="P1485" s="2740" t="str">
        <f>'Part VIII-Threshold Criteria'!P315</f>
        <v>Yes</v>
      </c>
      <c r="Q1485" s="2740"/>
    </row>
    <row r="1486" spans="1:33" s="2607" customFormat="1" ht="22.5" customHeight="1">
      <c r="B1486" s="2731" t="s">
        <v>1696</v>
      </c>
      <c r="C1486" s="2729" t="s">
        <v>3478</v>
      </c>
      <c r="D1486" s="2729"/>
      <c r="E1486" s="2729"/>
      <c r="F1486" s="2729"/>
      <c r="G1486" s="2729"/>
      <c r="H1486" s="2729"/>
      <c r="I1486" s="2729"/>
      <c r="J1486" s="2729"/>
      <c r="K1486" s="2729"/>
      <c r="L1486" s="2729"/>
      <c r="M1486" s="2729"/>
      <c r="N1486" s="2729"/>
      <c r="O1486" s="2730" t="s">
        <v>3482</v>
      </c>
      <c r="P1486" s="2740" t="str">
        <f>'Part VIII-Threshold Criteria'!P316</f>
        <v>Yes</v>
      </c>
      <c r="Q1486" s="2740"/>
    </row>
    <row r="1487" spans="1:33" s="2607" customFormat="1" ht="32.25" customHeight="1">
      <c r="B1487" s="2731" t="s">
        <v>2305</v>
      </c>
      <c r="C1487" s="2729" t="s">
        <v>3479</v>
      </c>
      <c r="D1487" s="2729"/>
      <c r="E1487" s="2729"/>
      <c r="F1487" s="2729"/>
      <c r="G1487" s="2729"/>
      <c r="H1487" s="2729"/>
      <c r="I1487" s="2729"/>
      <c r="J1487" s="2729"/>
      <c r="K1487" s="2729"/>
      <c r="L1487" s="2729"/>
      <c r="M1487" s="2729"/>
      <c r="N1487" s="2729"/>
      <c r="O1487" s="2730" t="s">
        <v>3483</v>
      </c>
      <c r="P1487" s="2740" t="str">
        <f>'Part VIII-Threshold Criteria'!P317</f>
        <v>Yes</v>
      </c>
      <c r="Q1487" s="2740"/>
    </row>
    <row r="1488" spans="1:33" ht="11.25" customHeight="1">
      <c r="B1488" s="2684" t="s">
        <v>3571</v>
      </c>
      <c r="D1488" s="2684"/>
      <c r="E1488" s="2684"/>
      <c r="F1488" s="2684"/>
      <c r="G1488" s="2684"/>
      <c r="H1488" s="2684"/>
      <c r="I1488" s="1550"/>
      <c r="J1488" s="1550"/>
      <c r="K1488" s="1550"/>
      <c r="L1488" s="2251"/>
      <c r="M1488" s="2251"/>
      <c r="N1488" s="2251"/>
      <c r="O1488" s="2251"/>
      <c r="P1488" s="2251"/>
      <c r="Q1488" s="2251"/>
    </row>
    <row r="1489" spans="1:256 1523:1523" ht="32.25" customHeight="1">
      <c r="A1489" s="2729" t="str">
        <f>'Part VIII-Threshold Criteria'!A319</f>
        <v>This development will meet all accessibility requirements</v>
      </c>
      <c r="B1489" s="2729"/>
      <c r="C1489" s="2729"/>
      <c r="D1489" s="2729"/>
      <c r="E1489" s="2729"/>
      <c r="F1489" s="2729"/>
      <c r="G1489" s="2729"/>
      <c r="H1489" s="2729"/>
      <c r="I1489" s="2729"/>
      <c r="J1489" s="2729"/>
      <c r="K1489" s="2729"/>
      <c r="L1489" s="2729"/>
      <c r="M1489" s="2729"/>
      <c r="N1489" s="2729"/>
      <c r="O1489" s="2729"/>
      <c r="P1489" s="2729"/>
      <c r="Q1489" s="2729"/>
      <c r="R1489" s="2497" t="s">
        <v>1228</v>
      </c>
      <c r="S1489" s="2497"/>
      <c r="U1489" s="2654"/>
      <c r="V1489" s="2654"/>
      <c r="W1489" s="2654"/>
      <c r="X1489" s="2654"/>
      <c r="Y1489" s="2654"/>
      <c r="Z1489" s="2654"/>
      <c r="AA1489" s="2654"/>
      <c r="AB1489" s="2654"/>
      <c r="AC1489" s="2654"/>
      <c r="AD1489" s="2654"/>
      <c r="AE1489" s="2654"/>
    </row>
    <row r="1490" spans="1:256 1523:1523" ht="11.25" customHeight="1">
      <c r="B1490" s="2729" t="s">
        <v>1820</v>
      </c>
      <c r="C1490" s="2729"/>
      <c r="D1490" s="2731"/>
      <c r="E1490" s="2731"/>
      <c r="F1490" s="2731"/>
      <c r="G1490" s="2731"/>
      <c r="H1490" s="2731"/>
      <c r="I1490" s="2731"/>
      <c r="J1490" s="2731"/>
      <c r="K1490" s="2731"/>
      <c r="L1490" s="2731"/>
      <c r="M1490" s="2731"/>
      <c r="N1490" s="2731"/>
      <c r="O1490" s="2731"/>
      <c r="P1490" s="2731"/>
      <c r="Q1490" s="2731"/>
    </row>
    <row r="1491" spans="1:256 1523:1523" ht="45.75" customHeight="1">
      <c r="A1491" s="2729"/>
      <c r="B1491" s="2729"/>
      <c r="C1491" s="2729"/>
      <c r="D1491" s="2729"/>
      <c r="E1491" s="2729"/>
      <c r="F1491" s="2729"/>
      <c r="G1491" s="2729"/>
      <c r="H1491" s="2729"/>
      <c r="I1491" s="2729"/>
      <c r="J1491" s="2729"/>
      <c r="K1491" s="2729"/>
      <c r="L1491" s="2729"/>
      <c r="M1491" s="2729"/>
      <c r="N1491" s="2729"/>
      <c r="O1491" s="2729"/>
      <c r="P1491" s="2729"/>
      <c r="Q1491" s="2729"/>
    </row>
    <row r="1492" spans="1:256 1523:1523" ht="14.1" customHeight="1">
      <c r="A1492" s="2649" t="s">
        <v>3790</v>
      </c>
      <c r="B1492" s="2408" t="s">
        <v>2592</v>
      </c>
      <c r="C1492" s="2408"/>
      <c r="D1492" s="2408"/>
      <c r="E1492" s="2408"/>
      <c r="F1492" s="2408"/>
      <c r="G1492" s="2408"/>
      <c r="H1492" s="2731"/>
      <c r="I1492" s="2731"/>
      <c r="J1492" s="2731"/>
      <c r="K1492" s="2731"/>
      <c r="L1492" s="2731"/>
      <c r="M1492" s="2731"/>
      <c r="O1492" s="2730" t="s">
        <v>1821</v>
      </c>
      <c r="P1492" s="2654"/>
      <c r="Q1492" s="2654"/>
    </row>
    <row r="1493" spans="1:256 1523:1523" ht="11.4" customHeight="1">
      <c r="B1493" s="2618" t="s">
        <v>2195</v>
      </c>
      <c r="P1493" s="1550" t="str">
        <f>'Part VIII-Threshold Criteria'!P323</f>
        <v>No</v>
      </c>
      <c r="Q1493" s="1550"/>
    </row>
    <row r="1494" spans="1:256 1523:1523" ht="12" customHeight="1">
      <c r="B1494" s="2731" t="s">
        <v>2155</v>
      </c>
      <c r="C1494" s="2731"/>
      <c r="D1494" s="2731"/>
      <c r="E1494" s="2731"/>
      <c r="F1494" s="2731"/>
      <c r="G1494" s="2731"/>
      <c r="H1494" s="2731"/>
      <c r="I1494" s="2731"/>
      <c r="J1494" s="2731"/>
      <c r="K1494" s="2731"/>
      <c r="L1494" s="2731"/>
      <c r="P1494" s="1550" t="str">
        <f>'Part VIII-Threshold Criteria'!P324</f>
        <v>Yes</v>
      </c>
      <c r="Q1494" s="1550"/>
    </row>
    <row r="1495" spans="1:256 1523:1523" ht="11.4" customHeight="1">
      <c r="A1495" s="2730" t="s">
        <v>1936</v>
      </c>
      <c r="B1495" s="2684" t="s">
        <v>6871</v>
      </c>
      <c r="D1495" s="2684"/>
      <c r="E1495" s="2684"/>
      <c r="F1495" s="2684"/>
      <c r="G1495" s="2684"/>
      <c r="H1495" s="2684"/>
      <c r="I1495" s="2684"/>
      <c r="J1495" s="2684"/>
      <c r="K1495" s="2684"/>
      <c r="L1495" s="2684"/>
      <c r="M1495" s="2684"/>
      <c r="N1495" s="2730"/>
    </row>
    <row r="1496" spans="1:256 1523:1523" ht="22.5" customHeight="1">
      <c r="B1496" s="2729" t="s">
        <v>2781</v>
      </c>
      <c r="C1496" s="2729"/>
      <c r="D1496" s="2729"/>
      <c r="E1496" s="2729"/>
      <c r="F1496" s="2729"/>
      <c r="G1496" s="2729"/>
      <c r="H1496" s="2729"/>
      <c r="I1496" s="2729"/>
      <c r="J1496" s="2729"/>
      <c r="K1496" s="2729"/>
      <c r="L1496" s="2729"/>
      <c r="M1496" s="2729"/>
      <c r="N1496" s="2729"/>
      <c r="O1496" s="2730" t="s">
        <v>1936</v>
      </c>
      <c r="P1496" s="2740">
        <f>'Part VIII-Threshold Criteria'!P326</f>
        <v>0</v>
      </c>
      <c r="Q1496" s="2740"/>
    </row>
    <row r="1497" spans="1:256 1523:1523" ht="12.6" customHeight="1">
      <c r="A1497" s="2730" t="s">
        <v>1938</v>
      </c>
      <c r="B1497" s="512" t="s">
        <v>451</v>
      </c>
      <c r="D1497" s="512"/>
      <c r="E1497" s="512"/>
      <c r="F1497" s="512"/>
      <c r="G1497" s="512"/>
      <c r="H1497" s="512"/>
      <c r="I1497" s="512"/>
      <c r="J1497" s="512"/>
      <c r="K1497" s="512"/>
      <c r="L1497" s="512"/>
      <c r="M1497" s="512"/>
      <c r="O1497" s="2730" t="s">
        <v>1938</v>
      </c>
      <c r="P1497" s="2251"/>
      <c r="Q1497" s="2251"/>
    </row>
    <row r="1498" spans="1:256 1523:1523" ht="36" customHeight="1">
      <c r="B1498" s="2731" t="s">
        <v>1694</v>
      </c>
      <c r="C1498" s="2729" t="s">
        <v>1109</v>
      </c>
      <c r="E1498" s="2607"/>
      <c r="F1498" s="2607"/>
      <c r="G1498" s="2559"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496"/>
      <c r="I1498" s="2496"/>
      <c r="J1498" s="2496"/>
      <c r="K1498" s="2496"/>
      <c r="L1498" s="2496"/>
      <c r="M1498" s="2496"/>
      <c r="N1498" s="2496"/>
      <c r="O1498" s="2730" t="s">
        <v>1694</v>
      </c>
      <c r="P1498" s="2740" t="str">
        <f>'Part VIII-Threshold Criteria'!P328</f>
        <v>Yes</v>
      </c>
      <c r="Q1498" s="2740"/>
      <c r="BFO1498" s="2494" t="s">
        <v>2644</v>
      </c>
    </row>
    <row r="1499" spans="1:256 1523:1523" ht="23.25" customHeight="1">
      <c r="B1499" s="2731" t="s">
        <v>1695</v>
      </c>
      <c r="C1499" s="2729" t="s">
        <v>1110</v>
      </c>
      <c r="D1499" s="2729"/>
      <c r="E1499" s="2729"/>
      <c r="F1499" s="2729"/>
      <c r="G1499" s="2559" t="str">
        <f>'Part VIII-Threshold Criteria'!G329</f>
        <v>Upgraded roofing shingles, or roofing materials  (warranty 30 years or greater)</v>
      </c>
      <c r="H1499" s="2496"/>
      <c r="I1499" s="2496"/>
      <c r="J1499" s="2496"/>
      <c r="K1499" s="2496"/>
      <c r="L1499" s="2496"/>
      <c r="M1499" s="2496"/>
      <c r="N1499" s="2496"/>
      <c r="O1499" s="2730" t="s">
        <v>1695</v>
      </c>
      <c r="P1499" s="2740" t="str">
        <f>'Part VIII-Threshold Criteria'!P329</f>
        <v>Yes</v>
      </c>
      <c r="Q1499" s="2740"/>
    </row>
    <row r="1500" spans="1:256 1523:1523" ht="3" customHeight="1">
      <c r="A1500" s="2251"/>
      <c r="B1500" s="2658"/>
      <c r="C1500" s="2251"/>
      <c r="D1500" s="2251"/>
      <c r="E1500" s="2251"/>
      <c r="F1500" s="2251"/>
      <c r="G1500" s="2251"/>
      <c r="H1500" s="2251"/>
      <c r="I1500" s="2251"/>
      <c r="J1500" s="2251"/>
      <c r="K1500" s="2251"/>
      <c r="L1500" s="2251"/>
      <c r="M1500" s="2251"/>
      <c r="N1500" s="2251"/>
      <c r="O1500" s="2251"/>
      <c r="P1500" s="2251"/>
      <c r="Q1500" s="2251"/>
      <c r="R1500" s="2251"/>
      <c r="S1500" s="2251"/>
      <c r="T1500" s="2251"/>
      <c r="U1500" s="2251"/>
      <c r="V1500" s="2251"/>
      <c r="W1500" s="2251"/>
      <c r="X1500" s="2251"/>
      <c r="Y1500" s="2251"/>
      <c r="Z1500" s="2251"/>
      <c r="AA1500" s="2251"/>
      <c r="AB1500" s="2251"/>
      <c r="AC1500" s="2251"/>
      <c r="AD1500" s="2251"/>
      <c r="AE1500" s="2251"/>
      <c r="AF1500" s="2251"/>
      <c r="AG1500" s="2251"/>
      <c r="AH1500" s="2251"/>
      <c r="AI1500" s="2251"/>
      <c r="AJ1500" s="2251"/>
      <c r="AK1500" s="2251"/>
      <c r="AL1500" s="2251"/>
      <c r="AM1500" s="2251"/>
      <c r="AN1500" s="2251"/>
      <c r="AO1500" s="2251"/>
      <c r="AP1500" s="2251"/>
      <c r="AQ1500" s="2251"/>
      <c r="AR1500" s="2251"/>
      <c r="AS1500" s="2251"/>
      <c r="AT1500" s="2251"/>
      <c r="AU1500" s="2251"/>
      <c r="AV1500" s="2251"/>
      <c r="AW1500" s="2251"/>
      <c r="AX1500" s="2251"/>
      <c r="AY1500" s="2251"/>
      <c r="AZ1500" s="2251"/>
      <c r="BA1500" s="2251"/>
      <c r="BB1500" s="2251"/>
      <c r="BC1500" s="2251"/>
      <c r="BD1500" s="2251"/>
      <c r="BE1500" s="2251"/>
      <c r="BF1500" s="2251"/>
      <c r="BG1500" s="2251"/>
      <c r="BH1500" s="2251"/>
      <c r="BI1500" s="2251"/>
      <c r="BJ1500" s="2251"/>
      <c r="BK1500" s="2251"/>
      <c r="BL1500" s="2251"/>
      <c r="BM1500" s="2251"/>
      <c r="BN1500" s="2251"/>
      <c r="BO1500" s="2251"/>
      <c r="BP1500" s="2251"/>
      <c r="BQ1500" s="2251"/>
      <c r="BR1500" s="2251"/>
      <c r="BS1500" s="2251"/>
      <c r="BT1500" s="2251"/>
      <c r="BU1500" s="2251"/>
      <c r="BV1500" s="2251"/>
      <c r="BW1500" s="2251"/>
      <c r="BX1500" s="2251"/>
      <c r="BY1500" s="2251"/>
      <c r="BZ1500" s="2251"/>
      <c r="CA1500" s="2251"/>
      <c r="CB1500" s="2251"/>
      <c r="CC1500" s="2251"/>
      <c r="CD1500" s="2251"/>
      <c r="CE1500" s="2251"/>
      <c r="CF1500" s="2251"/>
      <c r="CG1500" s="2251"/>
      <c r="CH1500" s="2251"/>
      <c r="CI1500" s="2251"/>
      <c r="CJ1500" s="2251"/>
      <c r="CK1500" s="2251"/>
      <c r="CL1500" s="2251"/>
      <c r="CM1500" s="2251"/>
      <c r="CN1500" s="2251"/>
      <c r="CO1500" s="2251"/>
      <c r="CP1500" s="2251"/>
      <c r="CQ1500" s="2251"/>
      <c r="CR1500" s="2251"/>
      <c r="CS1500" s="2251"/>
      <c r="CT1500" s="2251"/>
      <c r="CU1500" s="2251"/>
      <c r="CV1500" s="2251"/>
      <c r="CW1500" s="2251"/>
      <c r="CX1500" s="2251"/>
      <c r="CY1500" s="2251"/>
      <c r="CZ1500" s="2251"/>
      <c r="DA1500" s="2251"/>
      <c r="DB1500" s="2251"/>
      <c r="DC1500" s="2251"/>
      <c r="DD1500" s="2251"/>
      <c r="DE1500" s="2251"/>
      <c r="DF1500" s="2251"/>
      <c r="DG1500" s="2251"/>
      <c r="DH1500" s="2251"/>
      <c r="DI1500" s="2251"/>
      <c r="DJ1500" s="2251"/>
      <c r="DK1500" s="2251"/>
      <c r="DL1500" s="2251"/>
      <c r="DM1500" s="2251"/>
      <c r="DN1500" s="2251"/>
      <c r="DO1500" s="2251"/>
      <c r="DP1500" s="2251"/>
      <c r="DQ1500" s="2251"/>
      <c r="DR1500" s="2251"/>
      <c r="DS1500" s="2251"/>
      <c r="DT1500" s="2251"/>
      <c r="DU1500" s="2251"/>
      <c r="DV1500" s="2251"/>
      <c r="DW1500" s="2251"/>
      <c r="DX1500" s="2251"/>
      <c r="DY1500" s="2251"/>
      <c r="DZ1500" s="2251"/>
      <c r="EA1500" s="2251"/>
      <c r="EB1500" s="2251"/>
      <c r="EC1500" s="2251"/>
      <c r="ED1500" s="2251"/>
      <c r="EE1500" s="2251"/>
      <c r="EF1500" s="2251"/>
      <c r="EG1500" s="2251"/>
      <c r="EH1500" s="2251"/>
      <c r="EI1500" s="2251"/>
      <c r="EJ1500" s="2251"/>
      <c r="EK1500" s="2251"/>
      <c r="EL1500" s="2251"/>
      <c r="EM1500" s="2251"/>
      <c r="EN1500" s="2251"/>
      <c r="EO1500" s="2251"/>
      <c r="EP1500" s="2251"/>
      <c r="EQ1500" s="2251"/>
      <c r="ER1500" s="2251"/>
      <c r="ES1500" s="2251"/>
      <c r="ET1500" s="2251"/>
      <c r="EU1500" s="2251"/>
      <c r="EV1500" s="2251"/>
      <c r="EW1500" s="2251"/>
      <c r="EX1500" s="2251"/>
      <c r="EY1500" s="2251"/>
      <c r="EZ1500" s="2251"/>
      <c r="FA1500" s="2251"/>
      <c r="FB1500" s="2251"/>
      <c r="FC1500" s="2251"/>
      <c r="FD1500" s="2251"/>
      <c r="FE1500" s="2251"/>
      <c r="FF1500" s="2251"/>
      <c r="FG1500" s="2251"/>
      <c r="FH1500" s="2251"/>
      <c r="FI1500" s="2251"/>
      <c r="FJ1500" s="2251"/>
      <c r="FK1500" s="2251"/>
      <c r="FL1500" s="2251"/>
      <c r="FM1500" s="2251"/>
      <c r="FN1500" s="2251"/>
      <c r="FO1500" s="2251"/>
      <c r="FP1500" s="2251"/>
      <c r="FQ1500" s="2251"/>
      <c r="FR1500" s="2251"/>
      <c r="FS1500" s="2251"/>
      <c r="FT1500" s="2251"/>
      <c r="FU1500" s="2251"/>
      <c r="FV1500" s="2251"/>
      <c r="FW1500" s="2251"/>
      <c r="FX1500" s="2251"/>
      <c r="FY1500" s="2251"/>
      <c r="FZ1500" s="2251"/>
      <c r="GA1500" s="2251"/>
      <c r="GB1500" s="2251"/>
      <c r="GC1500" s="2251"/>
      <c r="GD1500" s="2251"/>
      <c r="GE1500" s="2251"/>
      <c r="GF1500" s="2251"/>
      <c r="GG1500" s="2251"/>
      <c r="GH1500" s="2251"/>
      <c r="GI1500" s="2251"/>
      <c r="GJ1500" s="2251"/>
      <c r="GK1500" s="2251"/>
      <c r="GL1500" s="2251"/>
      <c r="GM1500" s="2251"/>
      <c r="GN1500" s="2251"/>
      <c r="GO1500" s="2251"/>
      <c r="GP1500" s="2251"/>
      <c r="GQ1500" s="2251"/>
      <c r="GR1500" s="2251"/>
      <c r="GS1500" s="2251"/>
      <c r="GT1500" s="2251"/>
      <c r="GU1500" s="2251"/>
      <c r="GV1500" s="2251"/>
      <c r="GW1500" s="2251"/>
      <c r="GX1500" s="2251"/>
      <c r="GY1500" s="2251"/>
      <c r="GZ1500" s="2251"/>
      <c r="HA1500" s="2251"/>
      <c r="HB1500" s="2251"/>
      <c r="HC1500" s="2251"/>
      <c r="HD1500" s="2251"/>
      <c r="HE1500" s="2251"/>
      <c r="HF1500" s="2251"/>
      <c r="HG1500" s="2251"/>
      <c r="HH1500" s="2251"/>
      <c r="HI1500" s="2251"/>
      <c r="HJ1500" s="2251"/>
      <c r="HK1500" s="2251"/>
      <c r="HL1500" s="2251"/>
      <c r="HM1500" s="2251"/>
      <c r="HN1500" s="2251"/>
      <c r="HO1500" s="2251"/>
      <c r="HP1500" s="2251"/>
      <c r="HQ1500" s="2251"/>
      <c r="HR1500" s="2251"/>
      <c r="HS1500" s="2251"/>
      <c r="HT1500" s="2251"/>
      <c r="HU1500" s="2251"/>
      <c r="HV1500" s="2251"/>
      <c r="HW1500" s="2251"/>
      <c r="HX1500" s="2251"/>
      <c r="HY1500" s="2251"/>
      <c r="HZ1500" s="2251"/>
      <c r="IA1500" s="2251"/>
      <c r="IB1500" s="2251"/>
      <c r="IC1500" s="2251"/>
      <c r="ID1500" s="2251"/>
      <c r="IE1500" s="2251"/>
      <c r="IF1500" s="2251"/>
      <c r="IG1500" s="2251"/>
      <c r="IH1500" s="2251"/>
      <c r="II1500" s="2251"/>
      <c r="IJ1500" s="2251"/>
      <c r="IK1500" s="2251"/>
      <c r="IL1500" s="2251"/>
      <c r="IM1500" s="2251"/>
      <c r="IN1500" s="2251"/>
      <c r="IO1500" s="2251"/>
      <c r="IP1500" s="2251"/>
      <c r="IQ1500" s="2251"/>
      <c r="IR1500" s="2251"/>
      <c r="IS1500" s="2251"/>
      <c r="IT1500" s="2251"/>
      <c r="IU1500" s="2251"/>
      <c r="IV1500" s="2251"/>
    </row>
    <row r="1501" spans="1:256 1523:1523" s="2607" customFormat="1" ht="22.5" customHeight="1">
      <c r="A1501" s="2730" t="s">
        <v>731</v>
      </c>
      <c r="B1501" s="2729" t="s">
        <v>6872</v>
      </c>
      <c r="C1501" s="2729"/>
      <c r="D1501" s="2729"/>
      <c r="E1501" s="2729"/>
      <c r="F1501" s="2729"/>
      <c r="G1501" s="2729"/>
      <c r="H1501" s="2729"/>
      <c r="I1501" s="2729"/>
      <c r="J1501" s="2729"/>
      <c r="K1501" s="2729"/>
      <c r="L1501" s="2729"/>
      <c r="M1501" s="2729"/>
      <c r="N1501" s="2729"/>
      <c r="O1501" s="2759" t="s">
        <v>731</v>
      </c>
      <c r="P1501" s="2251"/>
      <c r="Q1501" s="2251"/>
    </row>
    <row r="1502" spans="1:256 1523:1523" s="2607" customFormat="1" ht="11.25" customHeight="1">
      <c r="A1502" s="2750"/>
      <c r="B1502" s="2731" t="s">
        <v>1694</v>
      </c>
      <c r="C1502" s="2729" t="str">
        <f>'Part VIII-Threshold Criteria'!C332</f>
        <v>N/A</v>
      </c>
      <c r="D1502" s="2729"/>
      <c r="E1502" s="2729"/>
      <c r="F1502" s="2729"/>
      <c r="G1502" s="2729"/>
      <c r="H1502" s="2729"/>
      <c r="I1502" s="2729"/>
      <c r="J1502" s="2729"/>
      <c r="K1502" s="2729"/>
      <c r="L1502" s="2729"/>
      <c r="M1502" s="2729"/>
      <c r="N1502" s="2729"/>
      <c r="O1502" s="2730" t="s">
        <v>1694</v>
      </c>
      <c r="P1502" s="2740">
        <f>'Part VIII-Threshold Criteria'!P332</f>
        <v>0</v>
      </c>
      <c r="Q1502" s="2740"/>
    </row>
    <row r="1503" spans="1:256 1523:1523" s="2607" customFormat="1" ht="11.25" customHeight="1">
      <c r="A1503" s="2750"/>
      <c r="B1503" s="2731" t="s">
        <v>1695</v>
      </c>
      <c r="C1503" s="2729" t="str">
        <f>'Part VIII-Threshold Criteria'!C333</f>
        <v>N/A</v>
      </c>
      <c r="D1503" s="2729"/>
      <c r="E1503" s="2729"/>
      <c r="F1503" s="2729"/>
      <c r="G1503" s="2729"/>
      <c r="H1503" s="2729"/>
      <c r="I1503" s="2729"/>
      <c r="J1503" s="2729"/>
      <c r="K1503" s="2729"/>
      <c r="L1503" s="2729"/>
      <c r="M1503" s="2729"/>
      <c r="N1503" s="2729"/>
      <c r="O1503" s="2730" t="s">
        <v>1695</v>
      </c>
      <c r="P1503" s="2740">
        <f>'Part VIII-Threshold Criteria'!P333</f>
        <v>0</v>
      </c>
      <c r="Q1503" s="2740"/>
    </row>
    <row r="1504" spans="1:256 1523:1523" ht="3" customHeight="1">
      <c r="A1504" s="2251"/>
      <c r="B1504" s="2251"/>
      <c r="C1504" s="2251"/>
      <c r="D1504" s="2251"/>
      <c r="E1504" s="2251"/>
      <c r="F1504" s="2251"/>
      <c r="G1504" s="2251"/>
      <c r="H1504" s="2251"/>
      <c r="I1504" s="2251"/>
      <c r="J1504" s="2251"/>
      <c r="K1504" s="2251"/>
      <c r="L1504" s="2251"/>
      <c r="M1504" s="2251"/>
      <c r="N1504" s="2251"/>
      <c r="O1504" s="2251"/>
      <c r="P1504" s="2251"/>
      <c r="Q1504" s="2251"/>
      <c r="R1504" s="2251"/>
      <c r="S1504" s="2251"/>
      <c r="T1504" s="2251"/>
      <c r="U1504" s="2251"/>
      <c r="V1504" s="2251"/>
      <c r="W1504" s="2251"/>
      <c r="X1504" s="2251"/>
      <c r="Y1504" s="2251"/>
      <c r="Z1504" s="2251"/>
      <c r="AA1504" s="2251"/>
      <c r="AB1504" s="2251"/>
      <c r="AC1504" s="2251"/>
      <c r="AD1504" s="2251"/>
      <c r="AE1504" s="2251"/>
      <c r="AF1504" s="2251"/>
      <c r="AG1504" s="2251"/>
      <c r="AH1504" s="2251"/>
      <c r="AI1504" s="2251"/>
      <c r="AJ1504" s="2251"/>
      <c r="AK1504" s="2251"/>
      <c r="AL1504" s="2251"/>
      <c r="AM1504" s="2251"/>
      <c r="AN1504" s="2251"/>
      <c r="AO1504" s="2251"/>
      <c r="AP1504" s="2251"/>
      <c r="AQ1504" s="2251"/>
      <c r="AR1504" s="2251"/>
      <c r="AS1504" s="2251"/>
      <c r="AT1504" s="2251"/>
      <c r="AU1504" s="2251"/>
      <c r="AV1504" s="2251"/>
      <c r="AW1504" s="2251"/>
      <c r="AX1504" s="2251"/>
      <c r="AY1504" s="2251"/>
      <c r="AZ1504" s="2251"/>
      <c r="BA1504" s="2251"/>
      <c r="BB1504" s="2251"/>
      <c r="BC1504" s="2251"/>
      <c r="BD1504" s="2251"/>
      <c r="BE1504" s="2251"/>
      <c r="BF1504" s="2251"/>
      <c r="BG1504" s="2251"/>
      <c r="BH1504" s="2251"/>
      <c r="BI1504" s="2251"/>
      <c r="BJ1504" s="2251"/>
      <c r="BK1504" s="2251"/>
      <c r="BL1504" s="2251"/>
      <c r="BM1504" s="2251"/>
      <c r="BN1504" s="2251"/>
      <c r="BO1504" s="2251"/>
      <c r="BP1504" s="2251"/>
      <c r="BQ1504" s="2251"/>
      <c r="BR1504" s="2251"/>
      <c r="BS1504" s="2251"/>
      <c r="BT1504" s="2251"/>
      <c r="BU1504" s="2251"/>
      <c r="BV1504" s="2251"/>
      <c r="BW1504" s="2251"/>
      <c r="BX1504" s="2251"/>
      <c r="BY1504" s="2251"/>
      <c r="BZ1504" s="2251"/>
      <c r="CA1504" s="2251"/>
      <c r="CB1504" s="2251"/>
      <c r="CC1504" s="2251"/>
      <c r="CD1504" s="2251"/>
      <c r="CE1504" s="2251"/>
      <c r="CF1504" s="2251"/>
      <c r="CG1504" s="2251"/>
      <c r="CH1504" s="2251"/>
      <c r="CI1504" s="2251"/>
      <c r="CJ1504" s="2251"/>
      <c r="CK1504" s="2251"/>
      <c r="CL1504" s="2251"/>
      <c r="CM1504" s="2251"/>
      <c r="CN1504" s="2251"/>
      <c r="CO1504" s="2251"/>
      <c r="CP1504" s="2251"/>
      <c r="CQ1504" s="2251"/>
      <c r="CR1504" s="2251"/>
      <c r="CS1504" s="2251"/>
      <c r="CT1504" s="2251"/>
      <c r="CU1504" s="2251"/>
      <c r="CV1504" s="2251"/>
      <c r="CW1504" s="2251"/>
      <c r="CX1504" s="2251"/>
      <c r="CY1504" s="2251"/>
      <c r="CZ1504" s="2251"/>
      <c r="DA1504" s="2251"/>
      <c r="DB1504" s="2251"/>
      <c r="DC1504" s="2251"/>
      <c r="DD1504" s="2251"/>
      <c r="DE1504" s="2251"/>
      <c r="DF1504" s="2251"/>
      <c r="DG1504" s="2251"/>
      <c r="DH1504" s="2251"/>
      <c r="DI1504" s="2251"/>
      <c r="DJ1504" s="2251"/>
      <c r="DK1504" s="2251"/>
      <c r="DL1504" s="2251"/>
      <c r="DM1504" s="2251"/>
      <c r="DN1504" s="2251"/>
      <c r="DO1504" s="2251"/>
      <c r="DP1504" s="2251"/>
      <c r="DQ1504" s="2251"/>
      <c r="DR1504" s="2251"/>
      <c r="DS1504" s="2251"/>
      <c r="DT1504" s="2251"/>
      <c r="DU1504" s="2251"/>
      <c r="DV1504" s="2251"/>
      <c r="DW1504" s="2251"/>
      <c r="DX1504" s="2251"/>
      <c r="DY1504" s="2251"/>
      <c r="DZ1504" s="2251"/>
      <c r="EA1504" s="2251"/>
      <c r="EB1504" s="2251"/>
      <c r="EC1504" s="2251"/>
      <c r="ED1504" s="2251"/>
      <c r="EE1504" s="2251"/>
      <c r="EF1504" s="2251"/>
      <c r="EG1504" s="2251"/>
      <c r="EH1504" s="2251"/>
      <c r="EI1504" s="2251"/>
      <c r="EJ1504" s="2251"/>
      <c r="EK1504" s="2251"/>
      <c r="EL1504" s="2251"/>
      <c r="EM1504" s="2251"/>
      <c r="EN1504" s="2251"/>
      <c r="EO1504" s="2251"/>
      <c r="EP1504" s="2251"/>
      <c r="EQ1504" s="2251"/>
      <c r="ER1504" s="2251"/>
      <c r="ES1504" s="2251"/>
      <c r="ET1504" s="2251"/>
      <c r="EU1504" s="2251"/>
      <c r="EV1504" s="2251"/>
      <c r="EW1504" s="2251"/>
      <c r="EX1504" s="2251"/>
      <c r="EY1504" s="2251"/>
      <c r="EZ1504" s="2251"/>
      <c r="FA1504" s="2251"/>
      <c r="FB1504" s="2251"/>
      <c r="FC1504" s="2251"/>
      <c r="FD1504" s="2251"/>
      <c r="FE1504" s="2251"/>
      <c r="FF1504" s="2251"/>
      <c r="FG1504" s="2251"/>
      <c r="FH1504" s="2251"/>
      <c r="FI1504" s="2251"/>
      <c r="FJ1504" s="2251"/>
      <c r="FK1504" s="2251"/>
      <c r="FL1504" s="2251"/>
      <c r="FM1504" s="2251"/>
      <c r="FN1504" s="2251"/>
      <c r="FO1504" s="2251"/>
      <c r="FP1504" s="2251"/>
      <c r="FQ1504" s="2251"/>
      <c r="FR1504" s="2251"/>
      <c r="FS1504" s="2251"/>
      <c r="FT1504" s="2251"/>
      <c r="FU1504" s="2251"/>
      <c r="FV1504" s="2251"/>
      <c r="FW1504" s="2251"/>
      <c r="FX1504" s="2251"/>
      <c r="FY1504" s="2251"/>
      <c r="FZ1504" s="2251"/>
      <c r="GA1504" s="2251"/>
      <c r="GB1504" s="2251"/>
      <c r="GC1504" s="2251"/>
      <c r="GD1504" s="2251"/>
      <c r="GE1504" s="2251"/>
      <c r="GF1504" s="2251"/>
      <c r="GG1504" s="2251"/>
      <c r="GH1504" s="2251"/>
      <c r="GI1504" s="2251"/>
      <c r="GJ1504" s="2251"/>
      <c r="GK1504" s="2251"/>
      <c r="GL1504" s="2251"/>
      <c r="GM1504" s="2251"/>
      <c r="GN1504" s="2251"/>
      <c r="GO1504" s="2251"/>
      <c r="GP1504" s="2251"/>
      <c r="GQ1504" s="2251"/>
      <c r="GR1504" s="2251"/>
      <c r="GS1504" s="2251"/>
      <c r="GT1504" s="2251"/>
      <c r="GU1504" s="2251"/>
      <c r="GV1504" s="2251"/>
      <c r="GW1504" s="2251"/>
      <c r="GX1504" s="2251"/>
      <c r="GY1504" s="2251"/>
      <c r="GZ1504" s="2251"/>
      <c r="HA1504" s="2251"/>
      <c r="HB1504" s="2251"/>
      <c r="HC1504" s="2251"/>
      <c r="HD1504" s="2251"/>
      <c r="HE1504" s="2251"/>
      <c r="HF1504" s="2251"/>
      <c r="HG1504" s="2251"/>
      <c r="HH1504" s="2251"/>
      <c r="HI1504" s="2251"/>
      <c r="HJ1504" s="2251"/>
      <c r="HK1504" s="2251"/>
      <c r="HL1504" s="2251"/>
      <c r="HM1504" s="2251"/>
      <c r="HN1504" s="2251"/>
      <c r="HO1504" s="2251"/>
      <c r="HP1504" s="2251"/>
      <c r="HQ1504" s="2251"/>
      <c r="HR1504" s="2251"/>
      <c r="HS1504" s="2251"/>
      <c r="HT1504" s="2251"/>
      <c r="HU1504" s="2251"/>
      <c r="HV1504" s="2251"/>
      <c r="HW1504" s="2251"/>
      <c r="HX1504" s="2251"/>
      <c r="HY1504" s="2251"/>
      <c r="HZ1504" s="2251"/>
      <c r="IA1504" s="2251"/>
      <c r="IB1504" s="2251"/>
      <c r="IC1504" s="2251"/>
      <c r="ID1504" s="2251"/>
      <c r="IE1504" s="2251"/>
      <c r="IF1504" s="2251"/>
      <c r="IG1504" s="2251"/>
      <c r="IH1504" s="2251"/>
      <c r="II1504" s="2251"/>
      <c r="IJ1504" s="2251"/>
      <c r="IK1504" s="2251"/>
      <c r="IL1504" s="2251"/>
      <c r="IM1504" s="2251"/>
      <c r="IN1504" s="2251"/>
      <c r="IO1504" s="2251"/>
      <c r="IP1504" s="2251"/>
      <c r="IQ1504" s="2251"/>
      <c r="IR1504" s="2251"/>
      <c r="IS1504" s="2251"/>
      <c r="IT1504" s="2251"/>
      <c r="IU1504" s="2251"/>
      <c r="IV1504" s="2251"/>
    </row>
    <row r="1505" spans="1:31" ht="11.25" customHeight="1">
      <c r="B1505" s="2684" t="s">
        <v>3571</v>
      </c>
      <c r="D1505" s="2684"/>
      <c r="E1505" s="2684"/>
      <c r="F1505" s="2684"/>
      <c r="G1505" s="2684"/>
      <c r="H1505" s="2684"/>
      <c r="I1505" s="1550"/>
      <c r="J1505" s="1550"/>
      <c r="K1505" s="1550"/>
      <c r="L1505" s="2251"/>
      <c r="M1505" s="2251"/>
      <c r="N1505" s="2251"/>
      <c r="O1505" s="2251"/>
      <c r="P1505" s="2251"/>
      <c r="Q1505" s="2251"/>
    </row>
    <row r="1506" spans="1:31" ht="11.4" customHeight="1">
      <c r="A1506" s="2729" t="str">
        <f>'Part VIII-Threshold Criteria'!A336</f>
        <v>All architecural design standards will be met.</v>
      </c>
      <c r="B1506" s="2729"/>
      <c r="C1506" s="2729"/>
      <c r="D1506" s="2729"/>
      <c r="E1506" s="2729"/>
      <c r="F1506" s="2729"/>
      <c r="G1506" s="2729"/>
      <c r="H1506" s="2729"/>
      <c r="I1506" s="2729"/>
      <c r="J1506" s="2729"/>
      <c r="K1506" s="2729"/>
      <c r="L1506" s="2729"/>
      <c r="M1506" s="2729"/>
      <c r="N1506" s="2729"/>
      <c r="O1506" s="2729"/>
      <c r="P1506" s="2729"/>
      <c r="Q1506" s="2729"/>
      <c r="R1506" s="2744" t="s">
        <v>1228</v>
      </c>
      <c r="S1506" s="2408"/>
      <c r="U1506" s="2654"/>
      <c r="V1506" s="2654"/>
      <c r="W1506" s="2654"/>
      <c r="X1506" s="2654"/>
      <c r="Y1506" s="2654"/>
      <c r="Z1506" s="2654"/>
      <c r="AA1506" s="2654"/>
      <c r="AB1506" s="2654"/>
      <c r="AC1506" s="2654"/>
      <c r="AD1506" s="2654"/>
      <c r="AE1506" s="2654"/>
    </row>
    <row r="1507" spans="1:31" ht="11.25" customHeight="1">
      <c r="B1507" s="2729" t="s">
        <v>1820</v>
      </c>
      <c r="C1507" s="2729"/>
      <c r="D1507" s="2731"/>
      <c r="E1507" s="2731"/>
      <c r="F1507" s="2731"/>
      <c r="G1507" s="2731"/>
      <c r="H1507" s="2731"/>
      <c r="I1507" s="2731"/>
      <c r="J1507" s="2731"/>
      <c r="K1507" s="2731"/>
      <c r="L1507" s="2731"/>
      <c r="M1507" s="2731"/>
      <c r="N1507" s="2731"/>
      <c r="O1507" s="2731"/>
      <c r="P1507" s="2731"/>
      <c r="Q1507" s="2731"/>
    </row>
    <row r="1508" spans="1:31" ht="11.4" customHeight="1">
      <c r="A1508" s="2729"/>
      <c r="B1508" s="2729"/>
      <c r="C1508" s="2729"/>
      <c r="D1508" s="2729"/>
      <c r="E1508" s="2729"/>
      <c r="F1508" s="2729"/>
      <c r="G1508" s="2729"/>
      <c r="H1508" s="2729"/>
      <c r="I1508" s="2729"/>
      <c r="J1508" s="2729"/>
      <c r="K1508" s="2729"/>
      <c r="L1508" s="2729"/>
      <c r="M1508" s="2729"/>
      <c r="N1508" s="2729"/>
      <c r="O1508" s="2729"/>
      <c r="P1508" s="2729"/>
      <c r="Q1508" s="2729"/>
    </row>
    <row r="1509" spans="1:31" ht="14.1" customHeight="1">
      <c r="A1509" s="2649" t="s">
        <v>3793</v>
      </c>
      <c r="B1509" s="2649" t="s">
        <v>3814</v>
      </c>
      <c r="C1509" s="2649"/>
      <c r="D1509" s="2731"/>
      <c r="E1509" s="2731"/>
      <c r="F1509" s="2731"/>
      <c r="G1509" s="2731"/>
      <c r="H1509" s="2731"/>
      <c r="O1509" s="2730" t="s">
        <v>1821</v>
      </c>
      <c r="P1509" s="2654"/>
      <c r="Q1509" s="2654"/>
    </row>
    <row r="1510" spans="1:31" ht="11.4" customHeight="1">
      <c r="A1510" s="2749" t="s">
        <v>1936</v>
      </c>
      <c r="B1510" s="2618" t="s">
        <v>4719</v>
      </c>
      <c r="O1510" s="2730" t="s">
        <v>1936</v>
      </c>
      <c r="P1510" s="1550" t="str">
        <f>'Part VIII-Threshold Criteria'!P340</f>
        <v>Yes</v>
      </c>
      <c r="Q1510" s="1550"/>
    </row>
    <row r="1511" spans="1:31" ht="11.4" customHeight="1">
      <c r="A1511" s="2730" t="s">
        <v>1938</v>
      </c>
      <c r="B1511" s="2618" t="s">
        <v>3781</v>
      </c>
      <c r="O1511" s="2730" t="s">
        <v>1938</v>
      </c>
      <c r="P1511" s="1550" t="str">
        <f>'Part VIII-Threshold Criteria'!P341</f>
        <v>Yes</v>
      </c>
      <c r="Q1511" s="1550"/>
    </row>
    <row r="1512" spans="1:31" ht="11.4" customHeight="1">
      <c r="A1512" s="2730" t="s">
        <v>731</v>
      </c>
      <c r="B1512" s="2618" t="s">
        <v>2291</v>
      </c>
      <c r="O1512" s="2730" t="s">
        <v>731</v>
      </c>
      <c r="P1512" s="1550" t="str">
        <f>'Part VIII-Threshold Criteria'!P342</f>
        <v>No</v>
      </c>
      <c r="Q1512" s="1550"/>
    </row>
    <row r="1513" spans="1:31" ht="11.4" customHeight="1">
      <c r="A1513" s="2749" t="s">
        <v>2065</v>
      </c>
      <c r="B1513" s="2618" t="s">
        <v>3633</v>
      </c>
      <c r="O1513" s="2749" t="s">
        <v>2065</v>
      </c>
      <c r="P1513" s="1550" t="str">
        <f>'Part VIII-Threshold Criteria'!P343</f>
        <v>No</v>
      </c>
      <c r="Q1513" s="1550"/>
    </row>
    <row r="1514" spans="1:31" ht="11.4" customHeight="1">
      <c r="A1514" s="2730" t="s">
        <v>1692</v>
      </c>
      <c r="B1514" s="2618" t="s">
        <v>2782</v>
      </c>
      <c r="N1514" s="2730" t="s">
        <v>1692</v>
      </c>
      <c r="O1514" s="2650" t="str">
        <f>'Part VIII-Threshold Criteria'!O344</f>
        <v>Certifying GP/Developer</v>
      </c>
      <c r="P1514" s="2650"/>
      <c r="Q1514" s="2650"/>
    </row>
    <row r="1515" spans="1:31" ht="11.4" customHeight="1">
      <c r="A1515" s="2730" t="s">
        <v>1693</v>
      </c>
      <c r="B1515" s="2618" t="s">
        <v>2292</v>
      </c>
      <c r="N1515" s="2730" t="s">
        <v>1693</v>
      </c>
      <c r="O1515" s="2650" t="s">
        <v>2783</v>
      </c>
      <c r="P1515" s="2650"/>
      <c r="Q1515" s="2650"/>
    </row>
    <row r="1516" spans="1:31" ht="11.25" customHeight="1">
      <c r="B1516" s="2684" t="s">
        <v>3571</v>
      </c>
      <c r="D1516" s="2684"/>
      <c r="E1516" s="2684"/>
      <c r="F1516" s="2684"/>
      <c r="G1516" s="2684"/>
      <c r="H1516" s="2684"/>
      <c r="I1516" s="1550"/>
      <c r="J1516" s="1550"/>
      <c r="K1516" s="1550"/>
      <c r="L1516" s="2251"/>
      <c r="M1516" s="2251"/>
      <c r="N1516" s="2251"/>
      <c r="O1516" s="2251"/>
      <c r="P1516" s="2251"/>
      <c r="Q1516" s="2251"/>
    </row>
    <row r="1517" spans="1:31" ht="13.35" customHeight="1">
      <c r="A1517" s="2729" t="str">
        <f>'Part VIII-Threshold Criteria'!A347</f>
        <v>Brian Parent was qualified without conditions under pre-application 2020PA-517 Lakeview Terrace</v>
      </c>
      <c r="B1517" s="2729"/>
      <c r="C1517" s="2729"/>
      <c r="D1517" s="2729"/>
      <c r="E1517" s="2729"/>
      <c r="F1517" s="2729"/>
      <c r="G1517" s="2729"/>
      <c r="H1517" s="2729"/>
      <c r="I1517" s="2729"/>
      <c r="J1517" s="2729"/>
      <c r="K1517" s="2729"/>
      <c r="L1517" s="2729"/>
      <c r="M1517" s="2729"/>
      <c r="N1517" s="2729"/>
      <c r="O1517" s="2729"/>
      <c r="P1517" s="2729"/>
      <c r="Q1517" s="2729"/>
      <c r="R1517" s="2497" t="s">
        <v>1228</v>
      </c>
      <c r="S1517" s="2497"/>
      <c r="U1517" s="2654"/>
      <c r="V1517" s="2654"/>
      <c r="W1517" s="2654"/>
      <c r="X1517" s="2654"/>
      <c r="Y1517" s="2654"/>
      <c r="Z1517" s="2654"/>
      <c r="AA1517" s="2654"/>
      <c r="AB1517" s="2654"/>
      <c r="AC1517" s="2654"/>
      <c r="AD1517" s="2654"/>
      <c r="AE1517" s="2654"/>
    </row>
    <row r="1518" spans="1:31" ht="11.25" customHeight="1">
      <c r="B1518" s="2729" t="s">
        <v>1820</v>
      </c>
      <c r="C1518" s="2729"/>
      <c r="D1518" s="2731"/>
      <c r="E1518" s="2731"/>
      <c r="F1518" s="2731"/>
      <c r="G1518" s="2731"/>
      <c r="H1518" s="2731"/>
      <c r="I1518" s="2731"/>
      <c r="J1518" s="2731"/>
      <c r="K1518" s="2731"/>
      <c r="L1518" s="2731"/>
      <c r="M1518" s="2731"/>
      <c r="N1518" s="2731"/>
      <c r="O1518" s="2731"/>
      <c r="P1518" s="2731"/>
      <c r="Q1518" s="2731"/>
    </row>
    <row r="1519" spans="1:31" ht="13.35" customHeight="1">
      <c r="A1519" s="2729"/>
      <c r="B1519" s="2729"/>
      <c r="C1519" s="2729"/>
      <c r="D1519" s="2729"/>
      <c r="E1519" s="2729"/>
      <c r="F1519" s="2729"/>
      <c r="G1519" s="2729"/>
      <c r="H1519" s="2729"/>
      <c r="I1519" s="2729"/>
      <c r="J1519" s="2729"/>
      <c r="K1519" s="2729"/>
      <c r="L1519" s="2729"/>
      <c r="M1519" s="2729"/>
      <c r="N1519" s="2729"/>
      <c r="O1519" s="2729"/>
      <c r="P1519" s="2729"/>
      <c r="Q1519" s="2729"/>
    </row>
    <row r="1520" spans="1:31" ht="2.25" customHeight="1">
      <c r="A1520" s="2251"/>
      <c r="B1520" s="1550"/>
      <c r="C1520" s="2731"/>
      <c r="D1520" s="2731"/>
      <c r="E1520" s="2731"/>
      <c r="F1520" s="2731"/>
      <c r="G1520" s="2731"/>
      <c r="H1520" s="2731"/>
      <c r="I1520" s="2731"/>
      <c r="J1520" s="2731"/>
      <c r="K1520" s="2731"/>
      <c r="L1520" s="2731"/>
      <c r="M1520" s="2731"/>
      <c r="N1520" s="2731"/>
      <c r="O1520" s="2731"/>
      <c r="P1520" s="2731"/>
      <c r="Q1520" s="2251"/>
    </row>
    <row r="1521" spans="1:31" ht="14.1" customHeight="1">
      <c r="A1521" s="2649" t="s">
        <v>3794</v>
      </c>
      <c r="B1521" s="2408" t="s">
        <v>3772</v>
      </c>
      <c r="C1521" s="2408"/>
      <c r="D1521" s="2408"/>
      <c r="E1521" s="2408"/>
      <c r="F1521" s="2408"/>
      <c r="G1521" s="2408"/>
      <c r="H1521" s="2731"/>
      <c r="I1521" s="2731"/>
      <c r="J1521" s="2731"/>
      <c r="K1521" s="2731"/>
      <c r="L1521" s="2731"/>
      <c r="M1521" s="2731"/>
      <c r="O1521" s="2730" t="s">
        <v>1821</v>
      </c>
      <c r="P1521" s="2654"/>
      <c r="Q1521" s="2654"/>
    </row>
    <row r="1522" spans="1:31" ht="10.5" customHeight="1">
      <c r="A1522" s="2749" t="s">
        <v>1936</v>
      </c>
      <c r="B1522" s="512" t="s">
        <v>3773</v>
      </c>
      <c r="D1522" s="2408"/>
      <c r="E1522" s="2408"/>
      <c r="F1522" s="2408"/>
      <c r="G1522" s="2408"/>
      <c r="H1522" s="2749" t="s">
        <v>1936</v>
      </c>
      <c r="I1522" s="512">
        <f>'Part VIII-Threshold Criteria'!I352</f>
        <v>0</v>
      </c>
      <c r="J1522" s="512"/>
      <c r="K1522" s="512"/>
      <c r="L1522" s="512"/>
      <c r="M1522" s="512"/>
      <c r="N1522" s="512"/>
      <c r="O1522" s="512"/>
      <c r="P1522" s="512"/>
      <c r="Q1522" s="1550"/>
    </row>
    <row r="1523" spans="1:31" ht="10.5" customHeight="1">
      <c r="A1523" s="2730" t="s">
        <v>1938</v>
      </c>
      <c r="B1523" s="512" t="s">
        <v>3774</v>
      </c>
      <c r="D1523" s="2408"/>
      <c r="E1523" s="2408"/>
      <c r="F1523" s="2408"/>
      <c r="G1523" s="2408"/>
      <c r="H1523" s="2730" t="s">
        <v>1938</v>
      </c>
      <c r="I1523" s="512">
        <f>'Part VIII-Threshold Criteria'!I353</f>
        <v>0</v>
      </c>
      <c r="J1523" s="512"/>
      <c r="K1523" s="512"/>
      <c r="L1523" s="512"/>
      <c r="M1523" s="512"/>
      <c r="N1523" s="512"/>
      <c r="O1523" s="512"/>
      <c r="P1523" s="512"/>
      <c r="Q1523" s="1550"/>
    </row>
    <row r="1524" spans="1:31" ht="21.75" customHeight="1">
      <c r="A1524" s="2730" t="s">
        <v>731</v>
      </c>
      <c r="B1524" s="512" t="s">
        <v>3765</v>
      </c>
      <c r="C1524" s="512"/>
      <c r="D1524" s="512"/>
      <c r="E1524" s="512"/>
      <c r="F1524" s="512"/>
      <c r="G1524" s="512"/>
      <c r="H1524" s="512"/>
      <c r="I1524" s="512"/>
      <c r="J1524" s="512"/>
      <c r="K1524" s="512"/>
      <c r="L1524" s="512"/>
      <c r="M1524" s="512"/>
      <c r="N1524" s="512"/>
      <c r="O1524" s="2730" t="s">
        <v>731</v>
      </c>
      <c r="P1524" s="2740">
        <f>'Part VIII-Threshold Criteria'!P354</f>
        <v>0</v>
      </c>
      <c r="Q1524" s="2740"/>
    </row>
    <row r="1525" spans="1:31" ht="21.75" customHeight="1">
      <c r="A1525" s="2730" t="s">
        <v>2065</v>
      </c>
      <c r="B1525" s="2729" t="s">
        <v>3766</v>
      </c>
      <c r="C1525" s="2729"/>
      <c r="D1525" s="2729"/>
      <c r="E1525" s="2729"/>
      <c r="F1525" s="2729"/>
      <c r="G1525" s="2729"/>
      <c r="H1525" s="2729"/>
      <c r="I1525" s="2729"/>
      <c r="J1525" s="2729"/>
      <c r="K1525" s="2729"/>
      <c r="L1525" s="2729"/>
      <c r="M1525" s="2729"/>
      <c r="N1525" s="2729"/>
      <c r="O1525" s="2749" t="s">
        <v>2065</v>
      </c>
      <c r="P1525" s="2740">
        <f>'Part VIII-Threshold Criteria'!P355</f>
        <v>0</v>
      </c>
      <c r="Q1525" s="2740"/>
    </row>
    <row r="1526" spans="1:31" ht="10.5" customHeight="1">
      <c r="A1526" s="2730" t="s">
        <v>1692</v>
      </c>
      <c r="B1526" s="512" t="s">
        <v>3767</v>
      </c>
      <c r="D1526" s="512"/>
      <c r="E1526" s="512"/>
      <c r="F1526" s="512"/>
      <c r="G1526" s="512"/>
      <c r="H1526" s="512"/>
      <c r="I1526" s="512"/>
      <c r="J1526" s="512"/>
      <c r="K1526" s="512"/>
      <c r="L1526" s="512"/>
      <c r="M1526" s="512"/>
      <c r="O1526" s="2730" t="s">
        <v>1692</v>
      </c>
      <c r="P1526" s="1550">
        <f>'Part VIII-Threshold Criteria'!P356</f>
        <v>0</v>
      </c>
      <c r="Q1526" s="1550"/>
    </row>
    <row r="1527" spans="1:31" s="2607" customFormat="1" ht="21.75" customHeight="1">
      <c r="A1527" s="2730" t="s">
        <v>1693</v>
      </c>
      <c r="B1527" s="2729" t="s">
        <v>3768</v>
      </c>
      <c r="C1527" s="2729"/>
      <c r="D1527" s="2729"/>
      <c r="E1527" s="2729"/>
      <c r="F1527" s="2729"/>
      <c r="G1527" s="2729"/>
      <c r="H1527" s="2729"/>
      <c r="I1527" s="2729"/>
      <c r="J1527" s="2729"/>
      <c r="K1527" s="2729"/>
      <c r="L1527" s="2729"/>
      <c r="M1527" s="2729"/>
      <c r="N1527" s="2729"/>
      <c r="O1527" s="2730" t="s">
        <v>1693</v>
      </c>
      <c r="P1527" s="2740">
        <f>'Part VIII-Threshold Criteria'!P357</f>
        <v>0</v>
      </c>
      <c r="Q1527" s="2740"/>
    </row>
    <row r="1528" spans="1:31" s="2607" customFormat="1" ht="10.5" customHeight="1">
      <c r="A1528" s="2730" t="s">
        <v>1900</v>
      </c>
      <c r="B1528" s="2729" t="s">
        <v>3769</v>
      </c>
      <c r="D1528" s="2729"/>
      <c r="E1528" s="2729"/>
      <c r="F1528" s="2729"/>
      <c r="G1528" s="2729"/>
      <c r="H1528" s="2729"/>
      <c r="I1528" s="2729"/>
      <c r="J1528" s="2729"/>
      <c r="K1528" s="2729"/>
      <c r="L1528" s="2729"/>
      <c r="M1528" s="2729"/>
      <c r="N1528" s="2729"/>
      <c r="O1528" s="2730" t="s">
        <v>1900</v>
      </c>
      <c r="P1528" s="2740">
        <f>'Part VIII-Threshold Criteria'!P358</f>
        <v>0</v>
      </c>
      <c r="Q1528" s="2740"/>
    </row>
    <row r="1529" spans="1:31" s="2607" customFormat="1" ht="10.5" customHeight="1">
      <c r="C1529" s="2731" t="s">
        <v>6897</v>
      </c>
      <c r="E1529" s="2731"/>
      <c r="F1529" s="2731"/>
      <c r="G1529" s="2731"/>
      <c r="H1529" s="2731"/>
      <c r="I1529" s="2731"/>
      <c r="J1529" s="2731"/>
      <c r="K1529" s="2731"/>
      <c r="L1529" s="2731"/>
      <c r="M1529" s="2731"/>
      <c r="N1529" s="2731"/>
      <c r="P1529" s="2740">
        <f>'Part VIII-Threshold Criteria'!P359</f>
        <v>0</v>
      </c>
      <c r="Q1529" s="2740"/>
    </row>
    <row r="1530" spans="1:31" ht="21.75" customHeight="1">
      <c r="A1530" s="2730" t="s">
        <v>3264</v>
      </c>
      <c r="B1530" s="2729" t="s">
        <v>3770</v>
      </c>
      <c r="C1530" s="2729"/>
      <c r="D1530" s="2729"/>
      <c r="E1530" s="2729"/>
      <c r="F1530" s="2729"/>
      <c r="G1530" s="2729"/>
      <c r="H1530" s="2729"/>
      <c r="I1530" s="2729"/>
      <c r="J1530" s="2729"/>
      <c r="K1530" s="2729"/>
      <c r="L1530" s="2729"/>
      <c r="M1530" s="2729"/>
      <c r="N1530" s="2729"/>
      <c r="O1530" s="2730" t="s">
        <v>3264</v>
      </c>
      <c r="P1530" s="2740">
        <f>'Part VIII-Threshold Criteria'!P360</f>
        <v>0</v>
      </c>
      <c r="Q1530" s="2740"/>
    </row>
    <row r="1531" spans="1:31" ht="33" customHeight="1">
      <c r="A1531" s="2730" t="s">
        <v>598</v>
      </c>
      <c r="B1531" s="2729" t="s">
        <v>3771</v>
      </c>
      <c r="C1531" s="2729"/>
      <c r="D1531" s="2729"/>
      <c r="E1531" s="2729"/>
      <c r="F1531" s="2729"/>
      <c r="G1531" s="2729"/>
      <c r="H1531" s="2729"/>
      <c r="I1531" s="2729"/>
      <c r="J1531" s="2729"/>
      <c r="K1531" s="2729"/>
      <c r="L1531" s="2729"/>
      <c r="M1531" s="2729"/>
      <c r="N1531" s="2729"/>
      <c r="O1531" s="2730" t="s">
        <v>598</v>
      </c>
      <c r="P1531" s="2740">
        <f>'Part VIII-Threshold Criteria'!P361</f>
        <v>0</v>
      </c>
      <c r="Q1531" s="2740"/>
    </row>
    <row r="1532" spans="1:31" ht="10.5" customHeight="1">
      <c r="B1532" s="2684" t="s">
        <v>3571</v>
      </c>
      <c r="D1532" s="2684"/>
      <c r="E1532" s="2684"/>
      <c r="F1532" s="2684"/>
      <c r="G1532" s="2684"/>
      <c r="H1532" s="2684"/>
      <c r="I1532" s="1550"/>
      <c r="J1532" s="1550"/>
      <c r="K1532" s="1550"/>
      <c r="L1532" s="2251"/>
      <c r="M1532" s="2251"/>
      <c r="N1532" s="2251"/>
      <c r="O1532" s="2251"/>
      <c r="P1532" s="2251"/>
      <c r="Q1532" s="2251"/>
    </row>
    <row r="1533" spans="1:31" ht="31.5" customHeight="1">
      <c r="A1533" s="2729" t="str">
        <f>'Part VIII-Threshold Criteria'!A363</f>
        <v>N/A - There is not a non-profit associated with this application</v>
      </c>
      <c r="B1533" s="2729"/>
      <c r="C1533" s="2729"/>
      <c r="D1533" s="2729"/>
      <c r="E1533" s="2729"/>
      <c r="F1533" s="2729"/>
      <c r="G1533" s="2729"/>
      <c r="H1533" s="2729"/>
      <c r="I1533" s="2729"/>
      <c r="J1533" s="2729"/>
      <c r="K1533" s="2729"/>
      <c r="L1533" s="2729"/>
      <c r="M1533" s="2729"/>
      <c r="N1533" s="2729"/>
      <c r="O1533" s="2729"/>
      <c r="P1533" s="2729"/>
      <c r="Q1533" s="2729"/>
      <c r="U1533" s="2654"/>
      <c r="V1533" s="2654"/>
      <c r="W1533" s="2654"/>
      <c r="X1533" s="2654"/>
      <c r="Y1533" s="2654"/>
      <c r="Z1533" s="2654"/>
      <c r="AA1533" s="2654"/>
      <c r="AB1533" s="2654"/>
      <c r="AC1533" s="2654"/>
      <c r="AD1533" s="2654"/>
      <c r="AE1533" s="2654"/>
    </row>
    <row r="1534" spans="1:31" ht="10.5" customHeight="1">
      <c r="B1534" s="2729" t="s">
        <v>1820</v>
      </c>
      <c r="C1534" s="2729"/>
      <c r="D1534" s="2731"/>
      <c r="E1534" s="2731"/>
      <c r="F1534" s="2731"/>
      <c r="G1534" s="2731"/>
      <c r="H1534" s="2731"/>
      <c r="I1534" s="2731"/>
      <c r="J1534" s="2731"/>
      <c r="K1534" s="2731"/>
      <c r="L1534" s="2731"/>
      <c r="M1534" s="2731"/>
      <c r="N1534" s="2731"/>
      <c r="O1534" s="2731"/>
      <c r="P1534" s="2731"/>
      <c r="Q1534" s="2731"/>
    </row>
    <row r="1535" spans="1:31" ht="23.25" customHeight="1">
      <c r="A1535" s="2729"/>
      <c r="B1535" s="2729"/>
      <c r="C1535" s="2729"/>
      <c r="D1535" s="2729"/>
      <c r="E1535" s="2729"/>
      <c r="F1535" s="2729"/>
      <c r="G1535" s="2729"/>
      <c r="H1535" s="2729"/>
      <c r="I1535" s="2729"/>
      <c r="J1535" s="2729"/>
      <c r="K1535" s="2729"/>
      <c r="L1535" s="2729"/>
      <c r="M1535" s="2729"/>
      <c r="N1535" s="2729"/>
      <c r="O1535" s="2729"/>
      <c r="P1535" s="2729"/>
      <c r="Q1535" s="2729"/>
    </row>
    <row r="1536" spans="1:31" ht="3" customHeight="1">
      <c r="A1536" s="2251"/>
      <c r="B1536" s="1550"/>
      <c r="C1536" s="2731"/>
      <c r="D1536" s="2731"/>
      <c r="E1536" s="2731"/>
      <c r="F1536" s="2731"/>
      <c r="G1536" s="2731"/>
      <c r="H1536" s="2731"/>
      <c r="I1536" s="2731"/>
      <c r="J1536" s="2731"/>
      <c r="K1536" s="2731"/>
      <c r="L1536" s="2731"/>
      <c r="M1536" s="2731"/>
      <c r="Q1536" s="2251"/>
    </row>
    <row r="1537" spans="1:18" ht="14.1" customHeight="1">
      <c r="A1537" s="2649" t="s">
        <v>3797</v>
      </c>
      <c r="B1537" s="2408" t="s">
        <v>4703</v>
      </c>
      <c r="C1537" s="2408"/>
      <c r="D1537" s="2408"/>
      <c r="E1537" s="2408"/>
      <c r="F1537" s="2408"/>
      <c r="G1537" s="2408"/>
      <c r="H1537" s="2731"/>
      <c r="I1537" s="2731"/>
      <c r="J1537" s="2731"/>
      <c r="O1537" s="2730" t="s">
        <v>1821</v>
      </c>
      <c r="P1537" s="2654"/>
      <c r="Q1537" s="2654"/>
    </row>
    <row r="1538" spans="1:18" s="2408" customFormat="1" ht="10.5" customHeight="1">
      <c r="A1538" s="2749" t="s">
        <v>1936</v>
      </c>
      <c r="B1538" s="512" t="s">
        <v>3686</v>
      </c>
      <c r="D1538" s="512"/>
      <c r="E1538" s="512"/>
      <c r="F1538" s="512"/>
      <c r="G1538" s="512"/>
      <c r="H1538" s="512"/>
      <c r="I1538" s="512"/>
      <c r="J1538" s="512"/>
      <c r="K1538" s="512"/>
      <c r="L1538" s="512"/>
      <c r="M1538" s="512"/>
      <c r="N1538" s="512"/>
      <c r="O1538" s="512"/>
      <c r="P1538" s="512"/>
      <c r="Q1538" s="512"/>
      <c r="R1538" s="512"/>
    </row>
    <row r="1539" spans="1:18" s="2408" customFormat="1" ht="11.25" customHeight="1">
      <c r="A1539" s="2749"/>
      <c r="B1539" s="2684" t="s">
        <v>1694</v>
      </c>
      <c r="C1539" s="512" t="s">
        <v>4369</v>
      </c>
      <c r="D1539" s="512"/>
      <c r="E1539" s="512"/>
      <c r="F1539" s="512"/>
      <c r="H1539" s="512" t="s">
        <v>599</v>
      </c>
      <c r="J1539" s="512">
        <f>'Part VIII-Threshold Criteria'!J369</f>
        <v>0</v>
      </c>
      <c r="K1539" s="512"/>
      <c r="L1539" s="512"/>
      <c r="M1539" s="512"/>
      <c r="N1539" s="512" t="s">
        <v>3685</v>
      </c>
      <c r="O1539" s="512"/>
      <c r="P1539" s="512">
        <f>'Part VIII-Threshold Criteria'!P369</f>
        <v>0</v>
      </c>
      <c r="Q1539" s="512"/>
    </row>
    <row r="1540" spans="1:18" s="2408" customFormat="1" ht="11.25" customHeight="1">
      <c r="B1540" s="2684"/>
      <c r="C1540" s="2684"/>
      <c r="D1540" s="2684"/>
      <c r="E1540" s="2684"/>
      <c r="F1540" s="2684"/>
      <c r="G1540" s="2684"/>
      <c r="H1540" s="2684" t="s">
        <v>4495</v>
      </c>
      <c r="I1540" s="2684"/>
      <c r="J1540" s="512">
        <f>'Part VIII-Threshold Criteria'!J370</f>
        <v>0</v>
      </c>
      <c r="K1540" s="512"/>
      <c r="L1540" s="512"/>
      <c r="M1540" s="512"/>
      <c r="N1540" s="512"/>
      <c r="O1540" s="512"/>
      <c r="P1540" s="512"/>
      <c r="Q1540" s="512"/>
    </row>
    <row r="1541" spans="1:18" s="2408" customFormat="1" ht="11.25" customHeight="1">
      <c r="B1541" s="2684" t="s">
        <v>1695</v>
      </c>
      <c r="C1541" s="512" t="s">
        <v>3687</v>
      </c>
      <c r="J1541" s="2772">
        <f>'Part VIII-Threshold Criteria'!J371</f>
        <v>0</v>
      </c>
      <c r="K1541" s="2772"/>
      <c r="O1541" s="2749"/>
    </row>
    <row r="1542" spans="1:18" s="2408" customFormat="1" ht="11.25" customHeight="1">
      <c r="A1542" s="2749"/>
      <c r="B1542" s="2684" t="s">
        <v>1696</v>
      </c>
      <c r="C1542" s="512" t="s">
        <v>3688</v>
      </c>
      <c r="D1542" s="2652"/>
      <c r="E1542" s="512"/>
      <c r="I1542" s="512"/>
      <c r="J1542" s="512">
        <f>'Part I-Project Information'!K1210</f>
        <v>0</v>
      </c>
      <c r="K1542" s="512"/>
      <c r="L1542" s="2684" t="s">
        <v>3689</v>
      </c>
      <c r="M1542" s="512"/>
      <c r="N1542" s="512"/>
      <c r="O1542" s="2749" t="s">
        <v>1696</v>
      </c>
      <c r="P1542" s="1550">
        <f>'Part VIII-Threshold Criteria'!P372</f>
        <v>0</v>
      </c>
      <c r="Q1542" s="1550"/>
    </row>
    <row r="1543" spans="1:18" s="2408" customFormat="1" ht="11.25" customHeight="1">
      <c r="A1543" s="2749"/>
      <c r="B1543" s="2684" t="s">
        <v>2305</v>
      </c>
      <c r="C1543" s="512" t="s">
        <v>4363</v>
      </c>
      <c r="E1543" s="512"/>
      <c r="F1543" s="512"/>
      <c r="G1543" s="512"/>
      <c r="H1543" s="512" t="s">
        <v>4364</v>
      </c>
      <c r="I1543" s="512"/>
      <c r="J1543" s="2773">
        <f>'Part VIII-Threshold Criteria'!J373</f>
        <v>0</v>
      </c>
      <c r="K1543" s="2773"/>
      <c r="L1543" s="2773"/>
      <c r="M1543" s="2773"/>
      <c r="O1543" s="2749"/>
    </row>
    <row r="1544" spans="1:18" s="2408" customFormat="1" ht="11.25" customHeight="1">
      <c r="A1544" s="2749"/>
      <c r="B1544" s="2684"/>
      <c r="C1544" s="512"/>
      <c r="E1544" s="512"/>
      <c r="F1544" s="512"/>
      <c r="G1544" s="512"/>
      <c r="H1544" s="512" t="s">
        <v>4365</v>
      </c>
      <c r="I1544" s="512"/>
      <c r="J1544" s="512">
        <f>'Part VIII-Threshold Criteria'!J374</f>
        <v>0</v>
      </c>
      <c r="K1544" s="512"/>
      <c r="L1544" s="512"/>
      <c r="M1544" s="512"/>
      <c r="N1544" s="512"/>
      <c r="O1544" s="2749"/>
    </row>
    <row r="1545" spans="1:18" s="2408" customFormat="1" ht="11.25" customHeight="1">
      <c r="A1545" s="2749"/>
      <c r="B1545" s="2684" t="s">
        <v>1516</v>
      </c>
      <c r="C1545" s="512" t="s">
        <v>3690</v>
      </c>
      <c r="E1545" s="512"/>
      <c r="F1545" s="2773">
        <f>'Part IV-A-Uses of Funds'!J1352</f>
        <v>0</v>
      </c>
      <c r="G1545" s="2773"/>
      <c r="H1545" s="512" t="s">
        <v>3691</v>
      </c>
      <c r="I1545" s="512"/>
      <c r="J1545" s="2684" t="str">
        <f>IF(F1545&gt;'DCA Underwriting Assumptions'!$Q$146, "Request exceeds DCA per project maximum for set aside!!!","")</f>
        <v/>
      </c>
      <c r="K1545" s="2684"/>
      <c r="L1545" s="512"/>
      <c r="O1545" s="2749" t="s">
        <v>1516</v>
      </c>
      <c r="P1545" s="1550">
        <f>'Part VIII-Threshold Criteria'!P375</f>
        <v>0</v>
      </c>
      <c r="Q1545" s="1550"/>
    </row>
    <row r="1546" spans="1:18" s="2408" customFormat="1" ht="11.25" customHeight="1">
      <c r="A1546" s="2749"/>
      <c r="B1546" s="2684" t="s">
        <v>1517</v>
      </c>
      <c r="C1546" s="512" t="s">
        <v>4572</v>
      </c>
      <c r="E1546" s="512"/>
      <c r="F1546" s="512"/>
      <c r="G1546" s="512"/>
      <c r="H1546" s="512" t="s">
        <v>4366</v>
      </c>
      <c r="I1546" s="512"/>
      <c r="J1546" s="2773">
        <f>'Part VIII-Threshold Criteria'!J376</f>
        <v>0</v>
      </c>
      <c r="K1546" s="2773"/>
      <c r="L1546" s="2773"/>
      <c r="M1546" s="2773"/>
    </row>
    <row r="1547" spans="1:18" s="2408" customFormat="1" ht="11.25" customHeight="1">
      <c r="B1547" s="2684" t="s">
        <v>96</v>
      </c>
      <c r="C1547" s="512" t="s">
        <v>3692</v>
      </c>
      <c r="E1547" s="512"/>
      <c r="F1547" s="512"/>
      <c r="G1547" s="512"/>
      <c r="H1547" s="512"/>
      <c r="I1547" s="512"/>
      <c r="J1547" s="512"/>
      <c r="K1547" s="512"/>
      <c r="L1547" s="512"/>
      <c r="O1547" s="2749" t="s">
        <v>96</v>
      </c>
      <c r="P1547" s="1550">
        <f>'Part VIII-Threshold Criteria'!P377</f>
        <v>0</v>
      </c>
      <c r="Q1547" s="1550"/>
    </row>
    <row r="1548" spans="1:18" s="2408" customFormat="1" ht="11.25" customHeight="1">
      <c r="A1548" s="2749" t="s">
        <v>1938</v>
      </c>
      <c r="B1548" s="512" t="s">
        <v>3693</v>
      </c>
      <c r="D1548" s="512"/>
      <c r="E1548" s="512"/>
      <c r="F1548" s="512"/>
      <c r="G1548" s="512"/>
      <c r="H1548" s="512"/>
      <c r="P1548" s="512"/>
      <c r="Q1548" s="512"/>
      <c r="R1548" s="512"/>
    </row>
    <row r="1549" spans="1:18" s="2408" customFormat="1" ht="11.25" customHeight="1">
      <c r="B1549" s="2684" t="s">
        <v>1694</v>
      </c>
      <c r="C1549" s="2684" t="s">
        <v>4401</v>
      </c>
      <c r="E1549" s="2684"/>
      <c r="F1549" s="2684"/>
      <c r="G1549" s="2684"/>
      <c r="H1549" s="2684"/>
      <c r="P1549" s="1550">
        <f>'Part VIII-Threshold Criteria'!P379</f>
        <v>0</v>
      </c>
      <c r="Q1549" s="1550"/>
    </row>
    <row r="1550" spans="1:18" s="2408" customFormat="1" ht="11.25" customHeight="1">
      <c r="B1550" s="2684"/>
      <c r="C1550" s="2684"/>
      <c r="E1550" s="2684"/>
      <c r="F1550" s="2684"/>
      <c r="G1550" s="2684"/>
      <c r="H1550" s="2684"/>
      <c r="J1550" s="512" t="s">
        <v>3697</v>
      </c>
      <c r="K1550" s="512"/>
      <c r="L1550" s="512"/>
      <c r="M1550" s="512"/>
      <c r="N1550" s="512" t="s">
        <v>3695</v>
      </c>
      <c r="O1550" s="512"/>
    </row>
    <row r="1551" spans="1:18" s="2408" customFormat="1" ht="11.25" customHeight="1">
      <c r="B1551" s="2684" t="s">
        <v>1695</v>
      </c>
      <c r="C1551" s="2684" t="s">
        <v>3694</v>
      </c>
      <c r="E1551" s="512"/>
      <c r="F1551" s="512"/>
      <c r="G1551" s="512"/>
      <c r="H1551" s="512"/>
      <c r="I1551" s="2749" t="s">
        <v>1695</v>
      </c>
      <c r="J1551" s="2773">
        <f>'Part VIII-Threshold Criteria'!J381</f>
        <v>0</v>
      </c>
      <c r="K1551" s="2773"/>
      <c r="L1551" s="2773"/>
      <c r="M1551" s="2773"/>
      <c r="N1551" s="2755" t="e">
        <f>IF(J1551="","",(J1551-J1543)/J1551)</f>
        <v>#DIV/0!</v>
      </c>
      <c r="O1551" s="2755" t="str">
        <f>IF(L1551="","",(L1551-L1543)/L1551)</f>
        <v/>
      </c>
      <c r="P1551" s="1550">
        <f>'Part VIII-Threshold Criteria'!P381</f>
        <v>0</v>
      </c>
      <c r="Q1551" s="1550"/>
    </row>
    <row r="1552" spans="1:18" s="2408" customFormat="1" ht="11.25" customHeight="1">
      <c r="B1552" s="2684" t="s">
        <v>1696</v>
      </c>
      <c r="C1552" s="512" t="s">
        <v>3696</v>
      </c>
      <c r="E1552" s="512"/>
      <c r="F1552" s="512"/>
      <c r="G1552" s="512"/>
      <c r="H1552" s="512"/>
      <c r="N1552" s="512"/>
      <c r="O1552" s="2749" t="s">
        <v>1696</v>
      </c>
      <c r="P1552" s="2712">
        <f>'Part VIII-Threshold Criteria'!P382</f>
        <v>0</v>
      </c>
      <c r="Q1552" s="2712"/>
    </row>
    <row r="1553" spans="1:31" s="2408" customFormat="1" ht="11.25" customHeight="1">
      <c r="B1553" s="2684" t="s">
        <v>2305</v>
      </c>
      <c r="C1553" s="512" t="s">
        <v>3698</v>
      </c>
      <c r="E1553" s="512"/>
      <c r="F1553" s="512"/>
      <c r="G1553" s="512"/>
      <c r="H1553" s="512"/>
      <c r="M1553" s="512"/>
      <c r="N1553" s="512"/>
      <c r="O1553" s="2749" t="s">
        <v>2305</v>
      </c>
      <c r="P1553" s="1550">
        <f>'Part VIII-Threshold Criteria'!P383</f>
        <v>0</v>
      </c>
      <c r="Q1553" s="1550"/>
    </row>
    <row r="1554" spans="1:31" ht="10.5" customHeight="1">
      <c r="B1554" s="2684" t="s">
        <v>3571</v>
      </c>
      <c r="D1554" s="2684"/>
      <c r="E1554" s="2684"/>
      <c r="F1554" s="2684"/>
      <c r="G1554" s="2684"/>
      <c r="H1554" s="2684"/>
      <c r="I1554" s="1550"/>
      <c r="J1554" s="1550"/>
      <c r="K1554" s="1550"/>
      <c r="L1554" s="2251"/>
      <c r="M1554" s="2251"/>
      <c r="N1554" s="2251"/>
      <c r="O1554" s="2251"/>
      <c r="P1554" s="2251"/>
      <c r="Q1554" s="2251"/>
    </row>
    <row r="1555" spans="1:31" ht="31.5" customHeight="1">
      <c r="A1555" s="2729" t="str">
        <f>'Part VIII-Threshold Criteria'!A385</f>
        <v>N/A - This development is not in the Rural HOME Preservation set aside</v>
      </c>
      <c r="B1555" s="2729"/>
      <c r="C1555" s="2729"/>
      <c r="D1555" s="2729"/>
      <c r="E1555" s="2729"/>
      <c r="F1555" s="2729"/>
      <c r="G1555" s="2729"/>
      <c r="H1555" s="2729"/>
      <c r="I1555" s="2729"/>
      <c r="J1555" s="2729"/>
      <c r="K1555" s="2729"/>
      <c r="L1555" s="2729"/>
      <c r="M1555" s="2729"/>
      <c r="N1555" s="2729"/>
      <c r="O1555" s="2729"/>
      <c r="P1555" s="2729"/>
      <c r="Q1555" s="2729"/>
      <c r="U1555" s="2654"/>
      <c r="V1555" s="2654"/>
      <c r="W1555" s="2654"/>
      <c r="X1555" s="2654"/>
      <c r="Y1555" s="2654"/>
      <c r="Z1555" s="2654"/>
      <c r="AA1555" s="2654"/>
      <c r="AB1555" s="2654"/>
      <c r="AC1555" s="2654"/>
      <c r="AD1555" s="2654"/>
      <c r="AE1555" s="2654"/>
    </row>
    <row r="1556" spans="1:31" ht="11.25" customHeight="1">
      <c r="B1556" s="2729" t="s">
        <v>1820</v>
      </c>
      <c r="C1556" s="2729"/>
      <c r="D1556" s="2731"/>
      <c r="E1556" s="2731"/>
      <c r="F1556" s="2731"/>
      <c r="G1556" s="2731"/>
      <c r="H1556" s="2731"/>
      <c r="I1556" s="2731"/>
      <c r="J1556" s="2731"/>
      <c r="K1556" s="2731"/>
      <c r="L1556" s="2731"/>
      <c r="M1556" s="2731"/>
      <c r="N1556" s="2731"/>
      <c r="O1556" s="2731"/>
      <c r="P1556" s="2731"/>
      <c r="Q1556" s="2731"/>
    </row>
    <row r="1557" spans="1:31" ht="23.25" customHeight="1">
      <c r="A1557" s="2729"/>
      <c r="B1557" s="2729"/>
      <c r="C1557" s="2729"/>
      <c r="D1557" s="2729"/>
      <c r="E1557" s="2729"/>
      <c r="F1557" s="2729"/>
      <c r="G1557" s="2729"/>
      <c r="H1557" s="2729"/>
      <c r="I1557" s="2729"/>
      <c r="J1557" s="2729"/>
      <c r="K1557" s="2729"/>
      <c r="L1557" s="2729"/>
      <c r="M1557" s="2729"/>
      <c r="N1557" s="2729"/>
      <c r="O1557" s="2729"/>
      <c r="P1557" s="2729"/>
      <c r="Q1557" s="2729"/>
    </row>
    <row r="1558" spans="1:31" ht="3.6" customHeight="1">
      <c r="A1558" s="2251"/>
      <c r="B1558" s="1550"/>
      <c r="C1558" s="2731"/>
      <c r="D1558" s="2731"/>
      <c r="E1558" s="2731"/>
      <c r="F1558" s="2731"/>
      <c r="G1558" s="2731"/>
      <c r="H1558" s="2731"/>
      <c r="I1558" s="2731"/>
      <c r="J1558" s="2731"/>
      <c r="K1558" s="2731"/>
      <c r="L1558" s="2731"/>
      <c r="M1558" s="2731"/>
      <c r="Q1558" s="2251"/>
    </row>
    <row r="1559" spans="1:31" ht="3" customHeight="1">
      <c r="A1559" s="2251"/>
      <c r="B1559" s="1550"/>
      <c r="C1559" s="2731"/>
      <c r="D1559" s="2731"/>
      <c r="E1559" s="2731"/>
      <c r="F1559" s="2731"/>
      <c r="G1559" s="2731"/>
      <c r="H1559" s="2731"/>
      <c r="I1559" s="2731"/>
      <c r="J1559" s="2731"/>
      <c r="K1559" s="2731"/>
      <c r="L1559" s="2731"/>
      <c r="M1559" s="2731"/>
      <c r="Q1559" s="2251"/>
    </row>
    <row r="1560" spans="1:31" ht="14.1" customHeight="1">
      <c r="A1560" s="2649" t="s">
        <v>3798</v>
      </c>
      <c r="B1560" s="2408" t="s">
        <v>2608</v>
      </c>
      <c r="C1560" s="2408"/>
      <c r="D1560" s="2408"/>
      <c r="E1560" s="2408"/>
      <c r="F1560" s="2408"/>
      <c r="G1560" s="2408"/>
      <c r="H1560" s="2731"/>
      <c r="I1560" s="2731"/>
      <c r="J1560" s="2731"/>
      <c r="O1560" s="2730" t="s">
        <v>1821</v>
      </c>
      <c r="P1560" s="2654"/>
      <c r="Q1560" s="2654"/>
    </row>
    <row r="1561" spans="1:31" ht="11.4" customHeight="1">
      <c r="A1561" s="2749" t="s">
        <v>1936</v>
      </c>
      <c r="B1561" s="512" t="s">
        <v>1012</v>
      </c>
      <c r="E1561" s="512">
        <f>'Part VIII-Threshold Criteria'!E391</f>
        <v>0</v>
      </c>
      <c r="F1561" s="512"/>
      <c r="G1561" s="512"/>
      <c r="H1561" s="512"/>
      <c r="I1561" s="512"/>
      <c r="J1561" s="512" t="s">
        <v>2595</v>
      </c>
      <c r="K1561" s="512"/>
      <c r="L1561" s="512"/>
      <c r="M1561" s="512">
        <f>'Part VIII-Threshold Criteria'!M391</f>
        <v>0</v>
      </c>
      <c r="N1561" s="512"/>
      <c r="O1561" s="512"/>
      <c r="P1561" s="512"/>
      <c r="Q1561" s="512"/>
    </row>
    <row r="1562" spans="1:31" ht="11.4" customHeight="1">
      <c r="A1562" s="2749" t="s">
        <v>1938</v>
      </c>
      <c r="B1562" s="512" t="s">
        <v>3347</v>
      </c>
      <c r="D1562" s="512"/>
      <c r="E1562" s="512"/>
      <c r="F1562" s="512"/>
      <c r="G1562" s="512"/>
      <c r="H1562" s="512"/>
      <c r="I1562" s="512"/>
      <c r="J1562" s="512"/>
      <c r="K1562" s="512"/>
      <c r="L1562" s="2684"/>
      <c r="M1562" s="2684"/>
      <c r="O1562" s="2749" t="s">
        <v>1938</v>
      </c>
      <c r="P1562" s="1550">
        <f>'Part VIII-Threshold Criteria'!P392</f>
        <v>0</v>
      </c>
      <c r="Q1562" s="1550"/>
    </row>
    <row r="1563" spans="1:31" ht="22.5" customHeight="1">
      <c r="A1563" s="2730" t="s">
        <v>731</v>
      </c>
      <c r="B1563" s="2729" t="s">
        <v>3356</v>
      </c>
      <c r="C1563" s="2729"/>
      <c r="D1563" s="2729"/>
      <c r="E1563" s="2729"/>
      <c r="F1563" s="2729"/>
      <c r="G1563" s="2729"/>
      <c r="H1563" s="2729"/>
      <c r="I1563" s="2729"/>
      <c r="J1563" s="2729"/>
      <c r="K1563" s="2729"/>
      <c r="L1563" s="2729"/>
      <c r="M1563" s="2729"/>
      <c r="N1563" s="2729"/>
      <c r="O1563" s="2730" t="s">
        <v>731</v>
      </c>
      <c r="P1563" s="2740">
        <f>'Part VIII-Threshold Criteria'!P393</f>
        <v>0</v>
      </c>
      <c r="Q1563" s="2740"/>
    </row>
    <row r="1564" spans="1:31">
      <c r="A1564" s="2749" t="s">
        <v>2065</v>
      </c>
      <c r="B1564" s="2618" t="s">
        <v>3522</v>
      </c>
      <c r="G1564" s="2684"/>
      <c r="H1564" s="2684"/>
      <c r="I1564" s="2684"/>
      <c r="J1564" s="2684" t="s">
        <v>3523</v>
      </c>
      <c r="L1564" s="2684"/>
      <c r="M1564" s="2774">
        <f>'Part VIII-Threshold Criteria'!M394</f>
        <v>0</v>
      </c>
      <c r="N1564" s="2774"/>
      <c r="O1564" s="2749" t="s">
        <v>2065</v>
      </c>
      <c r="P1564" s="1550">
        <f>'Part VIII-Threshold Criteria'!P394</f>
        <v>0</v>
      </c>
      <c r="Q1564" s="1550"/>
    </row>
    <row r="1565" spans="1:31" ht="11.25" customHeight="1">
      <c r="B1565" s="2684" t="s">
        <v>3571</v>
      </c>
      <c r="D1565" s="2684"/>
      <c r="E1565" s="2684"/>
      <c r="F1565" s="2684"/>
      <c r="G1565" s="2684"/>
      <c r="H1565" s="2684"/>
      <c r="I1565" s="1550"/>
      <c r="J1565" s="1550"/>
      <c r="K1565" s="1550"/>
      <c r="L1565" s="2251"/>
      <c r="M1565" s="2251"/>
      <c r="N1565" s="2251"/>
      <c r="O1565" s="2251"/>
      <c r="P1565" s="2251"/>
      <c r="Q1565" s="2251"/>
    </row>
    <row r="1566" spans="1:31" ht="11.4" customHeight="1">
      <c r="A1566" s="2729" t="str">
        <f>'Part VIII-Threshold Criteria'!A396</f>
        <v>N/A - This development is not in the CHDO Set Aside</v>
      </c>
      <c r="B1566" s="2729"/>
      <c r="C1566" s="2729"/>
      <c r="D1566" s="2729"/>
      <c r="E1566" s="2729"/>
      <c r="F1566" s="2729"/>
      <c r="G1566" s="2729"/>
      <c r="H1566" s="2729"/>
      <c r="I1566" s="2729"/>
      <c r="J1566" s="2729"/>
      <c r="K1566" s="2729"/>
      <c r="L1566" s="2729"/>
      <c r="M1566" s="2729"/>
      <c r="N1566" s="2729"/>
      <c r="O1566" s="2729"/>
      <c r="P1566" s="2729"/>
      <c r="Q1566" s="2729"/>
      <c r="U1566" s="2654"/>
      <c r="V1566" s="2654"/>
      <c r="W1566" s="2654"/>
      <c r="X1566" s="2654"/>
      <c r="Y1566" s="2654"/>
      <c r="Z1566" s="2654"/>
      <c r="AA1566" s="2654"/>
      <c r="AB1566" s="2654"/>
      <c r="AC1566" s="2654"/>
      <c r="AD1566" s="2654"/>
      <c r="AE1566" s="2654"/>
    </row>
    <row r="1567" spans="1:31" ht="11.25" customHeight="1">
      <c r="B1567" s="2729" t="s">
        <v>1820</v>
      </c>
      <c r="C1567" s="2729"/>
      <c r="D1567" s="2731"/>
      <c r="E1567" s="2731"/>
      <c r="F1567" s="2731"/>
      <c r="G1567" s="2731"/>
      <c r="H1567" s="2731"/>
      <c r="I1567" s="2731"/>
      <c r="J1567" s="2731"/>
      <c r="K1567" s="2731"/>
      <c r="L1567" s="2731"/>
      <c r="M1567" s="2731"/>
      <c r="N1567" s="2731"/>
      <c r="O1567" s="2731"/>
      <c r="P1567" s="2731"/>
      <c r="Q1567" s="2731"/>
    </row>
    <row r="1568" spans="1:31" ht="11.4" customHeight="1">
      <c r="A1568" s="2729"/>
      <c r="B1568" s="2729"/>
      <c r="C1568" s="2729"/>
      <c r="D1568" s="2729"/>
      <c r="E1568" s="2729"/>
      <c r="F1568" s="2729"/>
      <c r="G1568" s="2729"/>
      <c r="H1568" s="2729"/>
      <c r="I1568" s="2729"/>
      <c r="J1568" s="2729"/>
      <c r="K1568" s="2729"/>
      <c r="L1568" s="2729"/>
      <c r="M1568" s="2729"/>
      <c r="N1568" s="2729"/>
      <c r="O1568" s="2729"/>
      <c r="P1568" s="2729"/>
      <c r="Q1568" s="2729"/>
    </row>
    <row r="1569" spans="1:31" ht="3.6" customHeight="1">
      <c r="A1569" s="2251"/>
      <c r="B1569" s="1550"/>
      <c r="C1569" s="2731"/>
      <c r="D1569" s="2731"/>
      <c r="E1569" s="2731"/>
      <c r="F1569" s="2731"/>
      <c r="G1569" s="2731"/>
      <c r="H1569" s="2731"/>
      <c r="I1569" s="2731"/>
      <c r="J1569" s="2731"/>
      <c r="K1569" s="2731"/>
      <c r="L1569" s="2731"/>
      <c r="M1569" s="2731"/>
      <c r="Q1569" s="2251"/>
    </row>
    <row r="1570" spans="1:31" ht="14.1" customHeight="1">
      <c r="A1570" s="2649" t="s">
        <v>3799</v>
      </c>
      <c r="B1570" s="2408" t="s">
        <v>2593</v>
      </c>
      <c r="C1570" s="2408"/>
      <c r="D1570" s="2408"/>
      <c r="E1570" s="2731"/>
      <c r="G1570" s="2729" t="s">
        <v>683</v>
      </c>
      <c r="H1570" s="2731"/>
      <c r="I1570" s="2731"/>
      <c r="J1570" s="2731"/>
      <c r="K1570" s="2731"/>
      <c r="L1570" s="2731"/>
      <c r="M1570" s="2731"/>
      <c r="O1570" s="2730" t="s">
        <v>1821</v>
      </c>
      <c r="P1570" s="2654"/>
      <c r="Q1570" s="2654"/>
    </row>
    <row r="1571" spans="1:31" ht="12" customHeight="1">
      <c r="A1571" s="2749" t="s">
        <v>1936</v>
      </c>
      <c r="B1571" s="512" t="s">
        <v>2597</v>
      </c>
      <c r="D1571" s="2729"/>
      <c r="E1571" s="2729"/>
      <c r="O1571" s="2749" t="s">
        <v>1936</v>
      </c>
      <c r="P1571" s="1550">
        <f>'Part VIII-Threshold Criteria'!P401</f>
        <v>0</v>
      </c>
      <c r="Q1571" s="1550"/>
    </row>
    <row r="1572" spans="1:31" ht="12" customHeight="1">
      <c r="A1572" s="2749" t="s">
        <v>1938</v>
      </c>
      <c r="B1572" s="512" t="s">
        <v>3444</v>
      </c>
      <c r="D1572" s="2729"/>
      <c r="E1572" s="2729"/>
      <c r="O1572" s="2749" t="s">
        <v>1938</v>
      </c>
      <c r="P1572" s="1550">
        <f>'Part VIII-Threshold Criteria'!P402</f>
        <v>0</v>
      </c>
      <c r="Q1572" s="1550"/>
    </row>
    <row r="1573" spans="1:31" ht="12" customHeight="1">
      <c r="A1573" s="2749" t="s">
        <v>731</v>
      </c>
      <c r="B1573" s="512" t="s">
        <v>4720</v>
      </c>
      <c r="D1573" s="2729"/>
      <c r="E1573" s="2729"/>
      <c r="O1573" s="2749" t="s">
        <v>731</v>
      </c>
      <c r="P1573" s="1550">
        <f>'Part VIII-Threshold Criteria'!P403</f>
        <v>0</v>
      </c>
      <c r="Q1573" s="1550"/>
    </row>
    <row r="1574" spans="1:31" ht="12" customHeight="1">
      <c r="A1574" s="2749" t="s">
        <v>2065</v>
      </c>
      <c r="B1574" s="512" t="s">
        <v>3445</v>
      </c>
      <c r="E1574" s="2729"/>
      <c r="O1574" s="2749" t="s">
        <v>2065</v>
      </c>
      <c r="P1574" s="1550">
        <f>'Part VIII-Threshold Criteria'!P404</f>
        <v>0</v>
      </c>
      <c r="Q1574" s="1550"/>
    </row>
    <row r="1575" spans="1:31" ht="12" customHeight="1">
      <c r="A1575" s="2749" t="s">
        <v>1692</v>
      </c>
      <c r="B1575" s="512" t="s">
        <v>2031</v>
      </c>
      <c r="E1575" s="2729"/>
      <c r="G1575" s="2749" t="s">
        <v>1692</v>
      </c>
      <c r="H1575" s="512">
        <f>'Part VIII-Threshold Criteria'!H405</f>
        <v>0</v>
      </c>
      <c r="I1575" s="512"/>
      <c r="J1575" s="512"/>
      <c r="K1575" s="512"/>
      <c r="L1575" s="512"/>
      <c r="M1575" s="512"/>
      <c r="N1575" s="512"/>
      <c r="O1575" s="512"/>
      <c r="P1575" s="1550">
        <f>'Part VIII-Threshold Criteria'!P405</f>
        <v>0</v>
      </c>
      <c r="Q1575" s="1550"/>
    </row>
    <row r="1576" spans="1:31" ht="11.25" customHeight="1">
      <c r="B1576" s="2684" t="s">
        <v>3571</v>
      </c>
      <c r="D1576" s="2684"/>
      <c r="E1576" s="2684"/>
      <c r="F1576" s="2684"/>
      <c r="G1576" s="2684"/>
      <c r="H1576" s="2684"/>
      <c r="I1576" s="1550"/>
      <c r="J1576" s="1550"/>
      <c r="K1576" s="1550"/>
      <c r="L1576" s="2251"/>
      <c r="M1576" s="2251"/>
      <c r="N1576" s="2251"/>
      <c r="O1576" s="2251"/>
      <c r="P1576" s="2251"/>
      <c r="Q1576" s="2251"/>
    </row>
    <row r="1577" spans="1:31" ht="11.4" customHeight="1">
      <c r="A1577" s="2729" t="str">
        <f>'Part VIII-Threshold Criteria'!A407</f>
        <v>N/A - This development is not eligible for Acquisition credits, nor is it an Assisted Living Facility, and there is not a nonprofit participant</v>
      </c>
      <c r="B1577" s="2729"/>
      <c r="C1577" s="2729"/>
      <c r="D1577" s="2729"/>
      <c r="E1577" s="2729"/>
      <c r="F1577" s="2729"/>
      <c r="G1577" s="2729"/>
      <c r="H1577" s="2729"/>
      <c r="I1577" s="2729"/>
      <c r="J1577" s="2729"/>
      <c r="K1577" s="2729"/>
      <c r="L1577" s="2729"/>
      <c r="M1577" s="2729"/>
      <c r="N1577" s="2729"/>
      <c r="O1577" s="2729"/>
      <c r="P1577" s="2729"/>
      <c r="Q1577" s="2729"/>
      <c r="U1577" s="2654"/>
      <c r="V1577" s="2654"/>
      <c r="W1577" s="2654"/>
      <c r="X1577" s="2654"/>
      <c r="Y1577" s="2654"/>
      <c r="Z1577" s="2654"/>
      <c r="AA1577" s="2654"/>
      <c r="AB1577" s="2654"/>
      <c r="AC1577" s="2654"/>
      <c r="AD1577" s="2654"/>
      <c r="AE1577" s="2654"/>
    </row>
    <row r="1578" spans="1:31" ht="11.25" customHeight="1">
      <c r="B1578" s="2729" t="s">
        <v>1820</v>
      </c>
      <c r="C1578" s="2729"/>
      <c r="D1578" s="2731"/>
      <c r="E1578" s="2731"/>
      <c r="F1578" s="2731"/>
      <c r="G1578" s="2731"/>
      <c r="H1578" s="2731"/>
      <c r="I1578" s="2731"/>
      <c r="J1578" s="2731"/>
      <c r="K1578" s="2731"/>
      <c r="L1578" s="2731"/>
      <c r="M1578" s="2731"/>
      <c r="N1578" s="2731"/>
      <c r="O1578" s="2731"/>
      <c r="P1578" s="2731"/>
      <c r="Q1578" s="2731"/>
    </row>
    <row r="1579" spans="1:31" ht="11.4" customHeight="1">
      <c r="A1579" s="2729"/>
      <c r="B1579" s="2729"/>
      <c r="C1579" s="2729"/>
      <c r="D1579" s="2729"/>
      <c r="E1579" s="2729"/>
      <c r="F1579" s="2729"/>
      <c r="G1579" s="2729"/>
      <c r="H1579" s="2729"/>
      <c r="I1579" s="2729"/>
      <c r="J1579" s="2729"/>
      <c r="K1579" s="2729"/>
      <c r="L1579" s="2729"/>
      <c r="M1579" s="2729"/>
      <c r="N1579" s="2729"/>
      <c r="O1579" s="2729"/>
      <c r="P1579" s="2729"/>
      <c r="Q1579" s="2729"/>
    </row>
    <row r="1580" spans="1:31" ht="3" customHeight="1">
      <c r="A1580" s="2251"/>
      <c r="B1580" s="1550"/>
      <c r="C1580" s="2731"/>
      <c r="D1580" s="2731"/>
      <c r="E1580" s="2731"/>
      <c r="F1580" s="2731"/>
      <c r="G1580" s="2731"/>
      <c r="H1580" s="2731"/>
      <c r="I1580" s="2731"/>
      <c r="J1580" s="2731"/>
      <c r="K1580" s="2731"/>
      <c r="L1580" s="2731"/>
      <c r="M1580" s="2731"/>
      <c r="N1580" s="2731"/>
      <c r="O1580" s="2731"/>
      <c r="P1580" s="2731"/>
      <c r="Q1580" s="2251"/>
    </row>
    <row r="1581" spans="1:31" ht="14.1" customHeight="1">
      <c r="A1581" s="2649" t="s">
        <v>3800</v>
      </c>
      <c r="B1581" s="2408" t="s">
        <v>4542</v>
      </c>
      <c r="C1581" s="2408"/>
      <c r="D1581" s="2408"/>
      <c r="E1581" s="2408"/>
      <c r="F1581" s="2408"/>
      <c r="G1581" s="2408"/>
      <c r="H1581" s="2731"/>
      <c r="I1581" s="2731"/>
      <c r="J1581" s="2731"/>
      <c r="K1581" s="2731"/>
      <c r="L1581" s="2731"/>
      <c r="M1581" s="2731"/>
      <c r="O1581" s="2730" t="s">
        <v>1821</v>
      </c>
      <c r="P1581" s="2654"/>
      <c r="Q1581" s="2654"/>
    </row>
    <row r="1582" spans="1:31" ht="12" customHeight="1">
      <c r="A1582" s="2749" t="s">
        <v>1936</v>
      </c>
      <c r="B1582" s="512" t="s">
        <v>4541</v>
      </c>
      <c r="D1582" s="2408"/>
      <c r="E1582" s="2408"/>
      <c r="F1582" s="2408"/>
      <c r="G1582" s="2408"/>
      <c r="H1582" s="2408"/>
      <c r="I1582" s="2408"/>
      <c r="J1582" s="2408"/>
      <c r="K1582" s="2408"/>
      <c r="L1582" s="2408"/>
      <c r="M1582" s="2408"/>
      <c r="N1582" s="2408"/>
      <c r="O1582" s="2408"/>
      <c r="P1582" s="2408"/>
      <c r="Q1582" s="2408"/>
    </row>
    <row r="1583" spans="1:31" ht="12" customHeight="1">
      <c r="A1583" s="2749"/>
      <c r="B1583" s="2775" t="s">
        <v>1939</v>
      </c>
      <c r="C1583" s="2618" t="s">
        <v>734</v>
      </c>
      <c r="D1583" s="2408"/>
      <c r="E1583" s="2408"/>
      <c r="F1583" s="2408"/>
      <c r="G1583" s="2408"/>
      <c r="H1583" s="2408"/>
      <c r="I1583" s="2408"/>
      <c r="J1583" s="2408"/>
      <c r="K1583" s="2408"/>
      <c r="L1583" s="2408"/>
      <c r="M1583" s="2408"/>
      <c r="N1583" s="2408"/>
      <c r="O1583" s="2749">
        <v>1</v>
      </c>
      <c r="P1583" s="1550">
        <f>'Part VIII-Threshold Criteria'!P413</f>
        <v>0</v>
      </c>
      <c r="Q1583" s="1550"/>
    </row>
    <row r="1584" spans="1:31" ht="12" customHeight="1">
      <c r="C1584" s="512" t="s">
        <v>4721</v>
      </c>
      <c r="D1584" s="2618" t="s">
        <v>4722</v>
      </c>
      <c r="E1584" s="2408"/>
      <c r="F1584" s="2408"/>
      <c r="G1584" s="2408"/>
      <c r="H1584" s="2408"/>
      <c r="I1584" s="2408"/>
      <c r="J1584" s="2408"/>
      <c r="K1584" s="2408"/>
      <c r="L1584" s="2408"/>
      <c r="M1584" s="2408"/>
      <c r="N1584" s="2408"/>
      <c r="O1584" s="2749" t="s">
        <v>2372</v>
      </c>
      <c r="P1584" s="1550">
        <f>'Part VIII-Threshold Criteria'!P414</f>
        <v>0</v>
      </c>
      <c r="Q1584" s="1550"/>
    </row>
    <row r="1585" spans="1:17" ht="12" customHeight="1">
      <c r="B1585" s="512"/>
      <c r="C1585" s="512" t="s">
        <v>2373</v>
      </c>
      <c r="D1585" s="2618" t="s">
        <v>4723</v>
      </c>
      <c r="E1585" s="2408"/>
      <c r="F1585" s="2408"/>
      <c r="G1585" s="2408"/>
      <c r="H1585" s="2408"/>
      <c r="I1585" s="2408"/>
      <c r="J1585" s="2408"/>
      <c r="K1585" s="2408"/>
      <c r="L1585" s="2408"/>
      <c r="M1585" s="2408"/>
      <c r="N1585" s="2408"/>
      <c r="O1585" s="2749" t="s">
        <v>2373</v>
      </c>
      <c r="P1585" s="1550">
        <f>'Part VIII-Threshold Criteria'!P415</f>
        <v>0</v>
      </c>
      <c r="Q1585" s="1550"/>
    </row>
    <row r="1586" spans="1:17" ht="12" customHeight="1">
      <c r="A1586" s="2749"/>
      <c r="D1586" s="512" t="s">
        <v>1452</v>
      </c>
      <c r="E1586" s="512"/>
      <c r="F1586" s="512"/>
      <c r="G1586" s="512"/>
      <c r="H1586" s="512"/>
      <c r="I1586" s="512"/>
      <c r="J1586" s="512"/>
      <c r="K1586" s="512"/>
      <c r="L1586" s="512"/>
      <c r="M1586" s="512"/>
      <c r="N1586" s="2408"/>
      <c r="O1586" s="2719"/>
    </row>
    <row r="1587" spans="1:17" ht="12" customHeight="1">
      <c r="C1587" s="512" t="s">
        <v>4549</v>
      </c>
      <c r="D1587" s="512" t="s">
        <v>3357</v>
      </c>
      <c r="E1587" s="512"/>
      <c r="F1587" s="512"/>
      <c r="G1587" s="512"/>
      <c r="H1587" s="512"/>
      <c r="I1587" s="512"/>
      <c r="J1587" s="512"/>
      <c r="K1587" s="512"/>
      <c r="L1587" s="512"/>
      <c r="M1587" s="512"/>
      <c r="N1587" s="2408"/>
      <c r="O1587" s="2749" t="s">
        <v>2374</v>
      </c>
      <c r="P1587" s="1550">
        <f>'Part VIII-Threshold Criteria'!P417</f>
        <v>0</v>
      </c>
      <c r="Q1587" s="1550"/>
    </row>
    <row r="1588" spans="1:17" ht="12" customHeight="1">
      <c r="A1588" s="2749"/>
      <c r="C1588" s="2749" t="s">
        <v>2375</v>
      </c>
      <c r="D1588" s="512" t="s">
        <v>3439</v>
      </c>
      <c r="E1588" s="512"/>
      <c r="F1588" s="512"/>
      <c r="G1588" s="512"/>
      <c r="H1588" s="512"/>
      <c r="I1588" s="512"/>
      <c r="J1588" s="512"/>
      <c r="K1588" s="512"/>
      <c r="L1588" s="512"/>
      <c r="M1588" s="512"/>
      <c r="N1588" s="2408"/>
      <c r="O1588" s="2749" t="s">
        <v>2375</v>
      </c>
      <c r="P1588" s="1550">
        <f>'Part VIII-Threshold Criteria'!P418</f>
        <v>0</v>
      </c>
      <c r="Q1588" s="1550"/>
    </row>
    <row r="1589" spans="1:17" ht="12" customHeight="1">
      <c r="A1589" s="2749"/>
      <c r="B1589" s="2775" t="s">
        <v>1941</v>
      </c>
      <c r="C1589" s="512" t="s">
        <v>2151</v>
      </c>
      <c r="E1589" s="512"/>
      <c r="F1589" s="512"/>
      <c r="G1589" s="512"/>
      <c r="H1589" s="512"/>
      <c r="I1589" s="512"/>
      <c r="J1589" s="512"/>
      <c r="K1589" s="512"/>
      <c r="L1589" s="512"/>
      <c r="M1589" s="512"/>
      <c r="N1589" s="512"/>
      <c r="O1589" s="2749">
        <v>2</v>
      </c>
      <c r="P1589" s="1550">
        <f>'Part VIII-Threshold Criteria'!P419</f>
        <v>0</v>
      </c>
      <c r="Q1589" s="1550"/>
    </row>
    <row r="1590" spans="1:17" ht="12" customHeight="1">
      <c r="A1590" s="2749"/>
      <c r="B1590" s="2775" t="s">
        <v>2468</v>
      </c>
      <c r="C1590" s="2729" t="s">
        <v>2719</v>
      </c>
      <c r="D1590" s="2729"/>
      <c r="E1590" s="2729"/>
      <c r="F1590" s="2729"/>
      <c r="G1590" s="512" t="s">
        <v>4550</v>
      </c>
      <c r="J1590" s="2251">
        <f>'Part VIII-Threshold Criteria'!J420</f>
        <v>0</v>
      </c>
      <c r="K1590" s="2251"/>
      <c r="M1590" s="512" t="s">
        <v>4551</v>
      </c>
      <c r="P1590" s="2251">
        <f>'Part VIII-Threshold Criteria'!P420</f>
        <v>0</v>
      </c>
      <c r="Q1590" s="2251"/>
    </row>
    <row r="1591" spans="1:17" ht="12" customHeight="1">
      <c r="A1591" s="2749"/>
      <c r="C1591" s="2729"/>
      <c r="D1591" s="2729"/>
      <c r="E1591" s="2729"/>
      <c r="F1591" s="2729"/>
      <c r="G1591" s="512" t="s">
        <v>4552</v>
      </c>
      <c r="J1591" s="2251">
        <f>'Part VIII-Threshold Criteria'!J421</f>
        <v>0</v>
      </c>
      <c r="K1591" s="2251"/>
      <c r="M1591" s="512" t="s">
        <v>4553</v>
      </c>
      <c r="P1591" s="2251">
        <f>'Part VIII-Threshold Criteria'!P421</f>
        <v>0</v>
      </c>
      <c r="Q1591" s="2251"/>
    </row>
    <row r="1592" spans="1:17" ht="12" customHeight="1">
      <c r="A1592" s="2749"/>
      <c r="C1592" s="2729"/>
      <c r="D1592" s="2729"/>
      <c r="E1592" s="2729"/>
      <c r="F1592" s="2729"/>
      <c r="G1592" s="512" t="s">
        <v>4554</v>
      </c>
      <c r="J1592" s="2251">
        <f>'Part VIII-Threshold Criteria'!J422</f>
        <v>0</v>
      </c>
      <c r="K1592" s="2251"/>
      <c r="L1592" s="2684"/>
      <c r="M1592" s="2408"/>
      <c r="N1592" s="2749"/>
    </row>
    <row r="1593" spans="1:17" ht="12" customHeight="1">
      <c r="A1593" s="2749"/>
      <c r="B1593" s="2775" t="s">
        <v>1198</v>
      </c>
      <c r="C1593" s="2684" t="s">
        <v>4375</v>
      </c>
      <c r="E1593" s="2684"/>
      <c r="F1593" s="2684"/>
      <c r="G1593" s="2684"/>
      <c r="J1593" s="2408"/>
      <c r="K1593" s="2684"/>
      <c r="L1593" s="2684"/>
      <c r="M1593" s="2408"/>
      <c r="N1593" s="2749"/>
      <c r="P1593" s="2749"/>
      <c r="Q1593" s="2749"/>
    </row>
    <row r="1594" spans="1:17" ht="12" customHeight="1">
      <c r="A1594" s="2749"/>
      <c r="B1594" s="2618"/>
      <c r="C1594" s="2684" t="s">
        <v>4555</v>
      </c>
      <c r="E1594" s="2684"/>
      <c r="G1594" s="2618" t="s">
        <v>4543</v>
      </c>
      <c r="H1594" s="2684"/>
      <c r="I1594" s="2684"/>
      <c r="J1594" s="1550">
        <f>'Part VIII-Threshold Criteria'!J424</f>
        <v>0</v>
      </c>
      <c r="K1594" s="1550"/>
      <c r="L1594" s="2684"/>
      <c r="M1594" s="2618" t="s">
        <v>4548</v>
      </c>
    </row>
    <row r="1595" spans="1:17" ht="12" customHeight="1">
      <c r="A1595" s="2408"/>
      <c r="G1595" s="2618" t="s">
        <v>4544</v>
      </c>
      <c r="H1595" s="2684"/>
      <c r="I1595" s="2684"/>
      <c r="J1595" s="1550">
        <f>'Part VIII-Threshold Criteria'!J425</f>
        <v>0</v>
      </c>
      <c r="K1595" s="1550"/>
      <c r="M1595" s="2559">
        <f>'Part VIII-Threshold Criteria'!M425</f>
        <v>0</v>
      </c>
      <c r="N1595" s="2559"/>
      <c r="O1595" s="2559"/>
      <c r="P1595" s="2559"/>
      <c r="Q1595" s="2559"/>
    </row>
    <row r="1596" spans="1:17" ht="12" customHeight="1">
      <c r="A1596" s="2408"/>
      <c r="G1596" s="2618" t="s">
        <v>4545</v>
      </c>
      <c r="H1596" s="2684"/>
      <c r="J1596" s="1550">
        <f>'Part VIII-Threshold Criteria'!J426</f>
        <v>0</v>
      </c>
      <c r="K1596" s="1550"/>
      <c r="M1596" s="2559"/>
      <c r="N1596" s="2559"/>
      <c r="O1596" s="2559"/>
      <c r="P1596" s="2559"/>
      <c r="Q1596" s="2559"/>
    </row>
    <row r="1597" spans="1:17" ht="12" customHeight="1">
      <c r="A1597" s="2749"/>
      <c r="B1597" s="2618"/>
      <c r="C1597" s="2684" t="s">
        <v>4556</v>
      </c>
      <c r="E1597" s="2684"/>
      <c r="F1597" s="2684"/>
      <c r="L1597" s="2684"/>
      <c r="M1597" s="2684"/>
      <c r="O1597" s="2749" t="s">
        <v>1695</v>
      </c>
      <c r="P1597" s="1550" t="str">
        <f>'Part VIII-Threshold Criteria'!P427</f>
        <v>&lt;&lt;Select&gt;&gt;</v>
      </c>
      <c r="Q1597" s="1550" t="s">
        <v>1727</v>
      </c>
    </row>
    <row r="1598" spans="1:17" ht="12" customHeight="1">
      <c r="A1598" s="2408"/>
      <c r="D1598" s="2759" t="s">
        <v>2395</v>
      </c>
      <c r="E1598" s="2618" t="s">
        <v>3650</v>
      </c>
      <c r="F1598" s="2684"/>
      <c r="G1598" s="512">
        <f>'Part VIII-Threshold Criteria'!G428</f>
        <v>0</v>
      </c>
      <c r="H1598" s="512"/>
      <c r="I1598" s="512"/>
      <c r="J1598" s="512"/>
      <c r="K1598" s="512"/>
      <c r="L1598" s="2759"/>
    </row>
    <row r="1599" spans="1:17" ht="12" customHeight="1">
      <c r="D1599" s="2759" t="s">
        <v>4546</v>
      </c>
      <c r="E1599" s="2618" t="s">
        <v>4547</v>
      </c>
      <c r="F1599" s="2759"/>
      <c r="G1599" s="512" t="str">
        <f>'Part VIII-Threshold Criteria'!G429</f>
        <v>&lt;&lt; Select &gt;&gt;</v>
      </c>
      <c r="H1599" s="512"/>
      <c r="I1599" s="512"/>
      <c r="J1599" s="2618" t="s">
        <v>4281</v>
      </c>
      <c r="M1599" s="512">
        <f>'Part VIII-Threshold Criteria'!M429</f>
        <v>0</v>
      </c>
      <c r="N1599" s="512"/>
      <c r="O1599" s="512"/>
      <c r="P1599" s="512"/>
      <c r="Q1599" s="512"/>
    </row>
    <row r="1600" spans="1:17" ht="12" customHeight="1">
      <c r="A1600" s="2408"/>
      <c r="C1600" s="2618" t="s">
        <v>4422</v>
      </c>
      <c r="E1600" s="2684"/>
      <c r="F1600" s="2684"/>
      <c r="G1600" s="2684"/>
      <c r="H1600" s="2684"/>
      <c r="I1600" s="2684"/>
      <c r="J1600" s="2684"/>
      <c r="K1600" s="2684"/>
      <c r="L1600" s="2684"/>
      <c r="M1600" s="2684"/>
      <c r="N1600" s="2684"/>
      <c r="O1600" s="2684"/>
      <c r="P1600" s="2684"/>
      <c r="Q1600" s="2684"/>
    </row>
    <row r="1601" spans="1:31" ht="44.4" customHeight="1">
      <c r="B1601" s="2559">
        <f>'Part VIII-Threshold Criteria'!B431</f>
        <v>0</v>
      </c>
      <c r="C1601" s="2559"/>
      <c r="D1601" s="2559"/>
      <c r="E1601" s="2559"/>
      <c r="F1601" s="2559"/>
      <c r="G1601" s="2559"/>
      <c r="H1601" s="2559"/>
      <c r="I1601" s="2559"/>
      <c r="J1601" s="2559"/>
      <c r="K1601" s="2559"/>
      <c r="L1601" s="2559"/>
      <c r="M1601" s="2559"/>
      <c r="N1601" s="2559"/>
      <c r="O1601" s="2559"/>
      <c r="P1601" s="2559"/>
      <c r="Q1601" s="2559"/>
      <c r="R1601" s="2497" t="s">
        <v>4276</v>
      </c>
      <c r="U1601" s="2654"/>
      <c r="V1601" s="2654"/>
      <c r="W1601" s="2654"/>
      <c r="X1601" s="2654"/>
      <c r="Y1601" s="2654"/>
      <c r="Z1601" s="2654"/>
      <c r="AA1601" s="2654"/>
      <c r="AB1601" s="2654"/>
      <c r="AC1601" s="2654"/>
      <c r="AD1601" s="2654"/>
      <c r="AE1601" s="2654"/>
    </row>
    <row r="1602" spans="1:31" ht="3" customHeight="1">
      <c r="A1602" s="2618"/>
      <c r="B1602" s="2618"/>
      <c r="C1602" s="2618"/>
      <c r="D1602" s="2618"/>
      <c r="E1602" s="2618"/>
      <c r="F1602" s="2618"/>
      <c r="G1602" s="2618"/>
      <c r="H1602" s="2618"/>
      <c r="I1602" s="2618"/>
      <c r="J1602" s="2618"/>
      <c r="K1602" s="2618"/>
      <c r="L1602" s="2618"/>
      <c r="M1602" s="2618"/>
      <c r="N1602" s="2618"/>
      <c r="O1602" s="2618"/>
      <c r="P1602" s="2618"/>
      <c r="Q1602" s="2618"/>
    </row>
    <row r="1603" spans="1:31" ht="13.2" customHeight="1">
      <c r="A1603" s="2730" t="s">
        <v>1938</v>
      </c>
      <c r="B1603" s="2729" t="s">
        <v>4724</v>
      </c>
      <c r="C1603" s="2729"/>
      <c r="D1603" s="2729"/>
      <c r="E1603" s="2729"/>
      <c r="F1603" s="2729"/>
      <c r="G1603" s="2729"/>
      <c r="H1603" s="2729"/>
      <c r="I1603" s="2729"/>
      <c r="J1603" s="2729"/>
      <c r="K1603" s="2729"/>
      <c r="L1603" s="2729"/>
      <c r="M1603" s="2729"/>
      <c r="N1603" s="2729"/>
    </row>
    <row r="1604" spans="1:31" ht="12" customHeight="1">
      <c r="A1604" s="2730"/>
      <c r="B1604" s="2731" t="s">
        <v>4557</v>
      </c>
      <c r="C1604" s="2731"/>
      <c r="D1604" s="2731"/>
      <c r="E1604" s="2731"/>
      <c r="F1604" s="2731"/>
      <c r="G1604" s="2731"/>
      <c r="H1604" s="2731"/>
      <c r="I1604" s="2731"/>
      <c r="J1604" s="2731"/>
      <c r="K1604" s="2731"/>
      <c r="L1604" s="2731"/>
      <c r="M1604" s="2731"/>
      <c r="N1604" s="2731"/>
    </row>
    <row r="1605" spans="1:31" ht="48" customHeight="1">
      <c r="B1605" s="2729" t="s">
        <v>6898</v>
      </c>
      <c r="C1605" s="2729"/>
      <c r="D1605" s="2729"/>
      <c r="E1605" s="2729"/>
      <c r="F1605" s="2729"/>
      <c r="G1605" s="2729"/>
      <c r="H1605" s="2729"/>
      <c r="I1605" s="2729"/>
      <c r="J1605" s="2729"/>
      <c r="K1605" s="2729"/>
      <c r="L1605" s="2729"/>
      <c r="M1605" s="2729"/>
      <c r="N1605" s="2729"/>
      <c r="O1605" s="2730" t="s">
        <v>1938</v>
      </c>
      <c r="P1605" s="2729">
        <f>'Part VIII-Threshold Criteria'!P435</f>
        <v>0</v>
      </c>
      <c r="Q1605" s="2729"/>
    </row>
    <row r="1606" spans="1:31" ht="12" customHeight="1">
      <c r="B1606" s="2684" t="s">
        <v>3571</v>
      </c>
      <c r="D1606" s="2684"/>
      <c r="E1606" s="2684"/>
      <c r="F1606" s="2684"/>
      <c r="G1606" s="2684"/>
      <c r="H1606" s="2684"/>
      <c r="I1606" s="1550"/>
      <c r="J1606" s="1550"/>
      <c r="K1606" s="1550"/>
    </row>
    <row r="1607" spans="1:31" ht="33.6" customHeight="1">
      <c r="A1607" s="2729" t="str">
        <f>'Part VIII-Threshold Criteria'!A437</f>
        <v>This is a new construction development, the propert is vacant.</v>
      </c>
      <c r="B1607" s="2729"/>
      <c r="C1607" s="2729"/>
      <c r="D1607" s="2729"/>
      <c r="E1607" s="2729"/>
      <c r="F1607" s="2729"/>
      <c r="G1607" s="2729"/>
      <c r="H1607" s="2729"/>
      <c r="I1607" s="2729"/>
      <c r="J1607" s="2729"/>
      <c r="K1607" s="2729"/>
      <c r="L1607" s="2729"/>
      <c r="M1607" s="2729"/>
      <c r="N1607" s="2729"/>
      <c r="O1607" s="2729"/>
      <c r="P1607" s="2729"/>
      <c r="Q1607" s="2729"/>
      <c r="U1607" s="2654"/>
      <c r="V1607" s="2654"/>
      <c r="W1607" s="2654"/>
      <c r="X1607" s="2654"/>
      <c r="Y1607" s="2654"/>
      <c r="Z1607" s="2654"/>
      <c r="AA1607" s="2654"/>
      <c r="AB1607" s="2654"/>
      <c r="AC1607" s="2654"/>
      <c r="AD1607" s="2654"/>
      <c r="AE1607" s="2654"/>
    </row>
    <row r="1608" spans="1:31" ht="12" customHeight="1">
      <c r="B1608" s="2729" t="s">
        <v>1820</v>
      </c>
      <c r="C1608" s="2729"/>
      <c r="D1608" s="2731"/>
      <c r="E1608" s="2731"/>
      <c r="F1608" s="2731"/>
      <c r="G1608" s="2731"/>
      <c r="H1608" s="2731"/>
      <c r="I1608" s="2731"/>
      <c r="J1608" s="2731"/>
      <c r="K1608" s="2731"/>
      <c r="L1608" s="2731"/>
      <c r="M1608" s="2731"/>
      <c r="N1608" s="2731"/>
      <c r="O1608" s="2731"/>
      <c r="P1608" s="2731"/>
      <c r="Q1608" s="2731"/>
    </row>
    <row r="1609" spans="1:31" ht="33.6" customHeight="1">
      <c r="A1609" s="2729"/>
      <c r="B1609" s="2729"/>
      <c r="C1609" s="2729"/>
      <c r="D1609" s="2729"/>
      <c r="E1609" s="2729"/>
      <c r="F1609" s="2729"/>
      <c r="G1609" s="2729"/>
      <c r="H1609" s="2729"/>
      <c r="I1609" s="2729"/>
      <c r="J1609" s="2729"/>
      <c r="K1609" s="2729"/>
      <c r="L1609" s="2729"/>
      <c r="M1609" s="2729"/>
      <c r="N1609" s="2729"/>
      <c r="O1609" s="2729"/>
      <c r="P1609" s="2729"/>
      <c r="Q1609" s="2729"/>
    </row>
    <row r="1610" spans="1:31" ht="3" customHeight="1">
      <c r="A1610" s="2251"/>
      <c r="B1610" s="1550"/>
      <c r="C1610" s="2731"/>
      <c r="D1610" s="2731"/>
      <c r="E1610" s="2731"/>
      <c r="F1610" s="2731"/>
      <c r="G1610" s="2731"/>
      <c r="H1610" s="2731"/>
      <c r="I1610" s="2731"/>
      <c r="J1610" s="2731"/>
      <c r="K1610" s="2731"/>
      <c r="L1610" s="2731"/>
      <c r="M1610" s="2731"/>
      <c r="Q1610" s="2251"/>
    </row>
    <row r="1611" spans="1:31" ht="14.1" customHeight="1">
      <c r="A1611" s="2649" t="s">
        <v>3801</v>
      </c>
      <c r="B1611" s="2408" t="s">
        <v>2720</v>
      </c>
      <c r="C1611" s="2408"/>
      <c r="D1611" s="512"/>
      <c r="E1611" s="2731"/>
      <c r="F1611" s="2731"/>
      <c r="G1611" s="2731"/>
      <c r="H1611" s="2731"/>
      <c r="O1611" s="2730" t="s">
        <v>1821</v>
      </c>
      <c r="P1611" s="2654"/>
      <c r="Q1611" s="2654"/>
    </row>
    <row r="1612" spans="1:31" ht="14.1" customHeight="1">
      <c r="B1612" s="512" t="s">
        <v>4467</v>
      </c>
      <c r="C1612" s="2408"/>
      <c r="D1612" s="512"/>
      <c r="E1612" s="2731"/>
      <c r="F1612" s="2731"/>
      <c r="G1612" s="2731"/>
      <c r="H1612" s="2731"/>
    </row>
    <row r="1613" spans="1:31" s="2607" customFormat="1" ht="21.75" customHeight="1">
      <c r="A1613" s="2730" t="s">
        <v>1936</v>
      </c>
      <c r="B1613" s="2729" t="s">
        <v>3700</v>
      </c>
      <c r="C1613" s="2729"/>
      <c r="D1613" s="2729"/>
      <c r="E1613" s="2729"/>
      <c r="F1613" s="2729"/>
      <c r="G1613" s="2729"/>
      <c r="H1613" s="2729"/>
      <c r="I1613" s="2729"/>
      <c r="J1613" s="2729"/>
      <c r="K1613" s="2729"/>
      <c r="L1613" s="2729"/>
      <c r="M1613" s="2729"/>
      <c r="N1613" s="2729"/>
      <c r="O1613" s="2730" t="s">
        <v>1936</v>
      </c>
      <c r="P1613" s="2740" t="str">
        <f>'Part VIII-Threshold Criteria'!P443</f>
        <v>Agree</v>
      </c>
      <c r="Q1613" s="2740"/>
    </row>
    <row r="1614" spans="1:31" s="2607" customFormat="1" ht="22.5" customHeight="1">
      <c r="A1614" s="2730" t="s">
        <v>1938</v>
      </c>
      <c r="B1614" s="2729" t="s">
        <v>3699</v>
      </c>
      <c r="C1614" s="2729"/>
      <c r="D1614" s="2729"/>
      <c r="E1614" s="2729"/>
      <c r="F1614" s="2729"/>
      <c r="G1614" s="2729"/>
      <c r="H1614" s="2729"/>
      <c r="I1614" s="2729"/>
      <c r="J1614" s="2729"/>
      <c r="K1614" s="2729"/>
      <c r="L1614" s="2729"/>
      <c r="M1614" s="2729"/>
      <c r="N1614" s="2729"/>
      <c r="O1614" s="2730" t="s">
        <v>1938</v>
      </c>
      <c r="P1614" s="2740" t="str">
        <f>'Part VIII-Threshold Criteria'!P444</f>
        <v>Agree</v>
      </c>
      <c r="Q1614" s="2740"/>
    </row>
    <row r="1615" spans="1:31" s="2607" customFormat="1" ht="22.5" customHeight="1">
      <c r="B1615" s="2731" t="s">
        <v>1694</v>
      </c>
      <c r="C1615" s="2729" t="s">
        <v>4423</v>
      </c>
      <c r="D1615" s="2729"/>
      <c r="E1615" s="2729"/>
      <c r="F1615" s="2729"/>
      <c r="G1615" s="2729"/>
      <c r="H1615" s="2729"/>
      <c r="I1615" s="2729"/>
      <c r="J1615" s="2729"/>
      <c r="K1615" s="2729"/>
      <c r="L1615" s="2729"/>
      <c r="M1615" s="2729"/>
      <c r="N1615" s="2729"/>
      <c r="O1615" s="2730" t="s">
        <v>1694</v>
      </c>
      <c r="P1615" s="2740" t="str">
        <f>'Part VIII-Threshold Criteria'!P445</f>
        <v>Agree</v>
      </c>
      <c r="Q1615" s="2740"/>
    </row>
    <row r="1616" spans="1:31" s="2408" customFormat="1" ht="12" customHeight="1">
      <c r="B1616" s="2731" t="s">
        <v>1695</v>
      </c>
      <c r="C1616" s="512" t="s">
        <v>4424</v>
      </c>
      <c r="D1616" s="512"/>
      <c r="E1616" s="512"/>
      <c r="F1616" s="512"/>
      <c r="G1616" s="512"/>
      <c r="H1616" s="512"/>
      <c r="I1616" s="512"/>
      <c r="J1616" s="512"/>
      <c r="K1616" s="512"/>
      <c r="L1616" s="512"/>
      <c r="M1616" s="512"/>
      <c r="N1616" s="512"/>
      <c r="O1616" s="2749" t="s">
        <v>1695</v>
      </c>
      <c r="P1616" s="1550" t="str">
        <f>'Part VIII-Threshold Criteria'!P446</f>
        <v>Agree</v>
      </c>
      <c r="Q1616" s="1550"/>
    </row>
    <row r="1617" spans="1:31" s="2607" customFormat="1" ht="33" customHeight="1">
      <c r="B1617" s="2731" t="s">
        <v>1696</v>
      </c>
      <c r="C1617" s="2729" t="s">
        <v>4425</v>
      </c>
      <c r="D1617" s="2729"/>
      <c r="E1617" s="2729"/>
      <c r="F1617" s="2729"/>
      <c r="G1617" s="2729"/>
      <c r="H1617" s="2729"/>
      <c r="I1617" s="2729"/>
      <c r="J1617" s="2729"/>
      <c r="K1617" s="2729"/>
      <c r="L1617" s="2729"/>
      <c r="M1617" s="2729"/>
      <c r="N1617" s="2729"/>
      <c r="O1617" s="2730" t="s">
        <v>1696</v>
      </c>
      <c r="P1617" s="2740" t="str">
        <f>'Part VIII-Threshold Criteria'!P447</f>
        <v>Agree</v>
      </c>
      <c r="Q1617" s="2740"/>
    </row>
    <row r="1618" spans="1:31" s="2607" customFormat="1" ht="22.5" customHeight="1">
      <c r="B1618" s="2731" t="s">
        <v>2305</v>
      </c>
      <c r="C1618" s="2729" t="s">
        <v>4426</v>
      </c>
      <c r="D1618" s="2729"/>
      <c r="E1618" s="2729"/>
      <c r="F1618" s="2729"/>
      <c r="G1618" s="2729"/>
      <c r="H1618" s="2729"/>
      <c r="I1618" s="2729"/>
      <c r="J1618" s="2729"/>
      <c r="K1618" s="2729"/>
      <c r="L1618" s="2729"/>
      <c r="M1618" s="2729"/>
      <c r="N1618" s="2729"/>
      <c r="O1618" s="2730" t="s">
        <v>2305</v>
      </c>
      <c r="P1618" s="2740" t="str">
        <f>'Part VIII-Threshold Criteria'!P448</f>
        <v>Agree</v>
      </c>
      <c r="Q1618" s="2740"/>
    </row>
    <row r="1619" spans="1:31" s="2607" customFormat="1" ht="22.5" customHeight="1">
      <c r="A1619" s="2730" t="s">
        <v>731</v>
      </c>
      <c r="B1619" s="2729" t="s">
        <v>3701</v>
      </c>
      <c r="C1619" s="2729"/>
      <c r="D1619" s="2729"/>
      <c r="E1619" s="2729"/>
      <c r="F1619" s="2729"/>
      <c r="G1619" s="2729"/>
      <c r="H1619" s="2729"/>
      <c r="I1619" s="2729"/>
      <c r="J1619" s="2729"/>
      <c r="K1619" s="2729"/>
      <c r="L1619" s="2729"/>
      <c r="M1619" s="2729"/>
      <c r="N1619" s="2729"/>
      <c r="O1619" s="2730" t="s">
        <v>731</v>
      </c>
      <c r="P1619" s="2740" t="str">
        <f>'Part VIII-Threshold Criteria'!P449</f>
        <v>Agree</v>
      </c>
      <c r="Q1619" s="2740"/>
    </row>
    <row r="1620" spans="1:31" s="2607" customFormat="1" ht="22.5" customHeight="1">
      <c r="A1620" s="2730" t="s">
        <v>2065</v>
      </c>
      <c r="B1620" s="2729" t="s">
        <v>4509</v>
      </c>
      <c r="C1620" s="2729"/>
      <c r="D1620" s="2729"/>
      <c r="E1620" s="2729"/>
      <c r="F1620" s="2729"/>
      <c r="G1620" s="2729"/>
      <c r="H1620" s="2729"/>
      <c r="I1620" s="2729"/>
      <c r="J1620" s="2729"/>
      <c r="K1620" s="2729"/>
      <c r="L1620" s="2729"/>
      <c r="M1620" s="2729"/>
      <c r="N1620" s="2729"/>
      <c r="O1620" s="2730" t="s">
        <v>2065</v>
      </c>
      <c r="P1620" s="2740" t="str">
        <f>'Part VIII-Threshold Criteria'!P450</f>
        <v>Agree</v>
      </c>
      <c r="Q1620" s="2740"/>
    </row>
    <row r="1621" spans="1:31" s="2607" customFormat="1" ht="21.75" customHeight="1">
      <c r="A1621" s="2730" t="s">
        <v>1692</v>
      </c>
      <c r="B1621" s="2729" t="s">
        <v>4510</v>
      </c>
      <c r="C1621" s="2729"/>
      <c r="D1621" s="2729"/>
      <c r="E1621" s="2729"/>
      <c r="F1621" s="2729"/>
      <c r="G1621" s="2729"/>
      <c r="H1621" s="2729"/>
      <c r="I1621" s="2729"/>
      <c r="J1621" s="2729"/>
      <c r="K1621" s="2729"/>
      <c r="L1621" s="2729"/>
      <c r="M1621" s="2729"/>
      <c r="N1621" s="2729"/>
      <c r="O1621" s="2730" t="s">
        <v>1692</v>
      </c>
      <c r="P1621" s="2740" t="str">
        <f>'Part VIII-Threshold Criteria'!P451</f>
        <v>Agree</v>
      </c>
      <c r="Q1621" s="2740"/>
    </row>
    <row r="1622" spans="1:31" s="2607" customFormat="1" ht="21.75" customHeight="1">
      <c r="A1622" s="2730" t="s">
        <v>1693</v>
      </c>
      <c r="B1622" s="2729" t="s">
        <v>4573</v>
      </c>
      <c r="C1622" s="2729"/>
      <c r="D1622" s="2729"/>
      <c r="E1622" s="2729"/>
      <c r="F1622" s="2729"/>
      <c r="G1622" s="2729"/>
      <c r="H1622" s="2729"/>
      <c r="I1622" s="2729"/>
      <c r="J1622" s="2729"/>
      <c r="K1622" s="2729"/>
      <c r="L1622" s="2729"/>
      <c r="M1622" s="2729"/>
      <c r="N1622" s="2729"/>
      <c r="O1622" s="2730" t="s">
        <v>1693</v>
      </c>
      <c r="P1622" s="2740" t="str">
        <f>'Part VIII-Threshold Criteria'!P452</f>
        <v>Agree</v>
      </c>
      <c r="Q1622" s="2740"/>
    </row>
    <row r="1623" spans="1:31" ht="11.25" customHeight="1">
      <c r="B1623" s="2684" t="s">
        <v>3571</v>
      </c>
      <c r="D1623" s="2684"/>
      <c r="E1623" s="2684"/>
      <c r="F1623" s="2684"/>
      <c r="G1623" s="2684"/>
      <c r="H1623" s="2684"/>
      <c r="I1623" s="1550"/>
      <c r="J1623" s="1550"/>
      <c r="K1623" s="1550"/>
      <c r="L1623" s="2251"/>
      <c r="M1623" s="2251"/>
      <c r="N1623" s="2251"/>
      <c r="O1623" s="2251"/>
      <c r="P1623" s="2251"/>
      <c r="Q1623" s="2251"/>
    </row>
    <row r="1624" spans="1:31" ht="33.6" customHeight="1">
      <c r="A1624" s="2729" t="str">
        <f>'Part VIII-Threshold Criteria'!A454</f>
        <v>Applicant agrees to Affirmatively Futhering Fair Housing</v>
      </c>
      <c r="B1624" s="2729"/>
      <c r="C1624" s="2729"/>
      <c r="D1624" s="2729"/>
      <c r="E1624" s="2729"/>
      <c r="F1624" s="2729"/>
      <c r="G1624" s="2729"/>
      <c r="H1624" s="2729"/>
      <c r="I1624" s="2729"/>
      <c r="J1624" s="2729"/>
      <c r="K1624" s="2729"/>
      <c r="L1624" s="2729"/>
      <c r="M1624" s="2729"/>
      <c r="N1624" s="2729"/>
      <c r="O1624" s="2729"/>
      <c r="P1624" s="2729"/>
      <c r="Q1624" s="2729"/>
      <c r="R1624" s="2497" t="s">
        <v>1228</v>
      </c>
      <c r="S1624" s="2497"/>
      <c r="U1624" s="2654"/>
      <c r="V1624" s="2654"/>
      <c r="W1624" s="2654"/>
      <c r="X1624" s="2654"/>
      <c r="Y1624" s="2654"/>
      <c r="Z1624" s="2654"/>
      <c r="AA1624" s="2654"/>
      <c r="AB1624" s="2654"/>
      <c r="AC1624" s="2654"/>
      <c r="AD1624" s="2654"/>
      <c r="AE1624" s="2654"/>
    </row>
    <row r="1625" spans="1:31" ht="11.25" customHeight="1">
      <c r="B1625" s="2729" t="s">
        <v>1820</v>
      </c>
      <c r="C1625" s="2729"/>
      <c r="D1625" s="2731"/>
      <c r="E1625" s="2731"/>
      <c r="F1625" s="2731"/>
      <c r="G1625" s="2731"/>
      <c r="H1625" s="2731"/>
      <c r="I1625" s="2731"/>
      <c r="J1625" s="2731"/>
      <c r="K1625" s="2731"/>
      <c r="L1625" s="2731"/>
      <c r="M1625" s="2731"/>
      <c r="N1625" s="2731"/>
      <c r="O1625" s="2731"/>
      <c r="P1625" s="2731"/>
      <c r="Q1625" s="2731"/>
    </row>
    <row r="1626" spans="1:31" ht="33.6" customHeight="1">
      <c r="A1626" s="2729"/>
      <c r="B1626" s="2729"/>
      <c r="C1626" s="2729"/>
      <c r="D1626" s="2729"/>
      <c r="E1626" s="2729"/>
      <c r="F1626" s="2729"/>
      <c r="G1626" s="2729"/>
      <c r="H1626" s="2729"/>
      <c r="I1626" s="2729"/>
      <c r="J1626" s="2729"/>
      <c r="K1626" s="2729"/>
      <c r="L1626" s="2729"/>
      <c r="M1626" s="2729"/>
      <c r="N1626" s="2729"/>
      <c r="O1626" s="2729"/>
      <c r="P1626" s="2729"/>
      <c r="Q1626" s="2729"/>
    </row>
    <row r="1627" spans="1:31" ht="3" customHeight="1">
      <c r="A1627" s="2251"/>
      <c r="B1627" s="1550"/>
      <c r="C1627" s="2731"/>
      <c r="D1627" s="2731"/>
      <c r="E1627" s="2731"/>
      <c r="F1627" s="2731"/>
      <c r="G1627" s="2731"/>
      <c r="H1627" s="2731"/>
      <c r="I1627" s="2731"/>
      <c r="J1627" s="2731"/>
      <c r="K1627" s="2731"/>
      <c r="L1627" s="2731"/>
      <c r="M1627" s="2731"/>
      <c r="Q1627" s="2251"/>
    </row>
    <row r="1628" spans="1:31" s="2762" customFormat="1" ht="12.75" customHeight="1">
      <c r="A1628" s="2649" t="s">
        <v>3802</v>
      </c>
      <c r="C1628" s="2408" t="s">
        <v>2639</v>
      </c>
      <c r="D1628" s="2618"/>
      <c r="E1628" s="512"/>
      <c r="J1628" s="2684"/>
      <c r="M1628" s="2652"/>
      <c r="N1628" s="2652"/>
      <c r="O1628" s="2730" t="s">
        <v>1821</v>
      </c>
      <c r="P1628" s="2654"/>
      <c r="Q1628" s="2654"/>
    </row>
    <row r="1629" spans="1:31" s="2777" customFormat="1" ht="15" customHeight="1">
      <c r="A1629" s="2730" t="s">
        <v>1936</v>
      </c>
      <c r="B1629" s="2729" t="s">
        <v>4593</v>
      </c>
      <c r="C1629" s="2729"/>
      <c r="D1629" s="2729"/>
      <c r="E1629" s="2729"/>
      <c r="F1629" s="2729"/>
      <c r="G1629" s="2729"/>
      <c r="H1629" s="2729"/>
      <c r="I1629" s="2729"/>
      <c r="J1629" s="2618" t="s">
        <v>4463</v>
      </c>
      <c r="K1629" s="2618"/>
      <c r="L1629" s="2542" t="s">
        <v>4595</v>
      </c>
      <c r="M1629" s="2767"/>
      <c r="N1629" s="2670">
        <f>ROUNDUP('Part VI-Revenues &amp; Expenses'!$P$63*0.1,0)</f>
        <v>20</v>
      </c>
      <c r="O1629" s="2776" t="s">
        <v>1936</v>
      </c>
      <c r="P1629" s="2729" t="str">
        <f>'Part VIII-Threshold Criteria'!P459</f>
        <v>Agree</v>
      </c>
      <c r="Q1629" s="2729"/>
      <c r="R1629" s="2505"/>
      <c r="S1629" s="2505"/>
    </row>
    <row r="1630" spans="1:31" s="2777" customFormat="1" ht="15" customHeight="1">
      <c r="B1630" s="2729"/>
      <c r="C1630" s="2729"/>
      <c r="D1630" s="2729"/>
      <c r="E1630" s="2729"/>
      <c r="F1630" s="2729"/>
      <c r="G1630" s="2729"/>
      <c r="H1630" s="2729"/>
      <c r="I1630" s="2729"/>
      <c r="J1630" s="2778">
        <f>'Part VI-Revenues &amp; Expenses'!$P$100</f>
        <v>0</v>
      </c>
      <c r="K1630" s="2778"/>
      <c r="L1630" s="2684" t="s">
        <v>4464</v>
      </c>
      <c r="M1630" s="2767"/>
      <c r="N1630" s="2670">
        <f>'Part VI-Revenues &amp; Expenses'!$P$63</f>
        <v>200</v>
      </c>
      <c r="P1630" s="2729"/>
      <c r="Q1630" s="2729"/>
      <c r="R1630" s="2505"/>
      <c r="S1630" s="2505"/>
    </row>
    <row r="1631" spans="1:31" s="2777" customFormat="1" ht="15" customHeight="1">
      <c r="A1631" s="2730"/>
      <c r="B1631" s="2729"/>
      <c r="C1631" s="2729"/>
      <c r="D1631" s="2729"/>
      <c r="E1631" s="2729"/>
      <c r="F1631" s="2729"/>
      <c r="G1631" s="2729"/>
      <c r="H1631" s="2729"/>
      <c r="I1631" s="2729"/>
      <c r="J1631" s="2729"/>
      <c r="L1631" s="2684" t="s">
        <v>1749</v>
      </c>
      <c r="M1631" s="2767"/>
      <c r="N1631" s="2670">
        <f>'Part VI-Revenues &amp; Expenses'!$P$67</f>
        <v>200</v>
      </c>
      <c r="P1631" s="2729"/>
      <c r="Q1631" s="2729"/>
    </row>
    <row r="1632" spans="1:31" s="2729" customFormat="1" ht="22.5" customHeight="1">
      <c r="A1632" s="2730" t="s">
        <v>1938</v>
      </c>
      <c r="B1632" s="2729" t="s">
        <v>4599</v>
      </c>
      <c r="J1632" s="512" t="s">
        <v>4594</v>
      </c>
      <c r="K1632" s="512"/>
      <c r="L1632" s="512">
        <f>'Part VIII-Threshold Criteria'!L462</f>
        <v>0</v>
      </c>
      <c r="M1632" s="512"/>
      <c r="N1632" s="512"/>
      <c r="O1632" s="2776" t="s">
        <v>1938</v>
      </c>
      <c r="P1632" s="2740" t="str">
        <f>'Part VIII-Threshold Criteria'!P462</f>
        <v>Yes</v>
      </c>
      <c r="Q1632" s="2740"/>
    </row>
    <row r="1633" spans="1:31" s="2729" customFormat="1" ht="12" customHeight="1">
      <c r="A1633" s="2730" t="s">
        <v>731</v>
      </c>
      <c r="B1633" s="2729" t="s">
        <v>4367</v>
      </c>
      <c r="J1633" s="512" t="s">
        <v>4285</v>
      </c>
      <c r="K1633" s="2779">
        <f>'Part VI-Revenues &amp; Expenses'!$P$115</f>
        <v>200</v>
      </c>
      <c r="L1633" s="2684" t="s">
        <v>4284</v>
      </c>
      <c r="M1633" s="2767"/>
      <c r="N1633" s="2670">
        <f>ROUNDUP(N1631*0.1,0)</f>
        <v>20</v>
      </c>
      <c r="O1633" s="2776" t="s">
        <v>731</v>
      </c>
      <c r="P1633" s="2729" t="str">
        <f>'Part VIII-Threshold Criteria'!P463</f>
        <v>Yes</v>
      </c>
      <c r="R1633" s="2505"/>
      <c r="S1633" s="2505"/>
    </row>
    <row r="1634" spans="1:31" s="2729" customFormat="1" ht="12" customHeight="1">
      <c r="J1634" s="512" t="s">
        <v>4286</v>
      </c>
      <c r="K1634" s="2780">
        <f>IF(N1631=0,"",K1633/N1631)</f>
        <v>1</v>
      </c>
      <c r="L1634" s="2684" t="s">
        <v>4462</v>
      </c>
      <c r="M1634" s="512"/>
      <c r="N1634" s="2671">
        <f>'Part VI-Revenues &amp; Expenses'!$L$67/'Part VI-Revenues &amp; Expenses'!$P$67</f>
        <v>0.09</v>
      </c>
      <c r="O1634" s="2776" t="str">
        <f>IF(AND(N1634&lt;0.1,P1633="Yes"), "Check!","")</f>
        <v>Check!</v>
      </c>
      <c r="P1634" s="2729">
        <f>'Part VIII-Threshold Criteria'!P464</f>
        <v>0</v>
      </c>
      <c r="R1634" s="2505"/>
      <c r="S1634" s="2505"/>
    </row>
    <row r="1635" spans="1:31" s="2408" customFormat="1" ht="12" customHeight="1">
      <c r="A1635" s="2749" t="s">
        <v>2065</v>
      </c>
      <c r="B1635" s="2781" t="s">
        <v>1939</v>
      </c>
      <c r="C1635" s="512" t="s">
        <v>4287</v>
      </c>
      <c r="D1635" s="512"/>
      <c r="E1635" s="512"/>
      <c r="F1635" s="512"/>
      <c r="G1635" s="512"/>
      <c r="H1635" s="512"/>
      <c r="I1635" s="512"/>
      <c r="J1635" s="512"/>
      <c r="K1635" s="512"/>
      <c r="L1635" s="512"/>
      <c r="M1635" s="512"/>
      <c r="N1635" s="512"/>
      <c r="O1635" s="2749" t="s">
        <v>4596</v>
      </c>
      <c r="P1635" s="1550" t="str">
        <f>'Part VIII-Threshold Criteria'!P465</f>
        <v>No</v>
      </c>
      <c r="Q1635" s="1550"/>
    </row>
    <row r="1636" spans="1:31" s="2408" customFormat="1">
      <c r="B1636" s="2781" t="s">
        <v>1941</v>
      </c>
      <c r="C1636" s="512" t="s">
        <v>4597</v>
      </c>
      <c r="D1636" s="512"/>
      <c r="E1636" s="512"/>
      <c r="F1636" s="512"/>
      <c r="G1636" s="512"/>
      <c r="H1636" s="512"/>
      <c r="I1636" s="512"/>
      <c r="J1636" s="512"/>
      <c r="K1636" s="512"/>
      <c r="L1636" s="512"/>
      <c r="M1636" s="512"/>
      <c r="N1636" s="512"/>
      <c r="O1636" s="2749" t="s">
        <v>4598</v>
      </c>
      <c r="P1636" s="1550">
        <f>'Part VIII-Threshold Criteria'!P466</f>
        <v>0</v>
      </c>
      <c r="Q1636" s="1550"/>
    </row>
    <row r="1637" spans="1:31" s="2762" customFormat="1" ht="11.25" customHeight="1">
      <c r="A1637" s="2408"/>
      <c r="B1637" s="2684" t="s">
        <v>3571</v>
      </c>
      <c r="C1637" s="2408"/>
      <c r="D1637" s="2654"/>
      <c r="E1637" s="2654"/>
      <c r="F1637" s="2654"/>
      <c r="G1637" s="2654"/>
      <c r="H1637" s="512"/>
      <c r="I1637" s="512"/>
      <c r="J1637" s="512"/>
      <c r="K1637" s="512"/>
      <c r="M1637" s="2652"/>
      <c r="N1637" s="2613"/>
      <c r="O1637" s="2707"/>
      <c r="P1637" s="2613"/>
    </row>
    <row r="1638" spans="1:31" s="2762" customFormat="1" ht="21.75" customHeight="1">
      <c r="A1638" s="2729" t="str">
        <f>'Part VIII-Threshold Criteria'!A468</f>
        <v>Applicant agrees to the Integrated Supportive Housing commitments above.</v>
      </c>
      <c r="B1638" s="2729"/>
      <c r="C1638" s="2729"/>
      <c r="D1638" s="2729"/>
      <c r="E1638" s="2729"/>
      <c r="F1638" s="2729"/>
      <c r="G1638" s="2729"/>
      <c r="H1638" s="2729"/>
      <c r="I1638" s="2729"/>
      <c r="J1638" s="2729"/>
      <c r="K1638" s="2729"/>
      <c r="L1638" s="2729"/>
      <c r="M1638" s="2729"/>
      <c r="N1638" s="2729"/>
      <c r="O1638" s="2729"/>
      <c r="P1638" s="2729"/>
      <c r="Q1638" s="2729"/>
      <c r="R1638" s="2497" t="s">
        <v>1228</v>
      </c>
    </row>
    <row r="1639" spans="1:31" s="2762" customFormat="1" ht="10.5" customHeight="1">
      <c r="B1639" s="2729" t="s">
        <v>1820</v>
      </c>
      <c r="C1639" s="2408"/>
      <c r="D1639" s="2729"/>
      <c r="E1639" s="2731"/>
      <c r="F1639" s="2731"/>
      <c r="G1639" s="2731"/>
      <c r="H1639" s="2731"/>
      <c r="I1639" s="2731"/>
      <c r="J1639" s="2731"/>
      <c r="K1639" s="2731"/>
      <c r="L1639" s="2731"/>
      <c r="M1639" s="2731"/>
      <c r="N1639" s="2782"/>
      <c r="O1639" s="2782"/>
      <c r="P1639" s="2652"/>
    </row>
    <row r="1640" spans="1:31" s="2762" customFormat="1" ht="11.25" customHeight="1">
      <c r="A1640" s="2729"/>
      <c r="B1640" s="2729"/>
      <c r="C1640" s="2729"/>
      <c r="D1640" s="2729"/>
      <c r="E1640" s="2729"/>
      <c r="F1640" s="2729"/>
      <c r="G1640" s="2729"/>
      <c r="H1640" s="2729"/>
      <c r="I1640" s="2729"/>
      <c r="J1640" s="2729"/>
      <c r="K1640" s="2729"/>
      <c r="L1640" s="2729"/>
      <c r="M1640" s="2729"/>
      <c r="N1640" s="2729"/>
      <c r="O1640" s="2729"/>
      <c r="P1640" s="2729"/>
      <c r="Q1640" s="2729"/>
    </row>
    <row r="1641" spans="1:31" ht="3" customHeight="1">
      <c r="A1641" s="2251"/>
      <c r="B1641" s="1550"/>
      <c r="C1641" s="2731"/>
      <c r="D1641" s="2731"/>
      <c r="E1641" s="2731"/>
      <c r="F1641" s="2731"/>
      <c r="G1641" s="2731"/>
      <c r="H1641" s="2731"/>
      <c r="I1641" s="2731"/>
      <c r="J1641" s="2731"/>
      <c r="K1641" s="2731"/>
      <c r="L1641" s="2731"/>
      <c r="M1641" s="2731"/>
      <c r="N1641" s="2731"/>
      <c r="O1641" s="2731"/>
      <c r="P1641" s="2731"/>
      <c r="Q1641" s="2251"/>
    </row>
    <row r="1642" spans="1:31" ht="14.1" customHeight="1">
      <c r="A1642" s="2649" t="s">
        <v>4282</v>
      </c>
      <c r="B1642" s="2408"/>
      <c r="C1642" s="2408" t="s">
        <v>2594</v>
      </c>
      <c r="D1642" s="512"/>
      <c r="E1642" s="2731"/>
      <c r="F1642" s="2731"/>
      <c r="G1642" s="2731"/>
      <c r="H1642" s="2731"/>
      <c r="J1642" s="2731"/>
      <c r="K1642" s="2731"/>
      <c r="L1642" s="2731"/>
      <c r="M1642" s="2731"/>
      <c r="O1642" s="2730" t="s">
        <v>1821</v>
      </c>
      <c r="P1642" s="2654"/>
      <c r="Q1642" s="2654"/>
    </row>
    <row r="1643" spans="1:31" ht="11.25" customHeight="1">
      <c r="A1643" s="2649"/>
      <c r="B1643" s="2684" t="s">
        <v>3571</v>
      </c>
      <c r="D1643" s="2684"/>
      <c r="E1643" s="2684"/>
      <c r="F1643" s="2684"/>
      <c r="G1643" s="2684"/>
      <c r="H1643" s="2684"/>
      <c r="I1643" s="1550"/>
      <c r="J1643" s="1550"/>
      <c r="K1643" s="1550"/>
      <c r="L1643" s="2251"/>
      <c r="M1643" s="2251"/>
      <c r="N1643" s="2251"/>
      <c r="O1643" s="2251"/>
      <c r="P1643" s="2251"/>
      <c r="Q1643" s="2251"/>
    </row>
    <row r="1644" spans="1:31" ht="22.5" customHeight="1">
      <c r="A1644" s="2729" t="str">
        <f>'Part VIII-Threshold Criteria'!A474</f>
        <v>Applicant agrees to optimal utilization of all resources.  We used the GAP method to make sure the project resources are efficient.</v>
      </c>
      <c r="B1644" s="2729"/>
      <c r="C1644" s="2729"/>
      <c r="D1644" s="2729"/>
      <c r="E1644" s="2729"/>
      <c r="F1644" s="2729"/>
      <c r="G1644" s="2729"/>
      <c r="H1644" s="2729"/>
      <c r="I1644" s="2729"/>
      <c r="J1644" s="2729"/>
      <c r="K1644" s="2729"/>
      <c r="L1644" s="2729"/>
      <c r="M1644" s="2729"/>
      <c r="N1644" s="2729"/>
      <c r="O1644" s="2729"/>
      <c r="P1644" s="2729"/>
      <c r="Q1644" s="2729"/>
      <c r="R1644" s="2497" t="s">
        <v>1228</v>
      </c>
      <c r="S1644" s="2497"/>
      <c r="U1644" s="2654"/>
      <c r="V1644" s="2654"/>
      <c r="W1644" s="2654"/>
      <c r="X1644" s="2654"/>
      <c r="Y1644" s="2654"/>
      <c r="Z1644" s="2654"/>
      <c r="AA1644" s="2654"/>
      <c r="AB1644" s="2654"/>
      <c r="AC1644" s="2654"/>
      <c r="AD1644" s="2654"/>
      <c r="AE1644" s="2654"/>
    </row>
    <row r="1645" spans="1:31" ht="11.25" customHeight="1">
      <c r="B1645" s="2729" t="s">
        <v>1820</v>
      </c>
      <c r="C1645" s="2729"/>
      <c r="D1645" s="2731"/>
      <c r="E1645" s="2731"/>
      <c r="F1645" s="2731"/>
      <c r="G1645" s="2731"/>
      <c r="H1645" s="2731"/>
      <c r="I1645" s="2731"/>
      <c r="J1645" s="2731"/>
      <c r="K1645" s="2731"/>
      <c r="L1645" s="2731"/>
      <c r="M1645" s="2731"/>
      <c r="N1645" s="2731"/>
      <c r="O1645" s="2731"/>
      <c r="P1645" s="2731"/>
      <c r="Q1645" s="2731"/>
    </row>
    <row r="1646" spans="1:31" ht="22.5" customHeight="1">
      <c r="A1646" s="2729"/>
      <c r="B1646" s="2729"/>
      <c r="C1646" s="2729"/>
      <c r="D1646" s="2729"/>
      <c r="E1646" s="2729"/>
      <c r="F1646" s="2729"/>
      <c r="G1646" s="2729"/>
      <c r="H1646" s="2729"/>
      <c r="I1646" s="2729"/>
      <c r="J1646" s="2729"/>
      <c r="K1646" s="2729"/>
      <c r="L1646" s="2729"/>
      <c r="M1646" s="2729"/>
      <c r="N1646" s="2729"/>
      <c r="O1646" s="2729"/>
      <c r="P1646" s="2729"/>
      <c r="Q1646" s="2729"/>
    </row>
    <row r="1647" spans="1:31" ht="3" customHeight="1">
      <c r="A1647" s="2251"/>
      <c r="B1647" s="1550"/>
      <c r="C1647" s="2731"/>
      <c r="D1647" s="2731"/>
      <c r="E1647" s="2731"/>
      <c r="F1647" s="2731"/>
      <c r="G1647" s="2731"/>
      <c r="H1647" s="2731"/>
      <c r="I1647" s="2731"/>
      <c r="J1647" s="2731"/>
      <c r="K1647" s="2731"/>
      <c r="L1647" s="2731"/>
      <c r="M1647" s="2731"/>
      <c r="N1647" s="2731"/>
      <c r="O1647" s="2731"/>
      <c r="P1647" s="2731"/>
      <c r="Q1647" s="2251"/>
    </row>
    <row r="1648" spans="1:31" ht="3" customHeight="1">
      <c r="A1648" s="2251"/>
      <c r="B1648" s="1550"/>
      <c r="C1648" s="2731"/>
      <c r="D1648" s="2731"/>
      <c r="E1648" s="2731"/>
      <c r="F1648" s="2731"/>
      <c r="G1648" s="2731"/>
      <c r="H1648" s="2731"/>
      <c r="I1648" s="2731"/>
      <c r="J1648" s="2731"/>
      <c r="K1648" s="2731"/>
      <c r="L1648" s="2731"/>
      <c r="M1648" s="2731"/>
      <c r="N1648" s="2731"/>
      <c r="O1648" s="2731"/>
      <c r="P1648" s="2731"/>
      <c r="Q1648" s="2251"/>
    </row>
    <row r="1649" spans="1:22" ht="14.1" customHeight="1">
      <c r="A1649" s="2649" t="s">
        <v>4283</v>
      </c>
      <c r="B1649" s="2408"/>
      <c r="C1649" s="2408" t="s">
        <v>4704</v>
      </c>
      <c r="D1649" s="512"/>
      <c r="E1649" s="2731"/>
      <c r="F1649" s="2731"/>
      <c r="G1649" s="2731"/>
      <c r="H1649" s="2731"/>
      <c r="I1649" s="2731"/>
      <c r="J1649" s="2731"/>
      <c r="K1649" s="2731"/>
      <c r="L1649" s="2731"/>
      <c r="M1649" s="2731"/>
      <c r="O1649" s="2730" t="s">
        <v>1821</v>
      </c>
      <c r="P1649" s="2654"/>
      <c r="Q1649" s="2654"/>
    </row>
    <row r="1650" spans="1:22" s="2767" customFormat="1" ht="11.25" customHeight="1">
      <c r="B1650" s="2691" t="s">
        <v>4288</v>
      </c>
      <c r="D1650" s="2684"/>
      <c r="E1650" s="2684"/>
      <c r="F1650" s="2744"/>
      <c r="G1650" s="2494"/>
      <c r="L1650" s="2251"/>
      <c r="M1650" s="2251"/>
      <c r="N1650" s="2251"/>
      <c r="O1650" s="2251"/>
      <c r="P1650" s="2251"/>
      <c r="Q1650" s="2251"/>
      <c r="R1650" s="2251"/>
      <c r="T1650" s="2728"/>
      <c r="U1650" s="2728"/>
    </row>
    <row r="1651" spans="1:22" s="2767" customFormat="1" ht="10.5" customHeight="1">
      <c r="A1651" s="2673"/>
      <c r="B1651" s="2684" t="s">
        <v>4368</v>
      </c>
      <c r="D1651" s="2684"/>
      <c r="E1651" s="2684"/>
      <c r="F1651" s="2744"/>
      <c r="G1651" s="2494"/>
      <c r="K1651" s="2749"/>
      <c r="M1651" s="2652"/>
      <c r="N1651" s="2749"/>
      <c r="P1651" s="1550" t="str">
        <f>'Part VIII-Threshold Criteria'!P481</f>
        <v>Yes</v>
      </c>
      <c r="Q1651" s="1550"/>
      <c r="R1651" s="2531"/>
      <c r="T1651" s="2728"/>
      <c r="U1651" s="2728"/>
    </row>
    <row r="1652" spans="1:22" s="2767" customFormat="1" ht="10.5" customHeight="1">
      <c r="A1652" s="2673"/>
      <c r="B1652" s="2684"/>
      <c r="D1652" s="2684"/>
      <c r="E1652" s="2684"/>
      <c r="F1652" s="2744"/>
      <c r="G1652" s="2494"/>
      <c r="K1652" s="2749"/>
      <c r="M1652" s="2652"/>
      <c r="N1652" s="2749"/>
      <c r="R1652" s="2531"/>
      <c r="T1652" s="2728"/>
      <c r="U1652" s="2728"/>
    </row>
    <row r="1653" spans="1:22" s="2767" customFormat="1" ht="10.5" customHeight="1">
      <c r="A1653" s="2673"/>
      <c r="B1653" s="2684"/>
      <c r="D1653" s="2684"/>
      <c r="E1653" s="2684"/>
      <c r="F1653" s="2744"/>
      <c r="G1653" s="2494"/>
      <c r="K1653" s="2749"/>
      <c r="M1653" s="2652"/>
      <c r="N1653" s="2749"/>
      <c r="R1653" s="2531"/>
      <c r="T1653" s="2728"/>
      <c r="U1653" s="2728"/>
    </row>
    <row r="1656" spans="1:22" ht="14.1" customHeight="1">
      <c r="A1656" s="2408" t="str">
        <f>CONCATENATE("PART NINE - SCORING CRITERIA","  -  ",'Part I-Project Information'!$O$6," ",'Part I-Project Information'!$F$34,", ",'Part I-Project Information'!F1691,", ",'Part I-Project Information'!J1692," County")</f>
        <v>PART NINE - SCORING CRITERIA  -  2020-5 Lakeview Terrace, ,  County</v>
      </c>
      <c r="B1656" s="2408"/>
      <c r="C1656" s="2408"/>
      <c r="D1656" s="2408"/>
      <c r="E1656" s="2408"/>
      <c r="F1656" s="2408"/>
      <c r="G1656" s="2408"/>
      <c r="H1656" s="2408"/>
      <c r="I1656" s="2408"/>
      <c r="J1656" s="2408"/>
      <c r="K1656" s="2408"/>
      <c r="L1656" s="2408"/>
      <c r="M1656" s="2408"/>
      <c r="N1656" s="2408"/>
      <c r="O1656" s="2408"/>
      <c r="P1656" s="2408"/>
      <c r="Q1656" s="2504"/>
      <c r="R1656" s="2504"/>
      <c r="S1656" s="2504"/>
    </row>
    <row r="1657" spans="1:22" ht="4.3499999999999996" customHeight="1">
      <c r="A1657" s="512"/>
      <c r="B1657" s="512"/>
      <c r="C1657" s="2783"/>
      <c r="D1657" s="512"/>
      <c r="E1657" s="512"/>
      <c r="F1657" s="512"/>
      <c r="G1657" s="512"/>
      <c r="H1657" s="512"/>
      <c r="I1657" s="512"/>
      <c r="J1657" s="512"/>
      <c r="K1657" s="512"/>
      <c r="L1657" s="512"/>
      <c r="M1657" s="1550"/>
      <c r="N1657" s="2652"/>
      <c r="O1657" s="2652"/>
      <c r="P1657" s="2652"/>
      <c r="Q1657" s="2504"/>
      <c r="R1657" s="2504"/>
      <c r="S1657" s="2504"/>
    </row>
    <row r="1658" spans="1:22" s="2408" customFormat="1" ht="12" customHeight="1">
      <c r="A1658" s="2505" t="s">
        <v>6899</v>
      </c>
      <c r="B1658" s="2505"/>
      <c r="C1658" s="2505"/>
      <c r="D1658" s="2505"/>
      <c r="E1658" s="2505"/>
      <c r="F1658" s="2505"/>
      <c r="G1658" s="2505"/>
      <c r="H1658" s="2505"/>
      <c r="I1658" s="2505"/>
      <c r="J1658" s="2505"/>
      <c r="K1658" s="2505"/>
      <c r="L1658" s="2505"/>
      <c r="M1658" s="2652" t="s">
        <v>2163</v>
      </c>
      <c r="N1658" s="2652"/>
      <c r="O1658" s="2652" t="s">
        <v>2162</v>
      </c>
      <c r="P1658" s="2652" t="s">
        <v>251</v>
      </c>
      <c r="Q1658" s="2504"/>
      <c r="R1658" s="2504"/>
      <c r="S1658" s="2504"/>
    </row>
    <row r="1659" spans="1:22" s="2744" customFormat="1" ht="12" customHeight="1">
      <c r="A1659" s="2505"/>
      <c r="B1659" s="2505"/>
      <c r="C1659" s="2505"/>
      <c r="D1659" s="2505"/>
      <c r="E1659" s="2505"/>
      <c r="F1659" s="2505"/>
      <c r="G1659" s="2505"/>
      <c r="H1659" s="2505"/>
      <c r="I1659" s="2505"/>
      <c r="J1659" s="2505"/>
      <c r="K1659" s="2505"/>
      <c r="L1659" s="2505"/>
      <c r="M1659" s="2652" t="s">
        <v>91</v>
      </c>
      <c r="N1659" s="2408"/>
      <c r="O1659" s="2652" t="s">
        <v>2163</v>
      </c>
      <c r="P1659" s="2652" t="s">
        <v>2163</v>
      </c>
      <c r="Q1659" s="2504"/>
      <c r="R1659" s="2504"/>
      <c r="S1659" s="2504"/>
      <c r="T1659" s="2408"/>
      <c r="U1659" s="2408"/>
      <c r="V1659" s="2408"/>
    </row>
    <row r="1660" spans="1:22" s="2744" customFormat="1" ht="3" customHeight="1">
      <c r="A1660" s="2408"/>
      <c r="B1660" s="2408"/>
      <c r="C1660" s="2408"/>
      <c r="D1660" s="2408"/>
      <c r="E1660" s="2408"/>
      <c r="F1660" s="2408"/>
      <c r="G1660" s="2408"/>
      <c r="H1660" s="2408"/>
      <c r="I1660" s="2408"/>
      <c r="J1660" s="2408"/>
      <c r="K1660" s="2408"/>
      <c r="M1660" s="2613"/>
      <c r="N1660" s="2408"/>
      <c r="O1660" s="2652"/>
      <c r="P1660" s="2613"/>
      <c r="Q1660" s="2504"/>
      <c r="R1660" s="2504"/>
      <c r="S1660" s="2504"/>
    </row>
    <row r="1661" spans="1:22" s="2744" customFormat="1" ht="12.75" customHeight="1">
      <c r="A1661" s="2408"/>
      <c r="B1661" s="2563" t="str">
        <f>'Part I-Project Information'!$B$6</f>
        <v>July 15, 2020 Version (4%)</v>
      </c>
      <c r="C1661" s="2563"/>
      <c r="D1661" s="2563"/>
      <c r="E1661" s="2563"/>
      <c r="F1661" s="2563"/>
      <c r="G1661" s="2408"/>
      <c r="H1661" s="2408"/>
      <c r="I1661" s="2408"/>
      <c r="J1661" s="2408"/>
      <c r="L1661" s="2490" t="s">
        <v>1200</v>
      </c>
      <c r="M1661" s="2707">
        <f>M2098</f>
        <v>95</v>
      </c>
      <c r="N1661" s="2707"/>
      <c r="O1661" s="2707">
        <f>O2098</f>
        <v>20</v>
      </c>
      <c r="P1661" s="2707">
        <f>P2098</f>
        <v>20</v>
      </c>
      <c r="Q1661" s="2504"/>
      <c r="R1661" s="2504"/>
      <c r="S1661" s="2504"/>
    </row>
    <row r="1662" spans="1:22" s="2762" customFormat="1" ht="3.6" customHeight="1">
      <c r="A1662" s="2408"/>
      <c r="B1662" s="2749"/>
      <c r="C1662" s="512"/>
      <c r="D1662" s="2654"/>
      <c r="E1662" s="2654"/>
      <c r="F1662" s="2654"/>
      <c r="G1662" s="2654"/>
      <c r="H1662" s="2654"/>
      <c r="I1662" s="2654"/>
      <c r="J1662" s="2654"/>
      <c r="K1662" s="2654"/>
      <c r="L1662" s="2408"/>
      <c r="M1662" s="2652"/>
      <c r="N1662" s="2613"/>
      <c r="O1662" s="2707"/>
      <c r="P1662" s="2652"/>
      <c r="R1662" s="2408"/>
      <c r="S1662" s="2408"/>
    </row>
    <row r="1663" spans="1:22" s="2408" customFormat="1" ht="12" customHeight="1">
      <c r="A1663" s="2654" t="s">
        <v>4297</v>
      </c>
      <c r="D1663" s="512"/>
      <c r="E1663" s="512"/>
      <c r="F1663" s="512"/>
      <c r="G1663" s="512"/>
      <c r="H1663" s="2505" t="s">
        <v>6924</v>
      </c>
      <c r="I1663" s="512"/>
      <c r="J1663" s="512"/>
      <c r="K1663" s="512"/>
      <c r="L1663" s="512"/>
      <c r="M1663" s="2784" t="s">
        <v>6925</v>
      </c>
      <c r="N1663" s="512"/>
      <c r="O1663" s="2660">
        <f>'Part IX Scoring Criteria'!O8</f>
        <v>0</v>
      </c>
      <c r="P1663" s="2652">
        <f>'Part IX Scoring Criteria'!P8</f>
        <v>0</v>
      </c>
      <c r="Q1663" s="512" t="s">
        <v>6900</v>
      </c>
      <c r="R1663" s="2725"/>
      <c r="S1663" s="2725"/>
    </row>
    <row r="1664" spans="1:22" s="2762" customFormat="1" ht="3.6" customHeight="1">
      <c r="A1664" s="2408"/>
      <c r="B1664" s="2749"/>
      <c r="C1664" s="512"/>
      <c r="D1664" s="2654"/>
      <c r="E1664" s="2654"/>
      <c r="F1664" s="2654"/>
      <c r="G1664" s="2654"/>
      <c r="H1664" s="2654"/>
      <c r="I1664" s="2654"/>
      <c r="J1664" s="2654"/>
      <c r="K1664" s="2654"/>
      <c r="L1664" s="2408"/>
      <c r="M1664" s="2652"/>
      <c r="N1664" s="2613"/>
      <c r="O1664" s="2707"/>
      <c r="P1664" s="2652"/>
      <c r="R1664" s="2408"/>
      <c r="S1664" s="2408"/>
    </row>
    <row r="1665" spans="1:22" s="2408" customFormat="1" ht="10.5" customHeight="1">
      <c r="A1665" s="2531" t="s">
        <v>3817</v>
      </c>
      <c r="B1665" s="2531" t="s">
        <v>3818</v>
      </c>
      <c r="C1665" s="512"/>
      <c r="D1665" s="512"/>
      <c r="E1665" s="2531" t="s">
        <v>3833</v>
      </c>
      <c r="F1665" s="2531" t="s">
        <v>3832</v>
      </c>
      <c r="G1665" s="2531"/>
      <c r="H1665" s="2531"/>
      <c r="I1665" s="2531"/>
      <c r="J1665" s="2531"/>
      <c r="K1665" s="2531"/>
      <c r="L1665" s="2531"/>
      <c r="M1665" s="2531"/>
      <c r="N1665" s="2531"/>
      <c r="O1665" s="2784" t="s">
        <v>4295</v>
      </c>
      <c r="P1665" s="1550">
        <f>SUM(P1666:P1678)</f>
        <v>0</v>
      </c>
      <c r="Q1665" s="512" t="s">
        <v>6926</v>
      </c>
      <c r="R1665" s="512"/>
      <c r="S1665" s="512"/>
      <c r="T1665" s="512"/>
      <c r="U1665" s="512"/>
      <c r="V1665" s="512"/>
    </row>
    <row r="1666" spans="1:22" s="2408" customFormat="1" ht="11.25" customHeight="1">
      <c r="A1666" s="2766" t="s">
        <v>724</v>
      </c>
      <c r="B1666" s="2559" t="s">
        <v>3819</v>
      </c>
      <c r="C1666" s="2559"/>
      <c r="D1666" s="2559"/>
      <c r="E1666" s="2785">
        <f>'Part IX Scoring Criteria'!E11</f>
        <v>0</v>
      </c>
      <c r="F1666" s="2732">
        <f>'Part IX Scoring Criteria'!F11</f>
        <v>0</v>
      </c>
      <c r="G1666" s="2732"/>
      <c r="H1666" s="2732"/>
      <c r="I1666" s="2732"/>
      <c r="J1666" s="2732"/>
      <c r="K1666" s="2732"/>
      <c r="L1666" s="2732"/>
      <c r="M1666" s="2732"/>
      <c r="N1666" s="2732"/>
      <c r="O1666" s="2732"/>
      <c r="P1666" s="2782"/>
      <c r="Q1666" s="512"/>
      <c r="R1666" s="512"/>
      <c r="S1666" s="512"/>
      <c r="T1666" s="512"/>
      <c r="U1666" s="512"/>
      <c r="V1666" s="512"/>
    </row>
    <row r="1667" spans="1:22" s="2408" customFormat="1" ht="11.25" customHeight="1">
      <c r="A1667" s="2766" t="s">
        <v>516</v>
      </c>
      <c r="B1667" s="2559" t="s">
        <v>4728</v>
      </c>
      <c r="C1667" s="2559"/>
      <c r="D1667" s="2559"/>
      <c r="E1667" s="2785">
        <f>'Part IX Scoring Criteria'!E12</f>
        <v>0</v>
      </c>
      <c r="F1667" s="2732">
        <f>'Part IX Scoring Criteria'!F12</f>
        <v>0</v>
      </c>
      <c r="G1667" s="2732"/>
      <c r="H1667" s="2732"/>
      <c r="I1667" s="2732"/>
      <c r="J1667" s="2732"/>
      <c r="K1667" s="2732"/>
      <c r="L1667" s="2732"/>
      <c r="M1667" s="2732"/>
      <c r="N1667" s="2732"/>
      <c r="O1667" s="2732"/>
      <c r="P1667" s="2782"/>
      <c r="Q1667" s="2497" t="str">
        <f>'Part IX Scoring Criteria'!Q12</f>
        <v>Some Applicant Scoring Justification boxes are empty! Check to see if points claimed.</v>
      </c>
      <c r="R1667" s="2497"/>
      <c r="S1667" s="2497"/>
    </row>
    <row r="1668" spans="1:22" s="2408" customFormat="1" ht="11.25" customHeight="1">
      <c r="A1668" s="2766" t="s">
        <v>1750</v>
      </c>
      <c r="B1668" s="2559" t="s">
        <v>4729</v>
      </c>
      <c r="C1668" s="2559"/>
      <c r="D1668" s="2559"/>
      <c r="E1668" s="2785">
        <f>'Part IX Scoring Criteria'!E13</f>
        <v>0</v>
      </c>
      <c r="F1668" s="2732">
        <f>'Part IX Scoring Criteria'!F13</f>
        <v>0</v>
      </c>
      <c r="G1668" s="2732"/>
      <c r="H1668" s="2732"/>
      <c r="I1668" s="2732"/>
      <c r="J1668" s="2732"/>
      <c r="K1668" s="2732"/>
      <c r="L1668" s="2732"/>
      <c r="M1668" s="2732"/>
      <c r="N1668" s="2732"/>
      <c r="O1668" s="2732"/>
      <c r="P1668" s="2782"/>
      <c r="Q1668" s="2497"/>
      <c r="R1668" s="2497"/>
      <c r="S1668" s="2497"/>
    </row>
    <row r="1669" spans="1:22" s="2408" customFormat="1" ht="11.25" customHeight="1">
      <c r="A1669" s="2766" t="s">
        <v>516</v>
      </c>
      <c r="B1669" s="2559" t="s">
        <v>3820</v>
      </c>
      <c r="C1669" s="2559"/>
      <c r="D1669" s="2559"/>
      <c r="E1669" s="2785">
        <f>'Part IX Scoring Criteria'!E14</f>
        <v>0</v>
      </c>
      <c r="F1669" s="2732">
        <f>'Part IX Scoring Criteria'!F14</f>
        <v>0</v>
      </c>
      <c r="G1669" s="2732"/>
      <c r="H1669" s="2732"/>
      <c r="I1669" s="2732"/>
      <c r="J1669" s="2732"/>
      <c r="K1669" s="2732"/>
      <c r="L1669" s="2732"/>
      <c r="M1669" s="2732"/>
      <c r="N1669" s="2732"/>
      <c r="O1669" s="2732"/>
      <c r="P1669" s="2782"/>
      <c r="Q1669" s="2497"/>
      <c r="R1669" s="2497"/>
      <c r="S1669" s="2497"/>
    </row>
    <row r="1670" spans="1:22" s="2408" customFormat="1" ht="11.25" customHeight="1">
      <c r="A1670" s="2766" t="s">
        <v>754</v>
      </c>
      <c r="B1670" s="2559" t="s">
        <v>3821</v>
      </c>
      <c r="C1670" s="2559"/>
      <c r="D1670" s="2559"/>
      <c r="E1670" s="2785">
        <f>'Part IX Scoring Criteria'!E15</f>
        <v>0</v>
      </c>
      <c r="F1670" s="2732">
        <f>'Part IX Scoring Criteria'!F15</f>
        <v>0</v>
      </c>
      <c r="G1670" s="2732"/>
      <c r="H1670" s="2732"/>
      <c r="I1670" s="2732"/>
      <c r="J1670" s="2732"/>
      <c r="K1670" s="2732"/>
      <c r="L1670" s="2732"/>
      <c r="M1670" s="2732"/>
      <c r="N1670" s="2732"/>
      <c r="O1670" s="2732"/>
      <c r="P1670" s="2782"/>
      <c r="Q1670" s="2497"/>
      <c r="R1670" s="2497"/>
      <c r="S1670" s="2497"/>
    </row>
    <row r="1671" spans="1:22" s="2408" customFormat="1" ht="11.25" customHeight="1">
      <c r="A1671" s="2766" t="s">
        <v>287</v>
      </c>
      <c r="B1671" s="2559" t="s">
        <v>3822</v>
      </c>
      <c r="C1671" s="2559"/>
      <c r="D1671" s="2559"/>
      <c r="E1671" s="2740" t="str">
        <f>'Part IX Scoring Criteria'!E16</f>
        <v>n/a</v>
      </c>
      <c r="F1671" s="2732">
        <f>'Part IX Scoring Criteria'!F16</f>
        <v>0</v>
      </c>
      <c r="G1671" s="2732"/>
      <c r="H1671" s="2732"/>
      <c r="I1671" s="2732"/>
      <c r="J1671" s="2732"/>
      <c r="K1671" s="2732"/>
      <c r="L1671" s="2732"/>
      <c r="M1671" s="2732"/>
      <c r="N1671" s="2732"/>
      <c r="O1671" s="2732"/>
      <c r="P1671" s="2782"/>
      <c r="Q1671" s="2497"/>
      <c r="R1671" s="2497"/>
      <c r="S1671" s="2497"/>
    </row>
    <row r="1672" spans="1:22" s="2408" customFormat="1" ht="11.25" customHeight="1">
      <c r="A1672" s="2766" t="s">
        <v>418</v>
      </c>
      <c r="B1672" s="2559" t="s">
        <v>4730</v>
      </c>
      <c r="C1672" s="2559"/>
      <c r="D1672" s="2559"/>
      <c r="E1672" s="2785">
        <f>'Part IX Scoring Criteria'!E17</f>
        <v>0</v>
      </c>
      <c r="F1672" s="2732">
        <f>'Part IX Scoring Criteria'!F17</f>
        <v>0</v>
      </c>
      <c r="G1672" s="2732"/>
      <c r="H1672" s="2732"/>
      <c r="I1672" s="2732"/>
      <c r="J1672" s="2732"/>
      <c r="K1672" s="2732"/>
      <c r="L1672" s="2732"/>
      <c r="M1672" s="2732"/>
      <c r="N1672" s="2732"/>
      <c r="O1672" s="2732"/>
      <c r="P1672" s="2782"/>
      <c r="Q1672" s="2497"/>
      <c r="R1672" s="2497"/>
      <c r="S1672" s="2497"/>
    </row>
    <row r="1673" spans="1:22" s="2408" customFormat="1" ht="11.25" customHeight="1">
      <c r="A1673" s="2766" t="s">
        <v>4353</v>
      </c>
      <c r="B1673" s="2559" t="s">
        <v>3603</v>
      </c>
      <c r="C1673" s="2559"/>
      <c r="D1673" s="2559"/>
      <c r="E1673" s="2785">
        <f>'Part IX Scoring Criteria'!E18</f>
        <v>0</v>
      </c>
      <c r="F1673" s="2732">
        <f>'Part IX Scoring Criteria'!F18</f>
        <v>0</v>
      </c>
      <c r="G1673" s="2732"/>
      <c r="H1673" s="2732"/>
      <c r="I1673" s="2732"/>
      <c r="J1673" s="2732"/>
      <c r="K1673" s="2732"/>
      <c r="L1673" s="2732"/>
      <c r="M1673" s="2732"/>
      <c r="N1673" s="2732"/>
      <c r="O1673" s="2732"/>
      <c r="P1673" s="2782"/>
      <c r="Q1673" s="2497"/>
      <c r="R1673" s="2497"/>
      <c r="S1673" s="2497"/>
    </row>
    <row r="1674" spans="1:22" s="2408" customFormat="1" ht="11.25" customHeight="1">
      <c r="A1674" s="2766" t="s">
        <v>4732</v>
      </c>
      <c r="B1674" s="2559" t="s">
        <v>4733</v>
      </c>
      <c r="C1674" s="2559"/>
      <c r="D1674" s="2559"/>
      <c r="E1674" s="2740">
        <f>'Part IX Scoring Criteria'!E19</f>
        <v>0</v>
      </c>
      <c r="F1674" s="2732">
        <f>'Part IX Scoring Criteria'!F19</f>
        <v>0</v>
      </c>
      <c r="G1674" s="2732"/>
      <c r="H1674" s="2732"/>
      <c r="I1674" s="2732"/>
      <c r="J1674" s="2732"/>
      <c r="K1674" s="2732"/>
      <c r="L1674" s="2732"/>
      <c r="M1674" s="2732"/>
      <c r="N1674" s="2732"/>
      <c r="O1674" s="2732"/>
      <c r="P1674" s="2782"/>
      <c r="Q1674" s="2497"/>
      <c r="R1674" s="2497"/>
      <c r="S1674" s="2497"/>
    </row>
    <row r="1675" spans="1:22" s="2408" customFormat="1" ht="11.25" customHeight="1">
      <c r="A1675" s="2766" t="s">
        <v>4747</v>
      </c>
      <c r="B1675" s="2559" t="s">
        <v>4734</v>
      </c>
      <c r="C1675" s="2559"/>
      <c r="D1675" s="2559"/>
      <c r="E1675" s="2785">
        <f>'Part IX Scoring Criteria'!E20</f>
        <v>0</v>
      </c>
      <c r="F1675" s="2732">
        <f>'Part IX Scoring Criteria'!F20</f>
        <v>0</v>
      </c>
      <c r="G1675" s="2732"/>
      <c r="H1675" s="2732"/>
      <c r="I1675" s="2732"/>
      <c r="J1675" s="2732"/>
      <c r="K1675" s="2732"/>
      <c r="L1675" s="2732"/>
      <c r="M1675" s="2732"/>
      <c r="N1675" s="2732"/>
      <c r="O1675" s="2732"/>
      <c r="P1675" s="2782"/>
      <c r="Q1675" s="2497"/>
      <c r="R1675" s="2497"/>
      <c r="S1675" s="2497"/>
    </row>
    <row r="1676" spans="1:22" s="2408" customFormat="1" ht="11.25" customHeight="1">
      <c r="A1676" s="2766" t="s">
        <v>3791</v>
      </c>
      <c r="B1676" s="2559" t="s">
        <v>3823</v>
      </c>
      <c r="C1676" s="2559"/>
      <c r="D1676" s="2559"/>
      <c r="E1676" s="2785">
        <f>'Part IX Scoring Criteria'!E21</f>
        <v>0</v>
      </c>
      <c r="F1676" s="2732">
        <f>'Part IX Scoring Criteria'!F21</f>
        <v>0</v>
      </c>
      <c r="G1676" s="2732"/>
      <c r="H1676" s="2732"/>
      <c r="I1676" s="2732"/>
      <c r="J1676" s="2732"/>
      <c r="K1676" s="2732"/>
      <c r="L1676" s="2732"/>
      <c r="M1676" s="2732"/>
      <c r="N1676" s="2732"/>
      <c r="O1676" s="2732"/>
      <c r="P1676" s="2782"/>
      <c r="Q1676" s="2497"/>
      <c r="R1676" s="2497"/>
      <c r="S1676" s="2497"/>
    </row>
    <row r="1677" spans="1:22" s="2408" customFormat="1" ht="11.25" customHeight="1">
      <c r="A1677" s="2766" t="s">
        <v>3792</v>
      </c>
      <c r="B1677" s="2559" t="s">
        <v>3824</v>
      </c>
      <c r="C1677" s="2559"/>
      <c r="D1677" s="2559"/>
      <c r="E1677" s="2785">
        <f>'Part IX Scoring Criteria'!E22</f>
        <v>0</v>
      </c>
      <c r="F1677" s="2732">
        <f>'Part IX Scoring Criteria'!F22</f>
        <v>0</v>
      </c>
      <c r="G1677" s="2732"/>
      <c r="H1677" s="2732"/>
      <c r="I1677" s="2732"/>
      <c r="J1677" s="2732"/>
      <c r="K1677" s="2732"/>
      <c r="L1677" s="2732"/>
      <c r="M1677" s="2732"/>
      <c r="N1677" s="2732"/>
      <c r="O1677" s="2732"/>
      <c r="P1677" s="2782"/>
      <c r="Q1677" s="2497"/>
      <c r="R1677" s="2497"/>
      <c r="S1677" s="2497"/>
    </row>
    <row r="1678" spans="1:22" s="2408" customFormat="1" ht="11.25" customHeight="1">
      <c r="A1678" s="2766" t="s">
        <v>3790</v>
      </c>
      <c r="B1678" s="2559" t="s">
        <v>3825</v>
      </c>
      <c r="C1678" s="2559"/>
      <c r="D1678" s="2559"/>
      <c r="E1678" s="2740">
        <f>'Part IX Scoring Criteria'!E23</f>
        <v>0</v>
      </c>
      <c r="F1678" s="2732">
        <f>'Part IX Scoring Criteria'!F23</f>
        <v>0</v>
      </c>
      <c r="G1678" s="2732"/>
      <c r="H1678" s="2732"/>
      <c r="I1678" s="2732"/>
      <c r="J1678" s="2732"/>
      <c r="K1678" s="2732"/>
      <c r="L1678" s="2732"/>
      <c r="M1678" s="2732"/>
      <c r="N1678" s="2732"/>
      <c r="O1678" s="2732"/>
      <c r="P1678" s="2782"/>
      <c r="Q1678" s="2497"/>
      <c r="R1678" s="2497"/>
      <c r="S1678" s="2497"/>
    </row>
    <row r="1679" spans="1:22" s="2762" customFormat="1" ht="3.6" customHeight="1">
      <c r="A1679" s="2408"/>
      <c r="B1679" s="2749"/>
      <c r="C1679" s="512"/>
      <c r="D1679" s="2654"/>
      <c r="E1679" s="2654"/>
      <c r="F1679" s="2654"/>
      <c r="G1679" s="2654"/>
      <c r="H1679" s="2654"/>
      <c r="I1679" s="2654"/>
      <c r="J1679" s="2654"/>
      <c r="K1679" s="2654"/>
      <c r="L1679" s="2408"/>
      <c r="M1679" s="2652"/>
      <c r="N1679" s="2613"/>
      <c r="O1679" s="2707"/>
      <c r="P1679" s="2652"/>
      <c r="R1679" s="2408"/>
      <c r="S1679" s="2408"/>
    </row>
    <row r="1680" spans="1:22" s="2408" customFormat="1" ht="12.6" customHeight="1">
      <c r="A1680" s="2786" t="s">
        <v>598</v>
      </c>
      <c r="B1680" s="2408" t="s">
        <v>2693</v>
      </c>
      <c r="F1680" s="1550"/>
      <c r="H1680" s="2505" t="s">
        <v>6901</v>
      </c>
      <c r="M1680" s="2652">
        <v>10</v>
      </c>
      <c r="N1680" s="2787"/>
      <c r="O1680" s="2707">
        <f>'Part IX Scoring Criteria'!O25</f>
        <v>10</v>
      </c>
      <c r="P1680" s="2707">
        <f>'Part IX Scoring Criteria'!P25</f>
        <v>10</v>
      </c>
      <c r="Q1680" s="2652" t="s">
        <v>433</v>
      </c>
    </row>
    <row r="1681" spans="1:20" s="2762" customFormat="1" ht="3.6" customHeight="1">
      <c r="A1681" s="2408"/>
      <c r="B1681" s="2749"/>
      <c r="C1681" s="512"/>
      <c r="D1681" s="2654"/>
      <c r="E1681" s="2654"/>
      <c r="F1681" s="2654"/>
      <c r="G1681" s="2654"/>
      <c r="H1681" s="2654"/>
      <c r="I1681" s="2654"/>
      <c r="J1681" s="2654"/>
      <c r="K1681" s="2654"/>
      <c r="L1681" s="2408"/>
      <c r="M1681" s="2652"/>
      <c r="N1681" s="2613"/>
      <c r="O1681" s="2707"/>
      <c r="P1681" s="2652"/>
      <c r="R1681" s="2408"/>
      <c r="S1681" s="2408"/>
    </row>
    <row r="1682" spans="1:20" s="2408" customFormat="1" ht="11.25" customHeight="1">
      <c r="A1682" s="2673" t="s">
        <v>1936</v>
      </c>
      <c r="B1682" s="2654" t="s">
        <v>4290</v>
      </c>
      <c r="D1682" s="2654"/>
      <c r="E1682" s="2654"/>
      <c r="F1682" s="1550"/>
      <c r="M1682" s="2652"/>
      <c r="N1682" s="2749" t="s">
        <v>1936</v>
      </c>
    </row>
    <row r="1683" spans="1:20" s="2762" customFormat="1" ht="11.25" customHeight="1">
      <c r="A1683" s="2673"/>
      <c r="B1683" s="2788" t="s">
        <v>1939</v>
      </c>
      <c r="C1683" s="2654" t="s">
        <v>4293</v>
      </c>
      <c r="D1683" s="2654"/>
      <c r="E1683" s="2654"/>
      <c r="F1683" s="1550"/>
      <c r="H1683" s="2505" t="s">
        <v>3484</v>
      </c>
      <c r="J1683" s="512"/>
      <c r="M1683" s="2652"/>
      <c r="N1683" s="2776" t="s">
        <v>1939</v>
      </c>
      <c r="O1683" s="2660">
        <f>'Part IX Scoring Criteria'!O28</f>
        <v>0</v>
      </c>
      <c r="P1683" s="2660">
        <f>F1691</f>
        <v>0</v>
      </c>
    </row>
    <row r="1684" spans="1:20" s="2762" customFormat="1" ht="11.25" customHeight="1">
      <c r="A1684" s="2673"/>
      <c r="B1684" s="2788" t="s">
        <v>1941</v>
      </c>
      <c r="C1684" s="2654" t="s">
        <v>6989</v>
      </c>
      <c r="D1684" s="2654"/>
      <c r="E1684" s="2654"/>
      <c r="F1684" s="1550"/>
      <c r="H1684" s="2505" t="s">
        <v>4291</v>
      </c>
      <c r="J1684" s="512"/>
      <c r="M1684" s="2652"/>
      <c r="N1684" s="2776" t="s">
        <v>1941</v>
      </c>
      <c r="O1684" s="2660">
        <f>'Part IX Scoring Criteria'!O29</f>
        <v>0</v>
      </c>
      <c r="P1684" s="2660">
        <f>J1691</f>
        <v>0</v>
      </c>
    </row>
    <row r="1685" spans="1:20" s="2762" customFormat="1" ht="11.25" customHeight="1">
      <c r="A1685" s="2673"/>
      <c r="B1685" s="2788" t="s">
        <v>2468</v>
      </c>
      <c r="C1685" s="2654" t="s">
        <v>4292</v>
      </c>
      <c r="D1685" s="2654"/>
      <c r="E1685" s="2654"/>
      <c r="F1685" s="1550"/>
      <c r="H1685" s="2505" t="s">
        <v>4296</v>
      </c>
      <c r="J1685" s="512"/>
      <c r="M1685" s="2652"/>
      <c r="N1685" s="2776" t="s">
        <v>2468</v>
      </c>
      <c r="O1685" s="2660">
        <f>'Part IX Scoring Criteria'!O30</f>
        <v>0</v>
      </c>
      <c r="P1685" s="2660"/>
    </row>
    <row r="1686" spans="1:20" s="2762" customFormat="1" ht="11.25" customHeight="1">
      <c r="C1686" s="2559" t="s">
        <v>6873</v>
      </c>
      <c r="D1686" s="2559"/>
      <c r="E1686" s="2559"/>
      <c r="F1686" s="2559"/>
      <c r="G1686" s="2559"/>
      <c r="H1686" s="2559"/>
      <c r="I1686" s="2559"/>
      <c r="J1686" s="2559"/>
      <c r="K1686" s="2559"/>
      <c r="L1686" s="2559"/>
      <c r="M1686" s="2559"/>
      <c r="N1686" s="2559"/>
      <c r="O1686" s="2559"/>
      <c r="P1686" s="2559"/>
      <c r="Q1686" s="2497"/>
      <c r="R1686" s="2497"/>
    </row>
    <row r="1687" spans="1:20" s="2762" customFormat="1" ht="3" customHeight="1">
      <c r="A1687" s="1550"/>
      <c r="B1687" s="2781"/>
      <c r="C1687" s="2789"/>
      <c r="D1687" s="2729"/>
      <c r="K1687" s="2755"/>
      <c r="L1687" s="2755"/>
      <c r="M1687" s="2251"/>
      <c r="N1687" s="2776"/>
      <c r="O1687" s="2779"/>
      <c r="P1687" s="2779"/>
    </row>
    <row r="1688" spans="1:20" s="2408" customFormat="1" ht="11.25" customHeight="1">
      <c r="A1688" s="2673" t="s">
        <v>1938</v>
      </c>
      <c r="B1688" s="2654" t="s">
        <v>708</v>
      </c>
      <c r="D1688" s="2654"/>
      <c r="E1688" s="2654"/>
      <c r="F1688" s="1550"/>
      <c r="H1688" s="2505" t="s">
        <v>6927</v>
      </c>
      <c r="J1688" s="512"/>
      <c r="M1688" s="2652"/>
      <c r="N1688" s="2749" t="s">
        <v>1938</v>
      </c>
      <c r="O1688" s="2660">
        <f>'Part IX Scoring Criteria'!O33</f>
        <v>0</v>
      </c>
      <c r="P1688" s="2660">
        <f>O1691</f>
        <v>0</v>
      </c>
    </row>
    <row r="1689" spans="1:20" s="2762" customFormat="1" ht="3" customHeight="1">
      <c r="A1689" s="1550"/>
      <c r="B1689" s="2781"/>
      <c r="C1689" s="2789"/>
      <c r="D1689" s="2729"/>
      <c r="K1689" s="2755"/>
      <c r="L1689" s="2755"/>
      <c r="M1689" s="2251"/>
      <c r="N1689" s="2776"/>
      <c r="O1689" s="2779"/>
      <c r="P1689" s="2779"/>
    </row>
    <row r="1690" spans="1:20" s="2408" customFormat="1" ht="11.1" customHeight="1">
      <c r="A1690" s="2509" t="s">
        <v>4444</v>
      </c>
      <c r="B1690" s="2509"/>
      <c r="C1690" s="2509"/>
      <c r="D1690" s="2509"/>
      <c r="E1690" s="2509"/>
      <c r="F1690" s="2602" t="s">
        <v>3816</v>
      </c>
      <c r="G1690" s="512" t="s">
        <v>4445</v>
      </c>
      <c r="H1690" s="512"/>
      <c r="I1690" s="512"/>
      <c r="J1690" s="2602" t="s">
        <v>3816</v>
      </c>
      <c r="K1690" s="2618" t="s">
        <v>4289</v>
      </c>
      <c r="L1690" s="2618"/>
      <c r="M1690" s="2618"/>
      <c r="N1690" s="2618"/>
      <c r="O1690" s="2505" t="s">
        <v>3816</v>
      </c>
      <c r="P1690" s="2505"/>
      <c r="R1690" s="2725"/>
      <c r="S1690" s="2725"/>
    </row>
    <row r="1691" spans="1:20" s="2408" customFormat="1" ht="11.25" customHeight="1">
      <c r="A1691" s="2509"/>
      <c r="B1691" s="2509"/>
      <c r="C1691" s="2509"/>
      <c r="D1691" s="2509"/>
      <c r="E1691" s="2509"/>
      <c r="F1691" s="2652">
        <f>SUM(F1692:F1703)</f>
        <v>0</v>
      </c>
      <c r="G1691" s="512"/>
      <c r="H1691" s="512"/>
      <c r="I1691" s="512"/>
      <c r="J1691" s="2652">
        <f>SUM(J1692:J1703)</f>
        <v>0</v>
      </c>
      <c r="K1691" s="2618"/>
      <c r="L1691" s="2618"/>
      <c r="M1691" s="2618"/>
      <c r="N1691" s="2618"/>
      <c r="O1691" s="2408">
        <f>SUM(O1692:O1703)</f>
        <v>0</v>
      </c>
      <c r="Q1691" s="2725"/>
      <c r="R1691" s="2725"/>
    </row>
    <row r="1692" spans="1:20" s="2408" customFormat="1" ht="24.75" customHeight="1">
      <c r="A1692" s="2559">
        <v>1</v>
      </c>
      <c r="B1692" s="2559"/>
      <c r="C1692" s="2559"/>
      <c r="D1692" s="2559"/>
      <c r="E1692" s="2559"/>
      <c r="F1692" s="2782"/>
      <c r="G1692" s="2559">
        <v>1</v>
      </c>
      <c r="H1692" s="2559"/>
      <c r="I1692" s="2559"/>
      <c r="J1692" s="2740" t="s">
        <v>1690</v>
      </c>
      <c r="K1692" s="2559">
        <v>1</v>
      </c>
      <c r="L1692" s="2559"/>
      <c r="M1692" s="2559"/>
      <c r="N1692" s="2559"/>
      <c r="O1692" s="2729" t="s">
        <v>1690</v>
      </c>
      <c r="P1692" s="2729"/>
      <c r="Q1692" s="2497" t="s">
        <v>1228</v>
      </c>
      <c r="R1692" s="2725"/>
    </row>
    <row r="1693" spans="1:20" s="2408" customFormat="1" ht="24.75" customHeight="1">
      <c r="A1693" s="2559">
        <v>2</v>
      </c>
      <c r="B1693" s="2559"/>
      <c r="C1693" s="2559"/>
      <c r="D1693" s="2559"/>
      <c r="E1693" s="2559"/>
      <c r="F1693" s="2782"/>
      <c r="G1693" s="2559">
        <v>2</v>
      </c>
      <c r="H1693" s="2559"/>
      <c r="I1693" s="2559"/>
      <c r="J1693" s="2782"/>
      <c r="K1693" s="2559">
        <v>2</v>
      </c>
      <c r="L1693" s="2559"/>
      <c r="M1693" s="2559"/>
      <c r="N1693" s="2559"/>
      <c r="O1693" s="2607"/>
      <c r="P1693" s="2607"/>
      <c r="Q1693" s="2497"/>
      <c r="R1693" s="2725"/>
    </row>
    <row r="1694" spans="1:20" s="2408" customFormat="1" ht="24.75" customHeight="1">
      <c r="A1694" s="2559">
        <v>3</v>
      </c>
      <c r="B1694" s="2559"/>
      <c r="C1694" s="2559"/>
      <c r="D1694" s="2559"/>
      <c r="E1694" s="2559"/>
      <c r="F1694" s="2782"/>
      <c r="G1694" s="2559">
        <v>3</v>
      </c>
      <c r="H1694" s="2559"/>
      <c r="I1694" s="2559"/>
      <c r="J1694" s="2597" t="s">
        <v>2802</v>
      </c>
      <c r="K1694" s="2559">
        <v>3</v>
      </c>
      <c r="L1694" s="2559"/>
      <c r="M1694" s="2559"/>
      <c r="N1694" s="2559"/>
      <c r="O1694" s="2729" t="s">
        <v>2802</v>
      </c>
      <c r="P1694" s="2729"/>
      <c r="Q1694" s="2408" t="s">
        <v>6928</v>
      </c>
      <c r="S1694" s="512"/>
      <c r="T1694" s="512"/>
    </row>
    <row r="1695" spans="1:20" s="2408" customFormat="1" ht="24.75" customHeight="1">
      <c r="A1695" s="2559">
        <v>4</v>
      </c>
      <c r="B1695" s="2559"/>
      <c r="C1695" s="2559"/>
      <c r="D1695" s="2559"/>
      <c r="E1695" s="2559"/>
      <c r="F1695" s="2782"/>
      <c r="G1695" s="2559">
        <v>4</v>
      </c>
      <c r="H1695" s="2559"/>
      <c r="I1695" s="2559"/>
      <c r="J1695" s="2782"/>
      <c r="K1695" s="2559">
        <v>4</v>
      </c>
      <c r="L1695" s="2559"/>
      <c r="M1695" s="2559"/>
      <c r="N1695" s="2559"/>
      <c r="O1695" s="2729" t="s">
        <v>2802</v>
      </c>
      <c r="P1695" s="2729"/>
      <c r="S1695" s="512"/>
      <c r="T1695" s="512"/>
    </row>
    <row r="1696" spans="1:20" s="2408" customFormat="1" ht="24.75" customHeight="1">
      <c r="A1696" s="2559">
        <v>5</v>
      </c>
      <c r="B1696" s="2559"/>
      <c r="C1696" s="2559"/>
      <c r="D1696" s="2559"/>
      <c r="E1696" s="2559"/>
      <c r="F1696" s="2782"/>
      <c r="G1696" s="2559">
        <v>5</v>
      </c>
      <c r="H1696" s="2559"/>
      <c r="I1696" s="2559"/>
      <c r="J1696" s="2597" t="s">
        <v>3446</v>
      </c>
      <c r="K1696" s="2559">
        <v>5</v>
      </c>
      <c r="L1696" s="2559"/>
      <c r="M1696" s="2559"/>
      <c r="N1696" s="2559"/>
      <c r="O1696" s="2607"/>
      <c r="P1696" s="2607"/>
      <c r="S1696" s="512"/>
      <c r="T1696" s="512"/>
    </row>
    <row r="1697" spans="1:18" s="2408" customFormat="1" ht="24" customHeight="1">
      <c r="A1697" s="2559">
        <v>6</v>
      </c>
      <c r="B1697" s="2559"/>
      <c r="C1697" s="2559"/>
      <c r="D1697" s="2559"/>
      <c r="E1697" s="2559"/>
      <c r="F1697" s="2782"/>
      <c r="G1697" s="2559">
        <v>6</v>
      </c>
      <c r="H1697" s="2559"/>
      <c r="I1697" s="2559"/>
      <c r="J1697" s="2782"/>
      <c r="K1697" s="2559">
        <v>6</v>
      </c>
      <c r="L1697" s="2559"/>
      <c r="M1697" s="2559"/>
      <c r="N1697" s="2559"/>
      <c r="O1697" s="2607"/>
      <c r="P1697" s="2607"/>
    </row>
    <row r="1698" spans="1:18" s="2408" customFormat="1" ht="10.5" customHeight="1">
      <c r="A1698" s="2559">
        <v>7</v>
      </c>
      <c r="B1698" s="2559"/>
      <c r="C1698" s="2559"/>
      <c r="D1698" s="2559"/>
      <c r="E1698" s="2559"/>
      <c r="F1698" s="2782"/>
      <c r="G1698" s="2559">
        <v>7</v>
      </c>
      <c r="H1698" s="2559"/>
      <c r="I1698" s="2559"/>
      <c r="J1698" s="2597" t="s">
        <v>3447</v>
      </c>
      <c r="K1698" s="2559">
        <v>7</v>
      </c>
      <c r="L1698" s="2559"/>
      <c r="M1698" s="2559"/>
      <c r="N1698" s="2559"/>
      <c r="O1698" s="2607"/>
      <c r="P1698" s="2607"/>
      <c r="Q1698" s="2725"/>
      <c r="R1698" s="2725"/>
    </row>
    <row r="1699" spans="1:18" s="2408" customFormat="1" ht="10.5" customHeight="1">
      <c r="A1699" s="2559">
        <v>8</v>
      </c>
      <c r="B1699" s="2559"/>
      <c r="C1699" s="2559"/>
      <c r="D1699" s="2559"/>
      <c r="E1699" s="2559"/>
      <c r="F1699" s="2782"/>
      <c r="G1699" s="2559">
        <v>8</v>
      </c>
      <c r="H1699" s="2559"/>
      <c r="I1699" s="2559"/>
      <c r="J1699" s="2782"/>
      <c r="K1699" s="2559">
        <v>8</v>
      </c>
      <c r="L1699" s="2559"/>
      <c r="M1699" s="2559"/>
      <c r="N1699" s="2559"/>
      <c r="O1699" s="2607"/>
      <c r="P1699" s="2607"/>
      <c r="Q1699" s="2725"/>
      <c r="R1699" s="2725"/>
    </row>
    <row r="1700" spans="1:18" s="2408" customFormat="1" ht="11.25" customHeight="1">
      <c r="A1700" s="2559">
        <v>9</v>
      </c>
      <c r="B1700" s="2559"/>
      <c r="C1700" s="2559"/>
      <c r="D1700" s="2559"/>
      <c r="E1700" s="2559"/>
      <c r="F1700" s="2782"/>
      <c r="G1700" s="2559">
        <v>9</v>
      </c>
      <c r="H1700" s="2559"/>
      <c r="I1700" s="2559"/>
      <c r="J1700" s="2597" t="s">
        <v>3448</v>
      </c>
      <c r="K1700" s="2559">
        <v>9</v>
      </c>
      <c r="L1700" s="2559"/>
      <c r="M1700" s="2559"/>
      <c r="N1700" s="2559"/>
      <c r="O1700" s="2607"/>
      <c r="P1700" s="2607"/>
      <c r="Q1700" s="2725"/>
      <c r="R1700" s="2725"/>
    </row>
    <row r="1701" spans="1:18" s="2408" customFormat="1" ht="11.25" customHeight="1">
      <c r="A1701" s="2559">
        <v>10</v>
      </c>
      <c r="B1701" s="2559"/>
      <c r="C1701" s="2559"/>
      <c r="D1701" s="2559"/>
      <c r="E1701" s="2559"/>
      <c r="F1701" s="2782"/>
      <c r="G1701" s="2559">
        <v>10</v>
      </c>
      <c r="H1701" s="2559"/>
      <c r="I1701" s="2559"/>
      <c r="J1701" s="2782"/>
      <c r="K1701" s="2559">
        <v>10</v>
      </c>
      <c r="L1701" s="2559"/>
      <c r="M1701" s="2559"/>
      <c r="N1701" s="2559"/>
      <c r="O1701" s="2607"/>
      <c r="P1701" s="2607"/>
      <c r="Q1701" s="2725"/>
    </row>
    <row r="1702" spans="1:18" s="2408" customFormat="1" ht="11.25" customHeight="1">
      <c r="A1702" s="2559">
        <v>11</v>
      </c>
      <c r="B1702" s="2559"/>
      <c r="C1702" s="2559"/>
      <c r="D1702" s="2559"/>
      <c r="E1702" s="2559"/>
      <c r="F1702" s="2782"/>
      <c r="G1702" s="2559">
        <v>11</v>
      </c>
      <c r="H1702" s="2559"/>
      <c r="I1702" s="2559"/>
      <c r="J1702" s="2597" t="s">
        <v>3449</v>
      </c>
      <c r="K1702" s="2559">
        <v>11</v>
      </c>
      <c r="L1702" s="2559"/>
      <c r="M1702" s="2559"/>
      <c r="N1702" s="2559"/>
      <c r="O1702" s="2607"/>
      <c r="P1702" s="2607"/>
      <c r="Q1702" s="2725"/>
      <c r="R1702" s="2725"/>
    </row>
    <row r="1703" spans="1:18" s="2408" customFormat="1" ht="11.25" customHeight="1">
      <c r="A1703" s="2559">
        <v>12</v>
      </c>
      <c r="B1703" s="2559"/>
      <c r="C1703" s="2559"/>
      <c r="D1703" s="2559"/>
      <c r="E1703" s="2559"/>
      <c r="F1703" s="2782"/>
      <c r="G1703" s="2559">
        <v>12</v>
      </c>
      <c r="H1703" s="2559"/>
      <c r="I1703" s="2559"/>
      <c r="J1703" s="2782"/>
      <c r="K1703" s="2559">
        <v>12</v>
      </c>
      <c r="L1703" s="2559"/>
      <c r="M1703" s="2559"/>
      <c r="N1703" s="2559"/>
      <c r="O1703" s="2607"/>
      <c r="P1703" s="2607"/>
    </row>
    <row r="1704" spans="1:18" s="2762" customFormat="1" ht="3" customHeight="1">
      <c r="D1704" s="512"/>
      <c r="E1704" s="512"/>
      <c r="F1704" s="2652"/>
      <c r="G1704" s="2652"/>
      <c r="H1704" s="2652"/>
      <c r="I1704" s="2652"/>
      <c r="J1704" s="2684"/>
      <c r="K1704" s="2684"/>
      <c r="L1704" s="2684"/>
      <c r="M1704" s="1550"/>
      <c r="N1704" s="2652"/>
      <c r="O1704" s="2613"/>
      <c r="P1704" s="2707"/>
    </row>
    <row r="1705" spans="1:18" s="2767" customFormat="1" ht="12" customHeight="1">
      <c r="A1705" s="2786" t="s">
        <v>722</v>
      </c>
      <c r="B1705" s="2408" t="s">
        <v>3450</v>
      </c>
      <c r="E1705" s="512"/>
      <c r="G1705" s="512"/>
      <c r="H1705" s="512"/>
      <c r="I1705" s="512" t="s">
        <v>3367</v>
      </c>
      <c r="M1705" s="2652">
        <v>3</v>
      </c>
      <c r="N1705" s="2652"/>
      <c r="O1705" s="2707">
        <f>'Part IX Scoring Criteria'!O50</f>
        <v>0</v>
      </c>
      <c r="P1705" s="2707">
        <f>'Part IX Scoring Criteria'!P50</f>
        <v>0</v>
      </c>
      <c r="Q1705" s="2652" t="s">
        <v>433</v>
      </c>
      <c r="R1705" s="2251" t="str">
        <f>IF(OR($O1705=$M1705,$O1705=0,$O1705=""),"","* * Check Score! * *")</f>
        <v/>
      </c>
    </row>
    <row r="1706" spans="1:18" s="2762" customFormat="1" ht="2.25" customHeight="1">
      <c r="A1706" s="2790"/>
      <c r="B1706" s="2494"/>
      <c r="E1706" s="512"/>
      <c r="F1706" s="2762" t="s">
        <v>4304</v>
      </c>
      <c r="G1706" s="2618"/>
      <c r="H1706" s="512"/>
      <c r="I1706" s="512"/>
      <c r="K1706" s="2532"/>
      <c r="L1706" s="2791"/>
      <c r="M1706" s="2652"/>
      <c r="N1706" s="2652"/>
      <c r="O1706" s="2707"/>
      <c r="P1706" s="2707"/>
      <c r="Q1706" s="2652"/>
      <c r="R1706" s="2251"/>
    </row>
    <row r="1707" spans="1:18" s="2762" customFormat="1" ht="13.5" customHeight="1">
      <c r="A1707" s="2673" t="s">
        <v>1936</v>
      </c>
      <c r="B1707" s="2691" t="s">
        <v>2557</v>
      </c>
      <c r="E1707" s="512"/>
      <c r="G1707" s="2618"/>
      <c r="H1707" s="2618" t="s">
        <v>4446</v>
      </c>
      <c r="J1707" s="2708"/>
      <c r="K1707" s="2708" t="str">
        <f>'Part I-Project Information'!$K$94</f>
        <v>40% of Units at 60% of AMI</v>
      </c>
      <c r="M1707" s="2652"/>
      <c r="N1707" s="2652"/>
      <c r="Q1707" s="2652"/>
      <c r="R1707" s="2251"/>
    </row>
    <row r="1708" spans="1:18" s="2767" customFormat="1" ht="9" customHeight="1">
      <c r="A1708" s="2673"/>
      <c r="B1708" s="2654" t="s">
        <v>4298</v>
      </c>
      <c r="C1708" s="2654"/>
      <c r="D1708" s="2654"/>
      <c r="E1708" s="2654"/>
      <c r="F1708" s="2654"/>
      <c r="G1708" s="2654"/>
      <c r="H1708" s="2654"/>
      <c r="I1708" s="2654"/>
      <c r="J1708" s="2654"/>
      <c r="K1708" s="2654"/>
      <c r="L1708" s="2654"/>
      <c r="M1708" s="2652"/>
      <c r="N1708" s="2652"/>
      <c r="Q1708" s="2652"/>
      <c r="R1708" s="2251"/>
    </row>
    <row r="1709" spans="1:18" s="2767" customFormat="1" ht="13.5" customHeight="1">
      <c r="B1709" s="2654"/>
      <c r="C1709" s="2654"/>
      <c r="D1709" s="2654"/>
      <c r="E1709" s="2654"/>
      <c r="F1709" s="2654"/>
      <c r="G1709" s="2654"/>
      <c r="H1709" s="2654"/>
      <c r="I1709" s="2654"/>
      <c r="J1709" s="2654"/>
      <c r="K1709" s="2654"/>
      <c r="L1709" s="2654"/>
      <c r="M1709" s="2251">
        <v>2</v>
      </c>
      <c r="N1709" s="2776" t="s">
        <v>1936</v>
      </c>
      <c r="O1709" s="2779">
        <f>'Part IX Scoring Criteria'!O54</f>
        <v>0</v>
      </c>
      <c r="P1709" s="2779">
        <f>'Part IX Scoring Criteria'!P54</f>
        <v>0</v>
      </c>
    </row>
    <row r="1710" spans="1:18" s="2767" customFormat="1" ht="13.5" customHeight="1">
      <c r="A1710" s="2673"/>
      <c r="B1710" s="2792" t="s">
        <v>1939</v>
      </c>
      <c r="C1710" s="2793" t="s">
        <v>4299</v>
      </c>
      <c r="D1710" s="512"/>
      <c r="H1710" s="512" t="s">
        <v>4300</v>
      </c>
      <c r="I1710" s="2505"/>
      <c r="K1710" s="2794">
        <f>'Part IX Scoring Criteria'!K55</f>
        <v>60</v>
      </c>
      <c r="L1710" s="2509" t="str">
        <f>IF(AND(O1710&gt;0,O1711&gt;0), "CHOOSE EITHER A OR B, NOT BOTH!", "")</f>
        <v/>
      </c>
      <c r="M1710" s="2251">
        <v>2</v>
      </c>
      <c r="N1710" s="2781" t="s">
        <v>1939</v>
      </c>
      <c r="O1710" s="2707">
        <f>'Part IX Scoring Criteria'!O55</f>
        <v>0</v>
      </c>
      <c r="P1710" s="2707"/>
      <c r="Q1710" s="2542" t="str">
        <f>IF(OR($O1710=$M1710,$O1710=0,$O1710=""),"","*CHECK!*")</f>
        <v/>
      </c>
      <c r="R1710" s="2500" t="s">
        <v>4775</v>
      </c>
    </row>
    <row r="1711" spans="1:18" s="2767" customFormat="1" ht="13.5" customHeight="1">
      <c r="A1711" s="2749" t="s">
        <v>3238</v>
      </c>
      <c r="B1711" s="2792" t="s">
        <v>1941</v>
      </c>
      <c r="C1711" s="2793" t="s">
        <v>4301</v>
      </c>
      <c r="D1711" s="512"/>
      <c r="I1711" s="2505"/>
      <c r="K1711" s="512"/>
      <c r="L1711" s="2509"/>
      <c r="M1711" s="2251">
        <v>2</v>
      </c>
      <c r="N1711" s="2781" t="s">
        <v>1941</v>
      </c>
      <c r="O1711" s="2707">
        <f>'Part IX Scoring Criteria'!O56</f>
        <v>0</v>
      </c>
      <c r="P1711" s="2707"/>
      <c r="Q1711" s="2542" t="str">
        <f>IF(OR($O1711=$M1711,$O1711=0,$O1711=""),"","*CHECK!*")</f>
        <v/>
      </c>
      <c r="R1711" s="2500" t="s">
        <v>4775</v>
      </c>
    </row>
    <row r="1712" spans="1:18" s="2762" customFormat="1" ht="6.75" customHeight="1">
      <c r="A1712" s="1550"/>
      <c r="B1712" s="2781"/>
      <c r="C1712" s="2789"/>
      <c r="D1712" s="2729"/>
      <c r="K1712" s="2755"/>
      <c r="L1712" s="2755"/>
      <c r="M1712" s="2251"/>
      <c r="N1712" s="2776"/>
      <c r="O1712" s="2779"/>
      <c r="P1712" s="2779"/>
    </row>
    <row r="1713" spans="1:18" s="2762" customFormat="1" ht="13.5" customHeight="1">
      <c r="A1713" s="2673" t="s">
        <v>1938</v>
      </c>
      <c r="B1713" s="2691" t="s">
        <v>6929</v>
      </c>
      <c r="E1713" s="2618"/>
      <c r="H1713" s="2505" t="s">
        <v>4302</v>
      </c>
      <c r="I1713" s="2505"/>
      <c r="J1713" s="2609" t="s">
        <v>4303</v>
      </c>
      <c r="M1713" s="2251">
        <v>3</v>
      </c>
      <c r="N1713" s="2730" t="s">
        <v>1938</v>
      </c>
      <c r="O1713" s="2779">
        <f>'Part IX Scoring Criteria'!O58</f>
        <v>0</v>
      </c>
      <c r="P1713" s="2779">
        <f>'Part IX Scoring Criteria'!P58</f>
        <v>0</v>
      </c>
    </row>
    <row r="1714" spans="1:18" s="2762" customFormat="1" ht="13.5" customHeight="1">
      <c r="A1714" s="2795"/>
      <c r="B1714" s="2792" t="s">
        <v>1939</v>
      </c>
      <c r="C1714" s="2796">
        <v>0.3</v>
      </c>
      <c r="D1714" s="2559" t="s">
        <v>3486</v>
      </c>
      <c r="E1714" s="2618"/>
      <c r="F1714" s="2760"/>
      <c r="H1714" s="2797">
        <f>'Part IX Scoring Criteria'!H59</f>
        <v>0</v>
      </c>
      <c r="I1714" s="2797"/>
      <c r="J1714" s="2798">
        <f>'Part IX Scoring Criteria'!J59</f>
        <v>200</v>
      </c>
      <c r="K1714" s="2755">
        <f>'Part IX Scoring Criteria'!K59</f>
        <v>0</v>
      </c>
      <c r="L1714" s="2755">
        <f>'Part IX Scoring Criteria'!L59</f>
        <v>0</v>
      </c>
      <c r="M1714" s="2251"/>
      <c r="N1714" s="2776" t="s">
        <v>1939</v>
      </c>
      <c r="O1714" s="2779" t="str">
        <f>'Part IX Scoring Criteria'!O59</f>
        <v>No</v>
      </c>
      <c r="P1714" s="2779" t="str">
        <f>'Part IX Scoring Criteria'!P59</f>
        <v>No</v>
      </c>
    </row>
    <row r="1715" spans="1:18" s="2762" customFormat="1" ht="13.5" customHeight="1">
      <c r="A1715" s="1550"/>
      <c r="B1715" s="2792" t="s">
        <v>1941</v>
      </c>
      <c r="C1715" s="2690" t="s">
        <v>3713</v>
      </c>
      <c r="E1715" s="2799"/>
      <c r="F1715" s="2760"/>
      <c r="I1715" s="2783"/>
      <c r="J1715" s="2783"/>
      <c r="K1715" s="2783"/>
      <c r="L1715" s="2783"/>
      <c r="M1715" s="2783"/>
      <c r="N1715" s="2776" t="s">
        <v>1941</v>
      </c>
      <c r="O1715" s="1550">
        <f>'Part IX Scoring Criteria'!O60</f>
        <v>0</v>
      </c>
      <c r="P1715" s="1550"/>
    </row>
    <row r="1716" spans="1:18" s="2762" customFormat="1" ht="10.5" customHeight="1">
      <c r="A1716" s="2408"/>
      <c r="B1716" s="512" t="s">
        <v>1820</v>
      </c>
      <c r="D1716" s="2729"/>
      <c r="E1716" s="2731"/>
      <c r="F1716" s="2731"/>
      <c r="G1716" s="2731"/>
      <c r="H1716" s="2731"/>
      <c r="I1716" s="2731"/>
      <c r="J1716" s="2731"/>
      <c r="K1716" s="2731"/>
      <c r="L1716" s="2731"/>
      <c r="M1716" s="2731"/>
      <c r="N1716" s="2782"/>
      <c r="O1716" s="2782"/>
      <c r="P1716" s="2652"/>
    </row>
    <row r="1717" spans="1:18" s="2762" customFormat="1" ht="22.5" customHeight="1">
      <c r="A1717" s="2729"/>
      <c r="B1717" s="2729"/>
      <c r="C1717" s="2729"/>
      <c r="D1717" s="2729"/>
      <c r="E1717" s="2729"/>
      <c r="F1717" s="2729"/>
      <c r="G1717" s="2729"/>
      <c r="H1717" s="2729"/>
      <c r="I1717" s="2729"/>
      <c r="J1717" s="2729"/>
      <c r="K1717" s="2729"/>
      <c r="L1717" s="2729"/>
      <c r="M1717" s="2729"/>
      <c r="N1717" s="2729"/>
      <c r="O1717" s="2729"/>
      <c r="P1717" s="2729"/>
      <c r="Q1717" s="2497"/>
    </row>
    <row r="1718" spans="1:18" ht="7.5" customHeight="1">
      <c r="N1718" s="2613"/>
      <c r="O1718" s="2613"/>
      <c r="P1718" s="2613"/>
    </row>
    <row r="1719" spans="1:18" s="2762" customFormat="1" ht="12.6" customHeight="1">
      <c r="A1719" s="2786" t="s">
        <v>724</v>
      </c>
      <c r="B1719" s="2408" t="s">
        <v>3787</v>
      </c>
      <c r="D1719" s="2800"/>
      <c r="I1719" s="2505" t="s">
        <v>3585</v>
      </c>
      <c r="J1719" s="2505"/>
      <c r="K1719" s="2505"/>
      <c r="L1719" s="2505"/>
      <c r="M1719" s="2652">
        <v>10</v>
      </c>
      <c r="N1719" s="2749"/>
      <c r="O1719" s="2707">
        <f>'Part IX Scoring Criteria'!O64</f>
        <v>0</v>
      </c>
      <c r="P1719" s="2707">
        <f>'Part IX Scoring Criteria'!P64</f>
        <v>0</v>
      </c>
      <c r="Q1719" s="2652" t="s">
        <v>433</v>
      </c>
    </row>
    <row r="1720" spans="1:18" s="2762" customFormat="1" ht="3" customHeight="1">
      <c r="A1720" s="2408"/>
      <c r="D1720" s="512"/>
      <c r="E1720" s="512"/>
      <c r="F1720" s="2652"/>
      <c r="G1720" s="2652"/>
      <c r="H1720" s="2505"/>
      <c r="I1720" s="2505"/>
      <c r="J1720" s="2505"/>
      <c r="K1720" s="2505"/>
      <c r="L1720" s="2505"/>
      <c r="M1720" s="1550"/>
      <c r="N1720" s="2652"/>
      <c r="O1720" s="2613"/>
      <c r="P1720" s="2707"/>
    </row>
    <row r="1721" spans="1:18" s="2767" customFormat="1" ht="12" customHeight="1">
      <c r="A1721" s="2673"/>
      <c r="B1721" s="512" t="s">
        <v>3642</v>
      </c>
      <c r="D1721" s="2408"/>
      <c r="N1721" s="2749"/>
      <c r="O1721" s="1550">
        <f>'Part IX Scoring Criteria'!O66</f>
        <v>0</v>
      </c>
      <c r="P1721" s="1550"/>
    </row>
    <row r="1722" spans="1:18" s="2767" customFormat="1" ht="12" customHeight="1">
      <c r="A1722" s="2673" t="s">
        <v>1936</v>
      </c>
      <c r="B1722" s="2654" t="s">
        <v>1827</v>
      </c>
      <c r="C1722" s="2408"/>
      <c r="D1722" s="2408"/>
      <c r="F1722" s="2498"/>
      <c r="H1722" s="2583" t="s">
        <v>2638</v>
      </c>
      <c r="I1722" s="2559" t="s">
        <v>6930</v>
      </c>
      <c r="J1722" s="2559"/>
      <c r="K1722" s="2559"/>
      <c r="L1722" s="2559"/>
      <c r="M1722" s="2652">
        <v>10</v>
      </c>
      <c r="N1722" s="2781" t="s">
        <v>1936</v>
      </c>
      <c r="O1722" s="2707">
        <f>'Part IX Scoring Criteria'!O67</f>
        <v>0</v>
      </c>
      <c r="P1722" s="2707"/>
      <c r="Q1722" s="2542" t="str">
        <f>IF(OR($O1722=$M1722,$O1722=0,$O1722=""),"","*CHECK!*")</f>
        <v/>
      </c>
      <c r="R1722" s="2500" t="s">
        <v>4775</v>
      </c>
    </row>
    <row r="1723" spans="1:18" s="2767" customFormat="1" ht="12.6" customHeight="1">
      <c r="A1723" s="2673" t="s">
        <v>1938</v>
      </c>
      <c r="B1723" s="2654" t="s">
        <v>3634</v>
      </c>
      <c r="D1723" s="2801"/>
      <c r="F1723" s="2580"/>
      <c r="H1723" s="2583" t="s">
        <v>3735</v>
      </c>
      <c r="I1723" s="2559"/>
      <c r="J1723" s="2559"/>
      <c r="K1723" s="2559"/>
      <c r="L1723" s="2559"/>
      <c r="M1723" s="1550" t="s">
        <v>1212</v>
      </c>
      <c r="N1723" s="2749" t="s">
        <v>1938</v>
      </c>
      <c r="O1723" s="2707">
        <f>'Part IX Scoring Criteria'!O68</f>
        <v>0</v>
      </c>
      <c r="P1723" s="2707"/>
      <c r="R1723" s="2500" t="s">
        <v>4775</v>
      </c>
    </row>
    <row r="1724" spans="1:18" s="2762" customFormat="1" ht="11.25" customHeight="1">
      <c r="A1724" s="2408"/>
      <c r="B1724" s="512" t="s">
        <v>3572</v>
      </c>
      <c r="C1724" s="2408"/>
      <c r="D1724" s="2654"/>
      <c r="E1724" s="2654"/>
      <c r="F1724" s="2654"/>
      <c r="G1724" s="2654"/>
      <c r="H1724" s="512"/>
      <c r="I1724" s="2559"/>
      <c r="J1724" s="2559"/>
      <c r="K1724" s="2559"/>
      <c r="L1724" s="2559"/>
      <c r="M1724" s="2652"/>
      <c r="N1724" s="2613"/>
      <c r="O1724" s="2707"/>
      <c r="P1724" s="2613"/>
    </row>
    <row r="1725" spans="1:18" s="2762" customFormat="1" ht="90" customHeight="1">
      <c r="A1725" s="2729">
        <f>'Part IX Scoring Criteria'!A70</f>
        <v>0</v>
      </c>
      <c r="B1725" s="2729"/>
      <c r="C1725" s="2729"/>
      <c r="D1725" s="2729"/>
      <c r="E1725" s="2729"/>
      <c r="F1725" s="2729"/>
      <c r="G1725" s="2729"/>
      <c r="H1725" s="2729"/>
      <c r="I1725" s="2729"/>
      <c r="J1725" s="2729"/>
      <c r="K1725" s="2729"/>
      <c r="L1725" s="2729"/>
      <c r="M1725" s="2729"/>
      <c r="N1725" s="2729"/>
      <c r="O1725" s="2729"/>
      <c r="P1725" s="2729"/>
      <c r="Q1725" s="2497" t="s">
        <v>1228</v>
      </c>
      <c r="R1725" s="2497"/>
    </row>
    <row r="1726" spans="1:18" s="2762" customFormat="1" ht="11.4" customHeight="1">
      <c r="A1726" s="2408"/>
      <c r="B1726" s="512" t="s">
        <v>1820</v>
      </c>
      <c r="C1726" s="2408"/>
      <c r="D1726" s="2729"/>
      <c r="E1726" s="2731"/>
      <c r="F1726" s="2731"/>
      <c r="G1726" s="2731"/>
      <c r="H1726" s="2731"/>
      <c r="I1726" s="2731"/>
      <c r="J1726" s="2731"/>
      <c r="K1726" s="2731"/>
      <c r="L1726" s="2731"/>
      <c r="M1726" s="2731"/>
      <c r="N1726" s="2782"/>
      <c r="O1726" s="2782"/>
      <c r="P1726" s="2652"/>
    </row>
    <row r="1727" spans="1:18" s="2762" customFormat="1" ht="90" customHeight="1">
      <c r="A1727" s="2729"/>
      <c r="B1727" s="2729"/>
      <c r="C1727" s="2729"/>
      <c r="D1727" s="2729"/>
      <c r="E1727" s="2729"/>
      <c r="F1727" s="2729"/>
      <c r="G1727" s="2729"/>
      <c r="H1727" s="2729"/>
      <c r="I1727" s="2729"/>
      <c r="J1727" s="2729"/>
      <c r="K1727" s="2729"/>
      <c r="L1727" s="2729"/>
      <c r="M1727" s="2729"/>
      <c r="N1727" s="2729"/>
      <c r="O1727" s="2729"/>
      <c r="P1727" s="2729"/>
      <c r="Q1727" s="2497"/>
      <c r="R1727" s="2497"/>
    </row>
    <row r="1728" spans="1:18" ht="7.5" customHeight="1">
      <c r="M1728" s="2408"/>
      <c r="N1728" s="2652"/>
      <c r="O1728" s="2652"/>
      <c r="P1728" s="2652"/>
    </row>
    <row r="1729" spans="1:21" s="2762" customFormat="1" ht="12.6" customHeight="1">
      <c r="A1729" s="2786" t="s">
        <v>1748</v>
      </c>
      <c r="B1729" s="2408" t="s">
        <v>2561</v>
      </c>
      <c r="D1729" s="2800"/>
      <c r="K1729" s="1550" t="s">
        <v>1832</v>
      </c>
      <c r="M1729" s="2652">
        <v>6</v>
      </c>
      <c r="N1729" s="2749"/>
      <c r="O1729" s="2707">
        <f>'Part IX Scoring Criteria'!O74</f>
        <v>0</v>
      </c>
      <c r="P1729" s="2707">
        <f>'Part IX Scoring Criteria'!P74</f>
        <v>0</v>
      </c>
      <c r="Q1729" s="2652" t="s">
        <v>433</v>
      </c>
      <c r="R1729" s="2744" t="s">
        <v>6990</v>
      </c>
      <c r="S1729" s="2744"/>
      <c r="T1729" s="2744"/>
      <c r="U1729" s="2744"/>
    </row>
    <row r="1730" spans="1:21" s="2762" customFormat="1" ht="17.25" customHeight="1">
      <c r="A1730" s="2786"/>
      <c r="B1730" s="2654" t="s">
        <v>3714</v>
      </c>
      <c r="D1730" s="2800"/>
      <c r="H1730" s="2654" t="s">
        <v>2703</v>
      </c>
      <c r="I1730" s="2650"/>
      <c r="J1730" s="2654" t="str">
        <f>'Part I-Project Information'!$H$105</f>
        <v>N/A - 4% Bond</v>
      </c>
      <c r="K1730" s="2654"/>
      <c r="M1730" s="2652"/>
      <c r="N1730" s="2749"/>
      <c r="O1730" s="2802" t="s">
        <v>3451</v>
      </c>
      <c r="P1730" s="2802" t="s">
        <v>3452</v>
      </c>
      <c r="Q1730" s="2652"/>
      <c r="R1730" s="2744"/>
      <c r="S1730" s="2744"/>
      <c r="T1730" s="2744"/>
      <c r="U1730" s="2744"/>
    </row>
    <row r="1731" spans="1:21" s="2762" customFormat="1" ht="11.25" customHeight="1">
      <c r="A1731" s="2786"/>
      <c r="B1731" s="2803" t="s">
        <v>1939</v>
      </c>
      <c r="C1731" s="512" t="s">
        <v>4310</v>
      </c>
      <c r="D1731" s="2801"/>
      <c r="E1731" s="2767"/>
      <c r="F1731" s="2767"/>
      <c r="G1731" s="2767"/>
      <c r="H1731" s="512"/>
      <c r="I1731" s="512"/>
      <c r="J1731" s="2654"/>
      <c r="K1731" s="2654"/>
      <c r="L1731" s="2767"/>
      <c r="M1731" s="2652"/>
      <c r="N1731" s="2749"/>
      <c r="O1731" s="1550">
        <f>'Part IX Scoring Criteria'!O76</f>
        <v>0</v>
      </c>
      <c r="P1731" s="1550"/>
      <c r="Q1731" s="2652"/>
      <c r="R1731" s="2744"/>
      <c r="S1731" s="2744"/>
      <c r="T1731" s="2744"/>
      <c r="U1731" s="2744"/>
    </row>
    <row r="1732" spans="1:21" s="2762" customFormat="1" ht="11.25" customHeight="1">
      <c r="A1732" s="2786"/>
      <c r="B1732" s="2803" t="s">
        <v>1941</v>
      </c>
      <c r="C1732" s="512" t="s">
        <v>4311</v>
      </c>
      <c r="D1732" s="2801"/>
      <c r="E1732" s="2767"/>
      <c r="F1732" s="2767"/>
      <c r="G1732" s="2767"/>
      <c r="H1732" s="512"/>
      <c r="I1732" s="512"/>
      <c r="J1732" s="2654"/>
      <c r="K1732" s="2654"/>
      <c r="L1732" s="2767"/>
      <c r="M1732" s="2767"/>
      <c r="N1732" s="2749"/>
      <c r="O1732" s="1550">
        <f>'Part IX Scoring Criteria'!O77</f>
        <v>0</v>
      </c>
      <c r="P1732" s="1550"/>
      <c r="Q1732" s="2652"/>
      <c r="R1732" s="2744"/>
      <c r="S1732" s="2744"/>
      <c r="T1732" s="2744"/>
      <c r="U1732" s="2744"/>
    </row>
    <row r="1733" spans="1:21" s="2762" customFormat="1" ht="11.25" customHeight="1">
      <c r="A1733" s="2786"/>
      <c r="B1733" s="2803" t="s">
        <v>2468</v>
      </c>
      <c r="C1733" s="512" t="s">
        <v>6902</v>
      </c>
      <c r="D1733" s="2801"/>
      <c r="E1733" s="2767"/>
      <c r="F1733" s="2767"/>
      <c r="G1733" s="2767"/>
      <c r="H1733" s="512"/>
      <c r="I1733" s="512"/>
      <c r="J1733" s="2654"/>
      <c r="K1733" s="2654"/>
      <c r="L1733" s="2767"/>
      <c r="M1733" s="2767"/>
      <c r="N1733" s="2749"/>
      <c r="O1733" s="1550">
        <f>'Part IX Scoring Criteria'!O78</f>
        <v>0</v>
      </c>
      <c r="P1733" s="1550"/>
      <c r="Q1733" s="2652"/>
      <c r="R1733" s="2744"/>
      <c r="S1733" s="2744"/>
      <c r="T1733" s="2744"/>
      <c r="U1733" s="2744"/>
    </row>
    <row r="1734" spans="1:21" s="2762" customFormat="1" ht="11.25" customHeight="1">
      <c r="A1734" s="2786"/>
      <c r="B1734" s="2803" t="s">
        <v>1198</v>
      </c>
      <c r="C1734" s="512" t="s">
        <v>4305</v>
      </c>
      <c r="D1734" s="2801"/>
      <c r="E1734" s="2767"/>
      <c r="F1734" s="2767"/>
      <c r="G1734" s="2767"/>
      <c r="H1734" s="512"/>
      <c r="I1734" s="512"/>
      <c r="J1734" s="2654"/>
      <c r="K1734" s="2654"/>
      <c r="L1734" s="2767"/>
      <c r="M1734" s="2767"/>
      <c r="N1734" s="2749"/>
      <c r="O1734" s="1550">
        <f>'Part IX Scoring Criteria'!O79</f>
        <v>0</v>
      </c>
      <c r="P1734" s="1550"/>
      <c r="Q1734" s="2652"/>
      <c r="R1734" s="2744"/>
      <c r="S1734" s="2744"/>
      <c r="T1734" s="2744"/>
      <c r="U1734" s="2744"/>
    </row>
    <row r="1735" spans="1:21" s="2762" customFormat="1" ht="3" customHeight="1">
      <c r="A1735" s="2786"/>
      <c r="B1735" s="2408"/>
      <c r="D1735" s="2800"/>
      <c r="H1735" s="512"/>
      <c r="I1735" s="512"/>
      <c r="J1735" s="2654"/>
      <c r="K1735" s="2654"/>
      <c r="M1735" s="2652"/>
      <c r="N1735" s="2749"/>
      <c r="O1735" s="2707"/>
      <c r="P1735" s="2707"/>
      <c r="Q1735" s="2652"/>
      <c r="R1735" s="2744"/>
      <c r="S1735" s="2744"/>
      <c r="T1735" s="2744"/>
      <c r="U1735" s="2744"/>
    </row>
    <row r="1736" spans="1:21" s="2762" customFormat="1" ht="13.5" customHeight="1">
      <c r="A1736" s="2786"/>
      <c r="B1736" s="2654" t="s">
        <v>3720</v>
      </c>
      <c r="D1736" s="2800"/>
      <c r="F1736" s="2654" t="s">
        <v>3539</v>
      </c>
      <c r="G1736" s="2654"/>
      <c r="H1736" s="2654"/>
      <c r="I1736" s="2654"/>
      <c r="J1736" s="2654" t="s">
        <v>3540</v>
      </c>
      <c r="K1736" s="2654"/>
      <c r="L1736" s="2654"/>
      <c r="M1736" s="2654"/>
      <c r="N1736" s="2749"/>
      <c r="O1736" s="2611" t="s">
        <v>6991</v>
      </c>
      <c r="P1736" s="2611"/>
      <c r="Q1736" s="2652"/>
      <c r="R1736" s="2744"/>
      <c r="S1736" s="2744"/>
      <c r="T1736" s="2744"/>
      <c r="U1736" s="2744"/>
    </row>
    <row r="1737" spans="1:21" s="2762" customFormat="1" ht="12.75" customHeight="1">
      <c r="A1737" s="2786"/>
      <c r="C1737" s="2654" t="s">
        <v>3719</v>
      </c>
      <c r="D1737" s="2573"/>
      <c r="E1737" s="2509"/>
      <c r="F1737" s="2512">
        <f>'Part IX Scoring Criteria'!F82</f>
        <v>0</v>
      </c>
      <c r="G1737" s="2512"/>
      <c r="H1737" s="2512"/>
      <c r="I1737" s="2512"/>
      <c r="J1737" s="2512">
        <f>'Part IX Scoring Criteria'!J82</f>
        <v>0</v>
      </c>
      <c r="K1737" s="2512"/>
      <c r="L1737" s="2512"/>
      <c r="M1737" s="2512"/>
      <c r="N1737" s="2749"/>
      <c r="Q1737" s="2652"/>
      <c r="R1737" s="2744"/>
      <c r="S1737" s="2744"/>
      <c r="T1737" s="2744"/>
      <c r="U1737" s="2744"/>
    </row>
    <row r="1738" spans="1:21" s="2762" customFormat="1" ht="12.75" customHeight="1">
      <c r="A1738" s="2804" t="s">
        <v>3815</v>
      </c>
      <c r="B1738" s="2804"/>
      <c r="D1738" s="512" t="s">
        <v>3721</v>
      </c>
      <c r="E1738" s="2509"/>
      <c r="F1738" s="2512">
        <f>'Part IX Scoring Criteria'!F83</f>
        <v>0</v>
      </c>
      <c r="G1738" s="2512"/>
      <c r="H1738" s="2512"/>
      <c r="I1738" s="2512"/>
      <c r="J1738" s="2512">
        <f>'Part IX Scoring Criteria'!J83</f>
        <v>0</v>
      </c>
      <c r="K1738" s="2512"/>
      <c r="L1738" s="2512"/>
      <c r="M1738" s="2512"/>
      <c r="N1738" s="2749"/>
      <c r="O1738" s="2805">
        <f>'Part IX Scoring Criteria'!O83</f>
        <v>0</v>
      </c>
      <c r="P1738" s="2806"/>
      <c r="Q1738" s="2652"/>
      <c r="R1738" s="2744"/>
      <c r="S1738" s="2744"/>
      <c r="T1738" s="2744"/>
      <c r="U1738" s="2744"/>
    </row>
    <row r="1739" spans="1:21" s="2762" customFormat="1" ht="12.75" customHeight="1">
      <c r="A1739" s="2804"/>
      <c r="B1739" s="2804"/>
      <c r="C1739" s="2654" t="s">
        <v>3785</v>
      </c>
      <c r="D1739" s="2573"/>
      <c r="E1739" s="2509"/>
      <c r="F1739" s="2512">
        <f>'Part IX Scoring Criteria'!F84</f>
        <v>0</v>
      </c>
      <c r="G1739" s="2512"/>
      <c r="H1739" s="2512"/>
      <c r="I1739" s="2512"/>
      <c r="J1739" s="2512">
        <f>'Part IX Scoring Criteria'!J84</f>
        <v>0</v>
      </c>
      <c r="K1739" s="2512"/>
      <c r="L1739" s="2512"/>
      <c r="M1739" s="2512"/>
      <c r="N1739" s="2749"/>
      <c r="O1739" s="2749"/>
      <c r="P1739" s="2749"/>
      <c r="Q1739" s="2652"/>
      <c r="R1739" s="2744"/>
      <c r="S1739" s="2744"/>
      <c r="T1739" s="2744"/>
      <c r="U1739" s="2744"/>
    </row>
    <row r="1740" spans="1:21" s="2762" customFormat="1" ht="12.75" customHeight="1">
      <c r="A1740" s="2804"/>
      <c r="B1740" s="2804"/>
      <c r="E1740" s="2749" t="s">
        <v>3784</v>
      </c>
      <c r="F1740" s="2512">
        <f>'Part IX Scoring Criteria'!F85</f>
        <v>0</v>
      </c>
      <c r="G1740" s="2512"/>
      <c r="H1740" s="2512"/>
      <c r="I1740" s="2512"/>
      <c r="J1740" s="2512">
        <f>'Part IX Scoring Criteria'!J85</f>
        <v>0</v>
      </c>
      <c r="K1740" s="2512"/>
      <c r="L1740" s="2512"/>
      <c r="M1740" s="2512"/>
      <c r="N1740" s="2749"/>
      <c r="O1740" s="2805">
        <f>'Part IX Scoring Criteria'!O85</f>
        <v>0</v>
      </c>
      <c r="P1740" s="2806"/>
      <c r="Q1740" s="2652"/>
      <c r="R1740" s="2744"/>
      <c r="S1740" s="2744"/>
      <c r="T1740" s="2744"/>
      <c r="U1740" s="2744"/>
    </row>
    <row r="1741" spans="1:21" s="2762" customFormat="1" ht="9" customHeight="1">
      <c r="A1741" s="2786"/>
      <c r="B1741" s="2408"/>
      <c r="D1741" s="2800"/>
      <c r="H1741" s="512"/>
      <c r="I1741" s="512"/>
      <c r="J1741" s="2654"/>
      <c r="K1741" s="2654"/>
      <c r="M1741" s="2652"/>
      <c r="N1741" s="2749"/>
      <c r="O1741" s="2707"/>
      <c r="P1741" s="2707"/>
      <c r="Q1741" s="2652"/>
      <c r="R1741" s="2744"/>
      <c r="S1741" s="2744"/>
      <c r="T1741" s="2744"/>
      <c r="U1741" s="2744"/>
    </row>
    <row r="1742" spans="1:21" s="2762" customFormat="1" ht="12.6" customHeight="1">
      <c r="A1742" s="2408" t="s">
        <v>2694</v>
      </c>
      <c r="B1742" s="2408"/>
      <c r="D1742" s="2800"/>
      <c r="F1742" s="2684" t="s">
        <v>3367</v>
      </c>
      <c r="M1742" s="2652"/>
      <c r="N1742" s="2652"/>
      <c r="O1742" s="2652"/>
      <c r="P1742" s="2652"/>
      <c r="Q1742" s="2652"/>
      <c r="R1742" s="2744"/>
      <c r="S1742" s="2744"/>
      <c r="T1742" s="2744"/>
      <c r="U1742" s="2744"/>
    </row>
    <row r="1743" spans="1:21" s="2762" customFormat="1" ht="2.25" customHeight="1">
      <c r="A1743" s="2408"/>
      <c r="B1743" s="2408"/>
      <c r="D1743" s="2800"/>
      <c r="F1743" s="2684"/>
      <c r="M1743" s="2652"/>
      <c r="N1743" s="2652"/>
      <c r="O1743" s="2652"/>
      <c r="P1743" s="2652"/>
      <c r="Q1743" s="2652"/>
      <c r="R1743" s="2744"/>
      <c r="S1743" s="2744"/>
      <c r="T1743" s="2744"/>
      <c r="U1743" s="2744"/>
    </row>
    <row r="1744" spans="1:21" s="2762" customFormat="1" ht="12.6" customHeight="1">
      <c r="A1744" s="2750" t="s">
        <v>1936</v>
      </c>
      <c r="B1744" s="2654" t="s">
        <v>3565</v>
      </c>
      <c r="D1744" s="2800"/>
      <c r="F1744" s="512" t="s">
        <v>6903</v>
      </c>
      <c r="M1744" s="2652">
        <v>6</v>
      </c>
      <c r="N1744" s="2776" t="s">
        <v>1936</v>
      </c>
      <c r="O1744" s="2707">
        <f>'Part IX Scoring Criteria'!O89</f>
        <v>0</v>
      </c>
      <c r="P1744" s="2707">
        <f>'Part IX Scoring Criteria'!P89</f>
        <v>0</v>
      </c>
      <c r="Q1744" s="2652"/>
    </row>
    <row r="1745" spans="1:21" s="2777" customFormat="1" ht="23.25" customHeight="1">
      <c r="B1745" s="2807" t="s">
        <v>1939</v>
      </c>
      <c r="C1745" s="2729" t="s">
        <v>6931</v>
      </c>
      <c r="D1745" s="2729"/>
      <c r="E1745" s="2729"/>
      <c r="F1745" s="2729"/>
      <c r="G1745" s="2729"/>
      <c r="H1745" s="2729"/>
      <c r="I1745" s="2580" t="s">
        <v>6932</v>
      </c>
      <c r="J1745" s="2580"/>
      <c r="K1745" s="2580"/>
      <c r="L1745" s="2580"/>
      <c r="M1745" s="2782">
        <v>5</v>
      </c>
      <c r="N1745" s="2807" t="s">
        <v>1939</v>
      </c>
      <c r="O1745" s="2808">
        <f>'Part IX Scoring Criteria'!O90</f>
        <v>0</v>
      </c>
      <c r="P1745" s="2808"/>
      <c r="Q1745" s="2542" t="str">
        <f>IF(OR($O1745=$M1745,$O1745=0,$O1745=""),"","*CHECK!*")</f>
        <v/>
      </c>
      <c r="R1745" s="2500" t="s">
        <v>4775</v>
      </c>
    </row>
    <row r="1746" spans="1:21" s="2777" customFormat="1" ht="12" customHeight="1">
      <c r="A1746" s="1550" t="s">
        <v>1326</v>
      </c>
      <c r="B1746" s="2807" t="s">
        <v>1941</v>
      </c>
      <c r="C1746" s="2729" t="s">
        <v>6933</v>
      </c>
      <c r="D1746" s="2729"/>
      <c r="E1746" s="2729"/>
      <c r="F1746" s="2729"/>
      <c r="G1746" s="2729"/>
      <c r="H1746" s="1550" t="str">
        <f>IF(AND(O1746&gt;0,O1745&gt;0),"Pick A1 or A2!","")</f>
        <v/>
      </c>
      <c r="I1746" s="2580"/>
      <c r="J1746" s="2580"/>
      <c r="K1746" s="2580"/>
      <c r="L1746" s="2580"/>
      <c r="M1746" s="2652">
        <v>4</v>
      </c>
      <c r="N1746" s="2803" t="s">
        <v>1941</v>
      </c>
      <c r="O1746" s="2707">
        <f>'Part IX Scoring Criteria'!O91</f>
        <v>0</v>
      </c>
      <c r="P1746" s="2707"/>
      <c r="Q1746" s="2542" t="str">
        <f>IF(OR($O1746=$M1746,$O1746=0,$O1746=""),"","*CHECK!*")</f>
        <v/>
      </c>
      <c r="R1746" s="2500" t="s">
        <v>4775</v>
      </c>
    </row>
    <row r="1747" spans="1:21" s="2777" customFormat="1" ht="12" customHeight="1">
      <c r="B1747" s="2807" t="s">
        <v>2468</v>
      </c>
      <c r="C1747" s="2729" t="s">
        <v>3566</v>
      </c>
      <c r="D1747" s="2729"/>
      <c r="E1747" s="2729"/>
      <c r="F1747" s="2729"/>
      <c r="I1747" s="2580"/>
      <c r="J1747" s="2580"/>
      <c r="K1747" s="2580"/>
      <c r="L1747" s="2580"/>
      <c r="M1747" s="2652">
        <v>1</v>
      </c>
      <c r="N1747" s="2803" t="s">
        <v>2468</v>
      </c>
      <c r="O1747" s="2707">
        <f>'Part IX Scoring Criteria'!O92</f>
        <v>0</v>
      </c>
      <c r="P1747" s="2707"/>
      <c r="Q1747" s="2542" t="str">
        <f>IF(OR($O1747=$M1747,$O1747=0,$O1747=""),"","*CHECK!*")</f>
        <v/>
      </c>
      <c r="R1747" s="2500" t="s">
        <v>4775</v>
      </c>
    </row>
    <row r="1748" spans="1:21" s="2777" customFormat="1" ht="12" customHeight="1">
      <c r="B1748" s="2807"/>
      <c r="C1748" s="2583" t="s">
        <v>3783</v>
      </c>
      <c r="D1748" s="2729"/>
      <c r="E1748" s="2729"/>
      <c r="F1748" s="2542" t="str">
        <f>'Part I-Project Information'!$H$82</f>
        <v>Family</v>
      </c>
      <c r="G1748" s="2583"/>
      <c r="H1748" s="2542"/>
      <c r="I1748" s="2580"/>
      <c r="J1748" s="2580"/>
      <c r="K1748" s="2580"/>
      <c r="L1748" s="2580"/>
      <c r="M1748" s="2767"/>
      <c r="N1748" s="2767"/>
      <c r="O1748" s="2767"/>
      <c r="P1748" s="2767"/>
      <c r="Q1748" s="2766"/>
      <c r="R1748" s="2531"/>
    </row>
    <row r="1749" spans="1:21" s="2777" customFormat="1" ht="12" customHeight="1">
      <c r="B1749" s="2807"/>
      <c r="C1749" s="2583"/>
      <c r="D1749" s="2729"/>
      <c r="E1749" s="2729"/>
      <c r="F1749" s="2542"/>
      <c r="G1749" s="2583"/>
      <c r="H1749" s="2542"/>
      <c r="I1749" s="2580"/>
      <c r="J1749" s="2580"/>
      <c r="K1749" s="2580"/>
      <c r="L1749" s="2580"/>
      <c r="M1749" s="2767"/>
      <c r="N1749" s="2767"/>
      <c r="O1749" s="2767"/>
      <c r="P1749" s="2767"/>
      <c r="Q1749" s="2766"/>
      <c r="R1749" s="2531"/>
    </row>
    <row r="1750" spans="1:21" s="2777" customFormat="1" ht="12" customHeight="1">
      <c r="A1750" s="2750" t="s">
        <v>1938</v>
      </c>
      <c r="B1750" s="2359" t="s">
        <v>3567</v>
      </c>
      <c r="C1750" s="2359"/>
      <c r="D1750" s="2359"/>
      <c r="E1750" s="2359"/>
      <c r="F1750" s="2729" t="s">
        <v>6904</v>
      </c>
      <c r="I1750" s="2559" t="str">
        <f>'Part IX Scoring Criteria'!I95</f>
        <v>&lt;&lt; Enter transit agency/service name here &gt;&gt;</v>
      </c>
      <c r="J1750" s="2559"/>
      <c r="K1750" s="2559"/>
      <c r="L1750" s="2809" t="str">
        <f>'Part IX Scoring Criteria'!L95</f>
        <v>&lt;Enter phone here&gt;</v>
      </c>
      <c r="M1750" s="2652">
        <v>3</v>
      </c>
      <c r="N1750" s="2749" t="s">
        <v>1938</v>
      </c>
      <c r="O1750" s="2707">
        <f>'Part IX Scoring Criteria'!O95</f>
        <v>0</v>
      </c>
      <c r="P1750" s="2707">
        <f>'Part IX Scoring Criteria'!P95</f>
        <v>0</v>
      </c>
      <c r="Q1750" s="2355"/>
      <c r="R1750" s="2531"/>
    </row>
    <row r="1751" spans="1:21" s="2762" customFormat="1" ht="11.25" customHeight="1">
      <c r="A1751" s="2786"/>
      <c r="B1751" s="2749" t="s">
        <v>3595</v>
      </c>
      <c r="C1751" s="2505" t="s">
        <v>4308</v>
      </c>
      <c r="D1751" s="2801"/>
      <c r="E1751" s="2767"/>
      <c r="F1751" s="2767"/>
      <c r="G1751" s="2767"/>
      <c r="H1751" s="512"/>
      <c r="I1751" s="2559"/>
      <c r="J1751" s="2559"/>
      <c r="K1751" s="2559"/>
      <c r="L1751" s="2809"/>
      <c r="M1751" s="2767"/>
      <c r="N1751" s="2749" t="s">
        <v>3595</v>
      </c>
      <c r="O1751" s="1550">
        <f>'Part IX Scoring Criteria'!O96</f>
        <v>0</v>
      </c>
      <c r="P1751" s="1550"/>
      <c r="Q1751" s="2652"/>
      <c r="R1751" s="2531"/>
      <c r="S1751" s="2777"/>
      <c r="T1751" s="2777"/>
      <c r="U1751" s="2777"/>
    </row>
    <row r="1752" spans="1:21" s="2762" customFormat="1" ht="11.25" customHeight="1">
      <c r="A1752" s="2786"/>
      <c r="B1752" s="2749" t="s">
        <v>3596</v>
      </c>
      <c r="C1752" s="2505" t="s">
        <v>4307</v>
      </c>
      <c r="D1752" s="2801"/>
      <c r="E1752" s="2767"/>
      <c r="F1752" s="2767"/>
      <c r="G1752" s="2767"/>
      <c r="H1752" s="512"/>
      <c r="I1752" s="2559" t="str">
        <f>'Part IX Scoring Criteria'!I97</f>
        <v>&lt;&lt; Enter email address of the transit service here &gt;&gt;</v>
      </c>
      <c r="J1752" s="2559"/>
      <c r="K1752" s="2559"/>
      <c r="L1752" s="2559"/>
      <c r="M1752" s="2767"/>
      <c r="N1752" s="2749" t="s">
        <v>3596</v>
      </c>
      <c r="O1752" s="1550">
        <f>'Part IX Scoring Criteria'!O97</f>
        <v>0</v>
      </c>
      <c r="P1752" s="1550"/>
      <c r="Q1752" s="2652"/>
      <c r="R1752" s="2531"/>
      <c r="S1752" s="2777"/>
      <c r="T1752" s="2777"/>
      <c r="U1752" s="2777"/>
    </row>
    <row r="1753" spans="1:21" s="2777" customFormat="1" ht="12" customHeight="1">
      <c r="A1753" s="2673"/>
      <c r="B1753" s="2810" t="s">
        <v>1939</v>
      </c>
      <c r="C1753" s="512" t="s">
        <v>6934</v>
      </c>
      <c r="D1753" s="512"/>
      <c r="E1753" s="512"/>
      <c r="F1753" s="512"/>
      <c r="G1753" s="512"/>
      <c r="H1753" s="512"/>
      <c r="I1753" s="2559"/>
      <c r="J1753" s="2559"/>
      <c r="K1753" s="2559"/>
      <c r="L1753" s="2559"/>
      <c r="M1753" s="2652">
        <v>3</v>
      </c>
      <c r="N1753" s="2803" t="s">
        <v>1939</v>
      </c>
      <c r="O1753" s="2707">
        <f>'Part IX Scoring Criteria'!O98</f>
        <v>0</v>
      </c>
      <c r="P1753" s="2707"/>
      <c r="Q1753" s="2766" t="str">
        <f>IF(OR($O1753=$M1753,$O1753=0,$O1753=""),"","*CHECK!*")</f>
        <v/>
      </c>
      <c r="R1753" s="2500" t="s">
        <v>4775</v>
      </c>
    </row>
    <row r="1754" spans="1:21" s="2762" customFormat="1" ht="12" customHeight="1">
      <c r="A1754" s="1550" t="s">
        <v>1326</v>
      </c>
      <c r="B1754" s="2810" t="s">
        <v>1941</v>
      </c>
      <c r="C1754" s="512" t="s">
        <v>6935</v>
      </c>
      <c r="D1754" s="512"/>
      <c r="E1754" s="512"/>
      <c r="F1754" s="512"/>
      <c r="G1754" s="512"/>
      <c r="H1754" s="512"/>
      <c r="I1754" s="2559" t="str">
        <f>'Part IX Scoring Criteria'!I99</f>
        <v>&lt;&lt; Enter specific URL/webpage showing established schedule from transit agency website here &gt;&gt;</v>
      </c>
      <c r="J1754" s="2559"/>
      <c r="K1754" s="2559"/>
      <c r="L1754" s="2559"/>
      <c r="M1754" s="2652">
        <v>2</v>
      </c>
      <c r="N1754" s="2803" t="s">
        <v>1941</v>
      </c>
      <c r="O1754" s="2707">
        <f>'Part IX Scoring Criteria'!O99</f>
        <v>0</v>
      </c>
      <c r="P1754" s="2707"/>
      <c r="Q1754" s="2766" t="str">
        <f>IF(OR($O1754=$M1754,$O1754=0,$O1754=""),"","*CHECK!*")</f>
        <v/>
      </c>
      <c r="R1754" s="2500" t="s">
        <v>4775</v>
      </c>
    </row>
    <row r="1755" spans="1:21" s="2762" customFormat="1" ht="14.25" customHeight="1">
      <c r="A1755" s="1550" t="s">
        <v>1326</v>
      </c>
      <c r="B1755" s="2810" t="s">
        <v>2468</v>
      </c>
      <c r="C1755" s="512" t="s">
        <v>6936</v>
      </c>
      <c r="D1755" s="512"/>
      <c r="E1755" s="512"/>
      <c r="F1755" s="512"/>
      <c r="G1755" s="512"/>
      <c r="H1755" s="512"/>
      <c r="I1755" s="2559"/>
      <c r="J1755" s="2559"/>
      <c r="K1755" s="2559"/>
      <c r="L1755" s="2559"/>
      <c r="M1755" s="2652">
        <v>1</v>
      </c>
      <c r="N1755" s="2803" t="s">
        <v>2468</v>
      </c>
      <c r="O1755" s="2707">
        <f>'Part IX Scoring Criteria'!O100</f>
        <v>0</v>
      </c>
      <c r="P1755" s="2707"/>
      <c r="Q1755" s="2766" t="str">
        <f>IF(OR($O1755=$M1755,$O1755=0,$O1755=""),"","*CHECK!*")</f>
        <v/>
      </c>
      <c r="R1755" s="2500" t="s">
        <v>4775</v>
      </c>
    </row>
    <row r="1756" spans="1:21" s="2762" customFormat="1" ht="14.25" customHeight="1">
      <c r="A1756" s="2740"/>
      <c r="B1756" s="2811"/>
      <c r="C1756" s="2731"/>
      <c r="D1756" s="2731"/>
      <c r="E1756" s="2731"/>
      <c r="F1756" s="512" t="str">
        <f>IF(OR(AND(O1753&gt;0,O1754&gt;0,O1755&gt;0),AND(O1753&gt;0,O1754&gt;0),AND(O1753&gt;0,O1755&gt;0),AND(O1754&gt;0,O1755&gt;0)),"Choose only one option: B1 or B2 or B3!","")</f>
        <v/>
      </c>
      <c r="G1756" s="512"/>
      <c r="H1756" s="512"/>
      <c r="I1756" s="2559" t="str">
        <f>'Part IX Scoring Criteria'!I101</f>
        <v>&lt;&lt; Enter specific URL/webpage showing established routes from transit agency website (if different) here &gt;&gt;</v>
      </c>
      <c r="J1756" s="2559"/>
      <c r="K1756" s="2559"/>
      <c r="L1756" s="2559"/>
      <c r="M1756" s="2767"/>
      <c r="N1756" s="2767"/>
      <c r="O1756" s="2767"/>
      <c r="P1756" s="2767"/>
      <c r="Q1756" s="2766"/>
      <c r="R1756" s="2531"/>
    </row>
    <row r="1757" spans="1:21" s="2762" customFormat="1" ht="12.6" customHeight="1">
      <c r="A1757" s="2408" t="s">
        <v>2696</v>
      </c>
      <c r="B1757" s="2654"/>
      <c r="E1757" s="2800"/>
      <c r="I1757" s="2559"/>
      <c r="J1757" s="2559"/>
      <c r="K1757" s="2559"/>
      <c r="L1757" s="2559"/>
      <c r="M1757" s="2652"/>
      <c r="N1757" s="2652"/>
      <c r="O1757" s="2652"/>
      <c r="P1757" s="2652"/>
      <c r="Q1757" s="2251"/>
      <c r="R1757" s="2251"/>
    </row>
    <row r="1758" spans="1:21" s="2767" customFormat="1" ht="12" customHeight="1">
      <c r="A1758" s="2673"/>
      <c r="B1758" s="2807" t="s">
        <v>1198</v>
      </c>
      <c r="C1758" s="2654" t="s">
        <v>6992</v>
      </c>
      <c r="D1758" s="2654"/>
      <c r="E1758" s="2654"/>
      <c r="F1758" s="2654"/>
      <c r="G1758" s="2654"/>
      <c r="H1758" s="2654"/>
      <c r="I1758" s="2654"/>
      <c r="J1758" s="2654"/>
      <c r="K1758" s="2654"/>
      <c r="L1758" s="2654"/>
      <c r="M1758" s="2652">
        <v>1</v>
      </c>
      <c r="N1758" s="2803" t="s">
        <v>1198</v>
      </c>
      <c r="O1758" s="2707">
        <f>'Part IX Scoring Criteria'!O103</f>
        <v>0</v>
      </c>
      <c r="P1758" s="2707"/>
      <c r="Q1758" s="2766" t="str">
        <f>IF(OR($O1758=$M1758,$O1758=0,$O1758=""),"","*CHECK!*")</f>
        <v/>
      </c>
      <c r="R1758" s="2500" t="s">
        <v>4775</v>
      </c>
    </row>
    <row r="1759" spans="1:21" s="2767" customFormat="1" ht="12" customHeight="1">
      <c r="A1759" s="2673"/>
      <c r="B1759" s="2807"/>
      <c r="C1759" s="2654"/>
      <c r="D1759" s="2654"/>
      <c r="E1759" s="2654"/>
      <c r="F1759" s="2654"/>
      <c r="G1759" s="2654"/>
      <c r="H1759" s="2654"/>
      <c r="I1759" s="2654"/>
      <c r="J1759" s="2654"/>
      <c r="K1759" s="2654"/>
      <c r="L1759" s="2654"/>
      <c r="M1759" s="2654"/>
      <c r="N1759" s="2654"/>
      <c r="O1759" s="2654"/>
      <c r="P1759" s="2654"/>
      <c r="Q1759" s="2766"/>
      <c r="R1759" s="2531"/>
    </row>
    <row r="1760" spans="1:21" s="2762" customFormat="1" ht="12.6" customHeight="1">
      <c r="A1760" s="512" t="s">
        <v>6993</v>
      </c>
      <c r="B1760" s="2654"/>
      <c r="E1760" s="2800"/>
      <c r="K1760" s="2654"/>
      <c r="M1760" s="2652"/>
      <c r="N1760" s="2652"/>
      <c r="O1760" s="2652"/>
      <c r="P1760" s="2652"/>
      <c r="Q1760" s="2251"/>
      <c r="R1760" s="2251"/>
    </row>
    <row r="1761" spans="1:20" s="2762" customFormat="1" ht="11.25" customHeight="1">
      <c r="A1761" s="2408"/>
      <c r="B1761" s="512" t="s">
        <v>3572</v>
      </c>
      <c r="C1761" s="2408"/>
      <c r="D1761" s="2654"/>
      <c r="E1761" s="2654"/>
      <c r="F1761" s="2654"/>
      <c r="G1761" s="2654"/>
      <c r="H1761" s="512"/>
      <c r="K1761" s="2654"/>
      <c r="M1761" s="2652"/>
      <c r="N1761" s="2613"/>
      <c r="O1761" s="2707"/>
      <c r="P1761" s="2613"/>
    </row>
    <row r="1762" spans="1:20" s="2762" customFormat="1" ht="29.25" customHeight="1">
      <c r="A1762" s="2729">
        <f>'Part IX Scoring Criteria'!A107</f>
        <v>0</v>
      </c>
      <c r="B1762" s="2729"/>
      <c r="C1762" s="2729"/>
      <c r="D1762" s="2729"/>
      <c r="E1762" s="2729"/>
      <c r="F1762" s="2729"/>
      <c r="G1762" s="2729"/>
      <c r="H1762" s="2729"/>
      <c r="I1762" s="2729"/>
      <c r="J1762" s="2729"/>
      <c r="K1762" s="2729"/>
      <c r="L1762" s="2729"/>
      <c r="M1762" s="2729"/>
      <c r="N1762" s="2729"/>
      <c r="O1762" s="2729"/>
      <c r="P1762" s="2729"/>
      <c r="Q1762" s="2497" t="s">
        <v>1228</v>
      </c>
      <c r="R1762" s="2497"/>
    </row>
    <row r="1763" spans="1:20" s="2767" customFormat="1" ht="11.4" customHeight="1">
      <c r="A1763" s="2408"/>
      <c r="B1763" s="512" t="s">
        <v>1820</v>
      </c>
      <c r="C1763" s="2408"/>
      <c r="D1763" s="512"/>
      <c r="E1763" s="2684"/>
      <c r="F1763" s="2684"/>
      <c r="G1763" s="2684"/>
      <c r="H1763" s="2684"/>
      <c r="I1763" s="2684"/>
      <c r="J1763" s="2684"/>
      <c r="K1763" s="2684"/>
      <c r="L1763" s="2684"/>
      <c r="M1763" s="2684"/>
      <c r="N1763" s="2652"/>
      <c r="O1763" s="2652"/>
      <c r="P1763" s="2652"/>
      <c r="Q1763" s="2762"/>
    </row>
    <row r="1764" spans="1:20" s="2762" customFormat="1" ht="11.25" customHeight="1">
      <c r="A1764" s="2729"/>
      <c r="B1764" s="2729"/>
      <c r="C1764" s="2729"/>
      <c r="D1764" s="2729"/>
      <c r="E1764" s="2729"/>
      <c r="F1764" s="2729"/>
      <c r="G1764" s="2729"/>
      <c r="H1764" s="2729"/>
      <c r="I1764" s="2729"/>
      <c r="J1764" s="2729"/>
      <c r="K1764" s="2729"/>
      <c r="L1764" s="2729"/>
      <c r="M1764" s="2729"/>
      <c r="N1764" s="2729"/>
      <c r="O1764" s="2729"/>
      <c r="P1764" s="2729"/>
      <c r="Q1764" s="2497"/>
    </row>
    <row r="1765" spans="1:20" ht="3" customHeight="1">
      <c r="N1765" s="2613"/>
      <c r="O1765" s="2613"/>
      <c r="P1765" s="2613"/>
      <c r="R1765" s="2762"/>
    </row>
    <row r="1766" spans="1:20" s="2762" customFormat="1" ht="3" customHeight="1">
      <c r="A1766" s="2408"/>
      <c r="D1766" s="512"/>
      <c r="E1766" s="512"/>
      <c r="F1766" s="2652"/>
      <c r="G1766" s="2652"/>
      <c r="H1766" s="2652"/>
      <c r="I1766" s="2652"/>
      <c r="J1766" s="2684"/>
      <c r="K1766" s="2684"/>
      <c r="L1766" s="2684"/>
      <c r="M1766" s="1550"/>
      <c r="N1766" s="2652"/>
      <c r="O1766" s="2613"/>
      <c r="P1766" s="2707"/>
    </row>
    <row r="1767" spans="1:20" s="2762" customFormat="1" ht="12.75" customHeight="1">
      <c r="A1767" s="2786" t="s">
        <v>1750</v>
      </c>
      <c r="B1767" s="2408" t="s">
        <v>3733</v>
      </c>
      <c r="D1767" s="512"/>
      <c r="E1767" s="512"/>
      <c r="F1767" s="2652"/>
      <c r="G1767" s="2652"/>
      <c r="H1767" s="2652"/>
      <c r="I1767" s="2684" t="s">
        <v>3367</v>
      </c>
      <c r="J1767" s="2684"/>
      <c r="K1767" s="2684"/>
      <c r="L1767" s="2684"/>
      <c r="M1767" s="2652">
        <v>4</v>
      </c>
      <c r="N1767" s="2652"/>
      <c r="O1767" s="2707">
        <f>'Part IX Scoring Criteria'!O112</f>
        <v>0</v>
      </c>
      <c r="P1767" s="2707">
        <f>'Part IX Scoring Criteria'!P112</f>
        <v>0</v>
      </c>
      <c r="Q1767" s="2652" t="s">
        <v>433</v>
      </c>
    </row>
    <row r="1768" spans="1:20" s="2762" customFormat="1" ht="1.5" customHeight="1">
      <c r="A1768" s="2408"/>
      <c r="D1768" s="512"/>
      <c r="E1768" s="512"/>
      <c r="F1768" s="2652"/>
      <c r="G1768" s="2652"/>
      <c r="H1768" s="2652"/>
      <c r="I1768" s="2652"/>
      <c r="J1768" s="2684"/>
      <c r="K1768" s="2684"/>
      <c r="L1768" s="2684"/>
      <c r="M1768" s="1550"/>
      <c r="N1768" s="2652"/>
      <c r="O1768" s="2613"/>
      <c r="P1768" s="2707"/>
    </row>
    <row r="1769" spans="1:20" s="2767" customFormat="1" ht="12.75" customHeight="1">
      <c r="A1769" s="2673" t="s">
        <v>1936</v>
      </c>
      <c r="B1769" s="2654" t="s">
        <v>3734</v>
      </c>
      <c r="D1769" s="2801"/>
      <c r="E1769" s="512" t="s">
        <v>3789</v>
      </c>
      <c r="G1769" s="2684"/>
      <c r="I1769" s="2749" t="s">
        <v>3783</v>
      </c>
      <c r="J1769" s="2684" t="str">
        <f>'Part I-Project Information'!$H$82</f>
        <v>Family</v>
      </c>
      <c r="K1769" s="2801"/>
      <c r="L1769" s="2251" t="str">
        <f>IF(OR($O1769=$M1769,$O1769=0,$O1769=""),"","* * Check Score! * *")</f>
        <v/>
      </c>
      <c r="M1769" s="2652">
        <v>3</v>
      </c>
      <c r="N1769" s="2749" t="s">
        <v>1936</v>
      </c>
      <c r="O1769" s="2707">
        <f>'Part IX Scoring Criteria'!O114</f>
        <v>0</v>
      </c>
      <c r="P1769" s="2707"/>
      <c r="Q1769" s="2542" t="str">
        <f>IF(OR($O1769=$M1769,$O1769=0,$O1769=""),"","*CHECK!*")</f>
        <v/>
      </c>
      <c r="R1769" s="2500" t="s">
        <v>4775</v>
      </c>
    </row>
    <row r="1770" spans="1:20" s="2762" customFormat="1" ht="11.25" customHeight="1">
      <c r="A1770" s="2408"/>
      <c r="B1770" s="2618" t="s">
        <v>4600</v>
      </c>
      <c r="D1770" s="512"/>
      <c r="E1770" s="512"/>
      <c r="F1770" s="2652"/>
      <c r="G1770" s="2652"/>
      <c r="H1770" s="2652"/>
      <c r="I1770" s="2652"/>
      <c r="J1770" s="2684"/>
      <c r="K1770" s="2684"/>
      <c r="L1770" s="2684"/>
      <c r="M1770" s="1550"/>
      <c r="N1770" s="2652"/>
      <c r="O1770" s="1550">
        <f>'Part IX Scoring Criteria'!O115</f>
        <v>0</v>
      </c>
      <c r="P1770" s="1550"/>
    </row>
    <row r="1771" spans="1:20" s="512" customFormat="1" ht="21.6" customHeight="1">
      <c r="A1771" s="2749"/>
      <c r="B1771" s="2729" t="s">
        <v>4736</v>
      </c>
      <c r="C1771" s="2729"/>
      <c r="D1771" s="2559">
        <f>'Part IX Scoring Criteria'!D116</f>
        <v>0</v>
      </c>
      <c r="E1771" s="2559"/>
      <c r="F1771" s="2559"/>
      <c r="G1771" s="2559"/>
      <c r="H1771" s="2559"/>
      <c r="I1771" s="2559"/>
      <c r="J1771" s="2559"/>
      <c r="K1771" s="2559"/>
      <c r="L1771" s="2559"/>
      <c r="M1771" s="2559"/>
      <c r="N1771" s="2559"/>
      <c r="O1771" s="2559"/>
      <c r="P1771" s="2559"/>
      <c r="Q1771" s="2728"/>
      <c r="R1771" s="2728"/>
      <c r="S1771" s="2728"/>
      <c r="T1771" s="2728"/>
    </row>
    <row r="1772" spans="1:20" s="2767" customFormat="1" ht="21.6" customHeight="1">
      <c r="A1772" s="2673"/>
      <c r="B1772" s="2729" t="s">
        <v>4313</v>
      </c>
      <c r="C1772" s="2729"/>
      <c r="D1772" s="2729"/>
      <c r="E1772" s="2559">
        <f>'Part IX Scoring Criteria'!E117</f>
        <v>0</v>
      </c>
      <c r="F1772" s="2559"/>
      <c r="G1772" s="2559"/>
      <c r="H1772" s="2559"/>
      <c r="I1772" s="2559"/>
      <c r="J1772" s="2559"/>
      <c r="K1772" s="2559"/>
      <c r="L1772" s="2559"/>
      <c r="M1772" s="2559"/>
      <c r="N1772" s="2559"/>
      <c r="O1772" s="2559"/>
      <c r="P1772" s="2559"/>
      <c r="Q1772" s="2728"/>
      <c r="R1772" s="2728"/>
      <c r="S1772" s="2728"/>
      <c r="T1772" s="2728"/>
    </row>
    <row r="1773" spans="1:20" s="2762" customFormat="1" ht="2.25" customHeight="1">
      <c r="A1773" s="2408"/>
      <c r="D1773" s="512"/>
      <c r="E1773" s="512"/>
      <c r="F1773" s="2652"/>
      <c r="G1773" s="2652"/>
      <c r="H1773" s="2652"/>
      <c r="I1773" s="2652"/>
      <c r="J1773" s="2684"/>
      <c r="K1773" s="2684"/>
      <c r="L1773" s="2684"/>
      <c r="M1773" s="1550"/>
      <c r="N1773" s="2652"/>
      <c r="O1773" s="2613"/>
      <c r="P1773" s="2707"/>
    </row>
    <row r="1774" spans="1:20" s="2767" customFormat="1" ht="12.75" customHeight="1">
      <c r="A1774" s="2673" t="s">
        <v>1938</v>
      </c>
      <c r="B1774" s="2654" t="s">
        <v>3736</v>
      </c>
      <c r="L1774" s="2251" t="str">
        <f>IF(OR($O1774=$M1774,$O1774=0,$O1774=""),"","* * Check Score! * *")</f>
        <v/>
      </c>
      <c r="M1774" s="2251">
        <v>3</v>
      </c>
      <c r="N1774" s="2749" t="s">
        <v>1938</v>
      </c>
      <c r="O1774" s="2707">
        <f>'Part IX Scoring Criteria'!O119</f>
        <v>0</v>
      </c>
      <c r="P1774" s="2707"/>
      <c r="Q1774" s="2542" t="str">
        <f>IF(OR($O1774=$M1774,$O1774=0,$O1774=""),"","*CHECK!*")</f>
        <v/>
      </c>
      <c r="R1774" s="2500" t="s">
        <v>4775</v>
      </c>
      <c r="S1774" s="2728"/>
      <c r="T1774" s="2728"/>
    </row>
    <row r="1775" spans="1:20" s="2767" customFormat="1" ht="10.5" customHeight="1">
      <c r="A1775" s="2673"/>
      <c r="B1775" s="512" t="s">
        <v>4511</v>
      </c>
      <c r="E1775" s="512"/>
      <c r="F1775" s="512"/>
      <c r="G1775" s="512"/>
      <c r="M1775" s="2251"/>
      <c r="N1775" s="2251"/>
      <c r="O1775" s="1550">
        <f>'Part IX Scoring Criteria'!O120</f>
        <v>0</v>
      </c>
      <c r="P1775" s="1550"/>
      <c r="Q1775" s="2728"/>
      <c r="R1775" s="2728"/>
      <c r="S1775" s="2728"/>
      <c r="T1775" s="2728"/>
    </row>
    <row r="1776" spans="1:20" s="2777" customFormat="1" ht="21" customHeight="1">
      <c r="A1776" s="2750"/>
      <c r="B1776" s="2811" t="s">
        <v>1939</v>
      </c>
      <c r="C1776" s="2729" t="s">
        <v>4620</v>
      </c>
      <c r="D1776" s="2559" t="s">
        <v>4313</v>
      </c>
      <c r="E1776" s="2559"/>
      <c r="F1776" s="2559"/>
      <c r="G1776" s="2559">
        <f>'Part IX Scoring Criteria'!G121</f>
        <v>0</v>
      </c>
      <c r="H1776" s="2559"/>
      <c r="I1776" s="2559"/>
      <c r="J1776" s="2559"/>
      <c r="K1776" s="2559"/>
      <c r="L1776" s="2559"/>
      <c r="M1776" s="2559"/>
      <c r="N1776" s="2559"/>
      <c r="O1776" s="2559"/>
      <c r="P1776" s="2559"/>
      <c r="Q1776" s="2812"/>
      <c r="R1776" s="2812"/>
      <c r="S1776" s="2812"/>
      <c r="T1776" s="2812"/>
    </row>
    <row r="1777" spans="1:21" s="2767" customFormat="1" ht="10.5" customHeight="1">
      <c r="A1777" s="2673"/>
      <c r="B1777" s="512"/>
      <c r="C1777" s="512" t="s">
        <v>4624</v>
      </c>
      <c r="E1777" s="512"/>
      <c r="F1777" s="512"/>
      <c r="G1777" s="512"/>
      <c r="M1777" s="2652"/>
      <c r="N1777" s="2730" t="s">
        <v>4816</v>
      </c>
      <c r="O1777" s="1550">
        <f>'Part IX Scoring Criteria'!O122</f>
        <v>0</v>
      </c>
      <c r="P1777" s="1550"/>
      <c r="Q1777" s="2728"/>
      <c r="R1777" s="2728"/>
      <c r="S1777" s="2728"/>
      <c r="T1777" s="2728"/>
    </row>
    <row r="1778" spans="1:21" s="512" customFormat="1" ht="10.5" customHeight="1">
      <c r="A1778" s="2749"/>
      <c r="B1778" s="2803"/>
      <c r="C1778" s="512" t="s">
        <v>4625</v>
      </c>
      <c r="M1778" s="1550"/>
      <c r="N1778" s="2749" t="s">
        <v>2373</v>
      </c>
      <c r="O1778" s="1550">
        <f>'Part IX Scoring Criteria'!O123</f>
        <v>0</v>
      </c>
      <c r="P1778" s="1550"/>
      <c r="Q1778" s="2728"/>
      <c r="R1778" s="2728"/>
      <c r="S1778" s="2728"/>
      <c r="T1778" s="2728"/>
    </row>
    <row r="1779" spans="1:21" s="2618" customFormat="1" ht="10.5" customHeight="1">
      <c r="A1779" s="2749"/>
      <c r="C1779" s="2618" t="s">
        <v>3811</v>
      </c>
      <c r="E1779" s="512"/>
      <c r="F1779" s="512"/>
      <c r="G1779" s="512"/>
      <c r="L1779" s="2618" t="s">
        <v>3622</v>
      </c>
      <c r="O1779" s="2618" t="s">
        <v>3621</v>
      </c>
      <c r="Q1779" s="512"/>
    </row>
    <row r="1780" spans="1:21" s="2618" customFormat="1" ht="10.8" customHeight="1">
      <c r="A1780" s="2749"/>
      <c r="B1780" s="2749"/>
      <c r="C1780" s="2559">
        <f>'Part IX Scoring Criteria'!C125</f>
        <v>0</v>
      </c>
      <c r="D1780" s="2559"/>
      <c r="E1780" s="2559"/>
      <c r="F1780" s="2559"/>
      <c r="G1780" s="2559"/>
      <c r="H1780" s="2559"/>
      <c r="I1780" s="2559"/>
      <c r="J1780" s="2559"/>
      <c r="K1780" s="2559"/>
      <c r="L1780" s="2729" t="str">
        <f>'Part IX Scoring Criteria'!L125</f>
        <v>&lt;&lt; Select &gt;&gt;</v>
      </c>
      <c r="M1780" s="2729"/>
      <c r="N1780" s="2729"/>
      <c r="O1780" s="2813">
        <f>'Part IX Scoring Criteria'!O125</f>
        <v>0</v>
      </c>
      <c r="P1780" s="2813"/>
      <c r="Q1780" s="512" t="str">
        <f>IF(O1780&gt;15, "Too much!","")</f>
        <v/>
      </c>
    </row>
    <row r="1781" spans="1:21" s="2618" customFormat="1" ht="10.8" customHeight="1">
      <c r="A1781" s="2749"/>
      <c r="B1781" s="2730"/>
      <c r="C1781" s="2559">
        <f>'Part IX Scoring Criteria'!C126</f>
        <v>0</v>
      </c>
      <c r="D1781" s="2559"/>
      <c r="E1781" s="2559"/>
      <c r="F1781" s="2559"/>
      <c r="G1781" s="2559"/>
      <c r="H1781" s="2559"/>
      <c r="I1781" s="2559"/>
      <c r="J1781" s="2559"/>
      <c r="K1781" s="2559"/>
      <c r="L1781" s="2729" t="str">
        <f>'Part IX Scoring Criteria'!L126</f>
        <v>&lt;&lt; Select &gt;&gt;</v>
      </c>
      <c r="M1781" s="2729"/>
      <c r="N1781" s="2729"/>
      <c r="O1781" s="2813">
        <f>'Part IX Scoring Criteria'!O126</f>
        <v>0</v>
      </c>
      <c r="P1781" s="2813"/>
      <c r="Q1781" s="512" t="str">
        <f>IF(O1781&gt;15, "Too much!","")</f>
        <v/>
      </c>
    </row>
    <row r="1782" spans="1:21" s="2618" customFormat="1" ht="10.8" customHeight="1">
      <c r="A1782" s="2749"/>
      <c r="B1782" s="2749"/>
      <c r="C1782" s="2559">
        <f>'Part IX Scoring Criteria'!C127</f>
        <v>0</v>
      </c>
      <c r="D1782" s="2559"/>
      <c r="E1782" s="2559"/>
      <c r="F1782" s="2559"/>
      <c r="G1782" s="2559"/>
      <c r="H1782" s="2559"/>
      <c r="I1782" s="2559"/>
      <c r="J1782" s="2559"/>
      <c r="K1782" s="2559"/>
      <c r="L1782" s="2729" t="str">
        <f>'Part IX Scoring Criteria'!L127</f>
        <v>&lt;&lt; Select &gt;&gt;</v>
      </c>
      <c r="M1782" s="2729"/>
      <c r="N1782" s="2729"/>
      <c r="O1782" s="2813">
        <f>'Part IX Scoring Criteria'!O127</f>
        <v>0</v>
      </c>
      <c r="P1782" s="2813"/>
      <c r="Q1782" s="512" t="str">
        <f>IF(O1782&gt;15, "Too much!","")</f>
        <v/>
      </c>
    </row>
    <row r="1783" spans="1:21" s="2618" customFormat="1" ht="10.8" customHeight="1">
      <c r="A1783" s="2749"/>
      <c r="B1783" s="2749"/>
      <c r="C1783" s="2559">
        <f>'Part IX Scoring Criteria'!C128</f>
        <v>0</v>
      </c>
      <c r="D1783" s="2559"/>
      <c r="E1783" s="2559"/>
      <c r="F1783" s="2559"/>
      <c r="G1783" s="2559"/>
      <c r="H1783" s="2559"/>
      <c r="I1783" s="2559"/>
      <c r="J1783" s="2559"/>
      <c r="K1783" s="2559"/>
      <c r="L1783" s="2729" t="str">
        <f>'Part IX Scoring Criteria'!L128</f>
        <v>&lt;&lt; Select &gt;&gt;</v>
      </c>
      <c r="M1783" s="2729"/>
      <c r="N1783" s="2729"/>
      <c r="O1783" s="2813">
        <f>'Part IX Scoring Criteria'!O128</f>
        <v>0</v>
      </c>
      <c r="P1783" s="2813"/>
      <c r="Q1783" s="512" t="str">
        <f>IF(O1783&gt;15, "Too much!","")</f>
        <v/>
      </c>
    </row>
    <row r="1784" spans="1:21" s="2767" customFormat="1" ht="10.5" customHeight="1">
      <c r="B1784" s="2810" t="s">
        <v>1941</v>
      </c>
      <c r="C1784" s="512" t="s">
        <v>4621</v>
      </c>
      <c r="D1784" s="512" t="s">
        <v>4626</v>
      </c>
      <c r="E1784" s="512"/>
      <c r="F1784" s="512"/>
      <c r="G1784" s="512"/>
      <c r="N1784" s="2730" t="s">
        <v>4817</v>
      </c>
      <c r="O1784" s="1550">
        <f>'Part IX Scoring Criteria'!O129</f>
        <v>0</v>
      </c>
      <c r="P1784" s="1550"/>
      <c r="Q1784" s="2505"/>
      <c r="R1784" s="2618"/>
      <c r="S1784" s="2618"/>
      <c r="T1784" s="2618"/>
      <c r="U1784" s="2618"/>
    </row>
    <row r="1785" spans="1:21" s="2767" customFormat="1" ht="10.5" customHeight="1">
      <c r="A1785" s="2673"/>
      <c r="B1785" s="512"/>
      <c r="D1785" s="512" t="s">
        <v>4627</v>
      </c>
      <c r="E1785" s="512"/>
      <c r="F1785" s="512"/>
      <c r="G1785" s="512"/>
      <c r="M1785" s="2652"/>
      <c r="N1785" s="2749" t="s">
        <v>2373</v>
      </c>
      <c r="O1785" s="1550">
        <f>'Part IX Scoring Criteria'!O130</f>
        <v>0</v>
      </c>
      <c r="P1785" s="1550"/>
      <c r="Q1785" s="2505"/>
      <c r="R1785" s="2618"/>
      <c r="S1785" s="2618"/>
      <c r="T1785" s="2618"/>
      <c r="U1785" s="2618"/>
    </row>
    <row r="1786" spans="1:21" s="2767" customFormat="1" ht="12.75" customHeight="1">
      <c r="A1786" s="2673" t="s">
        <v>731</v>
      </c>
      <c r="B1786" s="2654" t="s">
        <v>3623</v>
      </c>
      <c r="D1786" s="512"/>
      <c r="F1786" s="512"/>
      <c r="G1786" s="512"/>
      <c r="H1786" s="512"/>
      <c r="I1786" s="512"/>
      <c r="J1786" s="512"/>
      <c r="K1786" s="512"/>
      <c r="L1786" s="2251" t="str">
        <f>IF(OR($O1786=$M1786,$O1786=0,$O1786=""),"","* * Check Score! * *")</f>
        <v/>
      </c>
      <c r="M1786" s="2251">
        <v>1</v>
      </c>
      <c r="N1786" s="2781" t="s">
        <v>731</v>
      </c>
      <c r="O1786" s="2707">
        <f>'Part IX Scoring Criteria'!O131</f>
        <v>0</v>
      </c>
      <c r="P1786" s="2707"/>
      <c r="Q1786" s="2542" t="str">
        <f>IF(OR($O1786=$M1786,$O1786=0,$O1786=""),"","*CHECK!*")</f>
        <v/>
      </c>
      <c r="R1786" s="2500" t="s">
        <v>4775</v>
      </c>
      <c r="S1786" s="2728"/>
      <c r="T1786" s="2728"/>
      <c r="U1786" s="2728"/>
    </row>
    <row r="1787" spans="1:21" s="512" customFormat="1" ht="10.5" customHeight="1">
      <c r="A1787" s="2749"/>
      <c r="C1787" s="512" t="s">
        <v>4815</v>
      </c>
      <c r="D1787" s="2768"/>
      <c r="E1787" s="2768"/>
      <c r="F1787" s="2768"/>
      <c r="G1787" s="2768"/>
      <c r="H1787" s="2768"/>
      <c r="I1787" s="2768"/>
      <c r="J1787" s="2768"/>
      <c r="K1787" s="2768"/>
      <c r="L1787" s="2768"/>
      <c r="M1787" s="1550"/>
      <c r="O1787" s="1550">
        <f>'Part IX Scoring Criteria'!O132</f>
        <v>0</v>
      </c>
      <c r="P1787" s="1550"/>
      <c r="R1787" s="2728"/>
      <c r="S1787" s="2728"/>
      <c r="T1787" s="2728"/>
      <c r="U1787" s="2728"/>
    </row>
    <row r="1788" spans="1:21" s="512" customFormat="1" ht="10.5" customHeight="1">
      <c r="A1788" s="2749"/>
      <c r="B1788" s="2810" t="s">
        <v>1939</v>
      </c>
      <c r="C1788" s="2729" t="s">
        <v>6937</v>
      </c>
      <c r="D1788" s="2729"/>
      <c r="E1788" s="2729"/>
      <c r="F1788" s="2768"/>
      <c r="G1788" s="2684" t="s">
        <v>4821</v>
      </c>
      <c r="I1788" s="2768"/>
      <c r="J1788" s="2768"/>
      <c r="K1788" s="2768"/>
      <c r="L1788" s="2768"/>
      <c r="M1788" s="2749"/>
      <c r="N1788" s="2730" t="s">
        <v>4816</v>
      </c>
      <c r="O1788" s="1550">
        <f>'Part IX Scoring Criteria'!O133</f>
        <v>0</v>
      </c>
      <c r="P1788" s="1550"/>
      <c r="R1788" s="2728"/>
      <c r="S1788" s="2728"/>
      <c r="T1788" s="2728"/>
      <c r="U1788" s="2728"/>
    </row>
    <row r="1789" spans="1:21" s="512" customFormat="1" ht="10.5" customHeight="1">
      <c r="A1789" s="2749"/>
      <c r="B1789" s="2803"/>
      <c r="C1789" s="2729"/>
      <c r="D1789" s="2729"/>
      <c r="E1789" s="2729"/>
      <c r="F1789" s="2768"/>
      <c r="G1789" s="2684" t="s">
        <v>4818</v>
      </c>
      <c r="I1789" s="2768"/>
      <c r="J1789" s="2768"/>
      <c r="K1789" s="2768"/>
      <c r="L1789" s="2768"/>
      <c r="M1789" s="1550"/>
      <c r="N1789" s="2749" t="s">
        <v>2373</v>
      </c>
      <c r="O1789" s="1550">
        <f>'Part IX Scoring Criteria'!O134</f>
        <v>0</v>
      </c>
      <c r="P1789" s="1550"/>
      <c r="R1789" s="2728"/>
      <c r="S1789" s="2728"/>
      <c r="T1789" s="2728"/>
      <c r="U1789" s="2728"/>
    </row>
    <row r="1790" spans="1:21" s="512" customFormat="1" ht="10.5" customHeight="1">
      <c r="A1790" s="2749"/>
      <c r="B1790" s="2803"/>
      <c r="C1790" s="2729"/>
      <c r="D1790" s="2729"/>
      <c r="E1790" s="2729"/>
      <c r="F1790" s="2768"/>
      <c r="G1790" s="2684" t="s">
        <v>4819</v>
      </c>
      <c r="I1790" s="2768"/>
      <c r="J1790" s="2768"/>
      <c r="K1790" s="2768"/>
      <c r="L1790" s="2768"/>
      <c r="M1790" s="1550"/>
      <c r="N1790" s="2749" t="s">
        <v>2374</v>
      </c>
      <c r="O1790" s="1550">
        <f>'Part IX Scoring Criteria'!O135</f>
        <v>0</v>
      </c>
      <c r="P1790" s="1550"/>
      <c r="R1790" s="2728"/>
      <c r="S1790" s="2728"/>
      <c r="T1790" s="2728"/>
      <c r="U1790" s="2728"/>
    </row>
    <row r="1791" spans="1:21" s="512" customFormat="1" ht="10.5" customHeight="1">
      <c r="A1791" s="2749"/>
      <c r="B1791" s="2803"/>
      <c r="D1791" s="2768"/>
      <c r="E1791" s="2768"/>
      <c r="F1791" s="2768"/>
      <c r="G1791" s="2684" t="s">
        <v>4820</v>
      </c>
      <c r="I1791" s="2768"/>
      <c r="J1791" s="2768"/>
      <c r="K1791" s="2768"/>
      <c r="L1791" s="2768"/>
      <c r="M1791" s="1550"/>
      <c r="N1791" s="2749" t="s">
        <v>2375</v>
      </c>
      <c r="O1791" s="1550">
        <f>'Part IX Scoring Criteria'!O136</f>
        <v>0</v>
      </c>
      <c r="P1791" s="1550"/>
      <c r="R1791" s="2728"/>
      <c r="S1791" s="2728"/>
      <c r="T1791" s="2728"/>
      <c r="U1791" s="2728"/>
    </row>
    <row r="1792" spans="1:21" s="512" customFormat="1" ht="10.5" customHeight="1">
      <c r="A1792" s="2749"/>
      <c r="B1792" s="2803"/>
      <c r="D1792" s="2768"/>
      <c r="E1792" s="2768"/>
      <c r="F1792" s="2768"/>
      <c r="G1792" s="2684" t="s">
        <v>4822</v>
      </c>
      <c r="I1792" s="2768"/>
      <c r="J1792" s="2768"/>
      <c r="K1792" s="2768"/>
      <c r="L1792" s="2768"/>
      <c r="M1792" s="1550"/>
      <c r="N1792" s="2749" t="s">
        <v>2376</v>
      </c>
      <c r="O1792" s="1550">
        <f>'Part IX Scoring Criteria'!O137</f>
        <v>0</v>
      </c>
      <c r="P1792" s="1550"/>
    </row>
    <row r="1793" spans="1:23" s="512" customFormat="1" ht="10.5" customHeight="1">
      <c r="A1793" s="2749"/>
      <c r="C1793" s="512" t="s">
        <v>4823</v>
      </c>
      <c r="D1793" s="2768"/>
      <c r="E1793" s="2768"/>
      <c r="F1793" s="2768"/>
      <c r="G1793" s="2768"/>
      <c r="H1793" s="2768"/>
      <c r="I1793" s="2768"/>
      <c r="J1793" s="2768"/>
      <c r="K1793" s="2768"/>
      <c r="L1793" s="2768"/>
      <c r="M1793" s="1550"/>
      <c r="O1793" s="1550">
        <f>'Part IX Scoring Criteria'!O138</f>
        <v>0</v>
      </c>
      <c r="P1793" s="1550"/>
      <c r="R1793" s="2728"/>
      <c r="S1793" s="2728"/>
      <c r="T1793" s="2728"/>
      <c r="U1793" s="2728"/>
    </row>
    <row r="1794" spans="1:23" s="512" customFormat="1" ht="10.5" customHeight="1">
      <c r="A1794" s="2749"/>
      <c r="B1794" s="2810" t="s">
        <v>1941</v>
      </c>
      <c r="C1794" s="2684" t="s">
        <v>6938</v>
      </c>
      <c r="D1794" s="2768"/>
      <c r="E1794" s="2768"/>
      <c r="F1794" s="2768"/>
      <c r="G1794" s="2768"/>
      <c r="H1794" s="2768"/>
      <c r="I1794" s="2768"/>
      <c r="J1794" s="2768"/>
      <c r="K1794" s="2768"/>
      <c r="L1794" s="2768"/>
      <c r="M1794" s="2749"/>
      <c r="N1794" s="2781" t="s">
        <v>1941</v>
      </c>
      <c r="O1794" s="1550">
        <f>'Part IX Scoring Criteria'!O139</f>
        <v>0</v>
      </c>
      <c r="P1794" s="1550"/>
    </row>
    <row r="1795" spans="1:23" s="2618" customFormat="1" ht="10.5" customHeight="1">
      <c r="A1795" s="2749"/>
      <c r="B1795" s="2807"/>
      <c r="C1795" s="2618" t="s">
        <v>3630</v>
      </c>
      <c r="E1795" s="512"/>
      <c r="F1795" s="512"/>
      <c r="G1795" s="2618" t="s">
        <v>3813</v>
      </c>
      <c r="Q1795" s="512"/>
    </row>
    <row r="1796" spans="1:23" s="2618" customFormat="1" ht="21" customHeight="1">
      <c r="B1796" s="2749"/>
      <c r="C1796" s="2559">
        <f>'Part IX Scoring Criteria'!C141</f>
        <v>0</v>
      </c>
      <c r="D1796" s="2559"/>
      <c r="E1796" s="2559"/>
      <c r="F1796" s="2559"/>
      <c r="G1796" s="2559">
        <f>'Part IX Scoring Criteria'!G141</f>
        <v>0</v>
      </c>
      <c r="H1796" s="2559"/>
      <c r="I1796" s="2559"/>
      <c r="J1796" s="2559"/>
      <c r="K1796" s="2559"/>
      <c r="L1796" s="2559"/>
      <c r="M1796" s="2559"/>
      <c r="N1796" s="2559"/>
      <c r="O1796" s="2559"/>
      <c r="P1796" s="2559"/>
      <c r="Q1796" s="512"/>
    </row>
    <row r="1797" spans="1:23" s="2618" customFormat="1" ht="21" customHeight="1">
      <c r="A1797" s="2749"/>
      <c r="B1797" s="2730"/>
      <c r="C1797" s="2559">
        <f>'Part IX Scoring Criteria'!C142</f>
        <v>0</v>
      </c>
      <c r="D1797" s="2559"/>
      <c r="E1797" s="2559"/>
      <c r="F1797" s="2559"/>
      <c r="G1797" s="2559">
        <f>'Part IX Scoring Criteria'!G142</f>
        <v>0</v>
      </c>
      <c r="H1797" s="2559"/>
      <c r="I1797" s="2559"/>
      <c r="J1797" s="2559"/>
      <c r="K1797" s="2559"/>
      <c r="L1797" s="2559"/>
      <c r="M1797" s="2559"/>
      <c r="N1797" s="2559"/>
      <c r="O1797" s="2559"/>
      <c r="P1797" s="2559"/>
      <c r="Q1797" s="512"/>
    </row>
    <row r="1798" spans="1:23" s="2618" customFormat="1" ht="21" customHeight="1">
      <c r="B1798" s="2505"/>
      <c r="C1798" s="2559">
        <f>'Part IX Scoring Criteria'!C143</f>
        <v>0</v>
      </c>
      <c r="D1798" s="2559"/>
      <c r="E1798" s="2559"/>
      <c r="F1798" s="2559"/>
      <c r="G1798" s="2559">
        <f>'Part IX Scoring Criteria'!G143</f>
        <v>0</v>
      </c>
      <c r="H1798" s="2559"/>
      <c r="I1798" s="2559"/>
      <c r="J1798" s="2559"/>
      <c r="K1798" s="2559"/>
      <c r="L1798" s="2559"/>
      <c r="M1798" s="2559"/>
      <c r="N1798" s="2559"/>
      <c r="O1798" s="2559"/>
      <c r="P1798" s="2559"/>
      <c r="Q1798" s="512"/>
    </row>
    <row r="1799" spans="1:23" s="2618" customFormat="1" ht="21" customHeight="1">
      <c r="A1799" s="2505"/>
      <c r="B1799" s="2505"/>
      <c r="C1799" s="2559">
        <f>'Part IX Scoring Criteria'!C144</f>
        <v>0</v>
      </c>
      <c r="D1799" s="2559"/>
      <c r="E1799" s="2559"/>
      <c r="F1799" s="2559"/>
      <c r="G1799" s="2559">
        <f>'Part IX Scoring Criteria'!G144</f>
        <v>0</v>
      </c>
      <c r="H1799" s="2559"/>
      <c r="I1799" s="2559"/>
      <c r="J1799" s="2559"/>
      <c r="K1799" s="2559"/>
      <c r="L1799" s="2559"/>
      <c r="M1799" s="2559"/>
      <c r="N1799" s="2559"/>
      <c r="O1799" s="2559"/>
      <c r="P1799" s="2559"/>
      <c r="Q1799" s="512"/>
    </row>
    <row r="1800" spans="1:23" s="2762" customFormat="1" ht="11.25" customHeight="1">
      <c r="A1800" s="2408"/>
      <c r="B1800" s="512" t="s">
        <v>3572</v>
      </c>
      <c r="C1800" s="2408"/>
      <c r="D1800" s="2654"/>
      <c r="E1800" s="2654"/>
      <c r="F1800" s="2654"/>
      <c r="G1800" s="2654"/>
      <c r="H1800" s="512"/>
      <c r="K1800" s="2654"/>
      <c r="M1800" s="2652"/>
      <c r="N1800" s="2613"/>
      <c r="O1800" s="2707"/>
      <c r="P1800" s="2613"/>
    </row>
    <row r="1801" spans="1:23" s="2762" customFormat="1" ht="29.25" customHeight="1">
      <c r="A1801" s="2729">
        <f>'Part IX Scoring Criteria'!A146</f>
        <v>0</v>
      </c>
      <c r="B1801" s="2729"/>
      <c r="C1801" s="2729"/>
      <c r="D1801" s="2729"/>
      <c r="E1801" s="2729"/>
      <c r="F1801" s="2729"/>
      <c r="G1801" s="2729"/>
      <c r="H1801" s="2729"/>
      <c r="I1801" s="2729"/>
      <c r="J1801" s="2729"/>
      <c r="K1801" s="2729"/>
      <c r="L1801" s="2729"/>
      <c r="M1801" s="2729"/>
      <c r="N1801" s="2729"/>
      <c r="O1801" s="2729"/>
      <c r="P1801" s="2729"/>
      <c r="Q1801" s="2497" t="s">
        <v>1228</v>
      </c>
      <c r="R1801" s="2497"/>
    </row>
    <row r="1802" spans="1:23" s="2762" customFormat="1" ht="10.199999999999999" customHeight="1">
      <c r="B1802" s="2505" t="s">
        <v>3826</v>
      </c>
      <c r="C1802" s="2408"/>
      <c r="D1802" s="2729"/>
      <c r="E1802" s="2731"/>
      <c r="F1802" s="2731"/>
      <c r="G1802" s="2731"/>
      <c r="H1802" s="2731"/>
      <c r="I1802" s="2731"/>
      <c r="J1802" s="2731"/>
      <c r="K1802" s="2731"/>
      <c r="L1802" s="2731"/>
      <c r="M1802" s="2731"/>
      <c r="N1802" s="2782"/>
      <c r="O1802" s="2782"/>
      <c r="P1802" s="2652"/>
    </row>
    <row r="1803" spans="1:23" s="2762" customFormat="1" ht="11.25" customHeight="1">
      <c r="A1803" s="2729"/>
      <c r="B1803" s="2729"/>
      <c r="C1803" s="2729"/>
      <c r="D1803" s="2729"/>
      <c r="E1803" s="2729"/>
      <c r="F1803" s="2729"/>
      <c r="G1803" s="2729"/>
      <c r="H1803" s="2729"/>
      <c r="I1803" s="2729"/>
      <c r="J1803" s="2729"/>
      <c r="K1803" s="2729"/>
      <c r="L1803" s="2729"/>
      <c r="M1803" s="2729"/>
      <c r="N1803" s="2729"/>
      <c r="O1803" s="2729"/>
      <c r="P1803" s="2729"/>
      <c r="Q1803" s="2497"/>
    </row>
    <row r="1804" spans="1:23" s="2762" customFormat="1" ht="3" customHeight="1">
      <c r="A1804" s="2408"/>
      <c r="C1804" s="2731"/>
      <c r="D1804" s="2731"/>
      <c r="E1804" s="2731"/>
      <c r="F1804" s="2731"/>
      <c r="G1804" s="2731"/>
      <c r="H1804" s="2731"/>
      <c r="I1804" s="2731"/>
      <c r="J1804" s="2731"/>
      <c r="K1804" s="2731"/>
      <c r="L1804" s="2731"/>
      <c r="M1804" s="2731"/>
      <c r="N1804" s="2782"/>
      <c r="O1804" s="2782"/>
      <c r="P1804" s="2652"/>
    </row>
    <row r="1805" spans="1:23" s="2762" customFormat="1" ht="13.5" customHeight="1">
      <c r="A1805" s="2786" t="s">
        <v>516</v>
      </c>
      <c r="B1805" s="2408" t="s">
        <v>3722</v>
      </c>
      <c r="C1805" s="2731"/>
      <c r="D1805" s="2731"/>
      <c r="E1805" s="2731"/>
      <c r="F1805" s="2731"/>
      <c r="G1805" s="2731"/>
      <c r="H1805" s="2731"/>
      <c r="I1805" s="2731"/>
      <c r="J1805" s="2731"/>
      <c r="K1805" s="2731"/>
      <c r="L1805" s="2731"/>
      <c r="M1805" s="2652">
        <v>5</v>
      </c>
      <c r="N1805" s="2782"/>
      <c r="O1805" s="2707">
        <f>'Part IX Scoring Criteria'!O150</f>
        <v>0</v>
      </c>
      <c r="P1805" s="2707">
        <f>'Part IX Scoring Criteria'!P150</f>
        <v>0</v>
      </c>
      <c r="Q1805" s="2652" t="s">
        <v>433</v>
      </c>
      <c r="S1805" s="2762" t="e">
        <f>IF(NOT(R1818=T1818),0,IF(OR('Part VI-Revenues &amp; Expenses'!$P$67=0,$V$163=0),0,IF(AND($F$157="Family",$V$163=$T$163),3,IF($V$163=$T$163,2,IF(OR($V$163=2,$V$163=1),1,0)))))</f>
        <v>#REF!</v>
      </c>
    </row>
    <row r="1806" spans="1:23" s="2762" customFormat="1" ht="3.75" customHeight="1">
      <c r="A1806" s="2408"/>
      <c r="C1806" s="2731"/>
      <c r="D1806" s="2731"/>
      <c r="E1806" s="2731"/>
      <c r="F1806" s="2731"/>
      <c r="G1806" s="2731"/>
      <c r="H1806" s="2731"/>
      <c r="I1806" s="2731"/>
      <c r="J1806" s="2731"/>
      <c r="K1806" s="2731"/>
      <c r="L1806" s="2731"/>
      <c r="M1806" s="2731"/>
      <c r="N1806" s="2782"/>
      <c r="O1806" s="2782"/>
      <c r="P1806" s="2652"/>
    </row>
    <row r="1807" spans="1:23" s="2767" customFormat="1" ht="13.5" customHeight="1">
      <c r="A1807" s="2673" t="s">
        <v>1936</v>
      </c>
      <c r="B1807" s="2408" t="s">
        <v>3737</v>
      </c>
      <c r="D1807" s="2801"/>
      <c r="E1807" s="2801"/>
      <c r="G1807" s="2801"/>
      <c r="H1807" s="2801"/>
      <c r="I1807" s="2801"/>
      <c r="J1807" s="2801"/>
      <c r="K1807" s="2801"/>
      <c r="L1807" s="2801"/>
      <c r="M1807" s="2652">
        <v>3</v>
      </c>
      <c r="N1807" s="2781"/>
      <c r="O1807" s="2652">
        <f>'Part IX Scoring Criteria'!O152</f>
        <v>0</v>
      </c>
      <c r="P1807" s="2652"/>
      <c r="Q1807" s="2542" t="str">
        <f>IF(OR($O1807=$M1807,$O1807=0,$O1807=""),"","*CHECK!*")</f>
        <v/>
      </c>
      <c r="R1807" s="2500" t="s">
        <v>4775</v>
      </c>
    </row>
    <row r="1808" spans="1:23" s="2762" customFormat="1" ht="12" customHeight="1">
      <c r="B1808" s="2684" t="s">
        <v>3626</v>
      </c>
      <c r="C1808" s="2760"/>
      <c r="D1808" s="2760"/>
      <c r="E1808" s="2760"/>
      <c r="F1808" s="2760"/>
      <c r="G1808" s="2760"/>
      <c r="H1808" s="2760"/>
      <c r="I1808" s="2760"/>
      <c r="J1808" s="2760"/>
      <c r="K1808" s="2760"/>
      <c r="L1808" s="2760"/>
      <c r="M1808" s="2760"/>
      <c r="N1808" s="2760"/>
      <c r="O1808" s="1550">
        <f>'Part IX Scoring Criteria'!O153</f>
        <v>0</v>
      </c>
      <c r="P1808" s="1550"/>
      <c r="Q1808" s="2408" t="s">
        <v>4601</v>
      </c>
      <c r="R1808" s="2408"/>
      <c r="S1808" s="2408"/>
      <c r="T1808" s="2408"/>
      <c r="U1808" s="2408"/>
      <c r="V1808" s="2408"/>
      <c r="W1808" s="2408"/>
    </row>
    <row r="1809" spans="1:36" s="2762" customFormat="1" ht="3" customHeight="1">
      <c r="A1809" s="2673"/>
      <c r="B1809" s="2618"/>
      <c r="C1809" s="2618"/>
      <c r="D1809" s="2618"/>
      <c r="E1809" s="2618"/>
      <c r="F1809" s="2618"/>
      <c r="G1809" s="2618"/>
      <c r="H1809" s="2618"/>
      <c r="I1809" s="2618"/>
      <c r="J1809" s="2618"/>
      <c r="K1809" s="2618"/>
      <c r="L1809" s="2618"/>
      <c r="M1809" s="2618"/>
      <c r="Q1809" s="2408"/>
      <c r="R1809" s="2408"/>
      <c r="S1809" s="2408"/>
      <c r="T1809" s="2408"/>
      <c r="U1809" s="2408"/>
      <c r="V1809" s="2408"/>
      <c r="W1809" s="2408"/>
    </row>
    <row r="1810" spans="1:36" s="2762" customFormat="1" ht="11.25" customHeight="1">
      <c r="A1810" s="2673"/>
      <c r="B1810" s="2729" t="s">
        <v>6939</v>
      </c>
      <c r="C1810" s="2729"/>
      <c r="D1810" s="2729"/>
      <c r="E1810" s="512" t="s">
        <v>3625</v>
      </c>
      <c r="F1810" s="2767"/>
      <c r="G1810" s="512"/>
      <c r="H1810" s="2767"/>
      <c r="I1810" s="512">
        <f>'Part IX Scoring Criteria'!I155</f>
        <v>0</v>
      </c>
      <c r="J1810" s="512"/>
      <c r="K1810" s="512"/>
      <c r="L1810" s="512"/>
      <c r="Q1810" s="2408"/>
      <c r="R1810" s="2408"/>
      <c r="S1810" s="2408"/>
      <c r="T1810" s="2408"/>
      <c r="U1810" s="2408"/>
      <c r="V1810" s="2408"/>
      <c r="W1810" s="2408"/>
    </row>
    <row r="1811" spans="1:36" s="2762" customFormat="1" ht="11.25" customHeight="1">
      <c r="A1811" s="2673"/>
      <c r="B1811" s="2729"/>
      <c r="C1811" s="2729"/>
      <c r="D1811" s="2729"/>
      <c r="E1811" s="2684" t="s">
        <v>4315</v>
      </c>
      <c r="F1811" s="2251"/>
      <c r="G1811" s="2767"/>
      <c r="H1811" s="2767"/>
      <c r="I1811" s="2684"/>
      <c r="J1811" s="2684"/>
      <c r="K1811" s="2684"/>
      <c r="L1811" s="2684"/>
      <c r="M1811" s="2767"/>
      <c r="N1811" s="512"/>
      <c r="O1811" s="1550">
        <f>'Part IX Scoring Criteria'!O156</f>
        <v>0</v>
      </c>
      <c r="P1811" s="1550"/>
      <c r="Q1811" s="2408"/>
      <c r="R1811" s="2408"/>
      <c r="S1811" s="2408"/>
      <c r="T1811" s="2408"/>
      <c r="U1811" s="2408"/>
      <c r="V1811" s="2408"/>
      <c r="W1811" s="2408"/>
    </row>
    <row r="1812" spans="1:36" s="2762" customFormat="1" ht="12" customHeight="1">
      <c r="A1812" s="2408"/>
      <c r="C1812" s="2731"/>
      <c r="D1812" s="2731"/>
      <c r="E1812" s="512" t="s">
        <v>4316</v>
      </c>
      <c r="F1812" s="1550" t="str">
        <f>'Part I-Project Information'!$H$82</f>
        <v>Family</v>
      </c>
      <c r="H1812" s="512"/>
      <c r="I1812" s="2731"/>
      <c r="J1812" s="2731"/>
      <c r="M1812" s="2731"/>
      <c r="N1812" s="2782"/>
      <c r="O1812" s="512" t="s">
        <v>6940</v>
      </c>
      <c r="P1812" s="512"/>
      <c r="Q1812" s="2408"/>
      <c r="R1812" s="2408"/>
      <c r="S1812" s="2408"/>
      <c r="T1812" s="2408"/>
      <c r="U1812" s="2408"/>
      <c r="V1812" s="2408"/>
      <c r="W1812" s="2408"/>
    </row>
    <row r="1813" spans="1:36" s="2618" customFormat="1" ht="3" customHeight="1">
      <c r="A1813" s="2531"/>
      <c r="B1813" s="2760"/>
      <c r="O1813" s="512"/>
      <c r="P1813" s="512"/>
      <c r="Q1813" s="2408"/>
      <c r="R1813" s="2408"/>
      <c r="S1813" s="2408"/>
      <c r="T1813" s="2408"/>
      <c r="U1813" s="2408"/>
      <c r="V1813" s="2408"/>
      <c r="W1813" s="2408"/>
    </row>
    <row r="1814" spans="1:36" s="2762" customFormat="1" ht="12" customHeight="1">
      <c r="A1814" s="2749" t="s">
        <v>2372</v>
      </c>
      <c r="B1814" s="2654" t="s">
        <v>4513</v>
      </c>
      <c r="C1814" s="2731"/>
      <c r="D1814" s="2731"/>
      <c r="E1814" s="512"/>
      <c r="F1814" s="2684"/>
      <c r="G1814" s="2684"/>
      <c r="I1814" s="2731"/>
      <c r="J1814" s="2731"/>
      <c r="K1814" s="2731"/>
      <c r="L1814" s="2731"/>
      <c r="M1814" s="2531" t="s">
        <v>4314</v>
      </c>
      <c r="N1814" s="2782"/>
      <c r="O1814" s="512"/>
      <c r="P1814" s="512"/>
      <c r="Q1814" s="2408"/>
      <c r="R1814" s="2408"/>
      <c r="S1814" s="2408"/>
      <c r="T1814" s="2408"/>
      <c r="U1814" s="2408"/>
      <c r="V1814" s="2408"/>
      <c r="Y1814" s="2762" t="s">
        <v>4791</v>
      </c>
    </row>
    <row r="1815" spans="1:36" s="2618" customFormat="1" ht="3" customHeight="1">
      <c r="A1815" s="2531"/>
      <c r="B1815" s="2760"/>
      <c r="M1815" s="2531"/>
      <c r="O1815" s="512"/>
      <c r="P1815" s="512"/>
      <c r="V1815" s="2762"/>
      <c r="W1815" s="2762"/>
    </row>
    <row r="1816" spans="1:36" s="2762" customFormat="1" ht="13.5" customHeight="1">
      <c r="A1816" s="2505" t="s">
        <v>6905</v>
      </c>
      <c r="B1816" s="2505"/>
      <c r="C1816" s="2505"/>
      <c r="D1816" s="2505"/>
      <c r="E1816" s="2505"/>
      <c r="F1816" s="2505"/>
      <c r="G1816" s="2505"/>
      <c r="H1816" s="512" t="s">
        <v>3653</v>
      </c>
      <c r="I1816" s="512"/>
      <c r="J1816" s="512"/>
      <c r="K1816" s="2531" t="s">
        <v>3624</v>
      </c>
      <c r="L1816" s="512" t="s">
        <v>4762</v>
      </c>
      <c r="M1816" s="2531"/>
      <c r="N1816" s="2531"/>
      <c r="O1816" s="512"/>
      <c r="P1816" s="512"/>
      <c r="Q1816" s="2618" t="s">
        <v>4758</v>
      </c>
      <c r="R1816" s="2618" t="s">
        <v>4761</v>
      </c>
      <c r="S1816" s="2618" t="s">
        <v>4759</v>
      </c>
      <c r="T1816" s="2618" t="s">
        <v>4760</v>
      </c>
      <c r="U1816" s="2618" t="s">
        <v>4477</v>
      </c>
      <c r="V1816" s="2618" t="s">
        <v>4476</v>
      </c>
      <c r="X1816" s="2767"/>
      <c r="Y1816" s="2814" t="s">
        <v>4790</v>
      </c>
      <c r="Z1816" s="2815" t="s">
        <v>4792</v>
      </c>
      <c r="AA1816" s="2815" t="s">
        <v>4793</v>
      </c>
    </row>
    <row r="1817" spans="1:36" s="2762" customFormat="1" ht="15" customHeight="1">
      <c r="B1817" s="512" t="s">
        <v>6994</v>
      </c>
      <c r="C1817" s="2684"/>
      <c r="E1817" s="2802" t="s">
        <v>4795</v>
      </c>
      <c r="F1817" s="2619" t="s">
        <v>4769</v>
      </c>
      <c r="G1817" s="2619" t="s">
        <v>3284</v>
      </c>
      <c r="H1817" s="2619">
        <v>2017</v>
      </c>
      <c r="I1817" s="2619">
        <v>2018</v>
      </c>
      <c r="J1817" s="2619">
        <v>2019</v>
      </c>
      <c r="K1817" s="2531"/>
      <c r="L1817" s="512"/>
      <c r="M1817" s="2531"/>
      <c r="N1817" s="2531"/>
      <c r="O1817" s="512"/>
      <c r="P1817" s="512"/>
      <c r="Q1817" s="2618"/>
      <c r="R1817" s="2618"/>
      <c r="S1817" s="2618"/>
      <c r="T1817" s="2618"/>
      <c r="U1817" s="2618"/>
      <c r="V1817" s="2618"/>
      <c r="X1817" s="2814" t="s">
        <v>4788</v>
      </c>
      <c r="Y1817" s="2814">
        <v>75.930000000000007</v>
      </c>
      <c r="Z1817" s="2814">
        <v>73.77</v>
      </c>
      <c r="AA1817" s="2814">
        <v>76.430000000000007</v>
      </c>
      <c r="AB1817" s="2816"/>
      <c r="AD1817" s="2816"/>
      <c r="AE1817" s="2816"/>
      <c r="AF1817" s="2816"/>
      <c r="AG1817" s="2816"/>
      <c r="AH1817" s="2816"/>
      <c r="AI1817" s="2816"/>
      <c r="AJ1817" s="2816"/>
    </row>
    <row r="1818" spans="1:36" s="2762" customFormat="1" ht="12" customHeight="1">
      <c r="A1818" s="2602" t="str">
        <f>IF(OR(M1818="Yes", O1818="Yes", AND(B1818="",F1818="",G1818="",H1818="",I1818="",J1818="",L1818="",O1818="")),"", IF(AND(NOT(B1818=""),OR(O1818="",O1818="No",O1818="N/a"),OR(F1818="",G1818=""),AND(H1818="",I1818="",J1818=""),L1818=""),"Finish!","Check"))</f>
        <v>Check</v>
      </c>
      <c r="B1818" s="2505">
        <f>'Part IX Scoring Criteria'!B163</f>
        <v>0</v>
      </c>
      <c r="C1818" s="2505"/>
      <c r="D1818" s="2505"/>
      <c r="E1818" s="2817" t="str">
        <f>'Part IX Scoring Criteria'!E163</f>
        <v>Select</v>
      </c>
      <c r="F1818" s="1550">
        <f>'Part IX Scoring Criteria'!F163</f>
        <v>0</v>
      </c>
      <c r="G1818" s="2817">
        <f>'Part IX Scoring Criteria'!G163</f>
        <v>0</v>
      </c>
      <c r="H1818" s="2765">
        <f>'Part IX Scoring Criteria'!H163</f>
        <v>0</v>
      </c>
      <c r="I1818" s="2765">
        <f>'Part IX Scoring Criteria'!I163</f>
        <v>0</v>
      </c>
      <c r="J1818" s="2765">
        <f>'Part IX Scoring Criteria'!J163</f>
        <v>0</v>
      </c>
      <c r="K1818" s="2765" t="str">
        <f t="shared" ref="K1818:K1827" si="399">IF(H1818+I1818+J1818=0,"",AVERAGE(H1818,I1818,J1818))</f>
        <v/>
      </c>
      <c r="L1818" s="2765">
        <f>'Part IX Scoring Criteria'!L163</f>
        <v>0</v>
      </c>
      <c r="M1818" s="1550" t="str">
        <f>IF(OR(K1818="",L1818=""),"",IF(K1818&gt;L1818,"Yes",IF(K1818&lt;L1818,"No","")))</f>
        <v/>
      </c>
      <c r="O1818" s="1550">
        <f>'Part IX Scoring Criteria'!O163</f>
        <v>0</v>
      </c>
      <c r="P1818" s="1550"/>
      <c r="Q1818" s="2489">
        <f>IF(AND(B1818="",F1818="",G1818="",H1818="",I1818="",J1818="",L1818="",O1818=""),0,1)</f>
        <v>1</v>
      </c>
      <c r="R1818" s="2497" t="e">
        <f>SUM(Q1818:Q1827)</f>
        <v>#REF!</v>
      </c>
      <c r="S1818" s="2251">
        <f t="shared" ref="S1818:S1827" si="400">IF(AND(M1818="",NOT(O1818="Yes")),0,1)</f>
        <v>0</v>
      </c>
      <c r="T1818" s="2497" t="e">
        <f>SUM(S1818:S1827)</f>
        <v>#REF!</v>
      </c>
      <c r="U1818" s="2251">
        <f t="shared" ref="U1818:U1827" si="401">IF(OR(M1818="Yes",O1818="Yes"),1,0)</f>
        <v>0</v>
      </c>
      <c r="V1818" s="2497" t="e">
        <f>SUM(U1818:U1827)</f>
        <v>#REF!</v>
      </c>
      <c r="X1818" s="2814" t="s">
        <v>4789</v>
      </c>
      <c r="Y1818" s="2814">
        <v>77.45</v>
      </c>
      <c r="Z1818" s="2814">
        <v>74.150000000000006</v>
      </c>
      <c r="AA1818" s="2814">
        <v>76.150000000000006</v>
      </c>
      <c r="AB1818" s="2816"/>
      <c r="AD1818" s="2816"/>
      <c r="AE1818" s="2816"/>
      <c r="AF1818" s="2816"/>
      <c r="AG1818" s="2816"/>
      <c r="AH1818" s="2816"/>
      <c r="AI1818" s="2816"/>
      <c r="AJ1818" s="2816"/>
    </row>
    <row r="1819" spans="1:36" s="2762" customFormat="1" ht="12" customHeight="1">
      <c r="A1819" s="2602" t="str">
        <f t="shared" ref="A1819:A1827" si="402">IF(OR(M1819="Yes", O1819="Yes", AND(B1819="",F1819="",G1819="",H1819="",I1819="",J1819="",L1819="",O1819="")),"", IF(AND(NOT(B1819=""),OR(O1819="",O1819="No",O1819="N/a"),OR(F1819="",G1819=""),AND(H1819="",I1819="",J1819=""),L1819=""),"Finish!","Check"))</f>
        <v/>
      </c>
      <c r="B1819" s="2505">
        <f>'Part IX Scoring Criteria'!B164</f>
        <v>0</v>
      </c>
      <c r="C1819" s="2505"/>
      <c r="D1819" s="2505"/>
      <c r="E1819" s="2817" t="str">
        <f>'Part IX Scoring Criteria'!E164</f>
        <v>Select</v>
      </c>
      <c r="F1819" s="1550">
        <f>'Part IX Scoring Criteria'!F164</f>
        <v>0</v>
      </c>
      <c r="G1819" s="2817">
        <f>'Part IX Scoring Criteria'!G164</f>
        <v>0</v>
      </c>
      <c r="H1819" s="2765">
        <f>'Part IX Scoring Criteria'!H164</f>
        <v>0</v>
      </c>
      <c r="I1819" s="2765">
        <f>'Part IX Scoring Criteria'!I164</f>
        <v>0</v>
      </c>
      <c r="J1819" s="2765">
        <f>'Part IX Scoring Criteria'!J164</f>
        <v>0</v>
      </c>
      <c r="K1819" s="2765" t="str">
        <f t="shared" si="399"/>
        <v/>
      </c>
      <c r="L1819" s="2765">
        <f>'Part IX Scoring Criteria'!L164</f>
        <v>0</v>
      </c>
      <c r="M1819" s="1550" t="str">
        <f>IF(L1819="","",IF(K1819&gt;L1819,"Yes",IF(K1819&lt;L1819,"No","")))</f>
        <v>Yes</v>
      </c>
      <c r="O1819" s="1550">
        <f>'Part IX Scoring Criteria'!O164</f>
        <v>0</v>
      </c>
      <c r="P1819" s="1550"/>
      <c r="Q1819" s="2489">
        <f t="shared" ref="Q1819:Q1827" si="403">IF(AND(B1819="",F1819="",G1819="",H1819="",I1819="",J1819="",L1819="",O1819=""),0,1)</f>
        <v>1</v>
      </c>
      <c r="R1819" s="2497"/>
      <c r="S1819" s="2251">
        <f t="shared" si="400"/>
        <v>1</v>
      </c>
      <c r="T1819" s="2497"/>
      <c r="U1819" s="2251">
        <f t="shared" si="401"/>
        <v>1</v>
      </c>
      <c r="V1819" s="2497"/>
      <c r="X1819" s="2814">
        <v>2019</v>
      </c>
      <c r="Y1819" s="2814">
        <v>77.099999999999994</v>
      </c>
      <c r="Z1819" s="2814">
        <v>72.099999999999994</v>
      </c>
      <c r="AA1819" s="2814">
        <v>77</v>
      </c>
      <c r="AB1819" s="2816"/>
      <c r="AC1819" s="2816"/>
      <c r="AD1819" s="2816"/>
      <c r="AE1819" s="2816"/>
      <c r="AF1819" s="2816"/>
      <c r="AG1819" s="2816"/>
      <c r="AH1819" s="2816"/>
      <c r="AI1819" s="2816"/>
      <c r="AJ1819" s="2816"/>
    </row>
    <row r="1820" spans="1:36" s="2762" customFormat="1" ht="12" customHeight="1">
      <c r="A1820" s="2602" t="str">
        <f t="shared" si="402"/>
        <v/>
      </c>
      <c r="B1820" s="2505">
        <f>'Part IX Scoring Criteria'!B165</f>
        <v>0</v>
      </c>
      <c r="C1820" s="2505"/>
      <c r="D1820" s="2505"/>
      <c r="E1820" s="2817" t="str">
        <f>'Part IX Scoring Criteria'!E165</f>
        <v>Select</v>
      </c>
      <c r="F1820" s="1550">
        <f>'Part IX Scoring Criteria'!F165</f>
        <v>0</v>
      </c>
      <c r="G1820" s="2817">
        <f>'Part IX Scoring Criteria'!G165</f>
        <v>0</v>
      </c>
      <c r="H1820" s="2765">
        <f>'Part IX Scoring Criteria'!H165</f>
        <v>0</v>
      </c>
      <c r="I1820" s="2765">
        <f>'Part IX Scoring Criteria'!I165</f>
        <v>0</v>
      </c>
      <c r="J1820" s="2765">
        <f>'Part IX Scoring Criteria'!J165</f>
        <v>0</v>
      </c>
      <c r="K1820" s="2765" t="str">
        <f t="shared" si="399"/>
        <v/>
      </c>
      <c r="L1820" s="2765">
        <f>'Part IX Scoring Criteria'!L165</f>
        <v>0</v>
      </c>
      <c r="M1820" s="1550" t="str">
        <f t="shared" ref="M1820:M1827" si="404">IF(L1820="","",IF(K1820&gt;L1820,"Yes",IF(K1820&lt;L1820,"No","")))</f>
        <v>Yes</v>
      </c>
      <c r="O1820" s="1550">
        <f>'Part IX Scoring Criteria'!O165</f>
        <v>0</v>
      </c>
      <c r="P1820" s="1550"/>
      <c r="Q1820" s="2489">
        <f t="shared" si="403"/>
        <v>1</v>
      </c>
      <c r="R1820" s="2497"/>
      <c r="S1820" s="2251">
        <f t="shared" si="400"/>
        <v>1</v>
      </c>
      <c r="T1820" s="2497"/>
      <c r="U1820" s="2251">
        <f t="shared" si="401"/>
        <v>1</v>
      </c>
      <c r="V1820" s="2497"/>
      <c r="Y1820" s="2816"/>
      <c r="Z1820" s="2816"/>
      <c r="AA1820" s="2816"/>
      <c r="AB1820" s="2816"/>
      <c r="AC1820" s="2816"/>
      <c r="AD1820" s="2816"/>
      <c r="AE1820" s="2816"/>
      <c r="AF1820" s="2816"/>
      <c r="AG1820" s="2816"/>
      <c r="AH1820" s="2816"/>
      <c r="AI1820" s="2816"/>
      <c r="AJ1820" s="2816"/>
    </row>
    <row r="1821" spans="1:36" s="2762" customFormat="1" ht="12" customHeight="1">
      <c r="A1821" s="2602" t="str">
        <f t="shared" si="402"/>
        <v/>
      </c>
      <c r="B1821" s="2505">
        <f>'Part IX Scoring Criteria'!B166</f>
        <v>0</v>
      </c>
      <c r="C1821" s="2505"/>
      <c r="D1821" s="2505"/>
      <c r="E1821" s="2817" t="str">
        <f>'Part IX Scoring Criteria'!E166</f>
        <v>Select</v>
      </c>
      <c r="F1821" s="1550">
        <f>'Part IX Scoring Criteria'!F166</f>
        <v>0</v>
      </c>
      <c r="G1821" s="2817">
        <f>'Part IX Scoring Criteria'!G166</f>
        <v>0</v>
      </c>
      <c r="H1821" s="2765">
        <f>'Part IX Scoring Criteria'!H166</f>
        <v>0</v>
      </c>
      <c r="I1821" s="2765">
        <f>'Part IX Scoring Criteria'!I166</f>
        <v>0</v>
      </c>
      <c r="J1821" s="2765">
        <f>'Part IX Scoring Criteria'!J166</f>
        <v>0</v>
      </c>
      <c r="K1821" s="2765" t="str">
        <f t="shared" si="399"/>
        <v/>
      </c>
      <c r="L1821" s="2765">
        <f>'Part IX Scoring Criteria'!L166</f>
        <v>0</v>
      </c>
      <c r="M1821" s="1550" t="str">
        <f t="shared" si="404"/>
        <v>Yes</v>
      </c>
      <c r="O1821" s="1550">
        <f>'Part IX Scoring Criteria'!O166</f>
        <v>0</v>
      </c>
      <c r="P1821" s="1550"/>
      <c r="Q1821" s="2489">
        <f t="shared" si="403"/>
        <v>1</v>
      </c>
      <c r="R1821" s="2497"/>
      <c r="S1821" s="2251">
        <f t="shared" si="400"/>
        <v>1</v>
      </c>
      <c r="T1821" s="2497"/>
      <c r="U1821" s="2251">
        <f t="shared" si="401"/>
        <v>1</v>
      </c>
      <c r="V1821" s="2497"/>
      <c r="Y1821" s="2816"/>
      <c r="Z1821" s="2816"/>
      <c r="AA1821" s="2816"/>
      <c r="AB1821" s="2816"/>
      <c r="AC1821" s="2816"/>
      <c r="AD1821" s="2816"/>
      <c r="AE1821" s="2816"/>
      <c r="AF1821" s="2816"/>
      <c r="AG1821" s="2816"/>
      <c r="AH1821" s="2816"/>
      <c r="AI1821" s="2816"/>
      <c r="AJ1821" s="2816"/>
    </row>
    <row r="1822" spans="1:36" s="2762" customFormat="1" ht="12" customHeight="1">
      <c r="A1822" s="2602" t="str">
        <f t="shared" si="402"/>
        <v/>
      </c>
      <c r="B1822" s="2505">
        <f>'Part IX Scoring Criteria'!B167</f>
        <v>0</v>
      </c>
      <c r="C1822" s="2505"/>
      <c r="D1822" s="2505"/>
      <c r="E1822" s="2817" t="str">
        <f>'Part IX Scoring Criteria'!E167</f>
        <v>Select</v>
      </c>
      <c r="F1822" s="1550">
        <f>'Part IX Scoring Criteria'!F167</f>
        <v>0</v>
      </c>
      <c r="G1822" s="2817">
        <f>'Part IX Scoring Criteria'!G167</f>
        <v>0</v>
      </c>
      <c r="H1822" s="2765">
        <f>'Part IX Scoring Criteria'!H167</f>
        <v>0</v>
      </c>
      <c r="I1822" s="2765">
        <f>'Part IX Scoring Criteria'!I167</f>
        <v>0</v>
      </c>
      <c r="J1822" s="2765">
        <f>'Part IX Scoring Criteria'!J167</f>
        <v>0</v>
      </c>
      <c r="K1822" s="2765" t="str">
        <f t="shared" si="399"/>
        <v/>
      </c>
      <c r="L1822" s="2765">
        <f>'Part IX Scoring Criteria'!L167</f>
        <v>0</v>
      </c>
      <c r="M1822" s="1550" t="str">
        <f t="shared" si="404"/>
        <v>Yes</v>
      </c>
      <c r="O1822" s="1550">
        <f>'Part IX Scoring Criteria'!O167</f>
        <v>0</v>
      </c>
      <c r="P1822" s="1550"/>
      <c r="Q1822" s="2489">
        <f t="shared" si="403"/>
        <v>1</v>
      </c>
      <c r="R1822" s="2497"/>
      <c r="S1822" s="2251">
        <f t="shared" si="400"/>
        <v>1</v>
      </c>
      <c r="T1822" s="2497"/>
      <c r="U1822" s="2251">
        <f t="shared" si="401"/>
        <v>1</v>
      </c>
      <c r="V1822" s="2497"/>
      <c r="Y1822" s="2816"/>
      <c r="Z1822" s="2816"/>
      <c r="AA1822" s="2816"/>
      <c r="AB1822" s="2816"/>
      <c r="AC1822" s="2816"/>
      <c r="AD1822" s="2816"/>
      <c r="AE1822" s="2816"/>
      <c r="AF1822" s="2816"/>
      <c r="AG1822" s="2816"/>
      <c r="AH1822" s="2816"/>
      <c r="AI1822" s="2816"/>
      <c r="AJ1822" s="2816"/>
    </row>
    <row r="1823" spans="1:36" s="2762" customFormat="1" ht="12" customHeight="1">
      <c r="A1823" s="2602" t="e">
        <f t="shared" si="402"/>
        <v>#REF!</v>
      </c>
      <c r="B1823" s="2505" t="e">
        <f>'Part IX Scoring Criteria'!#REF!</f>
        <v>#REF!</v>
      </c>
      <c r="C1823" s="2505"/>
      <c r="D1823" s="2505"/>
      <c r="E1823" s="2817" t="e">
        <f>'Part IX Scoring Criteria'!#REF!</f>
        <v>#REF!</v>
      </c>
      <c r="F1823" s="1550" t="e">
        <f>'Part IX Scoring Criteria'!#REF!</f>
        <v>#REF!</v>
      </c>
      <c r="G1823" s="2817" t="e">
        <f>'Part IX Scoring Criteria'!#REF!</f>
        <v>#REF!</v>
      </c>
      <c r="H1823" s="2765" t="e">
        <f>'Part IX Scoring Criteria'!#REF!</f>
        <v>#REF!</v>
      </c>
      <c r="I1823" s="2765" t="e">
        <f>'Part IX Scoring Criteria'!#REF!</f>
        <v>#REF!</v>
      </c>
      <c r="J1823" s="2765" t="e">
        <f>'Part IX Scoring Criteria'!#REF!</f>
        <v>#REF!</v>
      </c>
      <c r="K1823" s="2765" t="e">
        <f t="shared" si="399"/>
        <v>#REF!</v>
      </c>
      <c r="L1823" s="2765" t="e">
        <f>'Part IX Scoring Criteria'!#REF!</f>
        <v>#REF!</v>
      </c>
      <c r="M1823" s="1550" t="e">
        <f t="shared" si="404"/>
        <v>#REF!</v>
      </c>
      <c r="O1823" s="1550" t="e">
        <f>'Part IX Scoring Criteria'!#REF!</f>
        <v>#REF!</v>
      </c>
      <c r="P1823" s="1550"/>
      <c r="Q1823" s="2489" t="e">
        <f t="shared" si="403"/>
        <v>#REF!</v>
      </c>
      <c r="R1823" s="2497"/>
      <c r="S1823" s="2251" t="e">
        <f t="shared" si="400"/>
        <v>#REF!</v>
      </c>
      <c r="T1823" s="2497"/>
      <c r="U1823" s="2251" t="e">
        <f t="shared" si="401"/>
        <v>#REF!</v>
      </c>
      <c r="V1823" s="2497"/>
      <c r="Y1823" s="2816"/>
      <c r="Z1823" s="2816"/>
      <c r="AA1823" s="2816"/>
      <c r="AB1823" s="2816"/>
      <c r="AC1823" s="2816"/>
      <c r="AD1823" s="2816"/>
      <c r="AE1823" s="2816"/>
      <c r="AF1823" s="2816"/>
      <c r="AG1823" s="2816"/>
      <c r="AH1823" s="2816"/>
      <c r="AI1823" s="2816"/>
      <c r="AJ1823" s="2816"/>
    </row>
    <row r="1824" spans="1:36" s="2762" customFormat="1" ht="12" customHeight="1">
      <c r="A1824" s="2602" t="e">
        <f t="shared" si="402"/>
        <v>#REF!</v>
      </c>
      <c r="B1824" s="2505" t="e">
        <f>'Part IX Scoring Criteria'!#REF!</f>
        <v>#REF!</v>
      </c>
      <c r="C1824" s="2505"/>
      <c r="D1824" s="2505"/>
      <c r="E1824" s="2817" t="e">
        <f>'Part IX Scoring Criteria'!#REF!</f>
        <v>#REF!</v>
      </c>
      <c r="F1824" s="1550" t="e">
        <f>'Part IX Scoring Criteria'!#REF!</f>
        <v>#REF!</v>
      </c>
      <c r="G1824" s="2817" t="e">
        <f>'Part IX Scoring Criteria'!#REF!</f>
        <v>#REF!</v>
      </c>
      <c r="H1824" s="2765" t="e">
        <f>'Part IX Scoring Criteria'!#REF!</f>
        <v>#REF!</v>
      </c>
      <c r="I1824" s="2765" t="e">
        <f>'Part IX Scoring Criteria'!#REF!</f>
        <v>#REF!</v>
      </c>
      <c r="J1824" s="2765" t="e">
        <f>'Part IX Scoring Criteria'!#REF!</f>
        <v>#REF!</v>
      </c>
      <c r="K1824" s="2765" t="e">
        <f t="shared" si="399"/>
        <v>#REF!</v>
      </c>
      <c r="L1824" s="2765" t="e">
        <f>'Part IX Scoring Criteria'!#REF!</f>
        <v>#REF!</v>
      </c>
      <c r="M1824" s="1550" t="e">
        <f t="shared" si="404"/>
        <v>#REF!</v>
      </c>
      <c r="O1824" s="1550" t="e">
        <f>'Part IX Scoring Criteria'!#REF!</f>
        <v>#REF!</v>
      </c>
      <c r="P1824" s="1550"/>
      <c r="Q1824" s="2489" t="e">
        <f t="shared" si="403"/>
        <v>#REF!</v>
      </c>
      <c r="R1824" s="2497"/>
      <c r="S1824" s="2251" t="e">
        <f t="shared" si="400"/>
        <v>#REF!</v>
      </c>
      <c r="T1824" s="2497"/>
      <c r="U1824" s="2251" t="e">
        <f t="shared" si="401"/>
        <v>#REF!</v>
      </c>
      <c r="V1824" s="2497"/>
    </row>
    <row r="1825" spans="1:24" s="2762" customFormat="1" ht="12" customHeight="1">
      <c r="A1825" s="2602" t="e">
        <f t="shared" si="402"/>
        <v>#REF!</v>
      </c>
      <c r="B1825" s="2505" t="e">
        <f>'Part IX Scoring Criteria'!#REF!</f>
        <v>#REF!</v>
      </c>
      <c r="C1825" s="2505"/>
      <c r="D1825" s="2505"/>
      <c r="E1825" s="2817" t="e">
        <f>'Part IX Scoring Criteria'!#REF!</f>
        <v>#REF!</v>
      </c>
      <c r="F1825" s="1550" t="e">
        <f>'Part IX Scoring Criteria'!#REF!</f>
        <v>#REF!</v>
      </c>
      <c r="G1825" s="2817" t="e">
        <f>'Part IX Scoring Criteria'!#REF!</f>
        <v>#REF!</v>
      </c>
      <c r="H1825" s="2765" t="e">
        <f>'Part IX Scoring Criteria'!#REF!</f>
        <v>#REF!</v>
      </c>
      <c r="I1825" s="2765" t="e">
        <f>'Part IX Scoring Criteria'!#REF!</f>
        <v>#REF!</v>
      </c>
      <c r="J1825" s="2765" t="e">
        <f>'Part IX Scoring Criteria'!#REF!</f>
        <v>#REF!</v>
      </c>
      <c r="K1825" s="2765" t="e">
        <f t="shared" si="399"/>
        <v>#REF!</v>
      </c>
      <c r="L1825" s="2765" t="e">
        <f>'Part IX Scoring Criteria'!#REF!</f>
        <v>#REF!</v>
      </c>
      <c r="M1825" s="1550" t="e">
        <f t="shared" si="404"/>
        <v>#REF!</v>
      </c>
      <c r="O1825" s="1550" t="e">
        <f>'Part IX Scoring Criteria'!#REF!</f>
        <v>#REF!</v>
      </c>
      <c r="P1825" s="1550"/>
      <c r="Q1825" s="2489" t="e">
        <f t="shared" si="403"/>
        <v>#REF!</v>
      </c>
      <c r="R1825" s="2497"/>
      <c r="S1825" s="2251" t="e">
        <f t="shared" si="400"/>
        <v>#REF!</v>
      </c>
      <c r="T1825" s="2497"/>
      <c r="U1825" s="2251" t="e">
        <f t="shared" si="401"/>
        <v>#REF!</v>
      </c>
      <c r="V1825" s="2497"/>
    </row>
    <row r="1826" spans="1:24" s="2762" customFormat="1" ht="12" customHeight="1">
      <c r="A1826" s="2602" t="e">
        <f t="shared" si="402"/>
        <v>#REF!</v>
      </c>
      <c r="B1826" s="2505" t="e">
        <f>'Part IX Scoring Criteria'!#REF!</f>
        <v>#REF!</v>
      </c>
      <c r="C1826" s="2505"/>
      <c r="D1826" s="2505"/>
      <c r="E1826" s="2817" t="e">
        <f>'Part IX Scoring Criteria'!#REF!</f>
        <v>#REF!</v>
      </c>
      <c r="F1826" s="1550" t="e">
        <f>'Part IX Scoring Criteria'!#REF!</f>
        <v>#REF!</v>
      </c>
      <c r="G1826" s="2817" t="e">
        <f>'Part IX Scoring Criteria'!#REF!</f>
        <v>#REF!</v>
      </c>
      <c r="H1826" s="2765" t="e">
        <f>'Part IX Scoring Criteria'!#REF!</f>
        <v>#REF!</v>
      </c>
      <c r="I1826" s="2765" t="e">
        <f>'Part IX Scoring Criteria'!#REF!</f>
        <v>#REF!</v>
      </c>
      <c r="J1826" s="2765" t="e">
        <f>'Part IX Scoring Criteria'!#REF!</f>
        <v>#REF!</v>
      </c>
      <c r="K1826" s="2765" t="e">
        <f t="shared" si="399"/>
        <v>#REF!</v>
      </c>
      <c r="L1826" s="2765" t="e">
        <f>'Part IX Scoring Criteria'!#REF!</f>
        <v>#REF!</v>
      </c>
      <c r="M1826" s="1550" t="e">
        <f t="shared" si="404"/>
        <v>#REF!</v>
      </c>
      <c r="O1826" s="1550" t="e">
        <f>'Part IX Scoring Criteria'!#REF!</f>
        <v>#REF!</v>
      </c>
      <c r="P1826" s="1550"/>
      <c r="Q1826" s="2489" t="e">
        <f t="shared" si="403"/>
        <v>#REF!</v>
      </c>
      <c r="R1826" s="2497"/>
      <c r="S1826" s="2251" t="e">
        <f t="shared" si="400"/>
        <v>#REF!</v>
      </c>
      <c r="T1826" s="2497"/>
      <c r="U1826" s="2251" t="e">
        <f t="shared" si="401"/>
        <v>#REF!</v>
      </c>
      <c r="V1826" s="2497"/>
    </row>
    <row r="1827" spans="1:24" s="2762" customFormat="1" ht="12" customHeight="1">
      <c r="A1827" s="2602" t="str">
        <f t="shared" si="402"/>
        <v/>
      </c>
      <c r="B1827" s="2505">
        <f>'Part IX Scoring Criteria'!B168</f>
        <v>0</v>
      </c>
      <c r="C1827" s="2505"/>
      <c r="D1827" s="2505"/>
      <c r="E1827" s="2817" t="str">
        <f>'Part IX Scoring Criteria'!E168</f>
        <v>Select</v>
      </c>
      <c r="F1827" s="1550">
        <f>'Part IX Scoring Criteria'!F168</f>
        <v>0</v>
      </c>
      <c r="G1827" s="2817">
        <f>'Part IX Scoring Criteria'!G168</f>
        <v>0</v>
      </c>
      <c r="H1827" s="2765">
        <f>'Part IX Scoring Criteria'!H168</f>
        <v>0</v>
      </c>
      <c r="I1827" s="2765">
        <f>'Part IX Scoring Criteria'!I168</f>
        <v>0</v>
      </c>
      <c r="J1827" s="2765">
        <f>'Part IX Scoring Criteria'!J168</f>
        <v>0</v>
      </c>
      <c r="K1827" s="2765" t="str">
        <f t="shared" si="399"/>
        <v/>
      </c>
      <c r="L1827" s="2765">
        <f>'Part IX Scoring Criteria'!L168</f>
        <v>0</v>
      </c>
      <c r="M1827" s="1550" t="str">
        <f t="shared" si="404"/>
        <v>Yes</v>
      </c>
      <c r="O1827" s="1550">
        <f>'Part IX Scoring Criteria'!O168</f>
        <v>0</v>
      </c>
      <c r="P1827" s="1550"/>
      <c r="Q1827" s="2489">
        <f t="shared" si="403"/>
        <v>1</v>
      </c>
      <c r="R1827" s="2497"/>
      <c r="S1827" s="2251">
        <f t="shared" si="400"/>
        <v>1</v>
      </c>
      <c r="T1827" s="2497"/>
      <c r="U1827" s="2251">
        <f t="shared" si="401"/>
        <v>1</v>
      </c>
      <c r="V1827" s="2497"/>
    </row>
    <row r="1828" spans="1:24" s="2762" customFormat="1" ht="1.5" customHeight="1">
      <c r="A1828" s="2749"/>
      <c r="B1828" s="2531"/>
      <c r="L1828" s="2816"/>
    </row>
    <row r="1829" spans="1:24" s="2618" customFormat="1" ht="6" customHeight="1">
      <c r="A1829" s="2531"/>
      <c r="B1829" s="2760"/>
    </row>
    <row r="1830" spans="1:24" s="2767" customFormat="1" ht="13.5" customHeight="1">
      <c r="A1830" s="2673" t="s">
        <v>1938</v>
      </c>
      <c r="B1830" s="2408" t="s">
        <v>3738</v>
      </c>
      <c r="D1830" s="2801"/>
      <c r="E1830" s="2801"/>
      <c r="F1830" s="2684"/>
      <c r="H1830" s="2684" t="s">
        <v>4574</v>
      </c>
      <c r="M1830" s="2652">
        <v>2</v>
      </c>
      <c r="N1830" s="2781"/>
      <c r="O1830" s="2707">
        <f>'Part IX Scoring Criteria'!O171</f>
        <v>0</v>
      </c>
      <c r="P1830" s="2707">
        <f>'Part IX Scoring Criteria'!P171</f>
        <v>0</v>
      </c>
      <c r="Q1830" s="2652"/>
      <c r="R1830" s="2542"/>
    </row>
    <row r="1831" spans="1:24" s="2618" customFormat="1" ht="12.75" customHeight="1">
      <c r="E1831" s="2618" t="s">
        <v>3828</v>
      </c>
      <c r="F1831" s="2618" t="s">
        <v>3490</v>
      </c>
      <c r="G1831" s="2650" t="s">
        <v>3285</v>
      </c>
      <c r="H1831" s="2650"/>
      <c r="I1831" s="2650"/>
      <c r="J1831" s="2650"/>
      <c r="K1831" s="2650"/>
      <c r="L1831" s="2650"/>
      <c r="M1831" s="2650"/>
      <c r="N1831" s="2650"/>
      <c r="P1831" s="2729"/>
      <c r="R1831" s="512" t="s">
        <v>2735</v>
      </c>
      <c r="S1831" s="512"/>
      <c r="T1831" s="512" t="str">
        <f>'Part I-Project Information'!$F$38</f>
        <v>Augusta</v>
      </c>
      <c r="U1831" s="512"/>
      <c r="V1831" s="512"/>
      <c r="W1831" s="512"/>
      <c r="X1831" s="512"/>
    </row>
    <row r="1832" spans="1:24" s="2618" customFormat="1" ht="13.5" customHeight="1">
      <c r="A1832" s="2749"/>
      <c r="B1832" s="2618" t="s">
        <v>3741</v>
      </c>
      <c r="G1832" s="2729" t="s">
        <v>3740</v>
      </c>
      <c r="H1832" s="2729"/>
      <c r="I1832" s="2729"/>
      <c r="J1832" s="2729"/>
      <c r="K1832" s="2729"/>
      <c r="L1832" s="2729"/>
      <c r="M1832" s="2729"/>
      <c r="N1832" s="2729"/>
      <c r="O1832" s="2618" t="s">
        <v>3491</v>
      </c>
      <c r="R1832" s="512" t="s">
        <v>2736</v>
      </c>
      <c r="S1832" s="512"/>
      <c r="T1832" s="512" t="str">
        <f>'Part I-Project Information'!$J$39</f>
        <v>Richmond</v>
      </c>
      <c r="U1832" s="512"/>
      <c r="V1832" s="512"/>
      <c r="W1832" s="512"/>
      <c r="X1832" s="512"/>
    </row>
    <row r="1833" spans="1:24" s="2618" customFormat="1" ht="13.5" customHeight="1">
      <c r="A1833" s="2749"/>
      <c r="B1833" s="512" t="s">
        <v>3627</v>
      </c>
      <c r="C1833" s="512"/>
      <c r="D1833" s="512"/>
      <c r="E1833" s="2670">
        <v>3000</v>
      </c>
      <c r="F1833" s="2670">
        <v>6000</v>
      </c>
      <c r="G1833" s="2701">
        <v>15000</v>
      </c>
      <c r="H1833" s="2701"/>
      <c r="I1833" s="2701"/>
      <c r="J1833" s="2701"/>
      <c r="K1833" s="2701"/>
      <c r="L1833" s="2701"/>
      <c r="M1833" s="2701"/>
      <c r="N1833" s="2701"/>
      <c r="O1833" s="2701">
        <v>20000</v>
      </c>
      <c r="P1833" s="2701"/>
      <c r="R1833" s="2684" t="s">
        <v>2737</v>
      </c>
      <c r="S1833" s="512"/>
      <c r="T1833" s="512" t="str">
        <f>'Part I-Project Information'!$O$40</f>
        <v>Augusta-Richmond Co.</v>
      </c>
      <c r="U1833" s="512"/>
      <c r="V1833" s="512"/>
      <c r="W1833" s="512"/>
      <c r="X1833" s="512"/>
    </row>
    <row r="1834" spans="1:24" s="512" customFormat="1" ht="13.5" customHeight="1">
      <c r="A1834" s="2749"/>
      <c r="B1834" s="512" t="s">
        <v>3739</v>
      </c>
      <c r="E1834" s="2670">
        <v>4500</v>
      </c>
      <c r="F1834" s="2670">
        <v>9000</v>
      </c>
      <c r="G1834" s="2701">
        <v>22500</v>
      </c>
      <c r="H1834" s="2701"/>
      <c r="I1834" s="2701"/>
      <c r="J1834" s="2701"/>
      <c r="K1834" s="2701"/>
      <c r="L1834" s="2701"/>
      <c r="M1834" s="2701"/>
      <c r="N1834" s="2701"/>
      <c r="O1834" s="2701">
        <v>30000</v>
      </c>
      <c r="P1834" s="2701"/>
      <c r="R1834" s="2684" t="s">
        <v>3649</v>
      </c>
      <c r="T1834" s="512" t="str">
        <f>VLOOKUP('Part I-Project Information'!$J$39,'DCA Underwriting Assumptions'!$G$173:$J$332,4)</f>
        <v>MSA</v>
      </c>
    </row>
    <row r="1835" spans="1:24" s="2618" customFormat="1" ht="4.5" customHeight="1">
      <c r="A1835" s="2749"/>
      <c r="B1835" s="2749"/>
      <c r="K1835" s="2619"/>
      <c r="L1835" s="2619"/>
    </row>
    <row r="1836" spans="1:24" s="2618" customFormat="1" ht="12" customHeight="1">
      <c r="B1836" s="2818" t="s">
        <v>4807</v>
      </c>
      <c r="E1836" s="2712"/>
      <c r="F1836" s="2712"/>
      <c r="G1836" s="2712"/>
      <c r="I1836" s="2712">
        <f>'Part IX Scoring Criteria'!I177</f>
        <v>0</v>
      </c>
      <c r="J1836" s="2712"/>
      <c r="K1836" s="2650" t="str">
        <f>IF(I1836="","",IF(I1836&lt;E1833,"Minimum Jobs Threshold entered is below lowest in chart!"))</f>
        <v>Minimum Jobs Threshold entered is below lowest in chart!</v>
      </c>
      <c r="R1836" s="512" t="s">
        <v>3464</v>
      </c>
      <c r="S1836" s="512"/>
      <c r="T1836" s="512" t="str">
        <f>'Part I-Project Information'!$K$40</f>
        <v>Urban</v>
      </c>
      <c r="U1836" s="512"/>
      <c r="V1836" s="512"/>
      <c r="W1836" s="512"/>
      <c r="X1836" s="512"/>
    </row>
    <row r="1837" spans="1:24" s="2618" customFormat="1" ht="12" customHeight="1">
      <c r="A1837" s="2531"/>
      <c r="B1837" s="2760" t="s">
        <v>3463</v>
      </c>
      <c r="H1837" s="2759" t="str">
        <f>IF(I1837&lt;I1836,"Threshold not met!","")</f>
        <v/>
      </c>
      <c r="I1837" s="2712">
        <f>'Part IX Scoring Criteria'!I178</f>
        <v>0</v>
      </c>
      <c r="J1837" s="2712"/>
      <c r="K1837" s="2618" t="str">
        <f>IF(J1837&lt;J1836,"Threshold not met!","")</f>
        <v/>
      </c>
    </row>
    <row r="1838" spans="1:24" s="2618" customFormat="1" ht="3" customHeight="1">
      <c r="A1838" s="2531"/>
      <c r="B1838" s="2760"/>
    </row>
    <row r="1839" spans="1:24" s="2618" customFormat="1" ht="11.25" customHeight="1">
      <c r="B1839" s="2781" t="s">
        <v>1939</v>
      </c>
      <c r="C1839" s="512" t="s">
        <v>3827</v>
      </c>
      <c r="H1839" s="2819" t="s">
        <v>1939</v>
      </c>
      <c r="I1839" s="2755" t="str">
        <f>IF(OR(I1836="",I1837=""),"",IF(I1837&gt;=I1836,"Yes","No"))</f>
        <v>Yes</v>
      </c>
      <c r="J1839" s="2755" t="str">
        <f>IF(OR(J1836="",J1837=""),"",IF(J1837&gt;=J1836,"Yes","No"))</f>
        <v/>
      </c>
    </row>
    <row r="1840" spans="1:24" s="2618" customFormat="1" ht="11.25" customHeight="1">
      <c r="A1840" s="2618" t="s">
        <v>1326</v>
      </c>
      <c r="B1840" s="2781" t="s">
        <v>1941</v>
      </c>
      <c r="C1840" s="512" t="s">
        <v>3742</v>
      </c>
      <c r="D1840" s="2760"/>
      <c r="E1840" s="2760"/>
      <c r="F1840" s="2760"/>
      <c r="H1840" s="2819" t="s">
        <v>1941</v>
      </c>
      <c r="I1840" s="2619" t="e">
        <f>IF(OR(I1836="",I1837=""),"",IF(I1837&gt;=HLOOKUP(I1836,$E$178:$P$179,2),"Yes","No"))</f>
        <v>#N/A</v>
      </c>
      <c r="J1840" s="2619" t="str">
        <f>IF(OR(J1836="",J1837=""),"",IF(J1837&gt;=HLOOKUP(J1836,$E$178:$P$179,2),"Yes","No"))</f>
        <v/>
      </c>
    </row>
    <row r="1841" spans="1:21" s="2618" customFormat="1" ht="11.25" customHeight="1">
      <c r="B1841" s="2673"/>
      <c r="C1841" s="2760" t="s">
        <v>3666</v>
      </c>
      <c r="D1841" s="2760"/>
      <c r="E1841" s="2760"/>
      <c r="F1841" s="2760"/>
      <c r="G1841" s="2760"/>
      <c r="I1841" s="2757" t="e">
        <f>IF(I1837="",0,(I1837/I1836) - 1)</f>
        <v>#DIV/0!</v>
      </c>
      <c r="J1841" s="2757">
        <f>IF(J1837="",0,(J1837/J1836) - 1)</f>
        <v>0</v>
      </c>
      <c r="M1841" s="2619"/>
    </row>
    <row r="1842" spans="1:21" s="2618" customFormat="1" ht="3" customHeight="1">
      <c r="A1842" s="2749"/>
      <c r="B1842" s="2749"/>
      <c r="F1842" s="1550"/>
      <c r="K1842" s="2619"/>
      <c r="L1842" s="2619"/>
    </row>
    <row r="1843" spans="1:21" s="2762" customFormat="1" ht="10.5" customHeight="1">
      <c r="A1843" s="2408"/>
      <c r="B1843" s="512" t="s">
        <v>3572</v>
      </c>
      <c r="C1843" s="2408"/>
      <c r="D1843" s="2654"/>
      <c r="E1843" s="2654"/>
      <c r="F1843" s="2654"/>
      <c r="G1843" s="2654"/>
      <c r="H1843" s="512"/>
      <c r="I1843" s="512"/>
      <c r="J1843" s="512"/>
      <c r="K1843" s="512"/>
      <c r="M1843" s="2652"/>
      <c r="N1843" s="2613"/>
      <c r="O1843" s="2707"/>
      <c r="P1843" s="2613"/>
    </row>
    <row r="1844" spans="1:21" s="2762" customFormat="1" ht="21.75" customHeight="1">
      <c r="A1844" s="2729">
        <f>'Part IX Scoring Criteria'!A185</f>
        <v>0</v>
      </c>
      <c r="B1844" s="2729"/>
      <c r="C1844" s="2729"/>
      <c r="D1844" s="2729"/>
      <c r="E1844" s="2729"/>
      <c r="F1844" s="2729"/>
      <c r="G1844" s="2729"/>
      <c r="H1844" s="2729"/>
      <c r="I1844" s="2729"/>
      <c r="J1844" s="2729"/>
      <c r="K1844" s="2729"/>
      <c r="L1844" s="2729"/>
      <c r="M1844" s="2729"/>
      <c r="N1844" s="2729"/>
      <c r="O1844" s="2729"/>
      <c r="P1844" s="2729"/>
      <c r="Q1844" s="2497" t="s">
        <v>1228</v>
      </c>
    </row>
    <row r="1845" spans="1:21" s="2762" customFormat="1" ht="10.5" customHeight="1">
      <c r="A1845" s="2408"/>
      <c r="B1845" s="2729" t="s">
        <v>1820</v>
      </c>
      <c r="C1845" s="2408"/>
      <c r="D1845" s="2729"/>
      <c r="E1845" s="2731"/>
      <c r="F1845" s="2731"/>
      <c r="G1845" s="2731"/>
      <c r="H1845" s="2731"/>
      <c r="I1845" s="2731"/>
      <c r="J1845" s="2731"/>
      <c r="K1845" s="2731"/>
      <c r="L1845" s="2731"/>
      <c r="M1845" s="2731"/>
      <c r="N1845" s="2782"/>
      <c r="O1845" s="2782"/>
      <c r="P1845" s="2652"/>
    </row>
    <row r="1846" spans="1:21" s="2762" customFormat="1" ht="11.25" customHeight="1">
      <c r="A1846" s="2729"/>
      <c r="B1846" s="2729"/>
      <c r="C1846" s="2729"/>
      <c r="D1846" s="2729"/>
      <c r="E1846" s="2729"/>
      <c r="F1846" s="2729"/>
      <c r="G1846" s="2729"/>
      <c r="H1846" s="2729"/>
      <c r="I1846" s="2729"/>
      <c r="J1846" s="2729"/>
      <c r="K1846" s="2729"/>
      <c r="L1846" s="2729"/>
      <c r="M1846" s="2729"/>
      <c r="N1846" s="2729"/>
      <c r="O1846" s="2729"/>
      <c r="P1846" s="2729"/>
      <c r="Q1846" s="2497"/>
      <c r="U1846" s="2820"/>
    </row>
    <row r="1847" spans="1:21" s="2762" customFormat="1" ht="3" customHeight="1">
      <c r="A1847" s="2408"/>
      <c r="C1847" s="2731"/>
      <c r="D1847" s="2731"/>
      <c r="E1847" s="2731"/>
      <c r="F1847" s="2731"/>
      <c r="G1847" s="2731"/>
      <c r="H1847" s="2731"/>
      <c r="I1847" s="2731"/>
      <c r="J1847" s="2731"/>
      <c r="K1847" s="2731"/>
      <c r="L1847" s="2731"/>
      <c r="M1847" s="2731"/>
      <c r="N1847" s="2782"/>
      <c r="O1847" s="2782"/>
      <c r="P1847" s="2652"/>
    </row>
    <row r="1848" spans="1:21" s="2767" customFormat="1" ht="12.6" customHeight="1">
      <c r="A1848" s="2786" t="s">
        <v>754</v>
      </c>
      <c r="B1848" s="2408" t="s">
        <v>3743</v>
      </c>
      <c r="D1848" s="512"/>
      <c r="E1848" s="512"/>
      <c r="I1848" s="2749"/>
      <c r="J1848" s="2749"/>
      <c r="K1848" s="1550"/>
      <c r="L1848" s="1550"/>
      <c r="M1848" s="2652">
        <v>7</v>
      </c>
      <c r="N1848" s="2652"/>
      <c r="O1848" s="2707">
        <f>'Part IX Scoring Criteria'!O189</f>
        <v>0</v>
      </c>
      <c r="P1848" s="2707">
        <f>'Part IX Scoring Criteria'!P189</f>
        <v>0</v>
      </c>
      <c r="Q1848" s="2652" t="s">
        <v>433</v>
      </c>
      <c r="R1848" s="2497" t="s">
        <v>4576</v>
      </c>
      <c r="S1848" s="2497"/>
      <c r="T1848" s="2497"/>
      <c r="U1848" s="2497"/>
    </row>
    <row r="1849" spans="1:21" s="2762" customFormat="1" ht="2.25" customHeight="1">
      <c r="A1849" s="2652"/>
      <c r="C1849" s="2654"/>
      <c r="D1849" s="2654"/>
      <c r="E1849" s="2505"/>
      <c r="F1849" s="2654"/>
      <c r="G1849" s="2654"/>
      <c r="H1849" s="2654"/>
      <c r="I1849" s="2654"/>
      <c r="J1849" s="2654"/>
      <c r="K1849" s="2654"/>
      <c r="L1849" s="2654"/>
      <c r="M1849" s="2654"/>
      <c r="N1849" s="2654"/>
      <c r="O1849" s="2654"/>
      <c r="P1849" s="2654"/>
      <c r="R1849" s="2497"/>
      <c r="S1849" s="2497"/>
      <c r="T1849" s="2497"/>
      <c r="U1849" s="2497"/>
    </row>
    <row r="1850" spans="1:21" s="2762" customFormat="1" ht="23.25" customHeight="1">
      <c r="A1850" s="2652"/>
      <c r="B1850" s="512" t="s">
        <v>6941</v>
      </c>
      <c r="C1850" s="512"/>
      <c r="D1850" s="512"/>
      <c r="E1850" s="512"/>
      <c r="F1850" s="512"/>
      <c r="G1850" s="512"/>
      <c r="H1850" s="512"/>
      <c r="I1850" s="512"/>
      <c r="J1850" s="512"/>
      <c r="K1850" s="512"/>
      <c r="L1850" s="512"/>
      <c r="M1850" s="512"/>
      <c r="N1850" s="512"/>
      <c r="O1850" s="512"/>
      <c r="P1850" s="512"/>
      <c r="R1850" s="2497"/>
      <c r="S1850" s="2497"/>
      <c r="T1850" s="2497"/>
      <c r="U1850" s="2497"/>
    </row>
    <row r="1851" spans="1:21" s="2762" customFormat="1" ht="12" customHeight="1">
      <c r="A1851" s="2673" t="s">
        <v>1936</v>
      </c>
      <c r="B1851" s="2654" t="s">
        <v>4608</v>
      </c>
      <c r="C1851" s="2654"/>
      <c r="D1851" s="2654"/>
      <c r="E1851" s="2654"/>
      <c r="F1851" s="2654"/>
      <c r="G1851" s="2654" t="s">
        <v>6874</v>
      </c>
      <c r="H1851" s="2654"/>
      <c r="I1851" s="2654"/>
      <c r="J1851" s="2654"/>
      <c r="K1851" s="2619" t="s">
        <v>4763</v>
      </c>
      <c r="L1851" s="2619" t="s">
        <v>4763</v>
      </c>
      <c r="M1851" s="2652">
        <v>5</v>
      </c>
      <c r="N1851" s="2749" t="s">
        <v>1936</v>
      </c>
      <c r="O1851" s="2779">
        <f>'Part IX Scoring Criteria'!O192</f>
        <v>0</v>
      </c>
      <c r="P1851" s="2779">
        <f>'Part IX Scoring Criteria'!P192</f>
        <v>0</v>
      </c>
      <c r="R1851" s="2497"/>
      <c r="S1851" s="2497"/>
      <c r="T1851" s="2497"/>
      <c r="U1851" s="2497"/>
    </row>
    <row r="1852" spans="1:21" s="2408" customFormat="1" ht="11.25" customHeight="1">
      <c r="B1852" s="2729" t="s">
        <v>6942</v>
      </c>
      <c r="D1852" s="2729"/>
      <c r="E1852" s="2729"/>
      <c r="F1852" s="2729"/>
      <c r="G1852" s="2729"/>
      <c r="H1852" s="2729"/>
      <c r="I1852" s="2729"/>
      <c r="J1852" s="2749"/>
      <c r="K1852" s="1550">
        <f>'Part IX Scoring Criteria'!K193</f>
        <v>0</v>
      </c>
      <c r="L1852" s="1550"/>
      <c r="R1852" s="2497"/>
      <c r="S1852" s="2497"/>
      <c r="T1852" s="2497"/>
      <c r="U1852" s="2497"/>
    </row>
    <row r="1853" spans="1:21" s="2762" customFormat="1" ht="12" customHeight="1">
      <c r="A1853" s="2652"/>
      <c r="B1853" s="512" t="s">
        <v>4604</v>
      </c>
      <c r="C1853" s="2654"/>
      <c r="D1853" s="2654"/>
      <c r="E1853" s="2654"/>
      <c r="F1853" s="2654"/>
      <c r="G1853" s="2654"/>
      <c r="H1853" s="2654"/>
      <c r="I1853" s="2654"/>
      <c r="J1853" s="2654"/>
      <c r="K1853" s="2619" t="s">
        <v>2444</v>
      </c>
      <c r="L1853" s="2619" t="s">
        <v>2444</v>
      </c>
      <c r="N1853" s="2618"/>
      <c r="P1853" s="2618"/>
      <c r="R1853" s="2497"/>
      <c r="S1853" s="2497"/>
      <c r="T1853" s="2497"/>
      <c r="U1853" s="2497"/>
    </row>
    <row r="1854" spans="1:21" s="2607" customFormat="1" ht="11.25" customHeight="1">
      <c r="B1854" s="2730" t="s">
        <v>2372</v>
      </c>
      <c r="C1854" s="2729" t="s">
        <v>4389</v>
      </c>
      <c r="D1854" s="2729"/>
      <c r="E1854" s="2729"/>
      <c r="F1854" s="2729"/>
      <c r="G1854" s="2729"/>
      <c r="H1854" s="2729"/>
      <c r="I1854" s="2729"/>
      <c r="J1854" s="2730" t="s">
        <v>2372</v>
      </c>
      <c r="K1854" s="1550">
        <f>'Part IX Scoring Criteria'!K195</f>
        <v>0</v>
      </c>
      <c r="L1854" s="1550"/>
      <c r="M1854" s="2821" t="str">
        <f>'Part IX Scoring Criteria'!M195</f>
        <v>&lt;Enter page nbr(s) from Plan&gt;</v>
      </c>
      <c r="N1854" s="2821"/>
      <c r="O1854" s="2821"/>
      <c r="P1854" s="2821"/>
      <c r="R1854" s="2497"/>
      <c r="S1854" s="2497"/>
      <c r="T1854" s="2497"/>
      <c r="U1854" s="2497"/>
    </row>
    <row r="1855" spans="1:21" s="2762" customFormat="1" ht="11.25" customHeight="1">
      <c r="A1855" s="2613"/>
      <c r="B1855" s="2749"/>
      <c r="C1855" s="2729"/>
      <c r="D1855" s="2729"/>
      <c r="E1855" s="2729"/>
      <c r="F1855" s="2729"/>
      <c r="G1855" s="2729"/>
      <c r="H1855" s="2729"/>
      <c r="I1855" s="2729"/>
      <c r="J1855" s="2749"/>
      <c r="K1855" s="2814"/>
      <c r="L1855" s="2814"/>
      <c r="R1855" s="2497"/>
      <c r="S1855" s="2497"/>
      <c r="T1855" s="2497"/>
      <c r="U1855" s="2497"/>
    </row>
    <row r="1856" spans="1:21" s="2408" customFormat="1" ht="11.25" customHeight="1">
      <c r="B1856" s="2749" t="s">
        <v>2373</v>
      </c>
      <c r="C1856" s="512" t="s">
        <v>4609</v>
      </c>
      <c r="D1856" s="512"/>
      <c r="E1856" s="512"/>
      <c r="F1856" s="512"/>
      <c r="G1856" s="512"/>
      <c r="H1856" s="512"/>
      <c r="J1856" s="2749" t="s">
        <v>2373</v>
      </c>
      <c r="K1856" s="1550">
        <f>'Part IX Scoring Criteria'!K197</f>
        <v>0</v>
      </c>
      <c r="L1856" s="1550"/>
      <c r="M1856" s="2821" t="str">
        <f>'Part IX Scoring Criteria'!M197</f>
        <v>&lt;Enter page nbr(s) from Plan&gt;</v>
      </c>
      <c r="N1856" s="2821"/>
      <c r="O1856" s="2821"/>
      <c r="P1856" s="2821"/>
      <c r="R1856" s="2497"/>
      <c r="S1856" s="2497"/>
      <c r="T1856" s="2497"/>
      <c r="U1856" s="2497"/>
    </row>
    <row r="1857" spans="1:25" s="2408" customFormat="1" ht="11.25" customHeight="1">
      <c r="B1857" s="2749" t="s">
        <v>2374</v>
      </c>
      <c r="C1857" s="512" t="s">
        <v>4606</v>
      </c>
      <c r="D1857" s="512"/>
      <c r="E1857" s="512"/>
      <c r="F1857" s="512"/>
      <c r="G1857" s="512"/>
      <c r="H1857" s="512"/>
      <c r="I1857" s="512"/>
      <c r="J1857" s="2749" t="s">
        <v>2374</v>
      </c>
      <c r="K1857" s="1550">
        <f>'Part IX Scoring Criteria'!K198</f>
        <v>0</v>
      </c>
      <c r="L1857" s="1550"/>
      <c r="R1857" s="2497"/>
      <c r="S1857" s="2497"/>
      <c r="T1857" s="2497"/>
      <c r="U1857" s="2497"/>
    </row>
    <row r="1858" spans="1:25" s="2762" customFormat="1" ht="11.25" customHeight="1">
      <c r="A1858" s="2613"/>
      <c r="C1858" s="2749" t="s">
        <v>2375</v>
      </c>
      <c r="D1858" s="2684" t="s">
        <v>4388</v>
      </c>
      <c r="E1858" s="512"/>
      <c r="F1858" s="512"/>
      <c r="G1858" s="512"/>
      <c r="H1858" s="512"/>
      <c r="I1858" s="512"/>
      <c r="J1858" s="2749" t="s">
        <v>2375</v>
      </c>
      <c r="K1858" s="2822">
        <f>'Part IX Scoring Criteria'!K199</f>
        <v>0</v>
      </c>
      <c r="L1858" s="2822"/>
      <c r="M1858" s="512"/>
      <c r="N1858" s="512"/>
      <c r="O1858" s="512"/>
      <c r="P1858" s="512"/>
      <c r="R1858" s="2497"/>
      <c r="S1858" s="2497"/>
      <c r="T1858" s="2497"/>
      <c r="U1858" s="2497"/>
    </row>
    <row r="1859" spans="1:25" s="2762" customFormat="1" ht="12" customHeight="1">
      <c r="A1859" s="2652"/>
      <c r="B1859" s="512" t="s">
        <v>4605</v>
      </c>
      <c r="C1859" s="2654"/>
      <c r="D1859" s="2654"/>
      <c r="E1859" s="2654"/>
      <c r="F1859" s="2654"/>
      <c r="G1859" s="2654"/>
      <c r="H1859" s="2654"/>
      <c r="I1859" s="2654"/>
      <c r="J1859" s="2654"/>
      <c r="K1859" s="2619" t="s">
        <v>2444</v>
      </c>
      <c r="L1859" s="2619" t="s">
        <v>2444</v>
      </c>
      <c r="N1859" s="2618"/>
      <c r="P1859" s="2618"/>
      <c r="R1859" s="2497"/>
      <c r="S1859" s="2497"/>
      <c r="T1859" s="2497"/>
      <c r="U1859" s="2497"/>
    </row>
    <row r="1860" spans="1:25" s="2767" customFormat="1" ht="11.25" customHeight="1">
      <c r="A1860" s="2652"/>
      <c r="B1860" s="2749" t="s">
        <v>2376</v>
      </c>
      <c r="C1860" s="512" t="s">
        <v>6906</v>
      </c>
      <c r="D1860" s="512"/>
      <c r="E1860" s="512"/>
      <c r="F1860" s="512"/>
      <c r="G1860" s="512"/>
      <c r="J1860" s="2749" t="s">
        <v>2376</v>
      </c>
      <c r="K1860" s="1550">
        <f>'Part IX Scoring Criteria'!K201</f>
        <v>0</v>
      </c>
      <c r="L1860" s="1550"/>
      <c r="M1860" s="2821" t="str">
        <f>'Part IX Scoring Criteria'!M201</f>
        <v>&lt;Enter page nbr(s) from Plan&gt;</v>
      </c>
      <c r="N1860" s="2821"/>
      <c r="O1860" s="2821"/>
      <c r="P1860" s="2821"/>
      <c r="Q1860" s="2602">
        <f>IF(K1860="Yes",1,0)</f>
        <v>0</v>
      </c>
      <c r="R1860" s="2497"/>
      <c r="S1860" s="2497"/>
      <c r="T1860" s="2497"/>
      <c r="U1860" s="2497"/>
      <c r="V1860" s="2602">
        <f>IF(L1860="Yes",1,0)</f>
        <v>0</v>
      </c>
    </row>
    <row r="1861" spans="1:25" s="2408" customFormat="1" ht="11.25" customHeight="1">
      <c r="B1861" s="2749" t="s">
        <v>2392</v>
      </c>
      <c r="C1861" s="512" t="s">
        <v>4317</v>
      </c>
      <c r="D1861" s="512"/>
      <c r="E1861" s="512"/>
      <c r="F1861" s="512"/>
      <c r="G1861" s="512"/>
      <c r="H1861" s="512"/>
      <c r="J1861" s="2749" t="s">
        <v>2392</v>
      </c>
      <c r="K1861" s="1550">
        <f>'Part IX Scoring Criteria'!K202</f>
        <v>0</v>
      </c>
      <c r="L1861" s="1550"/>
      <c r="M1861" s="2821" t="str">
        <f>'Part IX Scoring Criteria'!M202</f>
        <v>&lt;Enter page nbr(s) from Plan&gt;</v>
      </c>
      <c r="N1861" s="2821"/>
      <c r="O1861" s="2821"/>
      <c r="P1861" s="2821"/>
      <c r="Q1861" s="2602">
        <f t="shared" ref="Q1861:Q1862" si="405">IF(K1861="Yes",1,0)</f>
        <v>0</v>
      </c>
      <c r="R1861" s="2497"/>
      <c r="S1861" s="2497"/>
      <c r="T1861" s="2497"/>
      <c r="U1861" s="2497"/>
      <c r="V1861" s="2602">
        <f>IF(L1861="Yes",1,0)</f>
        <v>0</v>
      </c>
    </row>
    <row r="1862" spans="1:25" s="2408" customFormat="1" ht="10.8" customHeight="1">
      <c r="B1862" s="2749" t="s">
        <v>2393</v>
      </c>
      <c r="C1862" s="512" t="s">
        <v>4602</v>
      </c>
      <c r="D1862" s="512"/>
      <c r="E1862" s="512"/>
      <c r="F1862" s="512"/>
      <c r="G1862" s="512"/>
      <c r="J1862" s="2749" t="s">
        <v>2393</v>
      </c>
      <c r="K1862" s="1550">
        <f>'Part IX Scoring Criteria'!K203</f>
        <v>0</v>
      </c>
      <c r="L1862" s="1550"/>
      <c r="M1862" s="2821" t="str">
        <f>'Part IX Scoring Criteria'!M203</f>
        <v>&lt;Enter page nbr(s) from Plan&gt;</v>
      </c>
      <c r="N1862" s="2821"/>
      <c r="O1862" s="2821"/>
      <c r="P1862" s="2821"/>
      <c r="Q1862" s="2602">
        <f t="shared" si="405"/>
        <v>0</v>
      </c>
      <c r="R1862" s="2497"/>
      <c r="S1862" s="2497"/>
      <c r="T1862" s="2497"/>
      <c r="U1862" s="2497"/>
      <c r="V1862" s="2602">
        <f>IF(L1862="Yes",1,0)</f>
        <v>0</v>
      </c>
    </row>
    <row r="1863" spans="1:25" s="2762" customFormat="1" ht="4.2" customHeight="1">
      <c r="A1863" s="2613"/>
      <c r="B1863" s="2749"/>
      <c r="C1863" s="2729"/>
      <c r="D1863" s="2729"/>
      <c r="E1863" s="2729"/>
      <c r="F1863" s="2729"/>
      <c r="G1863" s="2729"/>
      <c r="H1863" s="2729"/>
      <c r="I1863" s="2729"/>
      <c r="K1863" s="2814"/>
      <c r="L1863" s="2814"/>
      <c r="R1863" s="2497"/>
      <c r="S1863" s="2497"/>
      <c r="T1863" s="2497"/>
      <c r="U1863" s="2497"/>
    </row>
    <row r="1864" spans="1:25" ht="11.25" customHeight="1">
      <c r="B1864" s="2618" t="s">
        <v>4318</v>
      </c>
      <c r="Q1864" s="2542"/>
      <c r="X1864" s="2613"/>
      <c r="Y1864" s="2749"/>
    </row>
    <row r="1865" spans="1:25" ht="22.5" customHeight="1">
      <c r="A1865" s="2749"/>
      <c r="B1865" s="2823" t="s">
        <v>1939</v>
      </c>
      <c r="C1865" s="2729" t="s">
        <v>6875</v>
      </c>
      <c r="D1865" s="2729"/>
      <c r="E1865" s="2729"/>
      <c r="F1865" s="2729"/>
      <c r="G1865" s="2729"/>
      <c r="H1865" s="2729"/>
      <c r="I1865" s="2729"/>
      <c r="J1865" s="2729"/>
      <c r="K1865" s="2729"/>
      <c r="L1865" s="2729"/>
      <c r="M1865" s="2740">
        <v>3</v>
      </c>
      <c r="N1865" s="2807" t="s">
        <v>1939</v>
      </c>
      <c r="O1865" s="2824">
        <f>'Part IX Scoring Criteria'!O206</f>
        <v>0</v>
      </c>
      <c r="P1865" s="2824">
        <f>'Part IX Scoring Criteria'!P206</f>
        <v>0</v>
      </c>
      <c r="Q1865" s="2542"/>
      <c r="R1865" s="2500"/>
    </row>
    <row r="1866" spans="1:25" ht="12" customHeight="1">
      <c r="A1866" s="2749"/>
      <c r="B1866" s="2823" t="s">
        <v>1941</v>
      </c>
      <c r="C1866" s="2729" t="s">
        <v>6943</v>
      </c>
      <c r="D1866" s="2729"/>
      <c r="E1866" s="2729"/>
      <c r="F1866" s="2729"/>
      <c r="G1866" s="2729"/>
      <c r="H1866" s="2729"/>
      <c r="I1866" s="2729"/>
      <c r="J1866" s="2684" t="s">
        <v>3594</v>
      </c>
      <c r="K1866" s="2408"/>
      <c r="L1866" s="2684" t="str">
        <f>'Part I-Project Information'!$N$39</f>
        <v>Yes</v>
      </c>
      <c r="M1866" s="1550">
        <v>2</v>
      </c>
      <c r="N1866" s="2803" t="s">
        <v>1941</v>
      </c>
      <c r="O1866" s="2779">
        <f>'Part IX Scoring Criteria'!O207</f>
        <v>0</v>
      </c>
      <c r="P1866" s="2779"/>
      <c r="Q1866" s="2542" t="str">
        <f>IF(OR($O1866=$M1866,$O1866=0,$O1866=""),"","*CHECK!*")</f>
        <v/>
      </c>
      <c r="R1866" s="2500" t="s">
        <v>4775</v>
      </c>
    </row>
    <row r="1867" spans="1:25" ht="12" customHeight="1">
      <c r="A1867" s="2749"/>
      <c r="B1867" s="2823"/>
      <c r="C1867" s="512" t="s">
        <v>4577</v>
      </c>
      <c r="D1867" s="512"/>
      <c r="E1867" s="512"/>
      <c r="F1867" s="512"/>
      <c r="G1867" s="512"/>
      <c r="H1867" s="512"/>
      <c r="I1867" s="2731"/>
      <c r="J1867" s="2684" t="s">
        <v>3440</v>
      </c>
      <c r="K1867" s="512"/>
      <c r="L1867" s="2825" t="str">
        <f>'Part I-Project Information'!$O$38</f>
        <v>105.04</v>
      </c>
      <c r="M1867" s="2825"/>
      <c r="N1867" s="2740"/>
      <c r="O1867" s="2740"/>
      <c r="P1867" s="2740"/>
      <c r="Q1867" s="2766"/>
      <c r="R1867" s="2500"/>
    </row>
    <row r="1868" spans="1:25" ht="12" customHeight="1">
      <c r="A1868" s="2749"/>
      <c r="B1868" s="2760"/>
      <c r="C1868" s="512"/>
      <c r="D1868" s="512"/>
      <c r="E1868" s="512"/>
      <c r="F1868" s="512"/>
      <c r="G1868" s="512"/>
      <c r="H1868" s="512"/>
      <c r="J1868" s="2684" t="s">
        <v>3265</v>
      </c>
      <c r="K1868" s="2408"/>
      <c r="L1868" s="512" t="str">
        <f>'Part IV-A-Uses of Funds'!$H$152</f>
        <v>DDA/QCT</v>
      </c>
      <c r="M1868" s="512"/>
    </row>
    <row r="1869" spans="1:25" ht="12" customHeight="1">
      <c r="A1869" s="2673" t="s">
        <v>1938</v>
      </c>
      <c r="B1869" s="2654" t="s">
        <v>4319</v>
      </c>
      <c r="D1869" s="2408"/>
      <c r="K1869" s="2680"/>
      <c r="L1869" s="2251" t="str">
        <f>IF(OR($O1869=$M1869,$O1869=0,$O1869=""),"","* * Check Score! * *")</f>
        <v/>
      </c>
      <c r="M1869" s="2652">
        <v>2</v>
      </c>
      <c r="N1869" s="2749" t="s">
        <v>1938</v>
      </c>
      <c r="O1869" s="2707">
        <f>'Part IX Scoring Criteria'!O210</f>
        <v>0</v>
      </c>
      <c r="P1869" s="2707"/>
      <c r="Q1869" s="2766" t="str">
        <f>IF(OR($O1869=$M1869,$O1869=0,$O1869=""),"","*CHECK!*")</f>
        <v/>
      </c>
      <c r="R1869" s="2500" t="s">
        <v>4775</v>
      </c>
    </row>
    <row r="1870" spans="1:25" s="2762" customFormat="1" ht="9.75" customHeight="1">
      <c r="A1870" s="2673"/>
      <c r="B1870" s="2767"/>
      <c r="C1870" s="512" t="s">
        <v>2703</v>
      </c>
      <c r="D1870" s="512"/>
      <c r="E1870" s="512"/>
      <c r="F1870" s="2652"/>
      <c r="G1870" s="2767"/>
      <c r="H1870" s="512"/>
      <c r="I1870" s="2767"/>
      <c r="J1870" s="512" t="str">
        <f>'Part I-Project Information'!$H$105</f>
        <v>N/A - 4% Bond</v>
      </c>
      <c r="K1870" s="2684"/>
      <c r="L1870" s="2767"/>
      <c r="M1870" s="2767"/>
      <c r="N1870" s="2767"/>
      <c r="O1870" s="2767"/>
      <c r="P1870" s="2767"/>
      <c r="T1870" s="2251" t="str">
        <f>IF(OR($O1869=$M1869,$O1869=0,$O1869=""),"","* * Check Score! * *")</f>
        <v/>
      </c>
      <c r="V1870" s="2728"/>
      <c r="W1870" s="2728"/>
    </row>
    <row r="1871" spans="1:25" s="2762" customFormat="1" ht="11.25" customHeight="1">
      <c r="A1871" s="2680"/>
      <c r="B1871" s="2781" t="s">
        <v>3595</v>
      </c>
      <c r="C1871" s="512" t="s">
        <v>3646</v>
      </c>
      <c r="D1871" s="2767"/>
      <c r="E1871" s="2767"/>
      <c r="F1871" s="2767"/>
      <c r="G1871" s="2767"/>
      <c r="H1871" s="2767"/>
      <c r="I1871" s="2767"/>
      <c r="J1871" s="512">
        <f>'Part IX Scoring Criteria'!J212</f>
        <v>0</v>
      </c>
      <c r="K1871" s="512"/>
      <c r="L1871" s="512"/>
      <c r="M1871" s="512"/>
      <c r="N1871" s="512"/>
      <c r="O1871" s="512"/>
      <c r="P1871" s="512"/>
      <c r="V1871" s="2728"/>
      <c r="W1871" s="2728"/>
    </row>
    <row r="1872" spans="1:25" s="2762" customFormat="1" ht="11.25" customHeight="1">
      <c r="A1872" s="2680"/>
      <c r="B1872" s="2749" t="s">
        <v>3596</v>
      </c>
      <c r="C1872" s="2684" t="s">
        <v>3647</v>
      </c>
      <c r="D1872" s="2767"/>
      <c r="E1872" s="2767"/>
      <c r="F1872" s="2767"/>
      <c r="G1872" s="2767"/>
      <c r="H1872" s="2767"/>
      <c r="I1872" s="2749" t="str">
        <f>IF($J$217="Government", "Additional documentation required - see QAP.","")</f>
        <v/>
      </c>
      <c r="J1872" s="512" t="str">
        <f>'Part IX Scoring Criteria'!J213</f>
        <v>&lt;Select unrelated 3rd party type&gt;</v>
      </c>
      <c r="K1872" s="512"/>
      <c r="L1872" s="512"/>
      <c r="M1872" s="2767"/>
      <c r="N1872" s="2767"/>
      <c r="O1872" s="2767"/>
      <c r="P1872" s="2767"/>
      <c r="V1872" s="2728"/>
      <c r="W1872" s="2728"/>
    </row>
    <row r="1873" spans="1:23" ht="11.25" customHeight="1">
      <c r="A1873" s="2719"/>
      <c r="B1873" s="2749" t="s">
        <v>3597</v>
      </c>
      <c r="C1873" s="2684" t="s">
        <v>4578</v>
      </c>
      <c r="D1873" s="2408"/>
      <c r="E1873" s="2408"/>
      <c r="F1873" s="2408"/>
      <c r="G1873" s="2408"/>
      <c r="H1873" s="2408"/>
      <c r="I1873" s="2408"/>
      <c r="J1873" s="1550">
        <f>'Part IX Scoring Criteria'!J214</f>
        <v>0</v>
      </c>
      <c r="K1873" s="512" t="s">
        <v>4321</v>
      </c>
      <c r="L1873" s="512"/>
      <c r="M1873" s="512"/>
      <c r="N1873" s="512"/>
      <c r="O1873" s="2767"/>
      <c r="P1873" s="2767"/>
      <c r="V1873" s="2728"/>
      <c r="W1873" s="2728"/>
    </row>
    <row r="1874" spans="1:23" ht="11.25" customHeight="1">
      <c r="A1874" s="2719"/>
      <c r="B1874" s="2749" t="s">
        <v>3599</v>
      </c>
      <c r="C1874" s="2684" t="s">
        <v>4320</v>
      </c>
      <c r="D1874" s="2408"/>
      <c r="E1874" s="2408"/>
      <c r="F1874" s="2408"/>
      <c r="G1874" s="2408"/>
      <c r="H1874" s="2408"/>
      <c r="I1874" s="2408"/>
      <c r="J1874" s="1550">
        <f>'Part IX Scoring Criteria'!J215</f>
        <v>0</v>
      </c>
      <c r="K1874" s="512"/>
      <c r="L1874" s="512"/>
      <c r="M1874" s="512"/>
      <c r="N1874" s="512"/>
      <c r="O1874" s="2826">
        <f>'Part IX Scoring Criteria'!O215</f>
        <v>0</v>
      </c>
      <c r="P1874" s="2772" t="s">
        <v>3602</v>
      </c>
      <c r="V1874" s="2728"/>
      <c r="W1874" s="2728"/>
    </row>
    <row r="1875" spans="1:23" ht="11.25" customHeight="1">
      <c r="A1875" s="2719"/>
      <c r="B1875" s="2749" t="s">
        <v>3600</v>
      </c>
      <c r="C1875" s="2684" t="s">
        <v>4323</v>
      </c>
      <c r="D1875" s="2408"/>
      <c r="E1875" s="2408"/>
      <c r="F1875" s="2408"/>
      <c r="G1875" s="2408"/>
      <c r="H1875" s="2408"/>
      <c r="I1875" s="2408"/>
      <c r="J1875" s="1550">
        <f>'Part IX Scoring Criteria'!J216</f>
        <v>0</v>
      </c>
      <c r="L1875" s="2749" t="s">
        <v>4322</v>
      </c>
      <c r="N1875" s="2749"/>
      <c r="O1875" s="2827">
        <f>'Part IX Scoring Criteria'!O216</f>
        <v>0</v>
      </c>
      <c r="P1875" s="2827"/>
      <c r="V1875" s="2728"/>
      <c r="W1875" s="2728"/>
    </row>
    <row r="1876" spans="1:23" ht="2.25" customHeight="1">
      <c r="A1876" s="2719"/>
      <c r="G1876" s="2729"/>
      <c r="L1876" s="2607"/>
      <c r="N1876" s="2613"/>
      <c r="O1876" s="2613"/>
      <c r="P1876" s="2613"/>
      <c r="V1876" s="2728"/>
      <c r="W1876" s="2728"/>
    </row>
    <row r="1877" spans="1:23" ht="21.75" customHeight="1">
      <c r="A1877" s="2828" t="s">
        <v>3831</v>
      </c>
      <c r="B1877" s="2505" t="s">
        <v>3829</v>
      </c>
      <c r="C1877" s="2505"/>
      <c r="D1877" s="2559">
        <f>'Part IX Scoring Criteria'!D218</f>
        <v>0</v>
      </c>
      <c r="E1877" s="2559"/>
      <c r="F1877" s="2559"/>
      <c r="G1877" s="2559"/>
      <c r="H1877" s="2559"/>
      <c r="I1877" s="2559"/>
      <c r="J1877" s="2559"/>
      <c r="K1877" s="2559"/>
      <c r="L1877" s="2559"/>
      <c r="M1877" s="2559"/>
      <c r="N1877" s="2559"/>
      <c r="O1877" s="2559"/>
      <c r="P1877" s="2559"/>
      <c r="Q1877" s="2497"/>
      <c r="V1877" s="2728"/>
      <c r="W1877" s="2728"/>
    </row>
    <row r="1878" spans="1:23" ht="22.5" customHeight="1">
      <c r="A1878" s="2828"/>
      <c r="B1878" s="2505" t="s">
        <v>3830</v>
      </c>
      <c r="C1878" s="2505"/>
      <c r="D1878" s="2559">
        <f>'Part IX Scoring Criteria'!D219</f>
        <v>0</v>
      </c>
      <c r="E1878" s="2559"/>
      <c r="F1878" s="2559"/>
      <c r="G1878" s="2559"/>
      <c r="H1878" s="2559"/>
      <c r="I1878" s="2559"/>
      <c r="J1878" s="2559"/>
      <c r="K1878" s="2559"/>
      <c r="L1878" s="2559"/>
      <c r="M1878" s="2559"/>
      <c r="N1878" s="2559"/>
      <c r="O1878" s="2559"/>
      <c r="P1878" s="2559"/>
      <c r="Q1878" s="2497"/>
      <c r="V1878" s="2728"/>
      <c r="W1878" s="2728"/>
    </row>
    <row r="1879" spans="1:23" ht="22.5" customHeight="1">
      <c r="A1879" s="2828"/>
      <c r="B1879" s="2505" t="s">
        <v>4373</v>
      </c>
      <c r="C1879" s="2505"/>
      <c r="D1879" s="2559">
        <f>'Part IX Scoring Criteria'!D220</f>
        <v>0</v>
      </c>
      <c r="E1879" s="2559"/>
      <c r="F1879" s="2559"/>
      <c r="G1879" s="2559"/>
      <c r="H1879" s="2559"/>
      <c r="I1879" s="2559"/>
      <c r="J1879" s="2559"/>
      <c r="K1879" s="2559"/>
      <c r="L1879" s="2559"/>
      <c r="M1879" s="2559"/>
      <c r="N1879" s="2559"/>
      <c r="O1879" s="2559"/>
      <c r="P1879" s="2559"/>
      <c r="Q1879" s="2497"/>
      <c r="V1879" s="2728"/>
      <c r="W1879" s="2728"/>
    </row>
    <row r="1880" spans="1:23" ht="11.25" customHeight="1">
      <c r="B1880" s="512" t="s">
        <v>3339</v>
      </c>
      <c r="G1880" s="512" t="s">
        <v>2560</v>
      </c>
      <c r="H1880" s="512"/>
      <c r="J1880" s="2773">
        <f>'Part IX Scoring Criteria'!J221</f>
        <v>0</v>
      </c>
      <c r="K1880" s="2773"/>
      <c r="L1880" s="2773"/>
      <c r="M1880" s="2773"/>
      <c r="N1880" s="2613"/>
      <c r="O1880" s="2613"/>
      <c r="P1880" s="2613"/>
      <c r="V1880" s="2728"/>
      <c r="W1880" s="2728"/>
    </row>
    <row r="1881" spans="1:23" s="2762" customFormat="1" ht="11.25" customHeight="1">
      <c r="C1881" s="512" t="s">
        <v>6821</v>
      </c>
      <c r="D1881" s="2731"/>
      <c r="G1881" s="2773">
        <f>'Part IV-A-Uses of Funds'!$G$132</f>
        <v>43012994</v>
      </c>
      <c r="H1881" s="2773"/>
      <c r="J1881" s="2829">
        <f>IF($J1880=0,0,$J1880/$G$226)</f>
        <v>0</v>
      </c>
      <c r="K1881" s="2829"/>
      <c r="L1881" s="2829">
        <f>IF($L1880=0,0,$L1880/$G$226)</f>
        <v>0</v>
      </c>
      <c r="M1881" s="2829"/>
      <c r="V1881" s="2728"/>
      <c r="W1881" s="2728"/>
    </row>
    <row r="1882" spans="1:23" s="2767" customFormat="1" ht="10.5" customHeight="1">
      <c r="A1882" s="2408"/>
      <c r="B1882" s="512" t="s">
        <v>3572</v>
      </c>
      <c r="C1882" s="2408"/>
      <c r="D1882" s="2654"/>
      <c r="E1882" s="2654"/>
      <c r="F1882" s="2654"/>
      <c r="G1882" s="2654"/>
      <c r="H1882" s="512"/>
      <c r="I1882" s="512"/>
      <c r="J1882" s="512"/>
      <c r="K1882" s="512"/>
      <c r="M1882" s="2652"/>
      <c r="N1882" s="2652"/>
      <c r="O1882" s="2707"/>
      <c r="P1882" s="2652"/>
    </row>
    <row r="1883" spans="1:23" s="2762" customFormat="1" ht="21.75" customHeight="1">
      <c r="A1883" s="2729">
        <f>'Part IX Scoring Criteria'!A224</f>
        <v>0</v>
      </c>
      <c r="B1883" s="2729"/>
      <c r="C1883" s="2729"/>
      <c r="D1883" s="2729"/>
      <c r="E1883" s="2729"/>
      <c r="F1883" s="2729"/>
      <c r="G1883" s="2729"/>
      <c r="H1883" s="2729"/>
      <c r="I1883" s="2729"/>
      <c r="J1883" s="2729"/>
      <c r="K1883" s="2729"/>
      <c r="L1883" s="2729"/>
      <c r="M1883" s="2729"/>
      <c r="N1883" s="2729"/>
      <c r="O1883" s="2729"/>
      <c r="P1883" s="2729"/>
      <c r="Q1883" s="2497" t="s">
        <v>1228</v>
      </c>
    </row>
    <row r="1884" spans="1:23" s="2767" customFormat="1" ht="11.4" customHeight="1">
      <c r="A1884" s="2408"/>
      <c r="B1884" s="512" t="s">
        <v>1820</v>
      </c>
      <c r="C1884" s="2408"/>
      <c r="D1884" s="512"/>
      <c r="E1884" s="2684"/>
      <c r="F1884" s="2684"/>
      <c r="G1884" s="2684"/>
      <c r="H1884" s="2684"/>
      <c r="I1884" s="2684"/>
      <c r="J1884" s="2684"/>
      <c r="K1884" s="2684"/>
      <c r="L1884" s="2684"/>
      <c r="M1884" s="2684"/>
      <c r="N1884" s="2652"/>
      <c r="O1884" s="2652"/>
      <c r="P1884" s="2652"/>
      <c r="Q1884" s="2762"/>
    </row>
    <row r="1885" spans="1:23" s="2762" customFormat="1" ht="11.25" customHeight="1">
      <c r="A1885" s="2729"/>
      <c r="B1885" s="2729"/>
      <c r="C1885" s="2729"/>
      <c r="D1885" s="2729"/>
      <c r="E1885" s="2729"/>
      <c r="F1885" s="2729"/>
      <c r="G1885" s="2729"/>
      <c r="H1885" s="2729"/>
      <c r="I1885" s="2729"/>
      <c r="J1885" s="2729"/>
      <c r="K1885" s="2729"/>
      <c r="L1885" s="2729"/>
      <c r="M1885" s="2729"/>
      <c r="N1885" s="2729"/>
      <c r="O1885" s="2729"/>
      <c r="P1885" s="2729"/>
      <c r="Q1885" s="2497"/>
    </row>
    <row r="1886" spans="1:23" s="2762" customFormat="1" ht="3" customHeight="1">
      <c r="A1886" s="2408"/>
      <c r="C1886" s="2731"/>
      <c r="D1886" s="2731"/>
      <c r="E1886" s="2731"/>
      <c r="F1886" s="2731"/>
      <c r="G1886" s="2731"/>
      <c r="H1886" s="2731"/>
      <c r="I1886" s="2731"/>
      <c r="J1886" s="2731"/>
      <c r="K1886" s="2731"/>
      <c r="L1886" s="2731"/>
      <c r="M1886" s="2731"/>
      <c r="N1886" s="2782"/>
      <c r="O1886" s="2782"/>
      <c r="P1886" s="2652"/>
    </row>
    <row r="1887" spans="1:23" s="2762" customFormat="1" ht="13.5" customHeight="1">
      <c r="A1887" s="2786" t="s">
        <v>287</v>
      </c>
      <c r="B1887" s="2408" t="s">
        <v>3744</v>
      </c>
      <c r="C1887" s="2731"/>
      <c r="D1887" s="2731"/>
      <c r="E1887" s="2731"/>
      <c r="F1887" s="2731"/>
      <c r="G1887" s="2731"/>
      <c r="H1887" s="2731"/>
      <c r="I1887" s="2731"/>
      <c r="J1887" s="2731"/>
      <c r="M1887" s="2652">
        <v>3</v>
      </c>
      <c r="N1887" s="2782"/>
      <c r="O1887" s="2782"/>
      <c r="P1887" s="2707"/>
      <c r="Q1887" s="2652" t="s">
        <v>433</v>
      </c>
      <c r="R1887" s="2500" t="s">
        <v>2626</v>
      </c>
    </row>
    <row r="1888" spans="1:23" s="2762" customFormat="1" ht="13.5" customHeight="1">
      <c r="A1888" s="2786"/>
      <c r="B1888" s="2654" t="s">
        <v>4124</v>
      </c>
      <c r="C1888" s="2731"/>
      <c r="D1888" s="2731"/>
      <c r="E1888" s="2731"/>
      <c r="F1888" s="2731"/>
      <c r="G1888" s="2731"/>
      <c r="H1888" s="2731"/>
      <c r="I1888" s="2731"/>
      <c r="J1888" s="2731"/>
      <c r="K1888" s="1550"/>
      <c r="L1888" s="2673" t="str">
        <f>IF(OR(O$150&gt;0,O$265&gt;0),"Applicant is ineligible for points in this section!  Points claimed in VI or IX.","")</f>
        <v/>
      </c>
      <c r="M1888" s="2652"/>
      <c r="N1888" s="2782"/>
      <c r="O1888" s="1550">
        <f>'Part IX Scoring Criteria'!O229</f>
        <v>0</v>
      </c>
      <c r="P1888" s="1550"/>
      <c r="Q1888" s="2652"/>
      <c r="R1888" s="2744" t="s">
        <v>6944</v>
      </c>
      <c r="S1888" s="2744"/>
      <c r="T1888" s="2744"/>
      <c r="U1888" s="2744"/>
    </row>
    <row r="1889" spans="1:23" s="2762" customFormat="1" ht="13.5" customHeight="1">
      <c r="A1889" s="2786"/>
      <c r="B1889" s="2684" t="s">
        <v>3745</v>
      </c>
      <c r="C1889" s="2731"/>
      <c r="D1889" s="2731"/>
      <c r="E1889" s="2731"/>
      <c r="F1889" s="2731"/>
      <c r="G1889" s="2731"/>
      <c r="H1889" s="2731"/>
      <c r="I1889" s="2731"/>
      <c r="J1889" s="2731"/>
      <c r="K1889" s="1550" t="s">
        <v>3141</v>
      </c>
      <c r="L1889" s="1550" t="s">
        <v>251</v>
      </c>
      <c r="M1889" s="2652"/>
      <c r="N1889" s="2782"/>
      <c r="O1889" s="2782"/>
      <c r="P1889" s="2782"/>
      <c r="Q1889" s="2652"/>
      <c r="R1889" s="2744"/>
      <c r="S1889" s="2744"/>
      <c r="T1889" s="2744"/>
      <c r="U1889" s="2744"/>
    </row>
    <row r="1890" spans="1:23" s="2762" customFormat="1" ht="11.25" customHeight="1">
      <c r="A1890" s="2673"/>
      <c r="C1890" s="2618" t="s">
        <v>4579</v>
      </c>
      <c r="K1890" s="2779">
        <f>$O$193</f>
        <v>0</v>
      </c>
      <c r="L1890" s="2779">
        <f>$P$193</f>
        <v>0</v>
      </c>
      <c r="N1890" s="2749" t="s">
        <v>2372</v>
      </c>
      <c r="O1890" s="1550">
        <f>'Part IX Scoring Criteria'!O231</f>
        <v>0</v>
      </c>
      <c r="P1890" s="1550"/>
      <c r="R1890" s="2744"/>
      <c r="S1890" s="2744"/>
      <c r="T1890" s="2744"/>
      <c r="U1890" s="2744"/>
    </row>
    <row r="1891" spans="1:23" s="2762" customFormat="1" ht="11.25" customHeight="1">
      <c r="A1891" s="2673"/>
      <c r="C1891" s="2618" t="s">
        <v>4764</v>
      </c>
      <c r="K1891" s="2779" t="str">
        <f>$O$112</f>
        <v>Required:</v>
      </c>
      <c r="L1891" s="2779">
        <f>$P$112</f>
        <v>0.05</v>
      </c>
      <c r="N1891" s="2749" t="s">
        <v>2373</v>
      </c>
      <c r="O1891" s="1550">
        <f>'Part IX Scoring Criteria'!O232</f>
        <v>0</v>
      </c>
      <c r="P1891" s="1550"/>
      <c r="R1891" s="2744"/>
      <c r="S1891" s="2744"/>
      <c r="T1891" s="2744"/>
      <c r="U1891" s="2744"/>
    </row>
    <row r="1892" spans="1:23" s="2762" customFormat="1" ht="11.25" customHeight="1">
      <c r="C1892" s="2618" t="s">
        <v>4580</v>
      </c>
      <c r="N1892" s="2749" t="s">
        <v>2374</v>
      </c>
      <c r="O1892" s="1550">
        <f>'Part IX Scoring Criteria'!O233</f>
        <v>0</v>
      </c>
      <c r="P1892" s="1550"/>
      <c r="R1892" s="2744"/>
      <c r="S1892" s="2744"/>
      <c r="T1892" s="2744"/>
      <c r="U1892" s="2744"/>
    </row>
    <row r="1893" spans="1:23" s="2762" customFormat="1" ht="11.25" customHeight="1">
      <c r="A1893" s="2673"/>
      <c r="C1893" s="2618" t="s">
        <v>4765</v>
      </c>
      <c r="K1893" s="2609">
        <f>'Part I-Project Information'!F1691</f>
        <v>0</v>
      </c>
      <c r="L1893" s="2816"/>
      <c r="N1893" s="2749" t="s">
        <v>2375</v>
      </c>
      <c r="O1893" s="2749"/>
      <c r="P1893" s="1550"/>
      <c r="R1893" s="2744"/>
      <c r="S1893" s="2744"/>
      <c r="T1893" s="2744"/>
      <c r="U1893" s="2744"/>
    </row>
    <row r="1894" spans="1:23" s="2762" customFormat="1" ht="11.25" customHeight="1">
      <c r="A1894" s="2673"/>
      <c r="C1894" s="2618" t="s">
        <v>4766</v>
      </c>
      <c r="K1894" s="2779">
        <f>$O$150</f>
        <v>0</v>
      </c>
      <c r="L1894" s="2779" t="str">
        <f>$P$150</f>
        <v>Indirect</v>
      </c>
      <c r="N1894" s="2749" t="s">
        <v>2376</v>
      </c>
      <c r="O1894" s="1550">
        <f>'Part IX Scoring Criteria'!O235</f>
        <v>0</v>
      </c>
      <c r="P1894" s="1550"/>
      <c r="R1894" s="2744"/>
      <c r="S1894" s="2744"/>
      <c r="T1894" s="2744"/>
      <c r="U1894" s="2744"/>
    </row>
    <row r="1895" spans="1:23" s="2762" customFormat="1" ht="11.25" customHeight="1">
      <c r="A1895" s="2673"/>
      <c r="C1895" s="2618" t="s">
        <v>4767</v>
      </c>
      <c r="K1895" s="2779">
        <f>$O$265</f>
        <v>0</v>
      </c>
      <c r="L1895" s="2779">
        <f>$P$265</f>
        <v>0</v>
      </c>
      <c r="N1895" s="2749" t="s">
        <v>2375</v>
      </c>
      <c r="O1895" s="1550">
        <f>'Part IX Scoring Criteria'!O236</f>
        <v>0</v>
      </c>
      <c r="P1895" s="1550"/>
      <c r="R1895" s="2744"/>
      <c r="S1895" s="2744"/>
      <c r="T1895" s="2744"/>
      <c r="U1895" s="2744"/>
    </row>
    <row r="1896" spans="1:23" s="2762" customFormat="1" ht="3" customHeight="1">
      <c r="A1896" s="2408"/>
      <c r="C1896" s="2731"/>
      <c r="D1896" s="2731"/>
      <c r="E1896" s="2731"/>
      <c r="F1896" s="2731"/>
      <c r="G1896" s="2731"/>
      <c r="H1896" s="2731"/>
      <c r="I1896" s="2731"/>
      <c r="J1896" s="2731"/>
      <c r="K1896" s="2731"/>
      <c r="L1896" s="2731"/>
      <c r="M1896" s="2731"/>
      <c r="N1896" s="2782"/>
      <c r="O1896" s="2782"/>
      <c r="P1896" s="2652"/>
      <c r="R1896" s="2744"/>
      <c r="S1896" s="2744"/>
      <c r="T1896" s="2744"/>
      <c r="U1896" s="2744"/>
    </row>
    <row r="1897" spans="1:23" ht="11.25" customHeight="1">
      <c r="A1897" s="2673" t="s">
        <v>1936</v>
      </c>
      <c r="B1897" s="2654" t="s">
        <v>6876</v>
      </c>
      <c r="D1897" s="2408"/>
      <c r="G1897" s="2760" t="s">
        <v>3598</v>
      </c>
      <c r="Q1897" s="2542"/>
      <c r="R1897" s="2744"/>
      <c r="S1897" s="2744"/>
      <c r="T1897" s="2744"/>
      <c r="U1897" s="2744"/>
    </row>
    <row r="1898" spans="1:23" s="2408" customFormat="1" ht="11.25" customHeight="1">
      <c r="A1898" s="2749"/>
      <c r="C1898" s="512" t="s">
        <v>3650</v>
      </c>
      <c r="E1898" s="512">
        <f>'Part IX Scoring Criteria'!E239</f>
        <v>0</v>
      </c>
      <c r="F1898" s="512"/>
      <c r="G1898" s="512"/>
      <c r="H1898" s="512"/>
      <c r="I1898" s="512"/>
      <c r="J1898" s="2684" t="s">
        <v>2625</v>
      </c>
      <c r="K1898" s="512">
        <f>'Part IX Scoring Criteria'!K239</f>
        <v>0</v>
      </c>
      <c r="L1898" s="512"/>
      <c r="M1898" s="512"/>
      <c r="N1898" s="512"/>
      <c r="O1898" s="512"/>
      <c r="Q1898" s="2542"/>
      <c r="R1898" s="2744"/>
      <c r="S1898" s="2744"/>
      <c r="T1898" s="2744"/>
      <c r="U1898" s="2744"/>
    </row>
    <row r="1899" spans="1:23" s="2408" customFormat="1" ht="11.25" customHeight="1">
      <c r="A1899" s="2749"/>
      <c r="C1899" s="512" t="s">
        <v>2144</v>
      </c>
      <c r="E1899" s="512">
        <f>'Part IX Scoring Criteria'!E240</f>
        <v>0</v>
      </c>
      <c r="F1899" s="512"/>
      <c r="G1899" s="512"/>
      <c r="H1899" s="512" t="s">
        <v>1679</v>
      </c>
      <c r="I1899" s="2830">
        <f>'Part IX Scoring Criteria'!I240</f>
        <v>0</v>
      </c>
      <c r="J1899" s="2684" t="s">
        <v>1755</v>
      </c>
      <c r="K1899" s="512">
        <f>'Part IX Scoring Criteria'!K240</f>
        <v>0</v>
      </c>
      <c r="L1899" s="512"/>
      <c r="M1899" s="512"/>
      <c r="N1899" s="512"/>
      <c r="O1899" s="512"/>
      <c r="Q1899" s="2542"/>
      <c r="R1899" s="2744"/>
      <c r="S1899" s="2744"/>
      <c r="T1899" s="2744"/>
      <c r="U1899" s="2744"/>
      <c r="V1899" s="2728"/>
      <c r="W1899" s="2728"/>
    </row>
    <row r="1900" spans="1:23" ht="3" customHeight="1">
      <c r="A1900" s="2749"/>
      <c r="C1900" s="2729"/>
      <c r="D1900" s="2729"/>
      <c r="E1900" s="2729"/>
      <c r="F1900" s="2729"/>
      <c r="G1900" s="2729"/>
      <c r="H1900" s="2729"/>
      <c r="I1900" s="2729"/>
      <c r="J1900" s="2729"/>
      <c r="K1900" s="2729"/>
      <c r="L1900" s="2729"/>
      <c r="Q1900" s="2542"/>
      <c r="R1900" s="2744"/>
      <c r="S1900" s="2744"/>
      <c r="T1900" s="2744"/>
      <c r="U1900" s="2744"/>
    </row>
    <row r="1901" spans="1:23" ht="10.5" customHeight="1">
      <c r="A1901" s="2749"/>
      <c r="B1901" s="2823" t="s">
        <v>1939</v>
      </c>
      <c r="C1901" s="2729" t="s">
        <v>3746</v>
      </c>
      <c r="D1901" s="2729"/>
      <c r="E1901" s="2729"/>
      <c r="F1901" s="2729"/>
      <c r="G1901" s="2729"/>
      <c r="H1901" s="2729"/>
      <c r="I1901" s="2729"/>
      <c r="J1901" s="2729"/>
      <c r="K1901" s="2729"/>
      <c r="L1901" s="2729"/>
      <c r="M1901" s="2729"/>
      <c r="N1901" s="2729"/>
      <c r="O1901" s="1550" t="s">
        <v>2444</v>
      </c>
      <c r="P1901" s="1550" t="s">
        <v>2444</v>
      </c>
      <c r="Q1901" s="2729"/>
      <c r="R1901" s="2744"/>
      <c r="S1901" s="2744"/>
      <c r="T1901" s="2744"/>
      <c r="U1901" s="2744"/>
    </row>
    <row r="1902" spans="1:23" s="2408" customFormat="1" ht="21.75" customHeight="1">
      <c r="A1902" s="1550"/>
      <c r="B1902" s="2731"/>
      <c r="C1902" s="512" t="s">
        <v>6907</v>
      </c>
      <c r="D1902" s="512"/>
      <c r="E1902" s="512"/>
      <c r="F1902" s="512"/>
      <c r="G1902" s="512"/>
      <c r="H1902" s="512"/>
      <c r="I1902" s="512"/>
      <c r="J1902" s="512"/>
      <c r="K1902" s="512"/>
      <c r="L1902" s="512"/>
      <c r="M1902" s="512"/>
      <c r="N1902" s="2776" t="s">
        <v>1939</v>
      </c>
      <c r="O1902" s="2740">
        <f>'Part IX Scoring Criteria'!O243</f>
        <v>0</v>
      </c>
      <c r="P1902" s="2740"/>
      <c r="Q1902" s="2729"/>
      <c r="V1902" s="2728"/>
      <c r="W1902" s="2728"/>
    </row>
    <row r="1903" spans="1:23" ht="11.25" customHeight="1">
      <c r="A1903" s="2749"/>
      <c r="B1903" s="2823" t="s">
        <v>1941</v>
      </c>
      <c r="C1903" s="2729" t="s">
        <v>3748</v>
      </c>
      <c r="D1903" s="2729"/>
      <c r="E1903" s="2729"/>
      <c r="F1903" s="2729"/>
      <c r="G1903" s="2760" t="s">
        <v>3598</v>
      </c>
      <c r="H1903" s="2729"/>
      <c r="I1903" s="2729"/>
      <c r="J1903" s="2729"/>
      <c r="K1903" s="2729"/>
      <c r="L1903" s="2729"/>
      <c r="M1903" s="2729"/>
      <c r="N1903" s="2729"/>
      <c r="O1903" s="1550" t="s">
        <v>2444</v>
      </c>
      <c r="P1903" s="1550" t="s">
        <v>2444</v>
      </c>
      <c r="Q1903" s="2729"/>
    </row>
    <row r="1904" spans="1:23" ht="21" customHeight="1">
      <c r="A1904" s="2749"/>
      <c r="B1904" s="2730"/>
      <c r="C1904" s="2729" t="s">
        <v>6995</v>
      </c>
      <c r="D1904" s="2729"/>
      <c r="E1904" s="2729"/>
      <c r="F1904" s="2729"/>
      <c r="G1904" s="2729"/>
      <c r="H1904" s="2729"/>
      <c r="I1904" s="2729"/>
      <c r="J1904" s="2729"/>
      <c r="K1904" s="2729"/>
      <c r="L1904" s="2729"/>
      <c r="M1904" s="2729"/>
      <c r="N1904" s="2776" t="s">
        <v>1941</v>
      </c>
      <c r="O1904" s="2740">
        <f>'Part IX Scoring Criteria'!O245</f>
        <v>0</v>
      </c>
      <c r="P1904" s="2740"/>
      <c r="Q1904" s="2649"/>
      <c r="V1904" s="2728"/>
      <c r="W1904" s="2728"/>
    </row>
    <row r="1905" spans="1:24" ht="11.25" customHeight="1">
      <c r="A1905" s="2673"/>
      <c r="B1905" s="2831" t="s">
        <v>2468</v>
      </c>
      <c r="C1905" s="512" t="s">
        <v>3601</v>
      </c>
      <c r="D1905" s="2408"/>
      <c r="Q1905" s="2652"/>
    </row>
    <row r="1906" spans="1:24" s="2408" customFormat="1" ht="21.75" customHeight="1">
      <c r="A1906" s="2749"/>
      <c r="B1906" s="2749"/>
      <c r="C1906" s="2729" t="s">
        <v>3750</v>
      </c>
      <c r="D1906" s="2729"/>
      <c r="E1906" s="2729"/>
      <c r="F1906" s="2729"/>
      <c r="G1906" s="2729"/>
      <c r="H1906" s="2729"/>
      <c r="I1906" s="2729"/>
      <c r="J1906" s="2729"/>
      <c r="K1906" s="2729"/>
      <c r="L1906" s="2729"/>
      <c r="M1906" s="2729"/>
      <c r="N1906" s="2776" t="s">
        <v>2468</v>
      </c>
      <c r="O1906" s="2740">
        <f>'Part IX Scoring Criteria'!O247</f>
        <v>0</v>
      </c>
      <c r="P1906" s="2740"/>
      <c r="Q1906" s="2649"/>
      <c r="V1906" s="2728"/>
      <c r="W1906" s="2728"/>
    </row>
    <row r="1907" spans="1:24" s="2408" customFormat="1" ht="10.5" customHeight="1">
      <c r="A1907" s="2749"/>
      <c r="B1907" s="2749"/>
      <c r="C1907" s="2731"/>
      <c r="D1907" s="2731"/>
      <c r="E1907" s="2731"/>
      <c r="F1907" s="2731"/>
      <c r="G1907" s="2731" t="s">
        <v>4390</v>
      </c>
      <c r="H1907" s="2731"/>
      <c r="J1907" s="2701">
        <f>'Part IX Scoring Criteria'!J248</f>
        <v>0</v>
      </c>
      <c r="K1907" s="2701"/>
      <c r="L1907" s="2731"/>
      <c r="M1907" s="2731"/>
      <c r="N1907" s="2731"/>
      <c r="O1907" s="2731"/>
      <c r="P1907" s="2731"/>
      <c r="Q1907" s="2649"/>
      <c r="V1907" s="2728"/>
      <c r="W1907" s="2728"/>
    </row>
    <row r="1908" spans="1:24" s="2607" customFormat="1" ht="21" customHeight="1">
      <c r="A1908" s="2730"/>
      <c r="B1908" s="2730" t="s">
        <v>2372</v>
      </c>
      <c r="C1908" s="2729" t="s">
        <v>3751</v>
      </c>
      <c r="D1908" s="2729"/>
      <c r="E1908" s="2729"/>
      <c r="F1908" s="2729"/>
      <c r="G1908" s="2729"/>
      <c r="H1908" s="2729"/>
      <c r="I1908" s="2729"/>
      <c r="J1908" s="2729"/>
      <c r="K1908" s="2729"/>
      <c r="L1908" s="2729"/>
      <c r="M1908" s="2729"/>
      <c r="N1908" s="2730" t="s">
        <v>2372</v>
      </c>
      <c r="O1908" s="2740">
        <f>'Part IX Scoring Criteria'!O249</f>
        <v>0</v>
      </c>
      <c r="P1908" s="2740"/>
      <c r="Q1908" s="2692"/>
      <c r="V1908" s="2812"/>
      <c r="W1908" s="2812"/>
    </row>
    <row r="1909" spans="1:24" s="2408" customFormat="1" ht="11.25" customHeight="1">
      <c r="A1909" s="2749"/>
      <c r="B1909" s="2749" t="s">
        <v>2373</v>
      </c>
      <c r="C1909" s="512" t="s">
        <v>4324</v>
      </c>
      <c r="D1909" s="512"/>
      <c r="E1909" s="512"/>
      <c r="F1909" s="512"/>
      <c r="G1909" s="512"/>
      <c r="H1909" s="512"/>
      <c r="I1909" s="512"/>
      <c r="J1909" s="512"/>
      <c r="K1909" s="512"/>
      <c r="L1909" s="512"/>
      <c r="M1909" s="512"/>
      <c r="N1909" s="2749" t="s">
        <v>2373</v>
      </c>
      <c r="O1909" s="1550">
        <f>'Part IX Scoring Criteria'!O250</f>
        <v>0</v>
      </c>
      <c r="P1909" s="1550"/>
      <c r="Q1909" s="2649"/>
      <c r="V1909" s="2728"/>
      <c r="W1909" s="2728"/>
    </row>
    <row r="1910" spans="1:24" ht="11.25" customHeight="1">
      <c r="A1910" s="2673"/>
      <c r="B1910" s="2831" t="s">
        <v>1198</v>
      </c>
      <c r="C1910" s="512" t="s">
        <v>4325</v>
      </c>
      <c r="D1910" s="2408"/>
      <c r="Q1910" s="2652"/>
    </row>
    <row r="1911" spans="1:24" s="2408" customFormat="1" ht="11.25" customHeight="1">
      <c r="A1911" s="2749"/>
      <c r="B1911" s="2749"/>
      <c r="C1911" s="512" t="s">
        <v>4610</v>
      </c>
      <c r="D1911" s="512"/>
      <c r="E1911" s="512"/>
      <c r="F1911" s="512"/>
      <c r="G1911" s="512"/>
      <c r="H1911" s="512"/>
      <c r="I1911" s="512"/>
      <c r="J1911" s="512"/>
      <c r="K1911" s="512"/>
      <c r="L1911" s="512"/>
      <c r="M1911" s="512"/>
      <c r="N1911" s="2776" t="s">
        <v>1198</v>
      </c>
      <c r="O1911" s="1550">
        <f>'Part IX Scoring Criteria'!O252</f>
        <v>0</v>
      </c>
      <c r="P1911" s="1550"/>
      <c r="Q1911" s="2649"/>
      <c r="V1911" s="2728"/>
      <c r="W1911" s="2728"/>
    </row>
    <row r="1912" spans="1:24" ht="11.4" customHeight="1">
      <c r="A1912" s="2673" t="s">
        <v>1938</v>
      </c>
      <c r="B1912" s="2654" t="s">
        <v>6877</v>
      </c>
      <c r="D1912" s="2408"/>
      <c r="G1912" s="2760" t="s">
        <v>3598</v>
      </c>
      <c r="O1912" s="1550" t="s">
        <v>2444</v>
      </c>
      <c r="P1912" s="1550" t="s">
        <v>2444</v>
      </c>
      <c r="Q1912" s="2542"/>
    </row>
    <row r="1913" spans="1:24" ht="22.5" customHeight="1">
      <c r="B1913" s="2823" t="s">
        <v>1939</v>
      </c>
      <c r="C1913" s="512" t="s">
        <v>4582</v>
      </c>
      <c r="D1913" s="512"/>
      <c r="E1913" s="512"/>
      <c r="F1913" s="512"/>
      <c r="G1913" s="512"/>
      <c r="H1913" s="512"/>
      <c r="I1913" s="512"/>
      <c r="J1913" s="512"/>
      <c r="K1913" s="512"/>
      <c r="L1913" s="512"/>
      <c r="M1913" s="2750" t="s">
        <v>1938</v>
      </c>
      <c r="N1913" s="2776" t="s">
        <v>1939</v>
      </c>
      <c r="O1913" s="2740">
        <f>'Part IX Scoring Criteria'!O254</f>
        <v>0</v>
      </c>
      <c r="P1913" s="2740"/>
      <c r="Q1913" s="2542"/>
      <c r="V1913" s="2728"/>
      <c r="W1913" s="2728"/>
    </row>
    <row r="1914" spans="1:24" s="2408" customFormat="1" ht="11.25" customHeight="1">
      <c r="A1914" s="2749"/>
      <c r="B1914" s="2823" t="s">
        <v>1941</v>
      </c>
      <c r="C1914" s="2684" t="s">
        <v>4583</v>
      </c>
      <c r="D1914" s="512"/>
      <c r="E1914" s="512"/>
      <c r="F1914" s="512"/>
      <c r="G1914" s="512"/>
      <c r="H1914" s="512"/>
      <c r="I1914" s="512"/>
      <c r="J1914" s="512"/>
      <c r="K1914" s="512"/>
      <c r="L1914" s="512"/>
      <c r="M1914" s="512"/>
      <c r="N1914" s="2776" t="s">
        <v>1941</v>
      </c>
      <c r="O1914" s="1550">
        <f>'Part IX Scoring Criteria'!O255</f>
        <v>0</v>
      </c>
      <c r="P1914" s="1550"/>
      <c r="Q1914" s="2649"/>
      <c r="V1914" s="2832"/>
      <c r="W1914" s="2832"/>
    </row>
    <row r="1915" spans="1:24" s="2762" customFormat="1" ht="12" customHeight="1">
      <c r="A1915" s="2408"/>
      <c r="B1915" s="512" t="s">
        <v>3572</v>
      </c>
      <c r="C1915" s="2408"/>
      <c r="D1915" s="2654"/>
      <c r="E1915" s="2654"/>
      <c r="F1915" s="2654"/>
      <c r="G1915" s="2654"/>
      <c r="H1915" s="512"/>
      <c r="I1915" s="512"/>
      <c r="M1915" s="2652"/>
      <c r="N1915" s="2613"/>
      <c r="O1915" s="2707"/>
      <c r="P1915" s="2613"/>
    </row>
    <row r="1916" spans="1:24" s="2762" customFormat="1" ht="45.6" customHeight="1">
      <c r="A1916" s="2729">
        <f>'Part IX Scoring Criteria'!A257</f>
        <v>0</v>
      </c>
      <c r="B1916" s="2729"/>
      <c r="C1916" s="2729"/>
      <c r="D1916" s="2729"/>
      <c r="E1916" s="2729"/>
      <c r="F1916" s="2729"/>
      <c r="G1916" s="2729"/>
      <c r="H1916" s="2729"/>
      <c r="I1916" s="2729"/>
      <c r="J1916" s="2729"/>
      <c r="K1916" s="2729"/>
      <c r="L1916" s="2729"/>
      <c r="M1916" s="2729"/>
      <c r="N1916" s="2729"/>
      <c r="O1916" s="2729"/>
      <c r="P1916" s="2729"/>
      <c r="Q1916" s="2497" t="s">
        <v>1228</v>
      </c>
    </row>
    <row r="1917" spans="1:24" s="2762" customFormat="1" ht="10.5" customHeight="1">
      <c r="A1917" s="2408"/>
      <c r="B1917" s="2729" t="s">
        <v>1820</v>
      </c>
      <c r="C1917" s="2408"/>
      <c r="D1917" s="2729"/>
      <c r="E1917" s="2731"/>
      <c r="F1917" s="2731"/>
      <c r="G1917" s="2731"/>
      <c r="H1917" s="2731"/>
      <c r="I1917" s="2731"/>
      <c r="J1917" s="2731"/>
      <c r="K1917" s="2731"/>
      <c r="L1917" s="2731"/>
      <c r="M1917" s="2731"/>
      <c r="N1917" s="2782"/>
      <c r="O1917" s="2782"/>
      <c r="P1917" s="2652"/>
    </row>
    <row r="1918" spans="1:24" s="2762" customFormat="1" ht="22.2" customHeight="1">
      <c r="A1918" s="2559"/>
      <c r="B1918" s="2559"/>
      <c r="C1918" s="2559"/>
      <c r="D1918" s="2559"/>
      <c r="E1918" s="2559"/>
      <c r="F1918" s="2559"/>
      <c r="G1918" s="2559"/>
      <c r="H1918" s="2559"/>
      <c r="I1918" s="2559"/>
      <c r="J1918" s="2559"/>
      <c r="K1918" s="2559"/>
      <c r="L1918" s="2559"/>
      <c r="M1918" s="2559"/>
      <c r="N1918" s="2559"/>
      <c r="O1918" s="2559"/>
      <c r="P1918" s="2559"/>
      <c r="Q1918" s="2497"/>
    </row>
    <row r="1919" spans="1:24" ht="3.6" customHeight="1">
      <c r="N1919" s="2613"/>
      <c r="O1919" s="2613"/>
      <c r="P1919" s="2613"/>
      <c r="V1919" s="2762"/>
      <c r="W1919" s="2762"/>
      <c r="X1919" s="2762"/>
    </row>
    <row r="1920" spans="1:24" s="2767" customFormat="1" ht="12.6" customHeight="1">
      <c r="A1920" s="2786" t="s">
        <v>418</v>
      </c>
      <c r="B1920" s="2408" t="s">
        <v>2695</v>
      </c>
      <c r="D1920" s="512"/>
      <c r="E1920" s="512"/>
      <c r="G1920" s="2505" t="s">
        <v>4757</v>
      </c>
      <c r="M1920" s="2652">
        <v>5</v>
      </c>
      <c r="N1920" s="2652"/>
      <c r="O1920" s="2660">
        <f>'Part IX Scoring Criteria'!O261</f>
        <v>0</v>
      </c>
      <c r="P1920" s="2660">
        <f>'Part IX Scoring Criteria'!P261</f>
        <v>0</v>
      </c>
      <c r="Q1920" s="2652" t="s">
        <v>433</v>
      </c>
      <c r="S1920" s="2580" t="s">
        <v>4601</v>
      </c>
      <c r="T1920" s="2580"/>
      <c r="U1920" s="2580"/>
      <c r="V1920" s="2762"/>
      <c r="W1920" s="2762"/>
      <c r="X1920" s="2762"/>
    </row>
    <row r="1921" spans="1:24" s="2767" customFormat="1" ht="1.5" customHeight="1">
      <c r="A1921" s="2786"/>
      <c r="B1921" s="2408"/>
      <c r="D1921" s="512"/>
      <c r="E1921" s="512"/>
      <c r="G1921" s="2505"/>
      <c r="M1921" s="1550"/>
      <c r="Q1921" s="2652"/>
      <c r="S1921" s="2580"/>
      <c r="T1921" s="2580"/>
      <c r="U1921" s="2580"/>
      <c r="V1921" s="2762"/>
      <c r="W1921" s="2762"/>
      <c r="X1921" s="2762"/>
    </row>
    <row r="1922" spans="1:24" s="2767" customFormat="1" ht="11.25" customHeight="1">
      <c r="A1922" s="2833" t="s">
        <v>1936</v>
      </c>
      <c r="B1922" s="2654" t="s">
        <v>4326</v>
      </c>
      <c r="D1922" s="512"/>
      <c r="E1922" s="512"/>
      <c r="G1922" s="2760" t="s">
        <v>4738</v>
      </c>
      <c r="I1922" s="2817" t="str">
        <f>'Part I-Project Information'!$O$38</f>
        <v>105.04</v>
      </c>
      <c r="K1922" s="2834"/>
      <c r="M1922" s="2652">
        <v>3</v>
      </c>
      <c r="N1922" s="2654"/>
      <c r="O1922" s="2660">
        <f>'Part IX Scoring Criteria'!O263</f>
        <v>0</v>
      </c>
      <c r="P1922" s="2652"/>
      <c r="Q1922" s="2652"/>
      <c r="S1922" s="2580"/>
      <c r="T1922" s="2580"/>
      <c r="U1922" s="2580"/>
      <c r="V1922" s="2762"/>
      <c r="W1922" s="2762"/>
      <c r="X1922" s="2762"/>
    </row>
    <row r="1923" spans="1:24" ht="11.4" customHeight="1">
      <c r="A1923" s="2833"/>
      <c r="B1923" s="2654" t="s">
        <v>2703</v>
      </c>
      <c r="C1923" s="2650"/>
      <c r="D1923" s="2650"/>
      <c r="G1923" s="2654" t="str">
        <f>'Part I-Project Information'!$H$105</f>
        <v>N/A - 4% Bond</v>
      </c>
      <c r="N1923" s="2759" t="s">
        <v>1936</v>
      </c>
      <c r="O1923" s="2619" t="s">
        <v>2444</v>
      </c>
      <c r="P1923" s="2619" t="s">
        <v>2444</v>
      </c>
      <c r="S1923" s="2580"/>
      <c r="T1923" s="2580"/>
      <c r="U1923" s="2580"/>
      <c r="V1923" s="2762"/>
      <c r="W1923" s="2762"/>
      <c r="X1923" s="2762"/>
    </row>
    <row r="1924" spans="1:24" ht="11.4" customHeight="1">
      <c r="A1924" s="2833"/>
      <c r="B1924" s="2831" t="s">
        <v>1939</v>
      </c>
      <c r="C1924" s="2618" t="s">
        <v>2609</v>
      </c>
      <c r="M1924" s="2613"/>
      <c r="N1924" s="2781" t="s">
        <v>1939</v>
      </c>
      <c r="O1924" s="1550">
        <f>'Part IX Scoring Criteria'!O265</f>
        <v>0</v>
      </c>
      <c r="P1924" s="1550"/>
      <c r="Q1924" s="2497" t="str">
        <f>IF(AND(O1924="Yes",O1927="Yes"),"Only 1 or 4 can be 'Yes'!","")</f>
        <v/>
      </c>
      <c r="R1924" s="2497"/>
      <c r="S1924" s="2580"/>
      <c r="T1924" s="2580"/>
      <c r="U1924" s="2580"/>
    </row>
    <row r="1925" spans="1:24" ht="11.4" customHeight="1">
      <c r="B1925" s="2831" t="s">
        <v>1941</v>
      </c>
      <c r="C1925" s="2618" t="s">
        <v>2654</v>
      </c>
      <c r="G1925" s="2618" t="s">
        <v>2327</v>
      </c>
      <c r="I1925" s="2780" t="str">
        <f>'Part IX Scoring Criteria'!I266</f>
        <v>&lt; Select &gt;</v>
      </c>
      <c r="J1925" s="2618" t="s">
        <v>2655</v>
      </c>
      <c r="L1925" s="512" t="s">
        <v>2653</v>
      </c>
      <c r="M1925" s="512" t="str">
        <f>IF(O1925&gt;I1925,"CHECK ACTUAL PERCENT!!!","")</f>
        <v/>
      </c>
      <c r="N1925" s="2781" t="s">
        <v>1941</v>
      </c>
      <c r="O1925" s="2835">
        <f>'Part IX Scoring Criteria'!O266</f>
        <v>0</v>
      </c>
      <c r="P1925" s="2755"/>
      <c r="Q1925" s="2497"/>
      <c r="R1925" s="2497"/>
      <c r="S1925" s="2580"/>
      <c r="T1925" s="2580"/>
      <c r="U1925" s="2580"/>
    </row>
    <row r="1926" spans="1:24" ht="11.4" customHeight="1">
      <c r="B1926" s="2831" t="s">
        <v>2468</v>
      </c>
      <c r="C1926" s="2618" t="s">
        <v>2328</v>
      </c>
      <c r="G1926" s="2618" t="s">
        <v>2329</v>
      </c>
      <c r="J1926" s="2836" t="s">
        <v>4478</v>
      </c>
      <c r="L1926" s="2684" t="s">
        <v>2648</v>
      </c>
      <c r="M1926" s="2408"/>
      <c r="N1926" s="2781" t="s">
        <v>2468</v>
      </c>
      <c r="O1926" s="1550" t="str">
        <f>'Part IX Scoring Criteria'!O267</f>
        <v>&lt;Select&gt;</v>
      </c>
      <c r="P1926" s="1550" t="s">
        <v>197</v>
      </c>
      <c r="Q1926" s="2497"/>
      <c r="R1926" s="2497"/>
      <c r="S1926" s="2580"/>
      <c r="T1926" s="2580"/>
      <c r="U1926" s="2580"/>
    </row>
    <row r="1927" spans="1:24" s="2607" customFormat="1" ht="11.4" customHeight="1">
      <c r="B1927" s="2823" t="s">
        <v>1198</v>
      </c>
      <c r="C1927" s="2729" t="s">
        <v>6996</v>
      </c>
      <c r="D1927" s="2729"/>
      <c r="E1927" s="2729"/>
      <c r="F1927" s="2729"/>
      <c r="G1927" s="2729"/>
      <c r="H1927" s="2729"/>
      <c r="I1927" s="2729"/>
      <c r="J1927" s="2836"/>
      <c r="K1927" s="2836" t="s">
        <v>3752</v>
      </c>
      <c r="M1927" s="2251">
        <v>2</v>
      </c>
      <c r="N1927" s="2781" t="s">
        <v>1198</v>
      </c>
      <c r="O1927" s="2740">
        <f>'Part IX Scoring Criteria'!O268</f>
        <v>0</v>
      </c>
      <c r="P1927" s="2740"/>
      <c r="Q1927" s="2497"/>
      <c r="R1927" s="2497"/>
      <c r="S1927" s="2580"/>
      <c r="T1927" s="2580"/>
      <c r="U1927" s="2580"/>
    </row>
    <row r="1928" spans="1:24" ht="11.4" customHeight="1">
      <c r="B1928" s="2803"/>
      <c r="C1928" s="2729"/>
      <c r="D1928" s="2729"/>
      <c r="E1928" s="2729"/>
      <c r="F1928" s="2729"/>
      <c r="G1928" s="2729"/>
      <c r="H1928" s="2729"/>
      <c r="I1928" s="2729"/>
      <c r="J1928" s="2836"/>
      <c r="K1928" s="2836"/>
      <c r="L1928" s="2732" t="s">
        <v>3788</v>
      </c>
      <c r="M1928" s="2732"/>
      <c r="O1928" s="2613"/>
      <c r="P1928" s="2613"/>
      <c r="S1928" s="2580"/>
      <c r="T1928" s="2580"/>
      <c r="U1928" s="2580"/>
    </row>
    <row r="1929" spans="1:24" ht="23.25" customHeight="1">
      <c r="B1929" s="2803"/>
      <c r="C1929" s="2729"/>
      <c r="D1929" s="2729"/>
      <c r="E1929" s="2729"/>
      <c r="F1929" s="2729"/>
      <c r="G1929" s="2729"/>
      <c r="H1929" s="2729"/>
      <c r="I1929" s="2729"/>
      <c r="J1929" s="2837">
        <f>'Part IX Scoring Criteria'!J270</f>
        <v>0</v>
      </c>
      <c r="K1929" s="2838">
        <f>'Part IX Scoring Criteria'!K270</f>
        <v>0</v>
      </c>
      <c r="L1929" s="2779">
        <f>'Part IX Scoring Criteria'!L270</f>
        <v>0</v>
      </c>
      <c r="M1929" s="2839">
        <f>'Part IX Scoring Criteria'!M270</f>
        <v>0</v>
      </c>
      <c r="O1929" s="2613"/>
      <c r="P1929" s="2613"/>
      <c r="S1929" s="2580"/>
      <c r="T1929" s="2580"/>
      <c r="U1929" s="2580"/>
    </row>
    <row r="1930" spans="1:24" ht="2.25" customHeight="1">
      <c r="A1930" s="2650"/>
      <c r="B1930" s="2831"/>
      <c r="C1930" s="2618"/>
      <c r="M1930" s="2652"/>
      <c r="N1930" s="2489"/>
      <c r="O1930" s="2652"/>
      <c r="P1930" s="2652"/>
      <c r="S1930" s="2580"/>
      <c r="T1930" s="2580"/>
      <c r="U1930" s="2580"/>
    </row>
    <row r="1931" spans="1:24" ht="11.4" customHeight="1">
      <c r="A1931" s="2489" t="s">
        <v>1938</v>
      </c>
      <c r="B1931" s="2831" t="s">
        <v>4327</v>
      </c>
      <c r="C1931" s="2618"/>
      <c r="G1931" s="2760" t="s">
        <v>6808</v>
      </c>
      <c r="I1931" s="2797">
        <f>'Part IX Scoring Criteria'!I272</f>
        <v>0</v>
      </c>
      <c r="K1931" s="2759" t="s">
        <v>4619</v>
      </c>
      <c r="L1931" s="2770">
        <f>'Part IX Scoring Criteria'!L272</f>
        <v>0</v>
      </c>
      <c r="M1931" s="2652">
        <v>2</v>
      </c>
      <c r="N1931" s="2673" t="s">
        <v>1938</v>
      </c>
      <c r="O1931" s="2707">
        <f>'Part IX Scoring Criteria'!O272</f>
        <v>0</v>
      </c>
      <c r="P1931" s="2707"/>
      <c r="Q1931" s="2766" t="str">
        <f>IF(O1931&lt;=M1931,"","*CHECK!*")</f>
        <v/>
      </c>
      <c r="R1931" s="2500" t="s">
        <v>4775</v>
      </c>
      <c r="S1931" s="2580"/>
      <c r="T1931" s="2580"/>
      <c r="U1931" s="2580"/>
    </row>
    <row r="1932" spans="1:24" ht="11.4" customHeight="1">
      <c r="A1932" s="2650"/>
      <c r="B1932" s="2831" t="s">
        <v>1939</v>
      </c>
      <c r="C1932" s="512" t="s">
        <v>4474</v>
      </c>
      <c r="D1932" s="512"/>
      <c r="E1932" s="2840"/>
      <c r="F1932" s="2841"/>
      <c r="G1932" s="512" t="s">
        <v>4328</v>
      </c>
      <c r="H1932" s="512"/>
      <c r="I1932" s="512"/>
      <c r="J1932" s="2408"/>
      <c r="K1932" s="2408"/>
      <c r="L1932" s="2505" t="s">
        <v>6809</v>
      </c>
      <c r="M1932" s="2652"/>
      <c r="N1932" s="2781" t="s">
        <v>1939</v>
      </c>
      <c r="O1932" s="2740">
        <f>'Part IX Scoring Criteria'!O273</f>
        <v>0</v>
      </c>
      <c r="P1932" s="2740"/>
      <c r="Q1932" s="2766"/>
      <c r="R1932" s="2500"/>
      <c r="S1932" s="2580"/>
      <c r="T1932" s="2580"/>
      <c r="U1932" s="2580"/>
    </row>
    <row r="1933" spans="1:24" ht="11.4" customHeight="1">
      <c r="A1933" s="2650"/>
      <c r="B1933" s="2831" t="s">
        <v>1941</v>
      </c>
      <c r="C1933" s="512" t="s">
        <v>4475</v>
      </c>
      <c r="D1933" s="512"/>
      <c r="E1933" s="2840"/>
      <c r="F1933" s="1550"/>
      <c r="G1933" s="512" t="s">
        <v>4329</v>
      </c>
      <c r="H1933" s="512"/>
      <c r="I1933" s="512"/>
      <c r="J1933" s="2408"/>
      <c r="K1933" s="2408"/>
      <c r="L1933" s="2505" t="s">
        <v>6809</v>
      </c>
      <c r="M1933" s="2613"/>
      <c r="N1933" s="2781" t="s">
        <v>1941</v>
      </c>
      <c r="O1933" s="1550">
        <f>'Part IX Scoring Criteria'!O274</f>
        <v>0</v>
      </c>
      <c r="P1933" s="1550"/>
      <c r="Q1933" s="2766"/>
      <c r="R1933" s="2500"/>
      <c r="S1933" s="2580"/>
      <c r="T1933" s="2580"/>
      <c r="U1933" s="2580"/>
    </row>
    <row r="1934" spans="1:24" ht="2.25" customHeight="1">
      <c r="A1934" s="2650"/>
      <c r="B1934" s="2831"/>
      <c r="C1934" s="2618"/>
      <c r="M1934" s="2652"/>
      <c r="N1934" s="2489"/>
      <c r="O1934" s="2652"/>
      <c r="P1934" s="2652"/>
    </row>
    <row r="1935" spans="1:24" s="2762" customFormat="1" ht="10.5" customHeight="1">
      <c r="A1935" s="2408"/>
      <c r="B1935" s="512" t="s">
        <v>3572</v>
      </c>
      <c r="C1935" s="2408"/>
      <c r="D1935" s="2654"/>
      <c r="E1935" s="2654"/>
      <c r="F1935" s="2654"/>
      <c r="G1935" s="2654"/>
      <c r="H1935" s="512"/>
      <c r="I1935" s="512"/>
      <c r="J1935" s="512"/>
      <c r="K1935" s="512"/>
      <c r="M1935" s="2652"/>
      <c r="N1935" s="2613"/>
      <c r="O1935" s="2707"/>
      <c r="P1935" s="2613"/>
    </row>
    <row r="1936" spans="1:24" s="2762" customFormat="1" ht="34.799999999999997" customHeight="1">
      <c r="A1936" s="2729">
        <f>'Part IX Scoring Criteria'!A277</f>
        <v>0</v>
      </c>
      <c r="B1936" s="2729"/>
      <c r="C1936" s="2729"/>
      <c r="D1936" s="2729"/>
      <c r="E1936" s="2729"/>
      <c r="F1936" s="2729"/>
      <c r="G1936" s="2729"/>
      <c r="H1936" s="2729"/>
      <c r="I1936" s="2729"/>
      <c r="J1936" s="2729"/>
      <c r="K1936" s="2729"/>
      <c r="L1936" s="2729"/>
      <c r="M1936" s="2729"/>
      <c r="N1936" s="2729"/>
      <c r="O1936" s="2729"/>
      <c r="P1936" s="2729"/>
      <c r="Q1936" s="2497" t="s">
        <v>1228</v>
      </c>
    </row>
    <row r="1937" spans="1:22" ht="2.25" customHeight="1">
      <c r="A1937" s="2650"/>
      <c r="B1937" s="2831"/>
      <c r="C1937" s="2618"/>
      <c r="M1937" s="2652"/>
      <c r="N1937" s="2489"/>
      <c r="O1937" s="2652"/>
      <c r="P1937" s="2652"/>
    </row>
    <row r="1938" spans="1:22" s="2762" customFormat="1" ht="10.5" customHeight="1">
      <c r="A1938" s="2408"/>
      <c r="B1938" s="2729" t="s">
        <v>1820</v>
      </c>
      <c r="C1938" s="2408"/>
      <c r="D1938" s="2729"/>
      <c r="E1938" s="2731"/>
      <c r="F1938" s="2731"/>
      <c r="G1938" s="2731"/>
      <c r="H1938" s="2731"/>
      <c r="I1938" s="2731"/>
      <c r="J1938" s="2731"/>
      <c r="K1938" s="2731"/>
      <c r="L1938" s="2731"/>
      <c r="M1938" s="2731"/>
      <c r="N1938" s="2782"/>
      <c r="O1938" s="2782"/>
      <c r="P1938" s="2652"/>
    </row>
    <row r="1939" spans="1:22" s="2762" customFormat="1" ht="11.25" customHeight="1">
      <c r="A1939" s="2559"/>
      <c r="B1939" s="2559"/>
      <c r="C1939" s="2559"/>
      <c r="D1939" s="2559"/>
      <c r="E1939" s="2559"/>
      <c r="F1939" s="2559"/>
      <c r="G1939" s="2559"/>
      <c r="H1939" s="2559"/>
      <c r="I1939" s="2559"/>
      <c r="J1939" s="2559"/>
      <c r="K1939" s="2559"/>
      <c r="L1939" s="2559"/>
      <c r="M1939" s="2559"/>
      <c r="N1939" s="2559"/>
      <c r="O1939" s="2559"/>
      <c r="P1939" s="2559"/>
      <c r="Q1939" s="2497"/>
    </row>
    <row r="1940" spans="1:22" s="2762" customFormat="1" ht="10.199999999999999" customHeight="1">
      <c r="A1940" s="2408"/>
      <c r="D1940" s="512"/>
      <c r="E1940" s="512"/>
      <c r="F1940" s="2652"/>
      <c r="G1940" s="2652"/>
      <c r="H1940" s="2652"/>
      <c r="I1940" s="2652"/>
      <c r="J1940" s="2684"/>
      <c r="K1940" s="2684"/>
      <c r="L1940" s="2684"/>
      <c r="M1940" s="1550"/>
      <c r="N1940" s="2652"/>
      <c r="O1940" s="2613"/>
      <c r="P1940" s="2707"/>
    </row>
    <row r="1941" spans="1:22">
      <c r="A1941" s="2786" t="s">
        <v>356</v>
      </c>
      <c r="B1941" s="2721" t="s">
        <v>4725</v>
      </c>
      <c r="C1941" s="2618"/>
      <c r="G1941" s="2759" t="s">
        <v>3611</v>
      </c>
      <c r="H1941" s="1550" t="s">
        <v>3456</v>
      </c>
      <c r="I1941" s="2755">
        <f>IF('Part VI-Revenues &amp; Expenses'!$P$67=0,0,'Part VI-Revenues &amp; Expenses'!$P$64/'Part VI-Revenues &amp; Expenses'!$P$67)</f>
        <v>0</v>
      </c>
      <c r="J1941" s="2759" t="s">
        <v>4613</v>
      </c>
      <c r="K1941" s="2751" t="str">
        <f>'Part I-Project Information'!$K$94</f>
        <v>40% of Units at 60% of AMI</v>
      </c>
      <c r="L1941" s="2751"/>
      <c r="M1941" s="2652">
        <v>1</v>
      </c>
      <c r="N1941" s="2489"/>
      <c r="O1941" s="2707">
        <f>'Part IX Scoring Criteria'!O282</f>
        <v>0</v>
      </c>
      <c r="P1941" s="2707">
        <f>'Part IX Scoring Criteria'!P282</f>
        <v>0</v>
      </c>
      <c r="Q1941" s="2652" t="s">
        <v>433</v>
      </c>
    </row>
    <row r="1942" spans="1:22" ht="13.8">
      <c r="A1942" s="2251" t="s">
        <v>1936</v>
      </c>
      <c r="B1942" s="2618" t="s">
        <v>4611</v>
      </c>
      <c r="C1942" s="2618"/>
      <c r="D1942" s="2618" t="s">
        <v>4612</v>
      </c>
      <c r="M1942" s="2652">
        <v>1</v>
      </c>
      <c r="N1942" s="2749" t="s">
        <v>1936</v>
      </c>
      <c r="O1942" s="2707">
        <f>'Part IX Scoring Criteria'!O283</f>
        <v>0</v>
      </c>
      <c r="P1942" s="2707"/>
      <c r="Q1942" s="2766" t="str">
        <f>IF(OR($O1942=$M1942,$O1942=0,$O1942=""),"","*CHECK!*")</f>
        <v/>
      </c>
      <c r="R1942" s="2500" t="s">
        <v>4775</v>
      </c>
    </row>
    <row r="1943" spans="1:22" ht="13.8">
      <c r="A1943" s="2251" t="s">
        <v>1938</v>
      </c>
      <c r="B1943" s="2618" t="s">
        <v>4299</v>
      </c>
      <c r="C1943" s="2618"/>
      <c r="D1943" s="2618" t="s">
        <v>4731</v>
      </c>
      <c r="M1943" s="2613">
        <v>1</v>
      </c>
      <c r="N1943" s="2749" t="s">
        <v>1938</v>
      </c>
      <c r="O1943" s="2707">
        <f>'Part IX Scoring Criteria'!O284</f>
        <v>0</v>
      </c>
      <c r="P1943" s="2707"/>
      <c r="Q1943" s="2766" t="str">
        <f>IF(OR($O1943=$M1943,$O1943=0,$O1943=""),"","*CHECK!*")</f>
        <v/>
      </c>
      <c r="R1943" s="2500" t="s">
        <v>4775</v>
      </c>
    </row>
    <row r="1944" spans="1:22" ht="2.25" customHeight="1">
      <c r="A1944" s="2650"/>
      <c r="B1944" s="2831"/>
      <c r="C1944" s="2618"/>
      <c r="M1944" s="2652"/>
      <c r="N1944" s="2489"/>
      <c r="O1944" s="2652"/>
      <c r="P1944" s="2652"/>
    </row>
    <row r="1945" spans="1:22" s="2762" customFormat="1" ht="14.4">
      <c r="A1945" s="2408"/>
      <c r="B1945" s="2729" t="s">
        <v>1820</v>
      </c>
      <c r="C1945" s="2408"/>
      <c r="D1945" s="2729"/>
      <c r="E1945" s="2731"/>
      <c r="F1945" s="2731"/>
      <c r="G1945" s="2731"/>
      <c r="H1945" s="2731"/>
      <c r="I1945" s="2731"/>
      <c r="J1945" s="2731"/>
      <c r="K1945" s="2731"/>
      <c r="L1945" s="2731"/>
      <c r="M1945" s="2731"/>
      <c r="N1945" s="2782"/>
      <c r="O1945" s="2782"/>
      <c r="P1945" s="2652"/>
    </row>
    <row r="1946" spans="1:22" s="2762" customFormat="1" ht="11.25" customHeight="1">
      <c r="A1946" s="2559"/>
      <c r="B1946" s="2559"/>
      <c r="C1946" s="2559"/>
      <c r="D1946" s="2559"/>
      <c r="E1946" s="2559"/>
      <c r="F1946" s="2559"/>
      <c r="G1946" s="2559"/>
      <c r="H1946" s="2559"/>
      <c r="I1946" s="2559"/>
      <c r="J1946" s="2559"/>
      <c r="K1946" s="2559"/>
      <c r="L1946" s="2559"/>
      <c r="M1946" s="2559"/>
      <c r="N1946" s="2559"/>
      <c r="O1946" s="2559"/>
      <c r="P1946" s="2559"/>
      <c r="Q1946" s="2497"/>
    </row>
    <row r="1947" spans="1:22" s="2762" customFormat="1" ht="10.199999999999999" customHeight="1">
      <c r="A1947" s="2408"/>
      <c r="D1947" s="512"/>
      <c r="E1947" s="512"/>
      <c r="F1947" s="2652"/>
      <c r="G1947" s="2652"/>
      <c r="H1947" s="2652"/>
      <c r="I1947" s="2652"/>
      <c r="J1947" s="2684"/>
      <c r="K1947" s="2684"/>
      <c r="L1947" s="2684"/>
      <c r="M1947" s="1550"/>
      <c r="N1947" s="2652"/>
      <c r="O1947" s="2613"/>
      <c r="P1947" s="2707"/>
    </row>
    <row r="1948" spans="1:22" s="2767" customFormat="1" ht="12.6" customHeight="1">
      <c r="A1948" s="2786" t="s">
        <v>357</v>
      </c>
      <c r="B1948" s="2408" t="s">
        <v>3753</v>
      </c>
      <c r="D1948" s="512"/>
      <c r="E1948" s="512"/>
      <c r="H1948" s="2505"/>
      <c r="I1948" s="2759" t="s">
        <v>3611</v>
      </c>
      <c r="M1948" s="2652">
        <v>10</v>
      </c>
      <c r="N1948" s="2652"/>
      <c r="O1948" s="2707">
        <f>'Part IX Scoring Criteria'!O289</f>
        <v>0</v>
      </c>
      <c r="P1948" s="2707">
        <f>'Part IX Scoring Criteria'!P289</f>
        <v>0</v>
      </c>
      <c r="Q1948" s="2652" t="s">
        <v>433</v>
      </c>
      <c r="R1948" s="2580" t="s">
        <v>4773</v>
      </c>
      <c r="S1948" s="2580"/>
      <c r="T1948" s="2580"/>
      <c r="U1948" s="2580"/>
      <c r="V1948" s="2580"/>
    </row>
    <row r="1949" spans="1:22" ht="11.25" customHeight="1">
      <c r="A1949" s="2251" t="s">
        <v>1936</v>
      </c>
      <c r="B1949" s="2731" t="s">
        <v>3604</v>
      </c>
      <c r="D1949" s="2731"/>
      <c r="E1949" s="2731"/>
      <c r="F1949" s="2731"/>
      <c r="G1949" s="2731"/>
      <c r="H1949" s="2731"/>
      <c r="I1949" s="2731"/>
      <c r="J1949" s="2731"/>
      <c r="K1949" s="2731"/>
      <c r="L1949" s="2731"/>
      <c r="M1949" s="2661" t="str">
        <f>IF(OR(SUM(T1949:T1950)&gt;1,SUM(Q1949:Q1950)&gt;1),"Only one category can be met by other means!","")</f>
        <v/>
      </c>
      <c r="N1949" s="2749" t="s">
        <v>1936</v>
      </c>
      <c r="O1949" s="1550">
        <f>'Part IX Scoring Criteria'!O290</f>
        <v>0</v>
      </c>
      <c r="P1949" s="1550"/>
      <c r="Q1949" s="2619">
        <f>IF(L1949="Yes",1,0)</f>
        <v>0</v>
      </c>
      <c r="R1949" s="2580"/>
      <c r="S1949" s="2580"/>
      <c r="T1949" s="2580"/>
      <c r="U1949" s="2580"/>
      <c r="V1949" s="2580"/>
    </row>
    <row r="1950" spans="1:22" ht="11.25" customHeight="1">
      <c r="A1950" s="2251" t="s">
        <v>1938</v>
      </c>
      <c r="B1950" s="2731" t="s">
        <v>3605</v>
      </c>
      <c r="D1950" s="2731"/>
      <c r="L1950" s="2731"/>
      <c r="M1950" s="2661"/>
      <c r="N1950" s="2749" t="s">
        <v>1938</v>
      </c>
      <c r="O1950" s="1550">
        <f>'Part IX Scoring Criteria'!O291</f>
        <v>0</v>
      </c>
      <c r="P1950" s="1550"/>
      <c r="Q1950" s="2619">
        <f>IF(L1950="Yes",1,0)</f>
        <v>0</v>
      </c>
      <c r="R1950" s="2580"/>
      <c r="S1950" s="2580"/>
      <c r="T1950" s="2580"/>
      <c r="U1950" s="2580"/>
      <c r="V1950" s="2580"/>
    </row>
    <row r="1951" spans="1:22" s="2762" customFormat="1" ht="10.5" customHeight="1">
      <c r="A1951" s="2408"/>
      <c r="B1951" s="512" t="s">
        <v>3572</v>
      </c>
      <c r="C1951" s="2408"/>
      <c r="D1951" s="2654"/>
      <c r="E1951" s="2654"/>
      <c r="F1951" s="2654"/>
      <c r="G1951" s="2654"/>
      <c r="H1951" s="512"/>
      <c r="I1951" s="512"/>
      <c r="J1951" s="512"/>
      <c r="K1951" s="512"/>
      <c r="M1951" s="2652"/>
      <c r="N1951" s="2613"/>
      <c r="O1951" s="2707"/>
      <c r="P1951" s="2613"/>
      <c r="R1951" s="2580"/>
      <c r="S1951" s="2580"/>
      <c r="T1951" s="2580"/>
      <c r="U1951" s="2580"/>
      <c r="V1951" s="2580"/>
    </row>
    <row r="1952" spans="1:22" s="2762" customFormat="1" ht="34.799999999999997" customHeight="1">
      <c r="A1952" s="2729">
        <f>'Part IX Scoring Criteria'!A293</f>
        <v>0</v>
      </c>
      <c r="B1952" s="2729"/>
      <c r="C1952" s="2729"/>
      <c r="D1952" s="2729"/>
      <c r="E1952" s="2729"/>
      <c r="F1952" s="2729"/>
      <c r="G1952" s="2729"/>
      <c r="H1952" s="2729"/>
      <c r="I1952" s="2729"/>
      <c r="J1952" s="2729"/>
      <c r="K1952" s="2729"/>
      <c r="L1952" s="2729"/>
      <c r="M1952" s="2729"/>
      <c r="N1952" s="2729"/>
      <c r="O1952" s="2729"/>
      <c r="P1952" s="2729"/>
      <c r="Q1952" s="2497" t="s">
        <v>1228</v>
      </c>
    </row>
    <row r="1953" spans="1:27" s="2762" customFormat="1" ht="10.5" customHeight="1">
      <c r="A1953" s="2408"/>
      <c r="B1953" s="2729" t="s">
        <v>1820</v>
      </c>
      <c r="C1953" s="2408"/>
      <c r="D1953" s="2729"/>
      <c r="E1953" s="2731"/>
      <c r="F1953" s="2731"/>
      <c r="G1953" s="2731"/>
      <c r="H1953" s="2731"/>
      <c r="I1953" s="2731"/>
      <c r="J1953" s="2731"/>
      <c r="K1953" s="2731"/>
      <c r="L1953" s="2731"/>
      <c r="M1953" s="2731"/>
      <c r="N1953" s="2782"/>
      <c r="O1953" s="2782"/>
      <c r="P1953" s="2652"/>
    </row>
    <row r="1954" spans="1:27" s="2762" customFormat="1" ht="11.25" customHeight="1">
      <c r="A1954" s="2559"/>
      <c r="B1954" s="2559"/>
      <c r="C1954" s="2559"/>
      <c r="D1954" s="2559"/>
      <c r="E1954" s="2559"/>
      <c r="F1954" s="2559"/>
      <c r="G1954" s="2559"/>
      <c r="H1954" s="2559"/>
      <c r="I1954" s="2559"/>
      <c r="J1954" s="2559"/>
      <c r="K1954" s="2559"/>
      <c r="L1954" s="2559"/>
      <c r="M1954" s="2559"/>
      <c r="N1954" s="2559"/>
      <c r="O1954" s="2559"/>
      <c r="P1954" s="2559"/>
      <c r="Q1954" s="2497"/>
    </row>
    <row r="1955" spans="1:27" s="2762" customFormat="1" ht="14.4">
      <c r="A1955" s="2408"/>
      <c r="D1955" s="512"/>
      <c r="E1955" s="512"/>
      <c r="F1955" s="2652"/>
      <c r="G1955" s="2652"/>
      <c r="H1955" s="2652"/>
      <c r="I1955" s="2652"/>
      <c r="J1955" s="2684"/>
      <c r="K1955" s="2684"/>
      <c r="L1955" s="2684"/>
      <c r="M1955" s="1550"/>
      <c r="N1955" s="2652"/>
      <c r="O1955" s="2613"/>
      <c r="P1955" s="2707"/>
    </row>
    <row r="1956" spans="1:27" s="2762" customFormat="1" ht="12" customHeight="1">
      <c r="A1956" s="2786" t="s">
        <v>358</v>
      </c>
      <c r="B1956" s="2408" t="s">
        <v>4727</v>
      </c>
      <c r="D1956" s="2800"/>
      <c r="E1956" s="2800"/>
      <c r="F1956" s="2800"/>
      <c r="H1956" s="2684"/>
      <c r="J1956" s="512" t="s">
        <v>2703</v>
      </c>
      <c r="K1956" s="2654"/>
      <c r="L1956" s="512" t="str">
        <f>'Part I-Project Information'!$H$105</f>
        <v>N/A - 4% Bond</v>
      </c>
      <c r="M1956" s="2652">
        <v>3</v>
      </c>
      <c r="N1956" s="2652"/>
      <c r="O1956" s="2652">
        <f>'Part IX Scoring Criteria'!O297</f>
        <v>0</v>
      </c>
      <c r="P1956" s="2652">
        <f>'Part IX Scoring Criteria'!P297</f>
        <v>0</v>
      </c>
      <c r="Q1956" s="2652" t="s">
        <v>433</v>
      </c>
      <c r="R1956" s="2498" t="s">
        <v>4585</v>
      </c>
      <c r="S1956" s="2498"/>
      <c r="T1956" s="2498"/>
      <c r="U1956" s="2498"/>
      <c r="V1956" s="2498"/>
      <c r="W1956" s="2531"/>
      <c r="X1956" s="2531"/>
    </row>
    <row r="1957" spans="1:27" ht="11.25" customHeight="1">
      <c r="A1957" s="2251"/>
      <c r="B1957" s="2654" t="s">
        <v>4629</v>
      </c>
      <c r="D1957" s="2408"/>
      <c r="E1957" s="2408"/>
      <c r="F1957" s="2408"/>
      <c r="H1957" s="512" t="s">
        <v>3511</v>
      </c>
      <c r="I1957" s="2618"/>
      <c r="J1957" s="512" t="str">
        <f>'Part I-Project Information'!$O$34</f>
        <v>No</v>
      </c>
      <c r="K1957" s="512"/>
      <c r="L1957" s="2760">
        <f>'Part I-Project Information'!$O$35</f>
        <v>0</v>
      </c>
      <c r="M1957" s="2652"/>
      <c r="N1957" s="2652"/>
      <c r="O1957" s="2652"/>
      <c r="P1957" s="2652"/>
      <c r="Q1957" s="2766" t="str">
        <f>IF(OR($O1957=$M1957,$O1957=0,$O1957=""),"","*CHECK!*")</f>
        <v/>
      </c>
      <c r="R1957" s="2498"/>
      <c r="S1957" s="2498"/>
      <c r="T1957" s="2498"/>
      <c r="U1957" s="2498"/>
      <c r="V1957" s="2498"/>
    </row>
    <row r="1958" spans="1:27" s="2618" customFormat="1" ht="22.5" customHeight="1">
      <c r="A1958" s="2807" t="s">
        <v>1936</v>
      </c>
      <c r="B1958" s="2729" t="s">
        <v>6878</v>
      </c>
      <c r="C1958" s="2729"/>
      <c r="D1958" s="2729"/>
      <c r="E1958" s="2729"/>
      <c r="F1958" s="2729"/>
      <c r="G1958" s="2729"/>
      <c r="H1958" s="2729"/>
      <c r="I1958" s="2729"/>
      <c r="J1958" s="2729"/>
      <c r="K1958" s="2729"/>
      <c r="L1958" s="2729"/>
      <c r="M1958" s="2729"/>
      <c r="N1958" s="2730" t="s">
        <v>1936</v>
      </c>
      <c r="O1958" s="2740">
        <f>'Part IX Scoring Criteria'!O299</f>
        <v>0</v>
      </c>
      <c r="P1958" s="2740"/>
      <c r="Q1958" s="2729" t="s">
        <v>6945</v>
      </c>
      <c r="R1958" s="2729"/>
      <c r="S1958" s="2729"/>
      <c r="T1958" s="2729"/>
      <c r="U1958" s="2729"/>
      <c r="V1958" s="2729"/>
      <c r="W1958" s="2729"/>
      <c r="X1958" s="2729"/>
      <c r="Y1958" s="2729"/>
      <c r="Z1958" s="2729"/>
      <c r="AA1958" s="2729"/>
    </row>
    <row r="1959" spans="1:27" s="512" customFormat="1" ht="11.25" customHeight="1">
      <c r="A1959" s="2803"/>
      <c r="B1959" s="512" t="s">
        <v>3617</v>
      </c>
      <c r="I1959" s="2749" t="s">
        <v>4333</v>
      </c>
      <c r="J1959" s="2684">
        <f>'Part IX Scoring Criteria'!J300</f>
        <v>0</v>
      </c>
      <c r="K1959" s="2749" t="s">
        <v>599</v>
      </c>
      <c r="L1959" s="512">
        <f>'Part IX Scoring Criteria'!L300</f>
        <v>0</v>
      </c>
      <c r="Q1959" s="2729"/>
      <c r="R1959" s="2729"/>
      <c r="S1959" s="2729"/>
      <c r="T1959" s="2729"/>
    </row>
    <row r="1960" spans="1:27" s="512" customFormat="1" ht="11.25" customHeight="1">
      <c r="A1960" s="2803"/>
      <c r="B1960" s="512" t="s">
        <v>3648</v>
      </c>
      <c r="I1960" s="2749" t="s">
        <v>4333</v>
      </c>
      <c r="J1960" s="2684">
        <f>'Part IX Scoring Criteria'!J301</f>
        <v>0</v>
      </c>
      <c r="K1960" s="2749" t="s">
        <v>599</v>
      </c>
      <c r="L1960" s="512">
        <f>'Part IX Scoring Criteria'!L301</f>
        <v>0</v>
      </c>
      <c r="Q1960" s="2729"/>
      <c r="R1960" s="2729"/>
      <c r="S1960" s="2729"/>
      <c r="T1960" s="2729"/>
    </row>
    <row r="1961" spans="1:27" s="512" customFormat="1" ht="11.25" customHeight="1">
      <c r="A1961" s="2803" t="s">
        <v>1938</v>
      </c>
      <c r="B1961" s="512" t="s">
        <v>941</v>
      </c>
      <c r="M1961" s="2652"/>
      <c r="N1961" s="2749" t="s">
        <v>1938</v>
      </c>
      <c r="O1961" s="1550">
        <f>'Part IX Scoring Criteria'!O302</f>
        <v>0</v>
      </c>
      <c r="P1961" s="1550"/>
      <c r="Q1961" s="2729"/>
      <c r="R1961" s="2729"/>
      <c r="S1961" s="2729"/>
      <c r="T1961" s="2729"/>
    </row>
    <row r="1962" spans="1:27" s="512" customFormat="1" ht="11.25" customHeight="1">
      <c r="A1962" s="2803" t="s">
        <v>731</v>
      </c>
      <c r="B1962" s="512" t="s">
        <v>942</v>
      </c>
      <c r="M1962" s="2652"/>
      <c r="N1962" s="2749" t="s">
        <v>731</v>
      </c>
      <c r="O1962" s="1550">
        <f>'Part IX Scoring Criteria'!O303</f>
        <v>0</v>
      </c>
      <c r="P1962" s="1550"/>
      <c r="Q1962" s="2729"/>
      <c r="R1962" s="2729"/>
      <c r="S1962" s="2729"/>
      <c r="T1962" s="2729"/>
    </row>
    <row r="1963" spans="1:27" s="512" customFormat="1" ht="22.5" customHeight="1">
      <c r="A1963" s="2807" t="s">
        <v>2065</v>
      </c>
      <c r="B1963" s="2729" t="s">
        <v>4631</v>
      </c>
      <c r="C1963" s="2729"/>
      <c r="D1963" s="2729"/>
      <c r="E1963" s="2729"/>
      <c r="F1963" s="2729"/>
      <c r="G1963" s="2729"/>
      <c r="H1963" s="2729"/>
      <c r="I1963" s="2729"/>
      <c r="J1963" s="2729"/>
      <c r="K1963" s="2729"/>
      <c r="L1963" s="2729"/>
      <c r="M1963" s="2729"/>
      <c r="N1963" s="2730" t="s">
        <v>2065</v>
      </c>
      <c r="O1963" s="2740">
        <f>'Part IX Scoring Criteria'!O304</f>
        <v>0</v>
      </c>
      <c r="P1963" s="2740"/>
      <c r="Q1963" s="2729"/>
      <c r="R1963" s="2729"/>
      <c r="S1963" s="2729"/>
      <c r="T1963" s="2729"/>
    </row>
    <row r="1964" spans="1:27" s="512" customFormat="1" ht="11.25" customHeight="1">
      <c r="A1964" s="2803" t="s">
        <v>1692</v>
      </c>
      <c r="B1964" s="512" t="s">
        <v>4334</v>
      </c>
      <c r="M1964" s="2652"/>
      <c r="N1964" s="2749" t="s">
        <v>1692</v>
      </c>
      <c r="O1964" s="1550">
        <f>'Part IX Scoring Criteria'!O305</f>
        <v>0</v>
      </c>
      <c r="P1964" s="1550"/>
      <c r="Q1964" s="2729"/>
      <c r="R1964" s="2729"/>
      <c r="S1964" s="2729"/>
      <c r="T1964" s="2729"/>
    </row>
    <row r="1965" spans="1:27" s="512" customFormat="1" ht="11.25" customHeight="1">
      <c r="A1965" s="2803" t="s">
        <v>1693</v>
      </c>
      <c r="B1965" s="512" t="s">
        <v>943</v>
      </c>
      <c r="M1965" s="2652"/>
      <c r="N1965" s="2749" t="s">
        <v>1693</v>
      </c>
      <c r="O1965" s="1550">
        <f>'Part IX Scoring Criteria'!O306</f>
        <v>0</v>
      </c>
      <c r="P1965" s="1550"/>
      <c r="Q1965" s="2729"/>
      <c r="R1965" s="2729"/>
      <c r="S1965" s="2729"/>
      <c r="T1965" s="2729"/>
    </row>
    <row r="1966" spans="1:27" s="2762" customFormat="1" ht="10.5" customHeight="1">
      <c r="A1966" s="2408"/>
      <c r="B1966" s="512" t="s">
        <v>3572</v>
      </c>
      <c r="C1966" s="2408"/>
      <c r="D1966" s="2654"/>
      <c r="E1966" s="2654"/>
      <c r="F1966" s="2654"/>
      <c r="G1966" s="2654"/>
      <c r="H1966" s="512"/>
      <c r="I1966" s="512"/>
      <c r="J1966" s="512"/>
      <c r="K1966" s="512"/>
      <c r="M1966" s="2652"/>
      <c r="N1966" s="2613"/>
      <c r="O1966" s="2707"/>
      <c r="P1966" s="2613"/>
    </row>
    <row r="1967" spans="1:27" s="2762" customFormat="1" ht="21.75" customHeight="1">
      <c r="A1967" s="2729">
        <f>'Part IX Scoring Criteria'!A308</f>
        <v>0</v>
      </c>
      <c r="B1967" s="2729"/>
      <c r="C1967" s="2729"/>
      <c r="D1967" s="2729"/>
      <c r="E1967" s="2729"/>
      <c r="F1967" s="2729"/>
      <c r="G1967" s="2729"/>
      <c r="H1967" s="2729"/>
      <c r="I1967" s="2729"/>
      <c r="J1967" s="2729"/>
      <c r="K1967" s="2729"/>
      <c r="L1967" s="2729"/>
      <c r="M1967" s="2729"/>
      <c r="N1967" s="2729"/>
      <c r="O1967" s="2729"/>
      <c r="P1967" s="2729"/>
      <c r="Q1967" s="2497" t="s">
        <v>1228</v>
      </c>
    </row>
    <row r="1968" spans="1:27" s="2762" customFormat="1" ht="10.5" customHeight="1">
      <c r="B1968" s="2729" t="s">
        <v>1820</v>
      </c>
      <c r="C1968" s="2408"/>
      <c r="D1968" s="2729"/>
      <c r="E1968" s="2731"/>
      <c r="F1968" s="2731"/>
      <c r="G1968" s="2731"/>
      <c r="H1968" s="2731"/>
      <c r="I1968" s="2731"/>
      <c r="J1968" s="2731"/>
      <c r="K1968" s="2731"/>
      <c r="L1968" s="2731"/>
      <c r="M1968" s="2731"/>
      <c r="N1968" s="2782"/>
      <c r="O1968" s="2782"/>
      <c r="P1968" s="2652"/>
    </row>
    <row r="1969" spans="1:24" s="2762" customFormat="1" ht="11.25" customHeight="1">
      <c r="A1969" s="2729"/>
      <c r="B1969" s="2729"/>
      <c r="C1969" s="2729"/>
      <c r="D1969" s="2729"/>
      <c r="E1969" s="2729"/>
      <c r="F1969" s="2729"/>
      <c r="G1969" s="2729"/>
      <c r="H1969" s="2729"/>
      <c r="I1969" s="2729"/>
      <c r="J1969" s="2729"/>
      <c r="K1969" s="2729"/>
      <c r="L1969" s="2729"/>
      <c r="M1969" s="2729"/>
      <c r="N1969" s="2729"/>
      <c r="O1969" s="2729"/>
      <c r="P1969" s="2729"/>
      <c r="Q1969" s="2497"/>
    </row>
    <row r="1970" spans="1:24" s="2762" customFormat="1" ht="10.8" customHeight="1">
      <c r="A1970" s="2408"/>
      <c r="D1970" s="512"/>
      <c r="E1970" s="512"/>
      <c r="F1970" s="2652"/>
      <c r="G1970" s="2652"/>
      <c r="H1970" s="2652"/>
      <c r="I1970" s="2652"/>
      <c r="J1970" s="2684"/>
      <c r="K1970" s="2684"/>
      <c r="L1970" s="2684"/>
      <c r="M1970" s="1550"/>
      <c r="N1970" s="2652"/>
      <c r="O1970" s="2613"/>
      <c r="P1970" s="2707"/>
    </row>
    <row r="1971" spans="1:24" s="2762" customFormat="1" ht="12" customHeight="1">
      <c r="A1971" s="2786" t="s">
        <v>1683</v>
      </c>
      <c r="B1971" s="2408" t="s">
        <v>4614</v>
      </c>
      <c r="D1971" s="2800"/>
      <c r="E1971" s="2800"/>
      <c r="F1971" s="2684" t="s">
        <v>3281</v>
      </c>
      <c r="H1971" s="2684" t="s">
        <v>4632</v>
      </c>
      <c r="I1971" s="2408"/>
      <c r="J1971" s="512">
        <f>'Part I-Project Information'!F1692</f>
        <v>0</v>
      </c>
      <c r="M1971" s="2652">
        <v>5</v>
      </c>
      <c r="N1971" s="2652"/>
      <c r="O1971" s="2707">
        <f>'Part IX Scoring Criteria'!O312</f>
        <v>0</v>
      </c>
      <c r="P1971" s="2707">
        <f>'Part IX Scoring Criteria'!P312</f>
        <v>0</v>
      </c>
      <c r="Q1971" s="2652" t="s">
        <v>433</v>
      </c>
      <c r="R1971" s="2842" t="s">
        <v>4585</v>
      </c>
      <c r="S1971" s="2842"/>
      <c r="T1971" s="2842"/>
      <c r="U1971" s="2842"/>
      <c r="V1971" s="2842"/>
      <c r="W1971" s="2531"/>
      <c r="X1971" s="2531"/>
    </row>
    <row r="1972" spans="1:24" s="2408" customFormat="1" ht="11.25" customHeight="1">
      <c r="A1972" s="2251" t="s">
        <v>1936</v>
      </c>
      <c r="B1972" s="2654" t="s">
        <v>6879</v>
      </c>
      <c r="J1972" s="512" t="str">
        <f>CONCATENATE('Part I-Project Information'!F1691,", ",'Part I-Project Information'!J1692)</f>
        <v xml:space="preserve">, </v>
      </c>
      <c r="R1972" s="2842"/>
      <c r="S1972" s="2842"/>
      <c r="T1972" s="2842"/>
      <c r="U1972" s="2842"/>
      <c r="V1972" s="2842"/>
    </row>
    <row r="1973" spans="1:24" s="2408" customFormat="1" ht="36" customHeight="1">
      <c r="A1973" s="2251"/>
      <c r="B1973" s="2359" t="s">
        <v>6946</v>
      </c>
      <c r="C1973" s="2359"/>
      <c r="D1973" s="2359"/>
      <c r="E1973" s="2359"/>
      <c r="F1973" s="2359"/>
      <c r="G1973" s="2359"/>
      <c r="H1973" s="2359"/>
      <c r="I1973" s="2359"/>
      <c r="J1973" s="2359"/>
      <c r="K1973" s="2359"/>
      <c r="L1973" s="2359"/>
      <c r="M1973" s="2782">
        <v>5</v>
      </c>
      <c r="N1973" s="2730" t="s">
        <v>1936</v>
      </c>
      <c r="O1973" s="2808">
        <f>'Part IX Scoring Criteria'!O314</f>
        <v>0</v>
      </c>
      <c r="P1973" s="2808">
        <f>'Part IX Scoring Criteria'!P314</f>
        <v>0</v>
      </c>
      <c r="R1973" s="2842"/>
      <c r="S1973" s="2842"/>
      <c r="T1973" s="2842"/>
      <c r="U1973" s="2842"/>
      <c r="V1973" s="2842"/>
    </row>
    <row r="1974" spans="1:24" s="2408" customFormat="1" ht="11.25" customHeight="1">
      <c r="B1974" s="2831" t="s">
        <v>1939</v>
      </c>
      <c r="C1974" s="512" t="s">
        <v>6880</v>
      </c>
      <c r="L1974" s="2251" t="str">
        <f>IF(OR($O1974=$M1974,$O1974=0,$O1974=""),"","* * Check Score! * *")</f>
        <v/>
      </c>
      <c r="M1974" s="2652">
        <v>5</v>
      </c>
      <c r="N1974" s="2803" t="s">
        <v>1939</v>
      </c>
      <c r="O1974" s="2707">
        <f>'Part IX Scoring Criteria'!O315</f>
        <v>0</v>
      </c>
      <c r="P1974" s="2707"/>
      <c r="Q1974" s="2766" t="str">
        <f>IF(OR($O1974=$M1974,$O1974=0,$O1974=""),"","*CHECK!*")</f>
        <v/>
      </c>
      <c r="R1974" s="2500" t="s">
        <v>4775</v>
      </c>
    </row>
    <row r="1975" spans="1:24" ht="11.25" customHeight="1">
      <c r="A1975" s="1550"/>
      <c r="B1975" s="2823" t="s">
        <v>1941</v>
      </c>
      <c r="C1975" s="2618" t="s">
        <v>6881</v>
      </c>
      <c r="D1975" s="2408"/>
      <c r="E1975" s="2408"/>
      <c r="F1975" s="2408"/>
      <c r="G1975" s="2684"/>
      <c r="H1975" s="2684"/>
      <c r="I1975" s="2684"/>
      <c r="L1975" s="2251" t="str">
        <f>IF(OR($O1975=$M1975,$O1975=0,$O1975=""),"","* * Check Score! * *")</f>
        <v/>
      </c>
      <c r="M1975" s="2613">
        <v>4</v>
      </c>
      <c r="N1975" s="2803" t="s">
        <v>1941</v>
      </c>
      <c r="O1975" s="2707">
        <f>'Part IX Scoring Criteria'!O316</f>
        <v>0</v>
      </c>
      <c r="P1975" s="2707"/>
      <c r="Q1975" s="2766" t="str">
        <f>IF(OR($O1975=$M1975,$O1975=0,$O1975=""),"","*CHECK!*")</f>
        <v/>
      </c>
      <c r="R1975" s="2500" t="s">
        <v>4775</v>
      </c>
    </row>
    <row r="1976" spans="1:24" s="2408" customFormat="1" ht="11.25" customHeight="1">
      <c r="A1976" s="2251" t="s">
        <v>1938</v>
      </c>
      <c r="B1976" s="2654" t="s">
        <v>6882</v>
      </c>
      <c r="F1976" s="2542" t="s">
        <v>4633</v>
      </c>
      <c r="H1976" s="512" t="s">
        <v>2703</v>
      </c>
      <c r="I1976" s="2762"/>
      <c r="J1976" s="512" t="str">
        <f>'Part I-Project Information'!$H$105</f>
        <v>N/A - 4% Bond</v>
      </c>
    </row>
    <row r="1977" spans="1:24" s="2408" customFormat="1" ht="11.25" customHeight="1">
      <c r="A1977" s="2251"/>
      <c r="B1977" s="2654" t="s">
        <v>6947</v>
      </c>
      <c r="H1977" s="2684"/>
      <c r="M1977" s="2652">
        <v>3</v>
      </c>
      <c r="N1977" s="2749" t="s">
        <v>1938</v>
      </c>
      <c r="O1977" s="2707">
        <f>'Part IX Scoring Criteria'!O318</f>
        <v>0</v>
      </c>
      <c r="P1977" s="2707">
        <f>'Part IX Scoring Criteria'!P318</f>
        <v>0</v>
      </c>
    </row>
    <row r="1978" spans="1:24" s="2408" customFormat="1" ht="11.25" customHeight="1">
      <c r="B1978" s="2831" t="s">
        <v>1939</v>
      </c>
      <c r="C1978" s="512" t="s">
        <v>6883</v>
      </c>
      <c r="J1978" s="2531" t="s">
        <v>4638</v>
      </c>
      <c r="L1978" s="2408" t="str">
        <f>IF(OR(AND(O1978&gt;0,O1979&gt;0), AND(O1981&gt;0,O1982&gt;0), AND(O1978+O1979&gt;0,O1981+O1982&gt;0)),"Choose option 1 or 2 or 3 or 4!!!",IF(AND(J1976="Rural", SUM(O1981:O1982)&gt;0),"Cannot choose options 3 or 4 if in Rural Pool!!!",""))</f>
        <v/>
      </c>
      <c r="M1978" s="2652">
        <v>3</v>
      </c>
      <c r="N1978" s="2803" t="s">
        <v>1939</v>
      </c>
      <c r="O1978" s="2707">
        <f>'Part IX Scoring Criteria'!O319</f>
        <v>0</v>
      </c>
      <c r="P1978" s="2707"/>
      <c r="Q1978" s="2766" t="str">
        <f>IF(OR($O1978=$M1978,$O1978=0,$O1978=""),"","*CHECK!*")</f>
        <v/>
      </c>
      <c r="R1978" s="2500" t="s">
        <v>4775</v>
      </c>
    </row>
    <row r="1979" spans="1:24" ht="11.25" customHeight="1">
      <c r="A1979" s="1550"/>
      <c r="B1979" s="2823" t="s">
        <v>1941</v>
      </c>
      <c r="C1979" s="2618" t="s">
        <v>6884</v>
      </c>
      <c r="D1979" s="2408"/>
      <c r="E1979" s="2408"/>
      <c r="F1979" s="2408"/>
      <c r="G1979" s="2684"/>
      <c r="H1979" s="2684"/>
      <c r="I1979" s="2684"/>
      <c r="J1979" s="2531" t="s">
        <v>4638</v>
      </c>
      <c r="K1979" s="2408"/>
      <c r="L1979" s="2408"/>
      <c r="M1979" s="2613">
        <v>2</v>
      </c>
      <c r="N1979" s="2803" t="s">
        <v>1941</v>
      </c>
      <c r="O1979" s="2707">
        <f>'Part IX Scoring Criteria'!O320</f>
        <v>0</v>
      </c>
      <c r="P1979" s="2707"/>
      <c r="Q1979" s="2766" t="str">
        <f>IF(OR($O1979=$M1979,$O1979=0,$O1979=""),"","*CHECK!*")</f>
        <v/>
      </c>
      <c r="R1979" s="2500" t="s">
        <v>4775</v>
      </c>
    </row>
    <row r="1980" spans="1:24" ht="22.5" customHeight="1">
      <c r="A1980" s="1550"/>
      <c r="B1980" s="2833" t="s">
        <v>6948</v>
      </c>
      <c r="C1980" s="2833"/>
      <c r="D1980" s="2833"/>
      <c r="E1980" s="2833"/>
      <c r="F1980" s="2833"/>
      <c r="G1980" s="2833"/>
      <c r="H1980" s="2833"/>
      <c r="I1980" s="2833"/>
      <c r="J1980" s="2833"/>
      <c r="K1980" s="2833"/>
      <c r="L1980" s="2408"/>
      <c r="M1980" s="2613"/>
      <c r="N1980" s="2613"/>
      <c r="O1980" s="2613"/>
      <c r="P1980" s="2613"/>
      <c r="Q1980" s="2766"/>
      <c r="R1980" s="2542"/>
    </row>
    <row r="1981" spans="1:24" ht="11.25" customHeight="1">
      <c r="A1981" s="1550"/>
      <c r="B1981" s="2823" t="s">
        <v>2468</v>
      </c>
      <c r="C1981" s="512" t="s">
        <v>6885</v>
      </c>
      <c r="D1981" s="2408"/>
      <c r="E1981" s="2408"/>
      <c r="F1981" s="2408"/>
      <c r="G1981" s="2684"/>
      <c r="H1981" s="2684"/>
      <c r="I1981" s="2684"/>
      <c r="K1981" s="2408"/>
      <c r="L1981" s="2408"/>
      <c r="M1981" s="2613">
        <v>3</v>
      </c>
      <c r="N1981" s="2803" t="s">
        <v>2468</v>
      </c>
      <c r="O1981" s="2707">
        <f>'Part IX Scoring Criteria'!O322</f>
        <v>0</v>
      </c>
      <c r="P1981" s="2707"/>
      <c r="Q1981" s="2766" t="str">
        <f>IF(OR($O1981=$M1981,$O1981=0,$O1981=""),"","*CHECK!*")</f>
        <v/>
      </c>
      <c r="R1981" s="2500" t="s">
        <v>4775</v>
      </c>
    </row>
    <row r="1982" spans="1:24" ht="11.25" customHeight="1">
      <c r="A1982" s="1550"/>
      <c r="B1982" s="2823" t="s">
        <v>1198</v>
      </c>
      <c r="C1982" s="2618" t="s">
        <v>6886</v>
      </c>
      <c r="D1982" s="2408"/>
      <c r="E1982" s="2408"/>
      <c r="F1982" s="2408"/>
      <c r="G1982" s="2684"/>
      <c r="H1982" s="2684"/>
      <c r="I1982" s="2684"/>
      <c r="K1982" s="2408"/>
      <c r="L1982" s="2408"/>
      <c r="M1982" s="2613">
        <v>2</v>
      </c>
      <c r="N1982" s="2803" t="s">
        <v>1198</v>
      </c>
      <c r="O1982" s="2707">
        <f>'Part IX Scoring Criteria'!O323</f>
        <v>0</v>
      </c>
      <c r="P1982" s="2707"/>
      <c r="Q1982" s="2766" t="str">
        <f>IF(OR($O1982=$M1982,$O1982=0,$O1982=""),"","*CHECK!*")</f>
        <v/>
      </c>
      <c r="R1982" s="2500" t="s">
        <v>4775</v>
      </c>
    </row>
    <row r="1983" spans="1:24" s="2762" customFormat="1" ht="10.5" customHeight="1">
      <c r="A1983" s="2408"/>
      <c r="B1983" s="512" t="s">
        <v>3572</v>
      </c>
      <c r="C1983" s="2408"/>
      <c r="D1983" s="2654"/>
      <c r="E1983" s="2654"/>
      <c r="F1983" s="2654"/>
      <c r="G1983" s="2654"/>
      <c r="H1983" s="512"/>
      <c r="I1983" s="512"/>
      <c r="J1983" s="512"/>
      <c r="K1983" s="512"/>
      <c r="M1983" s="2652"/>
      <c r="N1983" s="2613"/>
      <c r="O1983" s="2707"/>
      <c r="P1983" s="2613"/>
    </row>
    <row r="1984" spans="1:24" s="2762" customFormat="1" ht="21.75" customHeight="1">
      <c r="A1984" s="2729">
        <f>'Part IX Scoring Criteria'!A325</f>
        <v>0</v>
      </c>
      <c r="B1984" s="2729"/>
      <c r="C1984" s="2729"/>
      <c r="D1984" s="2729"/>
      <c r="E1984" s="2729"/>
      <c r="F1984" s="2729"/>
      <c r="G1984" s="2729"/>
      <c r="H1984" s="2729"/>
      <c r="I1984" s="2729"/>
      <c r="J1984" s="2729"/>
      <c r="K1984" s="2729"/>
      <c r="L1984" s="2729"/>
      <c r="M1984" s="2729"/>
      <c r="N1984" s="2729"/>
      <c r="O1984" s="2729"/>
      <c r="P1984" s="2729"/>
      <c r="Q1984" s="2497" t="s">
        <v>1228</v>
      </c>
    </row>
    <row r="1985" spans="1:21" s="2762" customFormat="1" ht="10.5" customHeight="1">
      <c r="B1985" s="2729" t="s">
        <v>1820</v>
      </c>
      <c r="C1985" s="2408"/>
      <c r="D1985" s="2729"/>
      <c r="E1985" s="2731"/>
      <c r="F1985" s="2731"/>
      <c r="G1985" s="2731"/>
      <c r="H1985" s="2731"/>
      <c r="I1985" s="2731"/>
      <c r="J1985" s="2731"/>
      <c r="K1985" s="2731"/>
      <c r="L1985" s="2731"/>
      <c r="M1985" s="2731"/>
      <c r="N1985" s="2782"/>
      <c r="O1985" s="2782"/>
      <c r="P1985" s="2652"/>
    </row>
    <row r="1986" spans="1:21" s="2762" customFormat="1" ht="11.25" customHeight="1">
      <c r="A1986" s="2729"/>
      <c r="B1986" s="2729"/>
      <c r="C1986" s="2729"/>
      <c r="D1986" s="2729"/>
      <c r="E1986" s="2729"/>
      <c r="F1986" s="2729"/>
      <c r="G1986" s="2729"/>
      <c r="H1986" s="2729"/>
      <c r="I1986" s="2729"/>
      <c r="J1986" s="2729"/>
      <c r="K1986" s="2729"/>
      <c r="L1986" s="2729"/>
      <c r="M1986" s="2729"/>
      <c r="N1986" s="2729"/>
      <c r="O1986" s="2729"/>
      <c r="P1986" s="2729"/>
      <c r="Q1986" s="2497"/>
    </row>
    <row r="1987" spans="1:21" ht="1.5" customHeight="1">
      <c r="N1987" s="2613"/>
      <c r="O1987" s="2613"/>
      <c r="P1987" s="2613"/>
      <c r="T1987" s="2728"/>
      <c r="U1987" s="2728"/>
    </row>
    <row r="1988" spans="1:21" s="2762" customFormat="1" ht="12" customHeight="1">
      <c r="A1988" s="2721" t="s">
        <v>2691</v>
      </c>
      <c r="B1988" s="2408" t="s">
        <v>2729</v>
      </c>
      <c r="D1988" s="2800"/>
      <c r="E1988" s="2800"/>
      <c r="F1988" s="2800"/>
      <c r="H1988" s="2684"/>
      <c r="J1988" s="1550"/>
      <c r="K1988" s="2654"/>
      <c r="L1988" s="2749" t="s">
        <v>4776</v>
      </c>
      <c r="M1988" s="2652">
        <v>4</v>
      </c>
      <c r="N1988" s="2652"/>
      <c r="O1988" s="2707">
        <f>'Part IX Scoring Criteria'!O329</f>
        <v>0</v>
      </c>
      <c r="P1988" s="2707">
        <f>'Part IX Scoring Criteria'!P329</f>
        <v>0</v>
      </c>
      <c r="Q1988" s="2652" t="s">
        <v>433</v>
      </c>
      <c r="T1988" s="2728"/>
      <c r="U1988" s="2728"/>
    </row>
    <row r="1989" spans="1:21" s="2767" customFormat="1" ht="11.25" customHeight="1">
      <c r="A1989" s="2673" t="s">
        <v>1936</v>
      </c>
      <c r="B1989" s="2654" t="s">
        <v>2177</v>
      </c>
      <c r="D1989" s="2684"/>
      <c r="E1989" s="2684"/>
      <c r="F1989" s="2744"/>
      <c r="G1989" s="2494"/>
      <c r="L1989" s="2251"/>
      <c r="M1989" s="2652">
        <v>3</v>
      </c>
      <c r="N1989" s="2749" t="s">
        <v>1936</v>
      </c>
      <c r="O1989" s="2707">
        <f>'Part IX Scoring Criteria'!O330</f>
        <v>0</v>
      </c>
      <c r="P1989" s="2707">
        <f>'Part IX Scoring Criteria'!P330</f>
        <v>0</v>
      </c>
      <c r="Q1989" s="2766"/>
      <c r="R1989" s="2542"/>
      <c r="T1989" s="2728"/>
      <c r="U1989" s="2728"/>
    </row>
    <row r="1990" spans="1:21" s="2767" customFormat="1" ht="11.25" customHeight="1">
      <c r="A1990" s="2673"/>
      <c r="B1990" s="2831" t="s">
        <v>1939</v>
      </c>
      <c r="C1990" s="2684" t="s">
        <v>4335</v>
      </c>
      <c r="D1990" s="2684"/>
      <c r="E1990" s="2684"/>
      <c r="F1990" s="2744"/>
      <c r="G1990" s="2494"/>
      <c r="L1990" s="2251"/>
      <c r="M1990" s="2652">
        <v>3</v>
      </c>
      <c r="N1990" s="2803" t="s">
        <v>1939</v>
      </c>
      <c r="O1990" s="1550">
        <f>'Part IX Scoring Criteria'!O331</f>
        <v>0</v>
      </c>
      <c r="P1990" s="1550"/>
      <c r="Q1990" s="2766"/>
      <c r="R1990" s="2542"/>
      <c r="T1990" s="2728"/>
      <c r="U1990" s="2728"/>
    </row>
    <row r="1991" spans="1:21" s="2767" customFormat="1" ht="11.25" customHeight="1">
      <c r="A1991" s="2673"/>
      <c r="B1991" s="2823" t="s">
        <v>1941</v>
      </c>
      <c r="C1991" s="2684" t="s">
        <v>4336</v>
      </c>
      <c r="D1991" s="2684"/>
      <c r="E1991" s="2684"/>
      <c r="F1991" s="2744"/>
      <c r="G1991" s="2494"/>
      <c r="L1991" s="2251"/>
      <c r="M1991" s="2652">
        <v>2</v>
      </c>
      <c r="N1991" s="2803" t="s">
        <v>1941</v>
      </c>
      <c r="O1991" s="1550">
        <f>'Part IX Scoring Criteria'!O332</f>
        <v>0</v>
      </c>
      <c r="P1991" s="1550"/>
      <c r="Q1991" s="2766"/>
      <c r="R1991" s="2542"/>
      <c r="T1991" s="2728"/>
      <c r="U1991" s="2728"/>
    </row>
    <row r="1992" spans="1:21" s="2767" customFormat="1" ht="10.5" customHeight="1">
      <c r="A1992" s="2673"/>
      <c r="B1992" s="2823" t="s">
        <v>2468</v>
      </c>
      <c r="C1992" s="2684" t="s">
        <v>4337</v>
      </c>
      <c r="D1992" s="2684"/>
      <c r="E1992" s="2684"/>
      <c r="F1992" s="2744"/>
      <c r="G1992" s="2494"/>
      <c r="K1992" s="2749"/>
      <c r="M1992" s="2652">
        <v>1</v>
      </c>
      <c r="N1992" s="2803" t="s">
        <v>2468</v>
      </c>
      <c r="O1992" s="1550">
        <f>'Part IX Scoring Criteria'!O333</f>
        <v>0</v>
      </c>
      <c r="P1992" s="1550"/>
      <c r="R1992" s="2531"/>
      <c r="T1992" s="2728"/>
      <c r="U1992" s="2728"/>
    </row>
    <row r="1993" spans="1:21" s="2762" customFormat="1" ht="11.25" customHeight="1">
      <c r="A1993" s="2673" t="s">
        <v>1938</v>
      </c>
      <c r="B1993" s="2654" t="s">
        <v>4586</v>
      </c>
      <c r="D1993" s="512"/>
      <c r="K1993" s="512"/>
      <c r="L1993" s="2251" t="str">
        <f>IF(OR($O1993=$M1993,$O1993=0,$O1993=""),"","* * Check Score! * *")</f>
        <v/>
      </c>
      <c r="M1993" s="2652">
        <v>1</v>
      </c>
      <c r="N1993" s="2749" t="s">
        <v>1938</v>
      </c>
      <c r="O1993" s="2707">
        <f>'Part IX Scoring Criteria'!O334</f>
        <v>0</v>
      </c>
      <c r="P1993" s="2707">
        <f>'Part IX Scoring Criteria'!P334</f>
        <v>0</v>
      </c>
      <c r="Q1993" s="2766" t="str">
        <f>IF(OR($O1993=$M1993,$O1993=0,$O1993=""),"","*CHECK!*")</f>
        <v/>
      </c>
      <c r="R1993" s="2542"/>
      <c r="T1993" s="2728"/>
      <c r="U1993" s="2728"/>
    </row>
    <row r="1994" spans="1:21" s="2762" customFormat="1" ht="21.75" customHeight="1">
      <c r="A1994" s="2721"/>
      <c r="B1994" s="512" t="s">
        <v>4587</v>
      </c>
      <c r="C1994" s="512"/>
      <c r="D1994" s="512"/>
      <c r="E1994" s="512"/>
      <c r="F1994" s="512"/>
      <c r="G1994" s="512"/>
      <c r="H1994" s="512"/>
      <c r="I1994" s="512"/>
      <c r="J1994" s="512"/>
      <c r="K1994" s="512"/>
      <c r="L1994" s="512"/>
      <c r="M1994" s="2652"/>
      <c r="N1994" s="2749"/>
      <c r="O1994" s="2740">
        <f>'Part IX Scoring Criteria'!O335</f>
        <v>0</v>
      </c>
      <c r="P1994" s="2740"/>
      <c r="Q1994" s="2531"/>
      <c r="R1994" s="2251"/>
      <c r="T1994" s="2728"/>
      <c r="U1994" s="2728"/>
    </row>
    <row r="1995" spans="1:21" s="2762" customFormat="1" ht="11.25" customHeight="1">
      <c r="A1995" s="2673" t="s">
        <v>731</v>
      </c>
      <c r="B1995" s="2654" t="s">
        <v>4338</v>
      </c>
      <c r="D1995" s="512"/>
      <c r="H1995" s="2505"/>
      <c r="K1995" s="512"/>
      <c r="L1995" s="2251"/>
      <c r="M1995" s="2652">
        <v>1</v>
      </c>
      <c r="N1995" s="2749" t="s">
        <v>731</v>
      </c>
      <c r="O1995" s="2707">
        <f>'Part IX Scoring Criteria'!O336</f>
        <v>0</v>
      </c>
      <c r="P1995" s="2707">
        <f>'Part IX Scoring Criteria'!P336</f>
        <v>0</v>
      </c>
      <c r="Q1995" s="2766" t="str">
        <f>IF(OR($O1995=$M1995,$O1995=0,$O1995=""),"","*CHECK!*")</f>
        <v/>
      </c>
      <c r="R1995" s="2542"/>
      <c r="T1995" s="2728"/>
      <c r="U1995" s="2728"/>
    </row>
    <row r="1996" spans="1:21" s="2762" customFormat="1" ht="33.75" customHeight="1">
      <c r="B1996" s="2729" t="s">
        <v>6949</v>
      </c>
      <c r="C1996" s="2729"/>
      <c r="D1996" s="2729"/>
      <c r="E1996" s="2729"/>
      <c r="F1996" s="2729"/>
      <c r="G1996" s="2729"/>
      <c r="H1996" s="2729"/>
      <c r="I1996" s="2729"/>
      <c r="J1996" s="2729"/>
      <c r="K1996" s="2729"/>
      <c r="L1996" s="2729"/>
      <c r="M1996" s="2652"/>
      <c r="N1996" s="2749"/>
      <c r="O1996" s="2740">
        <f>'Part IX Scoring Criteria'!O337</f>
        <v>0</v>
      </c>
      <c r="P1996" s="2740"/>
      <c r="Q1996" s="2531"/>
      <c r="R1996" s="2251"/>
      <c r="T1996" s="2728"/>
      <c r="U1996" s="2728"/>
    </row>
    <row r="1997" spans="1:21" s="2762" customFormat="1" ht="22.5" customHeight="1">
      <c r="B1997" s="2729" t="s">
        <v>4456</v>
      </c>
      <c r="C1997" s="2729"/>
      <c r="D1997" s="2729"/>
      <c r="E1997" s="2729"/>
      <c r="F1997" s="2729"/>
      <c r="G1997" s="2729"/>
      <c r="H1997" s="2729"/>
      <c r="I1997" s="2729"/>
      <c r="J1997" s="2729"/>
      <c r="K1997" s="2729"/>
      <c r="L1997" s="2729"/>
      <c r="M1997" s="2652"/>
      <c r="N1997" s="2652"/>
      <c r="O1997" s="2652"/>
      <c r="P1997" s="2652"/>
      <c r="Q1997" s="2531"/>
      <c r="R1997" s="2251"/>
      <c r="T1997" s="2728"/>
      <c r="U1997" s="2728"/>
    </row>
    <row r="1998" spans="1:21" s="2762" customFormat="1" ht="10.5" customHeight="1">
      <c r="A1998" s="2408"/>
      <c r="B1998" s="2729" t="s">
        <v>1820</v>
      </c>
      <c r="C1998" s="2408"/>
      <c r="D1998" s="2729"/>
      <c r="E1998" s="2731"/>
      <c r="F1998" s="2731"/>
      <c r="G1998" s="2731"/>
      <c r="H1998" s="2731"/>
      <c r="I1998" s="2731"/>
      <c r="J1998" s="2731"/>
      <c r="K1998" s="2731"/>
      <c r="L1998" s="2731"/>
      <c r="M1998" s="2731"/>
      <c r="N1998" s="2782"/>
      <c r="O1998" s="2782"/>
      <c r="P1998" s="2652"/>
    </row>
    <row r="1999" spans="1:21" s="2762" customFormat="1" ht="11.25" customHeight="1">
      <c r="A1999" s="2729"/>
      <c r="B1999" s="2729"/>
      <c r="C1999" s="2729"/>
      <c r="D1999" s="2729"/>
      <c r="E1999" s="2729"/>
      <c r="F1999" s="2729"/>
      <c r="G1999" s="2729"/>
      <c r="H1999" s="2729"/>
      <c r="I1999" s="2729"/>
      <c r="J1999" s="2729"/>
      <c r="K1999" s="2729"/>
      <c r="L1999" s="2729"/>
      <c r="M1999" s="2729"/>
      <c r="N1999" s="2729"/>
      <c r="O1999" s="2729"/>
      <c r="P1999" s="2729"/>
      <c r="Q1999" s="2497"/>
    </row>
    <row r="2000" spans="1:21" s="2762" customFormat="1" ht="1.5" customHeight="1">
      <c r="A2000" s="2408"/>
      <c r="B2000" s="2408"/>
      <c r="C2000" s="2731"/>
      <c r="D2000" s="2731"/>
      <c r="E2000" s="2731"/>
      <c r="F2000" s="2731"/>
      <c r="G2000" s="2731"/>
      <c r="H2000" s="2731"/>
      <c r="I2000" s="2731"/>
      <c r="J2000" s="2731"/>
      <c r="K2000" s="2731"/>
      <c r="L2000" s="2731"/>
      <c r="M2000" s="2731"/>
      <c r="N2000" s="2782"/>
      <c r="O2000" s="2782"/>
      <c r="P2000" s="2652"/>
    </row>
    <row r="2001" spans="1:18" s="2762" customFormat="1" ht="12" customHeight="1">
      <c r="A2001" s="2786" t="s">
        <v>2194</v>
      </c>
      <c r="B2001" s="2408" t="s">
        <v>3754</v>
      </c>
      <c r="C2001" s="2618"/>
      <c r="D2001" s="2618"/>
      <c r="E2001" s="512"/>
      <c r="G2001" s="2618"/>
      <c r="M2001" s="2652">
        <v>2</v>
      </c>
      <c r="N2001" s="2652"/>
      <c r="O2001" s="2652"/>
      <c r="P2001" s="2652">
        <f>P2002+P2010</f>
        <v>0</v>
      </c>
      <c r="Q2001" s="2652" t="s">
        <v>433</v>
      </c>
    </row>
    <row r="2002" spans="1:18" s="2762" customFormat="1" ht="12" customHeight="1">
      <c r="A2002" s="2673" t="s">
        <v>1936</v>
      </c>
      <c r="B2002" s="2654" t="s">
        <v>3755</v>
      </c>
      <c r="C2002" s="2618"/>
      <c r="D2002" s="2618"/>
      <c r="E2002" s="512"/>
      <c r="G2002" s="2690">
        <f>'Part VIII-Threshold Criteria'!I2005</f>
        <v>0</v>
      </c>
      <c r="L2002" s="2749" t="s">
        <v>4824</v>
      </c>
      <c r="M2002" s="1550">
        <f>'Part I-Project Information'!H1753</f>
        <v>0</v>
      </c>
      <c r="N2002" s="2749" t="s">
        <v>1936</v>
      </c>
      <c r="O2002" s="2251" t="str">
        <f>'Part I-Project Information'!$H$100</f>
        <v>No</v>
      </c>
      <c r="P2002" s="2652"/>
      <c r="Q2002" s="2652"/>
      <c r="R2002" s="2542" t="s">
        <v>2626</v>
      </c>
    </row>
    <row r="2003" spans="1:18" s="2767" customFormat="1" ht="10.5" customHeight="1">
      <c r="A2003" s="2673"/>
      <c r="B2003" s="2803" t="s">
        <v>1939</v>
      </c>
      <c r="C2003" s="512" t="s">
        <v>4391</v>
      </c>
      <c r="D2003" s="2408"/>
      <c r="N2003" s="2803" t="s">
        <v>4392</v>
      </c>
      <c r="O2003" s="1550">
        <f>'Part IX Scoring Criteria'!O344</f>
        <v>0</v>
      </c>
      <c r="P2003" s="1550"/>
      <c r="R2003" s="2251"/>
    </row>
    <row r="2004" spans="1:18" s="2767" customFormat="1" ht="10.5" customHeight="1">
      <c r="A2004" s="2673"/>
      <c r="B2004" s="2803"/>
      <c r="C2004" s="512" t="s">
        <v>4749</v>
      </c>
      <c r="D2004" s="2408"/>
      <c r="N2004" s="2803" t="s">
        <v>4393</v>
      </c>
      <c r="O2004" s="1550">
        <f>'Part IX Scoring Criteria'!O345</f>
        <v>0</v>
      </c>
      <c r="P2004" s="1550"/>
      <c r="R2004" s="2251"/>
    </row>
    <row r="2005" spans="1:18" s="2767" customFormat="1" ht="10.5" customHeight="1">
      <c r="A2005" s="2673"/>
      <c r="B2005" s="2803" t="s">
        <v>1941</v>
      </c>
      <c r="C2005" s="512" t="s">
        <v>3763</v>
      </c>
      <c r="D2005" s="2408"/>
      <c r="N2005" s="2803" t="s">
        <v>1941</v>
      </c>
      <c r="O2005" s="1550">
        <f>'Part IX Scoring Criteria'!O346</f>
        <v>0</v>
      </c>
      <c r="P2005" s="1550"/>
      <c r="R2005" s="2251"/>
    </row>
    <row r="2006" spans="1:18" s="2767" customFormat="1" ht="10.5" customHeight="1">
      <c r="A2006" s="2673"/>
      <c r="B2006" s="2803" t="s">
        <v>2468</v>
      </c>
      <c r="C2006" s="512" t="s">
        <v>4394</v>
      </c>
      <c r="D2006" s="2408"/>
      <c r="N2006" s="2803" t="s">
        <v>2468</v>
      </c>
      <c r="O2006" s="1550">
        <f>'Part IX Scoring Criteria'!O347</f>
        <v>0</v>
      </c>
      <c r="P2006" s="1550"/>
      <c r="R2006" s="2251"/>
    </row>
    <row r="2007" spans="1:18" s="2767" customFormat="1" ht="10.5" customHeight="1">
      <c r="B2007" s="2803" t="s">
        <v>1198</v>
      </c>
      <c r="C2007" s="512" t="s">
        <v>4339</v>
      </c>
      <c r="D2007" s="2408"/>
      <c r="N2007" s="2803" t="s">
        <v>1198</v>
      </c>
      <c r="O2007" s="1550">
        <f>'Part IX Scoring Criteria'!O348</f>
        <v>0</v>
      </c>
      <c r="P2007" s="1550"/>
      <c r="R2007" s="2251"/>
    </row>
    <row r="2008" spans="1:18" s="2767" customFormat="1" ht="10.5" customHeight="1">
      <c r="A2008" s="2673"/>
      <c r="B2008" s="2803" t="s">
        <v>1199</v>
      </c>
      <c r="C2008" s="512" t="s">
        <v>4340</v>
      </c>
      <c r="D2008" s="2408"/>
      <c r="N2008" s="2803" t="s">
        <v>1199</v>
      </c>
      <c r="O2008" s="1550">
        <f>'Part IX Scoring Criteria'!O349</f>
        <v>0</v>
      </c>
      <c r="P2008" s="1550"/>
      <c r="R2008" s="2251"/>
    </row>
    <row r="2009" spans="1:18" s="2767" customFormat="1" ht="10.5" customHeight="1">
      <c r="A2009" s="2673"/>
      <c r="B2009" s="2803" t="s">
        <v>1834</v>
      </c>
      <c r="C2009" s="512" t="s">
        <v>3764</v>
      </c>
      <c r="D2009" s="2408"/>
      <c r="N2009" s="2803" t="s">
        <v>1834</v>
      </c>
      <c r="O2009" s="1550">
        <f>'Part IX Scoring Criteria'!O350</f>
        <v>0</v>
      </c>
      <c r="P2009" s="1550"/>
      <c r="R2009" s="2251"/>
    </row>
    <row r="2010" spans="1:18" s="2762" customFormat="1" ht="12" customHeight="1">
      <c r="A2010" s="2673" t="s">
        <v>1938</v>
      </c>
      <c r="B2010" s="2654" t="s">
        <v>3756</v>
      </c>
      <c r="C2010" s="2618"/>
      <c r="D2010" s="2618"/>
      <c r="E2010" s="512"/>
      <c r="G2010" s="2690">
        <f>'Part I-Project Information'!D1817</f>
        <v>0</v>
      </c>
      <c r="I2010" s="2690"/>
      <c r="L2010" s="2619"/>
      <c r="M2010" s="2619"/>
      <c r="N2010" s="2749" t="s">
        <v>1938</v>
      </c>
      <c r="P2010" s="2652"/>
      <c r="Q2010" s="2652"/>
      <c r="R2010" s="2542" t="s">
        <v>2626</v>
      </c>
    </row>
    <row r="2011" spans="1:18" s="2767" customFormat="1" ht="10.5" customHeight="1">
      <c r="A2011" s="2721"/>
      <c r="B2011" s="2803" t="s">
        <v>1939</v>
      </c>
      <c r="C2011" s="512" t="s">
        <v>4391</v>
      </c>
      <c r="D2011" s="512"/>
      <c r="E2011" s="512"/>
      <c r="M2011" s="2652"/>
      <c r="N2011" s="2803" t="s">
        <v>4392</v>
      </c>
      <c r="O2011" s="1550">
        <f>'Part IX Scoring Criteria'!O352</f>
        <v>0</v>
      </c>
      <c r="P2011" s="1550"/>
      <c r="Q2011" s="2652"/>
    </row>
    <row r="2012" spans="1:18" s="2767" customFormat="1" ht="10.5" customHeight="1">
      <c r="A2012" s="2673"/>
      <c r="B2012" s="2803"/>
      <c r="C2012" s="512" t="s">
        <v>4777</v>
      </c>
      <c r="D2012" s="2408"/>
      <c r="N2012" s="2803" t="s">
        <v>4393</v>
      </c>
      <c r="O2012" s="1550">
        <f>'Part IX Scoring Criteria'!O353</f>
        <v>0</v>
      </c>
      <c r="P2012" s="1550"/>
      <c r="R2012" s="2251"/>
    </row>
    <row r="2013" spans="1:18" s="2767" customFormat="1" ht="10.5" customHeight="1">
      <c r="A2013" s="2673"/>
      <c r="B2013" s="2803" t="s">
        <v>1941</v>
      </c>
      <c r="C2013" s="512" t="s">
        <v>3775</v>
      </c>
      <c r="D2013" s="2408"/>
      <c r="N2013" s="2803" t="s">
        <v>1941</v>
      </c>
      <c r="O2013" s="1550">
        <f>'Part IX Scoring Criteria'!O354</f>
        <v>0</v>
      </c>
      <c r="P2013" s="1550"/>
      <c r="R2013" s="2251"/>
    </row>
    <row r="2014" spans="1:18" s="2767" customFormat="1" ht="10.5" customHeight="1">
      <c r="B2014" s="2803" t="s">
        <v>2468</v>
      </c>
      <c r="C2014" s="512" t="s">
        <v>3764</v>
      </c>
      <c r="D2014" s="2408"/>
      <c r="N2014" s="2803" t="s">
        <v>2468</v>
      </c>
      <c r="O2014" s="1550">
        <f>'Part IX Scoring Criteria'!O355</f>
        <v>0</v>
      </c>
      <c r="P2014" s="1550"/>
      <c r="R2014" s="2251"/>
    </row>
    <row r="2015" spans="1:18" s="2762" customFormat="1" ht="10.5" customHeight="1">
      <c r="B2015" s="2729" t="s">
        <v>1820</v>
      </c>
      <c r="C2015" s="2408"/>
      <c r="D2015" s="2729"/>
      <c r="E2015" s="2731"/>
      <c r="F2015" s="2731"/>
      <c r="G2015" s="2731"/>
      <c r="H2015" s="2731"/>
      <c r="I2015" s="2731"/>
      <c r="J2015" s="2731"/>
      <c r="K2015" s="2731"/>
      <c r="L2015" s="2731"/>
      <c r="M2015" s="2731"/>
      <c r="N2015" s="2782"/>
      <c r="O2015" s="2782"/>
      <c r="P2015" s="2652"/>
    </row>
    <row r="2016" spans="1:18" s="2762" customFormat="1" ht="11.25" customHeight="1">
      <c r="A2016" s="2729"/>
      <c r="B2016" s="2729"/>
      <c r="C2016" s="2729"/>
      <c r="D2016" s="2729"/>
      <c r="E2016" s="2729"/>
      <c r="F2016" s="2729"/>
      <c r="G2016" s="2729"/>
      <c r="H2016" s="2729"/>
      <c r="I2016" s="2729"/>
      <c r="J2016" s="2729"/>
      <c r="K2016" s="2729"/>
      <c r="L2016" s="2729"/>
      <c r="M2016" s="2729"/>
      <c r="N2016" s="2729"/>
      <c r="O2016" s="2729"/>
      <c r="P2016" s="2729"/>
      <c r="Q2016" s="2497"/>
    </row>
    <row r="2017" spans="1:19" ht="2.25" customHeight="1">
      <c r="N2017" s="2613"/>
      <c r="O2017" s="2613"/>
      <c r="P2017" s="2613"/>
    </row>
    <row r="2018" spans="1:19" s="2762" customFormat="1" ht="2.25" customHeight="1">
      <c r="A2018" s="2408"/>
      <c r="C2018" s="2731"/>
      <c r="D2018" s="2731"/>
      <c r="E2018" s="2731"/>
      <c r="F2018" s="2731"/>
      <c r="G2018" s="2731"/>
      <c r="H2018" s="2731"/>
      <c r="I2018" s="2731"/>
      <c r="J2018" s="2731"/>
      <c r="K2018" s="2731"/>
      <c r="L2018" s="2731"/>
      <c r="M2018" s="2731"/>
      <c r="N2018" s="2782"/>
      <c r="O2018" s="2782"/>
      <c r="P2018" s="2652"/>
    </row>
    <row r="2019" spans="1:19" s="2762" customFormat="1" ht="12" customHeight="1">
      <c r="A2019" s="2786" t="s">
        <v>3791</v>
      </c>
      <c r="B2019" s="2408" t="s">
        <v>1631</v>
      </c>
      <c r="D2019" s="2618"/>
      <c r="E2019" s="2618"/>
      <c r="G2019" s="512"/>
      <c r="I2019" s="512"/>
      <c r="J2019" s="512"/>
      <c r="L2019" s="1550"/>
      <c r="M2019" s="2652">
        <v>1</v>
      </c>
      <c r="N2019" s="2652"/>
      <c r="O2019" s="2707">
        <f>'Part IX Scoring Criteria'!O360</f>
        <v>0</v>
      </c>
      <c r="P2019" s="2707">
        <f>'Part IX Scoring Criteria'!P360</f>
        <v>0</v>
      </c>
      <c r="Q2019" s="2652" t="s">
        <v>433</v>
      </c>
      <c r="R2019" s="2496" t="s">
        <v>4775</v>
      </c>
      <c r="S2019" s="2496"/>
    </row>
    <row r="2020" spans="1:19" s="2762" customFormat="1" ht="11.25" customHeight="1">
      <c r="A2020" s="2673"/>
      <c r="B2020" s="2684" t="s">
        <v>3457</v>
      </c>
      <c r="D2020" s="2618"/>
      <c r="E2020" s="2618"/>
      <c r="G2020" s="512"/>
      <c r="I2020" s="512" t="str">
        <f>'Part IX Scoring Criteria'!I361</f>
        <v>Enter GICH Community Name</v>
      </c>
      <c r="J2020" s="512"/>
      <c r="K2020" s="512"/>
      <c r="L2020" s="512"/>
      <c r="M2020" s="2652"/>
      <c r="N2020" s="2652"/>
      <c r="O2020" s="2619" t="s">
        <v>2444</v>
      </c>
      <c r="P2020" s="2619" t="s">
        <v>2444</v>
      </c>
      <c r="Q2020" s="2766"/>
      <c r="R2020" s="2496"/>
      <c r="S2020" s="2496"/>
    </row>
    <row r="2021" spans="1:19" s="2762" customFormat="1" ht="11.25" customHeight="1">
      <c r="A2021" s="2673"/>
      <c r="B2021" s="2803" t="s">
        <v>1939</v>
      </c>
      <c r="C2021" s="2618" t="s">
        <v>6811</v>
      </c>
      <c r="D2021" s="2618"/>
      <c r="E2021" s="2618" t="s">
        <v>4354</v>
      </c>
      <c r="G2021" s="512"/>
      <c r="I2021" s="512"/>
      <c r="J2021" s="2618"/>
      <c r="K2021" s="2618"/>
      <c r="L2021" s="2618"/>
      <c r="M2021" s="1550"/>
      <c r="N2021" s="1550"/>
      <c r="O2021" s="1550">
        <f>'Part IX Scoring Criteria'!O362</f>
        <v>0</v>
      </c>
      <c r="P2021" s="1550"/>
      <c r="Q2021" s="2731"/>
      <c r="R2021" s="2496"/>
      <c r="S2021" s="2496"/>
    </row>
    <row r="2022" spans="1:19" s="2767" customFormat="1" ht="11.25" customHeight="1">
      <c r="A2022" s="2673"/>
      <c r="B2022" s="1550"/>
      <c r="C2022" s="512"/>
      <c r="D2022" s="1550" t="s">
        <v>1326</v>
      </c>
      <c r="E2022" s="512" t="s">
        <v>6950</v>
      </c>
      <c r="G2022" s="512"/>
      <c r="H2022" s="512"/>
      <c r="I2022" s="512"/>
      <c r="J2022" s="512"/>
      <c r="K2022" s="512"/>
      <c r="L2022" s="1550">
        <f>'Part IX Scoring Criteria'!L363</f>
        <v>0</v>
      </c>
      <c r="N2022" s="1550"/>
      <c r="O2022" s="1550">
        <f>'Part IX Scoring Criteria'!O363</f>
        <v>0</v>
      </c>
      <c r="P2022" s="1550"/>
      <c r="Q2022" s="2684"/>
      <c r="R2022" s="2496"/>
      <c r="S2022" s="2496"/>
    </row>
    <row r="2023" spans="1:19" s="2762" customFormat="1" ht="11.25" customHeight="1">
      <c r="B2023" s="2803" t="s">
        <v>1941</v>
      </c>
      <c r="C2023" s="2684" t="s">
        <v>6951</v>
      </c>
      <c r="D2023" s="2767"/>
      <c r="E2023" s="2618"/>
      <c r="F2023" s="512"/>
      <c r="G2023" s="512"/>
      <c r="N2023" s="2749"/>
      <c r="O2023" s="2619" t="s">
        <v>2444</v>
      </c>
      <c r="P2023" s="2619" t="s">
        <v>2444</v>
      </c>
    </row>
    <row r="2024" spans="1:19" s="512" customFormat="1" ht="10.5" customHeight="1">
      <c r="B2024" s="2749" t="s">
        <v>2372</v>
      </c>
      <c r="C2024" s="2684" t="s">
        <v>3757</v>
      </c>
      <c r="N2024" s="2749" t="s">
        <v>2372</v>
      </c>
      <c r="O2024" s="1550">
        <f>'Part IX Scoring Criteria'!O365</f>
        <v>0</v>
      </c>
      <c r="P2024" s="1550"/>
    </row>
    <row r="2025" spans="1:19" s="512" customFormat="1" ht="10.5" customHeight="1">
      <c r="B2025" s="2730" t="s">
        <v>2373</v>
      </c>
      <c r="C2025" s="2684" t="s">
        <v>3758</v>
      </c>
      <c r="N2025" s="2730" t="s">
        <v>2373</v>
      </c>
      <c r="O2025" s="1550">
        <f>'Part IX Scoring Criteria'!O366</f>
        <v>0</v>
      </c>
      <c r="P2025" s="1550"/>
    </row>
    <row r="2026" spans="1:19" s="512" customFormat="1" ht="10.5" customHeight="1">
      <c r="B2026" s="2749" t="s">
        <v>2374</v>
      </c>
      <c r="C2026" s="2684" t="s">
        <v>4588</v>
      </c>
      <c r="N2026" s="2749" t="s">
        <v>2374</v>
      </c>
      <c r="O2026" s="1550">
        <f>'Part IX Scoring Criteria'!O367</f>
        <v>0</v>
      </c>
      <c r="P2026" s="1550"/>
    </row>
    <row r="2027" spans="1:19" s="2618" customFormat="1" ht="11.25" customHeight="1">
      <c r="B2027" s="2691" t="s">
        <v>3458</v>
      </c>
      <c r="D2027" s="512"/>
      <c r="E2027" s="512"/>
      <c r="F2027" s="512"/>
      <c r="G2027" s="512"/>
      <c r="H2027" s="512"/>
      <c r="I2027" s="512"/>
      <c r="J2027" s="512"/>
      <c r="K2027" s="512"/>
      <c r="L2027" s="512"/>
      <c r="M2027" s="512"/>
      <c r="N2027" s="2749"/>
      <c r="O2027" s="2749"/>
      <c r="P2027" s="2749"/>
    </row>
    <row r="2028" spans="1:19" s="2618" customFormat="1" ht="2.25" customHeight="1">
      <c r="B2028" s="2691"/>
      <c r="D2028" s="512"/>
      <c r="E2028" s="512"/>
      <c r="F2028" s="512"/>
      <c r="G2028" s="512"/>
      <c r="H2028" s="512"/>
      <c r="I2028" s="512"/>
      <c r="J2028" s="512"/>
      <c r="K2028" s="512"/>
      <c r="L2028" s="512"/>
      <c r="M2028" s="512"/>
      <c r="N2028" s="2749"/>
      <c r="O2028" s="2749"/>
      <c r="P2028" s="2749"/>
    </row>
    <row r="2029" spans="1:19" s="2767" customFormat="1" ht="10.5" customHeight="1">
      <c r="A2029" s="2408"/>
      <c r="B2029" s="512" t="s">
        <v>3572</v>
      </c>
      <c r="C2029" s="2408"/>
      <c r="D2029" s="2654"/>
      <c r="E2029" s="2654"/>
      <c r="F2029" s="2654"/>
      <c r="G2029" s="2654"/>
      <c r="H2029" s="512"/>
      <c r="I2029" s="512"/>
      <c r="J2029" s="512"/>
      <c r="K2029" s="512"/>
      <c r="M2029" s="2652"/>
      <c r="N2029" s="2652"/>
      <c r="O2029" s="2707"/>
      <c r="P2029" s="2652"/>
    </row>
    <row r="2030" spans="1:19" s="2762" customFormat="1" ht="10.8" customHeight="1">
      <c r="A2030" s="2729">
        <f>'Part IX Scoring Criteria'!A371</f>
        <v>0</v>
      </c>
      <c r="B2030" s="2729"/>
      <c r="C2030" s="2729"/>
      <c r="D2030" s="2729"/>
      <c r="E2030" s="2729"/>
      <c r="F2030" s="2729"/>
      <c r="G2030" s="2729"/>
      <c r="H2030" s="2729"/>
      <c r="I2030" s="2729"/>
      <c r="J2030" s="2729"/>
      <c r="K2030" s="2729"/>
      <c r="L2030" s="2729"/>
      <c r="M2030" s="2729"/>
      <c r="N2030" s="2729"/>
      <c r="O2030" s="2729"/>
      <c r="P2030" s="2729"/>
      <c r="Q2030" s="2497" t="s">
        <v>1228</v>
      </c>
    </row>
    <row r="2031" spans="1:19" s="2767" customFormat="1" ht="10.5" customHeight="1">
      <c r="A2031" s="2408"/>
      <c r="B2031" s="512" t="s">
        <v>1820</v>
      </c>
      <c r="C2031" s="2408"/>
      <c r="D2031" s="512"/>
      <c r="E2031" s="2684"/>
      <c r="F2031" s="2684"/>
      <c r="G2031" s="2684"/>
      <c r="H2031" s="2684"/>
      <c r="I2031" s="2684"/>
      <c r="J2031" s="2684"/>
      <c r="K2031" s="2684"/>
      <c r="L2031" s="2684"/>
      <c r="M2031" s="2684"/>
      <c r="N2031" s="2652"/>
      <c r="O2031" s="2652"/>
      <c r="P2031" s="2652"/>
      <c r="Q2031" s="2762"/>
    </row>
    <row r="2032" spans="1:19" s="2762" customFormat="1" ht="11.25" customHeight="1">
      <c r="A2032" s="2729"/>
      <c r="B2032" s="2729"/>
      <c r="C2032" s="2729"/>
      <c r="D2032" s="2729"/>
      <c r="E2032" s="2729"/>
      <c r="F2032" s="2729"/>
      <c r="G2032" s="2729"/>
      <c r="H2032" s="2729"/>
      <c r="I2032" s="2729"/>
      <c r="J2032" s="2729"/>
      <c r="K2032" s="2729"/>
      <c r="L2032" s="2729"/>
      <c r="M2032" s="2729"/>
      <c r="N2032" s="2729"/>
      <c r="O2032" s="2729"/>
      <c r="P2032" s="2729"/>
      <c r="Q2032" s="2497"/>
    </row>
    <row r="2033" spans="1:20" ht="3" customHeight="1">
      <c r="N2033" s="2613"/>
      <c r="O2033" s="2613"/>
      <c r="P2033" s="2613"/>
    </row>
    <row r="2034" spans="1:20" s="2762" customFormat="1" ht="12.75" customHeight="1">
      <c r="A2034" s="2786" t="s">
        <v>3792</v>
      </c>
      <c r="B2034" s="2408" t="s">
        <v>3760</v>
      </c>
      <c r="D2034" s="2618"/>
      <c r="E2034" s="2618"/>
      <c r="F2034" s="512"/>
      <c r="G2034" s="512"/>
      <c r="H2034" s="512"/>
      <c r="I2034" s="512"/>
      <c r="J2034" s="512"/>
      <c r="L2034" s="2251" t="str">
        <f>IF(O2034&lt;=M2034,"","* * Check Score! * *")</f>
        <v/>
      </c>
      <c r="M2034" s="2707">
        <v>4</v>
      </c>
      <c r="N2034" s="2652"/>
      <c r="O2034" s="2707">
        <f>'Part IX Scoring Criteria'!O375</f>
        <v>0</v>
      </c>
      <c r="P2034" s="2707">
        <f>'Part IX Scoring Criteria'!P375</f>
        <v>0</v>
      </c>
      <c r="Q2034" s="2652" t="s">
        <v>433</v>
      </c>
    </row>
    <row r="2035" spans="1:20" s="2762" customFormat="1" ht="10.5" customHeight="1">
      <c r="A2035" s="2408"/>
      <c r="B2035" s="2684" t="s">
        <v>6952</v>
      </c>
      <c r="E2035" s="2618"/>
      <c r="F2035" s="512"/>
      <c r="G2035" s="512"/>
      <c r="H2035" s="512"/>
      <c r="I2035" s="512"/>
      <c r="K2035" s="1550"/>
      <c r="L2035" s="2843"/>
      <c r="O2035" s="1550" t="s">
        <v>2444</v>
      </c>
      <c r="P2035" s="1550" t="s">
        <v>2444</v>
      </c>
    </row>
    <row r="2036" spans="1:20" s="2618" customFormat="1" ht="12.75" customHeight="1">
      <c r="B2036" s="2749" t="s">
        <v>2372</v>
      </c>
      <c r="C2036" s="512" t="s">
        <v>2730</v>
      </c>
      <c r="F2036" s="512"/>
      <c r="G2036" s="512"/>
      <c r="H2036" s="512"/>
      <c r="I2036" s="512"/>
      <c r="J2036" s="2762"/>
      <c r="K2036" s="1550"/>
      <c r="L2036" s="2729" t="str">
        <f>IF(OR(O2036="No",O2036="",O2037="No",O2037="",O2038="No",O2038="",O2039="No",O2039=""),"Unmet criterion results in no points!","")</f>
        <v/>
      </c>
      <c r="M2036" s="2729"/>
      <c r="N2036" s="2749" t="s">
        <v>2372</v>
      </c>
      <c r="O2036" s="1550">
        <f>'Part IX Scoring Criteria'!O377</f>
        <v>0</v>
      </c>
      <c r="P2036" s="1550"/>
      <c r="R2036" s="2729" t="str">
        <f>IF(OR(P2036="No",P2036="",P2037="No",P2037="",P2038="No",P2038="",P2039="No",P2039=""),"Unmet criterion results in no points!","")</f>
        <v>Unmet criterion results in no points!</v>
      </c>
      <c r="S2036" s="2729" t="e">
        <f>IF(OR(V2036="No",V2036="",V2037="No",V2037="",V2038="No",V2038="",V2039="No",V2039="",#REF!="No",#REF!="",#REF!="No",#REF!=""),"Unmet criterion results in no points!","")</f>
        <v>#REF!</v>
      </c>
    </row>
    <row r="2037" spans="1:20" s="2618" customFormat="1" ht="12.75" customHeight="1">
      <c r="B2037" s="2749" t="s">
        <v>2373</v>
      </c>
      <c r="C2037" s="512" t="s">
        <v>3620</v>
      </c>
      <c r="L2037" s="2729"/>
      <c r="M2037" s="2729"/>
      <c r="N2037" s="2749" t="s">
        <v>2373</v>
      </c>
      <c r="O2037" s="1550">
        <f>'Part IX Scoring Criteria'!O378</f>
        <v>0</v>
      </c>
      <c r="P2037" s="1550"/>
      <c r="R2037" s="2729"/>
      <c r="S2037" s="2729"/>
    </row>
    <row r="2038" spans="1:20" s="2618" customFormat="1" ht="12.75" customHeight="1">
      <c r="B2038" s="2749" t="s">
        <v>2374</v>
      </c>
      <c r="C2038" s="512" t="s">
        <v>3619</v>
      </c>
      <c r="L2038" s="2729"/>
      <c r="M2038" s="2729"/>
      <c r="N2038" s="2749" t="s">
        <v>2374</v>
      </c>
      <c r="O2038" s="1550">
        <f>'Part IX Scoring Criteria'!O379</f>
        <v>0</v>
      </c>
      <c r="P2038" s="1550"/>
      <c r="R2038" s="2729"/>
      <c r="S2038" s="2729"/>
    </row>
    <row r="2039" spans="1:20" s="2618" customFormat="1" ht="33.75" customHeight="1">
      <c r="B2039" s="2730" t="s">
        <v>2375</v>
      </c>
      <c r="C2039" s="2729" t="s">
        <v>4341</v>
      </c>
      <c r="D2039" s="2729"/>
      <c r="E2039" s="2729"/>
      <c r="F2039" s="2729"/>
      <c r="G2039" s="2729"/>
      <c r="H2039" s="2729"/>
      <c r="I2039" s="2729"/>
      <c r="J2039" s="2729"/>
      <c r="K2039" s="2729"/>
      <c r="L2039" s="2729"/>
      <c r="M2039" s="2729"/>
      <c r="N2039" s="2730" t="s">
        <v>2375</v>
      </c>
      <c r="O2039" s="2740">
        <f>'Part IX Scoring Criteria'!O380</f>
        <v>0</v>
      </c>
      <c r="P2039" s="2740"/>
    </row>
    <row r="2040" spans="1:20" ht="3" customHeight="1">
      <c r="C2040" s="2729"/>
      <c r="D2040" s="2729"/>
      <c r="E2040" s="2729"/>
      <c r="F2040" s="2729"/>
      <c r="G2040" s="2729"/>
      <c r="H2040" s="2729"/>
      <c r="I2040" s="2729"/>
      <c r="J2040" s="2729"/>
      <c r="K2040" s="2729"/>
      <c r="L2040" s="2729"/>
      <c r="M2040" s="2729"/>
      <c r="N2040" s="2613"/>
      <c r="O2040" s="2613"/>
      <c r="P2040" s="2613"/>
    </row>
    <row r="2041" spans="1:20" ht="12.75" customHeight="1">
      <c r="A2041" s="2844" t="s">
        <v>1936</v>
      </c>
      <c r="B2041" s="2654" t="s">
        <v>3761</v>
      </c>
      <c r="L2041" s="2251" t="str">
        <f>IF(O2041&lt;=M2041,"","* * Check Score! * *")</f>
        <v/>
      </c>
      <c r="M2041" s="2251">
        <v>3</v>
      </c>
      <c r="N2041" s="2749" t="s">
        <v>1936</v>
      </c>
      <c r="O2041" s="2707">
        <f>'Part IX Scoring Criteria'!O382</f>
        <v>0</v>
      </c>
      <c r="P2041" s="2707"/>
      <c r="Q2041" s="2766" t="str">
        <f>IF(O2041&lt;=M2041,"","*CHECK!*")</f>
        <v/>
      </c>
      <c r="R2041" s="2498" t="s">
        <v>4775</v>
      </c>
      <c r="S2041" s="2498"/>
      <c r="T2041" s="2496"/>
    </row>
    <row r="2042" spans="1:20" ht="12.75" customHeight="1">
      <c r="A2042" s="2844"/>
      <c r="B2042" s="2823" t="s">
        <v>1939</v>
      </c>
      <c r="C2042" s="2729" t="s">
        <v>4344</v>
      </c>
      <c r="D2042" s="2729"/>
      <c r="E2042" s="2729"/>
      <c r="F2042" s="2729"/>
      <c r="G2042" s="2729"/>
      <c r="H2042" s="2729"/>
      <c r="I2042" s="2729"/>
      <c r="R2042" s="2498"/>
      <c r="S2042" s="2498"/>
      <c r="T2042" s="2496"/>
    </row>
    <row r="2043" spans="1:20" ht="12.75" customHeight="1">
      <c r="A2043" s="2844"/>
      <c r="B2043" s="2807"/>
      <c r="C2043" s="2729" t="s">
        <v>4343</v>
      </c>
      <c r="D2043" s="2729"/>
      <c r="E2043" s="2729"/>
      <c r="F2043" s="2729"/>
      <c r="G2043" s="2729"/>
      <c r="H2043" s="2729"/>
      <c r="I2043" s="2729"/>
      <c r="J2043" s="2618" t="s">
        <v>1943</v>
      </c>
      <c r="K2043" s="2618"/>
      <c r="M2043" s="2618" t="s">
        <v>1943</v>
      </c>
      <c r="N2043" s="2618"/>
      <c r="O2043" s="2618"/>
      <c r="P2043" s="2618"/>
      <c r="R2043" s="2498"/>
      <c r="S2043" s="2498"/>
      <c r="T2043" s="2496"/>
    </row>
    <row r="2044" spans="1:20" s="2762" customFormat="1" ht="12.75" customHeight="1">
      <c r="A2044" s="2680"/>
      <c r="B2044" s="2749" t="s">
        <v>2372</v>
      </c>
      <c r="C2044" s="512" t="s">
        <v>1451</v>
      </c>
      <c r="I2044" s="2749" t="s">
        <v>2372</v>
      </c>
      <c r="J2044" s="2694">
        <f>'Part IX Scoring Criteria'!J385</f>
        <v>0</v>
      </c>
      <c r="K2044" s="2694">
        <f>'Part IX Scoring Criteria'!K385</f>
        <v>0</v>
      </c>
      <c r="L2044" s="2749" t="s">
        <v>2372</v>
      </c>
      <c r="M2044" s="2694"/>
      <c r="N2044" s="2694"/>
      <c r="O2044" s="2694"/>
      <c r="P2044" s="2694"/>
      <c r="R2044" s="2251"/>
    </row>
    <row r="2045" spans="1:20" ht="12.75" customHeight="1">
      <c r="A2045" s="2719"/>
      <c r="B2045" s="2730" t="s">
        <v>2373</v>
      </c>
      <c r="C2045" s="512" t="s">
        <v>3460</v>
      </c>
      <c r="I2045" s="2730" t="s">
        <v>2373</v>
      </c>
      <c r="J2045" s="2694">
        <f>'Part IX Scoring Criteria'!J386</f>
        <v>0</v>
      </c>
      <c r="K2045" s="2694">
        <f>'Part IX Scoring Criteria'!K386</f>
        <v>0</v>
      </c>
      <c r="L2045" s="2730" t="s">
        <v>2373</v>
      </c>
      <c r="M2045" s="2694"/>
      <c r="N2045" s="2694"/>
      <c r="O2045" s="2694"/>
      <c r="P2045" s="2694"/>
      <c r="R2045" s="2251"/>
    </row>
    <row r="2046" spans="1:20" ht="12.75" customHeight="1">
      <c r="B2046" s="2749" t="s">
        <v>2374</v>
      </c>
      <c r="C2046" s="512" t="s">
        <v>4589</v>
      </c>
      <c r="I2046" s="2749" t="s">
        <v>2374</v>
      </c>
      <c r="J2046" s="2694">
        <f>'Part IX Scoring Criteria'!J387</f>
        <v>0</v>
      </c>
      <c r="K2046" s="2694">
        <f>'Part IX Scoring Criteria'!K387</f>
        <v>0</v>
      </c>
      <c r="L2046" s="2749" t="s">
        <v>2374</v>
      </c>
      <c r="M2046" s="2694"/>
      <c r="N2046" s="2694"/>
      <c r="O2046" s="2694"/>
      <c r="P2046" s="2694"/>
      <c r="R2046" s="2251"/>
    </row>
    <row r="2047" spans="1:20" ht="12.75" customHeight="1">
      <c r="A2047" s="2719"/>
      <c r="B2047" s="2749" t="s">
        <v>2375</v>
      </c>
      <c r="C2047" s="512" t="s">
        <v>3345</v>
      </c>
      <c r="I2047" s="2749" t="s">
        <v>2375</v>
      </c>
      <c r="J2047" s="2694">
        <f>'Part IX Scoring Criteria'!J388</f>
        <v>0</v>
      </c>
      <c r="K2047" s="2694">
        <f>'Part IX Scoring Criteria'!K388</f>
        <v>0</v>
      </c>
      <c r="L2047" s="2749" t="s">
        <v>2375</v>
      </c>
      <c r="M2047" s="2694"/>
      <c r="N2047" s="2694"/>
      <c r="O2047" s="2694"/>
      <c r="P2047" s="2694"/>
      <c r="R2047" s="2251"/>
    </row>
    <row r="2048" spans="1:20" s="2762" customFormat="1" ht="12.75" customHeight="1">
      <c r="A2048" s="2680"/>
      <c r="B2048" s="2730" t="s">
        <v>2376</v>
      </c>
      <c r="C2048" s="512" t="s">
        <v>2647</v>
      </c>
      <c r="I2048" s="2730" t="s">
        <v>2376</v>
      </c>
      <c r="J2048" s="2694">
        <f>'Part IX Scoring Criteria'!J389</f>
        <v>0</v>
      </c>
      <c r="K2048" s="2694">
        <f>'Part IX Scoring Criteria'!K389</f>
        <v>0</v>
      </c>
      <c r="L2048" s="2730" t="s">
        <v>2376</v>
      </c>
      <c r="M2048" s="2694"/>
      <c r="N2048" s="2694"/>
      <c r="O2048" s="2694"/>
      <c r="P2048" s="2694"/>
      <c r="R2048" s="2251"/>
    </row>
    <row r="2049" spans="1:23" ht="12.75" customHeight="1">
      <c r="B2049" s="2749" t="s">
        <v>2392</v>
      </c>
      <c r="C2049" s="512" t="s">
        <v>1450</v>
      </c>
      <c r="I2049" s="2749" t="s">
        <v>2392</v>
      </c>
      <c r="J2049" s="2694">
        <f>'Part IX Scoring Criteria'!J390</f>
        <v>0</v>
      </c>
      <c r="K2049" s="2694">
        <f>'Part IX Scoring Criteria'!K390</f>
        <v>0</v>
      </c>
      <c r="L2049" s="2749" t="s">
        <v>2392</v>
      </c>
      <c r="M2049" s="2694"/>
      <c r="N2049" s="2694"/>
      <c r="O2049" s="2694"/>
      <c r="P2049" s="2694"/>
      <c r="R2049" s="2251"/>
    </row>
    <row r="2050" spans="1:23" ht="12.75" customHeight="1">
      <c r="A2050" s="2719"/>
      <c r="B2050" s="2749" t="s">
        <v>2393</v>
      </c>
      <c r="C2050" s="512" t="s">
        <v>3459</v>
      </c>
      <c r="I2050" s="2749" t="s">
        <v>2393</v>
      </c>
      <c r="J2050" s="2694">
        <f>'Part IX Scoring Criteria'!J391</f>
        <v>0</v>
      </c>
      <c r="K2050" s="2694">
        <f>'Part IX Scoring Criteria'!K391</f>
        <v>0</v>
      </c>
      <c r="L2050" s="2749" t="s">
        <v>2393</v>
      </c>
      <c r="M2050" s="2694"/>
      <c r="N2050" s="2694"/>
      <c r="O2050" s="2694"/>
      <c r="P2050" s="2694"/>
      <c r="R2050" s="2251"/>
    </row>
    <row r="2051" spans="1:23" ht="12.75" customHeight="1">
      <c r="B2051" s="2749" t="s">
        <v>2394</v>
      </c>
      <c r="C2051" s="512" t="s">
        <v>6822</v>
      </c>
      <c r="I2051" s="2749" t="s">
        <v>2394</v>
      </c>
      <c r="J2051" s="2694">
        <f>'Part IX Scoring Criteria'!J392</f>
        <v>0</v>
      </c>
      <c r="K2051" s="2694">
        <f>'Part IX Scoring Criteria'!K392</f>
        <v>0</v>
      </c>
      <c r="L2051" s="2749" t="s">
        <v>2394</v>
      </c>
      <c r="M2051" s="2694"/>
      <c r="N2051" s="2694"/>
      <c r="O2051" s="2694"/>
      <c r="P2051" s="2694"/>
      <c r="R2051" s="2251"/>
    </row>
    <row r="2052" spans="1:23" ht="12.75" customHeight="1">
      <c r="B2052" s="2749" t="s">
        <v>2395</v>
      </c>
      <c r="C2052" s="512" t="s">
        <v>4346</v>
      </c>
      <c r="I2052" s="2749" t="s">
        <v>2395</v>
      </c>
      <c r="J2052" s="2694">
        <f>'Part IX Scoring Criteria'!J393</f>
        <v>0</v>
      </c>
      <c r="K2052" s="2694">
        <f>'Part IX Scoring Criteria'!K393</f>
        <v>0</v>
      </c>
      <c r="L2052" s="2749" t="s">
        <v>2395</v>
      </c>
      <c r="M2052" s="2694"/>
      <c r="N2052" s="2694"/>
      <c r="O2052" s="2694"/>
      <c r="P2052" s="2694"/>
      <c r="R2052" s="2251"/>
    </row>
    <row r="2053" spans="1:23" ht="12.75" customHeight="1">
      <c r="B2053" s="2749" t="s">
        <v>3461</v>
      </c>
      <c r="C2053" s="512" t="s">
        <v>4347</v>
      </c>
      <c r="I2053" s="2749" t="s">
        <v>3461</v>
      </c>
      <c r="J2053" s="2694">
        <f>'Part IX Scoring Criteria'!J394</f>
        <v>0</v>
      </c>
      <c r="K2053" s="2694">
        <f>'Part IX Scoring Criteria'!K394</f>
        <v>0</v>
      </c>
      <c r="L2053" s="2749" t="s">
        <v>3461</v>
      </c>
      <c r="M2053" s="2694"/>
      <c r="N2053" s="2694"/>
      <c r="O2053" s="2694"/>
      <c r="P2053" s="2694"/>
      <c r="R2053" s="2251"/>
    </row>
    <row r="2054" spans="1:23" ht="12.75" customHeight="1">
      <c r="B2054" s="2727" t="s">
        <v>6887</v>
      </c>
      <c r="H2054" s="2684" t="s">
        <v>2559</v>
      </c>
      <c r="J2054" s="2694">
        <f>SUM(J2044:K2053)</f>
        <v>0</v>
      </c>
      <c r="K2054" s="2694"/>
      <c r="M2054" s="2694">
        <f>SUM($M2044:$M2053)</f>
        <v>0</v>
      </c>
      <c r="N2054" s="2694"/>
      <c r="O2054" s="2694"/>
      <c r="P2054" s="2694"/>
      <c r="R2054" s="2251"/>
    </row>
    <row r="2055" spans="1:23" s="2762" customFormat="1" ht="7.5" customHeight="1">
      <c r="A2055" s="2408"/>
      <c r="D2055" s="512"/>
      <c r="E2055" s="512"/>
      <c r="F2055" s="2652"/>
      <c r="G2055" s="2505"/>
      <c r="H2055" s="2602"/>
      <c r="J2055" s="2498"/>
      <c r="K2055" s="2498"/>
      <c r="L2055" s="2505"/>
      <c r="M2055" s="2498"/>
      <c r="N2055" s="2498"/>
      <c r="O2055" s="2845"/>
      <c r="P2055" s="2498"/>
    </row>
    <row r="2056" spans="1:23" ht="12.75" customHeight="1">
      <c r="B2056" s="2846" t="s">
        <v>1941</v>
      </c>
      <c r="C2056" s="2650" t="s">
        <v>2558</v>
      </c>
      <c r="M2056" s="2498"/>
      <c r="N2056" s="2498"/>
      <c r="P2056" s="2498"/>
    </row>
    <row r="2057" spans="1:23" s="2762" customFormat="1" ht="12" customHeight="1">
      <c r="A2057" s="2408"/>
      <c r="C2057" s="2505" t="s">
        <v>6908</v>
      </c>
      <c r="D2057" s="2505"/>
      <c r="E2057" s="2505"/>
      <c r="F2057" s="2684" t="s">
        <v>4380</v>
      </c>
      <c r="H2057" s="2494"/>
      <c r="I2057" s="2670">
        <f>'Part IX Scoring Criteria'!I398</f>
        <v>0</v>
      </c>
      <c r="J2057" s="2694">
        <f>'Part IV-A-Uses of Funds'!$G$132</f>
        <v>43012994</v>
      </c>
      <c r="K2057" s="2694"/>
      <c r="L2057" s="2505"/>
      <c r="M2057" s="2498"/>
      <c r="N2057" s="2498"/>
      <c r="O2057" s="2845"/>
      <c r="P2057" s="2498"/>
    </row>
    <row r="2058" spans="1:23" ht="12.75" customHeight="1">
      <c r="C2058" s="2505"/>
      <c r="D2058" s="2505"/>
      <c r="E2058" s="2505"/>
      <c r="F2058" s="2760" t="s">
        <v>4379</v>
      </c>
      <c r="I2058" s="2847">
        <f>'Part IX Scoring Criteria'!I399</f>
        <v>0</v>
      </c>
      <c r="J2058" s="2848">
        <f>IF($J2057=0,0,$J2054/$J2057)</f>
        <v>0</v>
      </c>
      <c r="K2058" s="2848"/>
      <c r="M2058" s="2848">
        <f>IF($J2057=0,0,$M2054/$J2057)</f>
        <v>0</v>
      </c>
      <c r="N2058" s="2848"/>
      <c r="O2058" s="2848"/>
      <c r="P2058" s="2848"/>
    </row>
    <row r="2059" spans="1:23" s="2762" customFormat="1" ht="12.75" customHeight="1">
      <c r="C2059" s="2505"/>
      <c r="D2059" s="2505"/>
      <c r="E2059" s="2505"/>
      <c r="F2059" s="2618" t="s">
        <v>4378</v>
      </c>
      <c r="I2059" s="2670">
        <f>'Part IX Scoring Criteria'!I400</f>
        <v>0</v>
      </c>
      <c r="J2059" s="2681">
        <f>IF(L2036="", IF($J2058&gt;=0.1, 3,IF($J2058&gt;=0.05, 2,IF($J2058&gt;=0.02,1,0))),0)</f>
        <v>0</v>
      </c>
      <c r="K2059" s="2681"/>
      <c r="L2059" s="2654"/>
      <c r="M2059" s="2681">
        <f>IF(R2036="", IF($M2058&gt;=0.1, 3,IF($M2058&gt;=0.05, 2,IF($M2058&gt;=0.02,1,0))),0)</f>
        <v>0</v>
      </c>
      <c r="N2059" s="2681"/>
      <c r="O2059" s="2681"/>
      <c r="P2059" s="2681"/>
    </row>
    <row r="2060" spans="1:23" ht="3" customHeight="1">
      <c r="N2060" s="2613"/>
      <c r="O2060" s="2613"/>
      <c r="P2060" s="2613"/>
    </row>
    <row r="2061" spans="1:23" s="2767" customFormat="1" ht="12.75" customHeight="1">
      <c r="A2061" s="2673" t="s">
        <v>1938</v>
      </c>
      <c r="B2061" s="2691" t="s">
        <v>3462</v>
      </c>
      <c r="D2061" s="512"/>
      <c r="E2061" s="512"/>
      <c r="F2061" s="2652"/>
      <c r="H2061" s="512"/>
      <c r="I2061" s="2652"/>
      <c r="J2061" s="2684"/>
      <c r="K2061" s="2684"/>
      <c r="L2061" s="2251" t="str">
        <f>IF(OR($O2061=$M2061,$O2061=0,$O2061=""),"","* * Check Score! * *")</f>
        <v/>
      </c>
      <c r="M2061" s="2251">
        <v>1</v>
      </c>
      <c r="N2061" s="2749" t="s">
        <v>1938</v>
      </c>
      <c r="O2061" s="2707">
        <f>'Part IX Scoring Criteria'!O402</f>
        <v>0</v>
      </c>
      <c r="P2061" s="2707">
        <f>'Part IX Scoring Criteria'!P402</f>
        <v>0</v>
      </c>
      <c r="Q2061" s="2652" t="s">
        <v>433</v>
      </c>
      <c r="R2061" s="2500" t="s">
        <v>4775</v>
      </c>
      <c r="V2061" s="2728"/>
      <c r="W2061" s="2728"/>
    </row>
    <row r="2062" spans="1:23" s="2762" customFormat="1" ht="22.5" customHeight="1">
      <c r="A2062" s="2673"/>
      <c r="B2062" s="2730" t="s">
        <v>2372</v>
      </c>
      <c r="C2062" s="2729" t="s">
        <v>3762</v>
      </c>
      <c r="D2062" s="2729"/>
      <c r="E2062" s="2729"/>
      <c r="F2062" s="2729"/>
      <c r="G2062" s="2729"/>
      <c r="H2062" s="2729"/>
      <c r="I2062" s="2729"/>
      <c r="J2062" s="2729"/>
      <c r="K2062" s="2729"/>
      <c r="L2062" s="2729"/>
      <c r="M2062" s="2729"/>
      <c r="N2062" s="2730" t="s">
        <v>2372</v>
      </c>
      <c r="O2062" s="2740">
        <f>'Part IX Scoring Criteria'!O403</f>
        <v>0</v>
      </c>
      <c r="P2062" s="2740"/>
      <c r="V2062" s="2728"/>
      <c r="W2062" s="2728"/>
    </row>
    <row r="2063" spans="1:23" s="2762" customFormat="1" ht="12.75" customHeight="1">
      <c r="A2063" s="2673"/>
      <c r="B2063" s="2749" t="s">
        <v>2373</v>
      </c>
      <c r="C2063" s="512" t="s">
        <v>3612</v>
      </c>
      <c r="D2063" s="512"/>
      <c r="E2063" s="512"/>
      <c r="F2063" s="512"/>
      <c r="G2063" s="512"/>
      <c r="H2063" s="512"/>
      <c r="I2063" s="512"/>
      <c r="J2063" s="512"/>
      <c r="K2063" s="512"/>
      <c r="M2063" s="512"/>
      <c r="N2063" s="2730" t="s">
        <v>2373</v>
      </c>
      <c r="O2063" s="1550">
        <f>'Part IX Scoring Criteria'!O404</f>
        <v>0</v>
      </c>
      <c r="P2063" s="1550"/>
      <c r="V2063" s="2728"/>
      <c r="W2063" s="2728"/>
    </row>
    <row r="2064" spans="1:23" ht="12.75" customHeight="1">
      <c r="B2064" s="2749" t="s">
        <v>2374</v>
      </c>
      <c r="C2064" s="2618" t="s">
        <v>4349</v>
      </c>
      <c r="N2064" s="2749" t="s">
        <v>2374</v>
      </c>
      <c r="O2064" s="1550">
        <f>'Part IX Scoring Criteria'!O405</f>
        <v>0</v>
      </c>
      <c r="P2064" s="1550"/>
    </row>
    <row r="2065" spans="1:19" ht="12" customHeight="1">
      <c r="B2065" s="512" t="s">
        <v>3572</v>
      </c>
      <c r="N2065" s="2613"/>
      <c r="O2065" s="2613"/>
      <c r="P2065" s="2613"/>
    </row>
    <row r="2066" spans="1:19" s="2762" customFormat="1" ht="21.75" customHeight="1">
      <c r="A2066" s="2729">
        <f>'Part IX Scoring Criteria'!A407</f>
        <v>0</v>
      </c>
      <c r="B2066" s="2729"/>
      <c r="C2066" s="2729"/>
      <c r="D2066" s="2729"/>
      <c r="E2066" s="2729"/>
      <c r="F2066" s="2729"/>
      <c r="G2066" s="2729"/>
      <c r="H2066" s="2729"/>
      <c r="I2066" s="2729"/>
      <c r="J2066" s="2729"/>
      <c r="K2066" s="2729"/>
      <c r="L2066" s="2729"/>
      <c r="M2066" s="2729"/>
      <c r="N2066" s="2729"/>
      <c r="O2066" s="2729"/>
      <c r="P2066" s="2729"/>
      <c r="Q2066" s="2497" t="s">
        <v>1228</v>
      </c>
    </row>
    <row r="2067" spans="1:19" s="2767" customFormat="1" ht="11.25" customHeight="1">
      <c r="A2067" s="2408"/>
      <c r="B2067" s="2505" t="s">
        <v>1820</v>
      </c>
      <c r="C2067" s="2408"/>
      <c r="D2067" s="512"/>
      <c r="E2067" s="2684"/>
      <c r="F2067" s="2684"/>
      <c r="G2067" s="2684"/>
      <c r="H2067" s="2684"/>
      <c r="I2067" s="2684"/>
      <c r="J2067" s="2684"/>
      <c r="K2067" s="2684"/>
      <c r="L2067" s="2684"/>
      <c r="M2067" s="2684"/>
      <c r="N2067" s="2652"/>
      <c r="O2067" s="2652"/>
      <c r="P2067" s="2652"/>
      <c r="Q2067" s="2762"/>
    </row>
    <row r="2068" spans="1:19" s="2762" customFormat="1" ht="11.25" customHeight="1">
      <c r="A2068" s="2729"/>
      <c r="B2068" s="2729"/>
      <c r="C2068" s="2729"/>
      <c r="D2068" s="2729"/>
      <c r="E2068" s="2729"/>
      <c r="F2068" s="2729"/>
      <c r="G2068" s="2729"/>
      <c r="H2068" s="2729"/>
      <c r="I2068" s="2729"/>
      <c r="J2068" s="2729"/>
      <c r="K2068" s="2729"/>
      <c r="L2068" s="2729"/>
      <c r="M2068" s="2729"/>
      <c r="N2068" s="2729"/>
      <c r="O2068" s="2729"/>
      <c r="P2068" s="2729"/>
      <c r="Q2068" s="2497"/>
    </row>
    <row r="2069" spans="1:19" s="2762" customFormat="1" ht="3" customHeight="1">
      <c r="A2069" s="2408"/>
      <c r="B2069" s="2408"/>
      <c r="C2069" s="2731"/>
      <c r="D2069" s="2731"/>
      <c r="E2069" s="2731"/>
      <c r="F2069" s="2731"/>
      <c r="G2069" s="2731"/>
      <c r="H2069" s="2731"/>
      <c r="I2069" s="2731"/>
      <c r="J2069" s="2731"/>
      <c r="K2069" s="2731"/>
      <c r="L2069" s="2731"/>
      <c r="M2069" s="2731"/>
      <c r="N2069" s="2782"/>
      <c r="O2069" s="2782"/>
      <c r="P2069" s="2652"/>
    </row>
    <row r="2070" spans="1:19" s="2762" customFormat="1" ht="13.5" customHeight="1">
      <c r="A2070" s="2846" t="s">
        <v>3790</v>
      </c>
      <c r="B2070" s="2408" t="s">
        <v>2640</v>
      </c>
      <c r="D2070" s="2684"/>
      <c r="G2070" s="2684" t="s">
        <v>3281</v>
      </c>
      <c r="J2070" s="512"/>
      <c r="K2070" s="512"/>
      <c r="L2070" s="512"/>
      <c r="M2070" s="2652">
        <v>2</v>
      </c>
      <c r="N2070" s="2749"/>
      <c r="O2070" s="2652">
        <f>'Part IX Scoring Criteria'!O411</f>
        <v>0</v>
      </c>
      <c r="P2070" s="2652">
        <f>'Part IX Scoring Criteria'!P411</f>
        <v>0</v>
      </c>
      <c r="Q2070" s="2652" t="s">
        <v>433</v>
      </c>
      <c r="R2070" s="2251" t="str">
        <f>IF(OR($O2074=$M2070,$O2074=0,$O2074=""),"","* * Check Score! * *")</f>
        <v/>
      </c>
    </row>
    <row r="2071" spans="1:19" s="2777" customFormat="1" ht="1.5" customHeight="1">
      <c r="B2071" s="2807"/>
      <c r="F2071" s="2740"/>
      <c r="G2071" s="2251"/>
      <c r="M2071" s="2782"/>
      <c r="N2071" s="2782"/>
      <c r="O2071" s="2782"/>
      <c r="P2071" s="2782"/>
      <c r="Q2071" s="2505"/>
    </row>
    <row r="2072" spans="1:19" s="2777" customFormat="1" ht="11.25" customHeight="1">
      <c r="A2072" s="2721"/>
      <c r="B2072" s="2831" t="s">
        <v>3346</v>
      </c>
      <c r="D2072" s="512" t="str">
        <f>'Part IX Scoring Criteria'!D413</f>
        <v>&lt;Select applicable status&gt;</v>
      </c>
      <c r="E2072" s="512"/>
      <c r="F2072" s="512"/>
      <c r="G2072" s="512"/>
      <c r="H2072" s="512"/>
      <c r="I2072" s="512"/>
      <c r="J2072" s="2729" t="s">
        <v>2734</v>
      </c>
      <c r="L2072" s="2670">
        <f>'Part III-Sources of Funds'!$I$51</f>
        <v>0</v>
      </c>
      <c r="M2072" s="2782"/>
      <c r="N2072" s="2782"/>
      <c r="O2072" s="2782"/>
      <c r="P2072" s="2782"/>
      <c r="Q2072" s="2505"/>
    </row>
    <row r="2073" spans="1:19" s="2777" customFormat="1" ht="1.5" customHeight="1">
      <c r="B2073" s="2807"/>
      <c r="M2073" s="2782"/>
      <c r="N2073" s="2782"/>
      <c r="O2073" s="2782"/>
      <c r="P2073" s="2782"/>
      <c r="Q2073" s="2505"/>
    </row>
    <row r="2074" spans="1:19" s="2777" customFormat="1" ht="11.25" customHeight="1">
      <c r="A2074" s="2792" t="s">
        <v>1936</v>
      </c>
      <c r="B2074" s="512" t="s">
        <v>4590</v>
      </c>
      <c r="C2074" s="2729"/>
      <c r="D2074" s="2729"/>
      <c r="E2074" s="2729"/>
      <c r="F2074" s="2729"/>
      <c r="G2074" s="2729"/>
      <c r="H2074" s="2729"/>
      <c r="I2074" s="2729"/>
      <c r="M2074" s="2782">
        <v>2</v>
      </c>
      <c r="N2074" s="2730" t="s">
        <v>1936</v>
      </c>
      <c r="O2074" s="2707">
        <f>'Part IX Scoring Criteria'!O415</f>
        <v>0</v>
      </c>
      <c r="P2074" s="2707">
        <f>'Part IX Scoring Criteria'!P415</f>
        <v>0</v>
      </c>
      <c r="Q2074" s="2766" t="str">
        <f>IF(OR($O2074=$M2074,$O2074=0,$O2074=""),"","*CHECK!*")</f>
        <v/>
      </c>
      <c r="R2074" s="2500" t="s">
        <v>4775</v>
      </c>
    </row>
    <row r="2075" spans="1:19" s="2777" customFormat="1" ht="12" customHeight="1">
      <c r="A2075" s="2782"/>
      <c r="B2075" s="512" t="s">
        <v>6953</v>
      </c>
      <c r="C2075" s="512"/>
      <c r="D2075" s="512"/>
      <c r="E2075" s="512"/>
      <c r="F2075" s="512"/>
      <c r="G2075" s="512"/>
      <c r="H2075" s="512"/>
      <c r="I2075" s="512"/>
      <c r="J2075" s="512"/>
      <c r="K2075" s="512"/>
      <c r="L2075" s="512"/>
      <c r="M2075" s="2559" t="s">
        <v>6954</v>
      </c>
      <c r="N2075" s="2559"/>
      <c r="Q2075" s="2505"/>
    </row>
    <row r="2076" spans="1:19" s="2777" customFormat="1" ht="12" customHeight="1">
      <c r="B2076" s="512"/>
      <c r="C2076" s="512"/>
      <c r="D2076" s="512"/>
      <c r="E2076" s="512"/>
      <c r="F2076" s="512"/>
      <c r="G2076" s="512"/>
      <c r="H2076" s="512"/>
      <c r="I2076" s="512"/>
      <c r="J2076" s="512"/>
      <c r="K2076" s="512"/>
      <c r="L2076" s="512"/>
      <c r="M2076" s="2559"/>
      <c r="N2076" s="2559"/>
      <c r="O2076" s="2701">
        <f>'Part VI-Revenues &amp; Expenses'!$P$123</f>
        <v>0</v>
      </c>
      <c r="P2076" s="2701"/>
      <c r="Q2076" s="2505"/>
    </row>
    <row r="2077" spans="1:19" s="2777" customFormat="1" ht="12" customHeight="1">
      <c r="B2077" s="512"/>
      <c r="C2077" s="512"/>
      <c r="D2077" s="512"/>
      <c r="E2077" s="512"/>
      <c r="F2077" s="512"/>
      <c r="G2077" s="512"/>
      <c r="H2077" s="512"/>
      <c r="I2077" s="512"/>
      <c r="J2077" s="512"/>
      <c r="K2077" s="512"/>
      <c r="L2077" s="512"/>
      <c r="M2077" s="2542" t="s">
        <v>2732</v>
      </c>
      <c r="N2077" s="2782"/>
      <c r="O2077" s="2701">
        <f>'Part VI-Revenues &amp; Expenses'!$P$67</f>
        <v>200</v>
      </c>
      <c r="P2077" s="2701"/>
      <c r="Q2077" s="2505"/>
    </row>
    <row r="2078" spans="1:19" s="2777" customFormat="1" ht="12" customHeight="1">
      <c r="B2078" s="512"/>
      <c r="C2078" s="512"/>
      <c r="D2078" s="512"/>
      <c r="E2078" s="512"/>
      <c r="F2078" s="512"/>
      <c r="G2078" s="512"/>
      <c r="H2078" s="512"/>
      <c r="I2078" s="512"/>
      <c r="J2078" s="512"/>
      <c r="K2078" s="512"/>
      <c r="L2078" s="512"/>
      <c r="M2078" s="2542" t="s">
        <v>2733</v>
      </c>
      <c r="N2078" s="2782"/>
      <c r="O2078" s="2849">
        <f>IF(O2077=0,0,O2076/O2077)</f>
        <v>0</v>
      </c>
      <c r="P2078" s="2849"/>
      <c r="Q2078" s="2505"/>
    </row>
    <row r="2079" spans="1:19" s="2762" customFormat="1" ht="66.75" customHeight="1">
      <c r="A2079" s="2618"/>
      <c r="B2079" s="2559" t="str">
        <f>'Part IX Scoring Criteria'!B420</f>
        <v>&lt;&lt; Enter here Applicant's Narrative of how building will be reused. Adjust row height as needed. &gt;&gt;</v>
      </c>
      <c r="C2079" s="2559"/>
      <c r="D2079" s="2559"/>
      <c r="E2079" s="2559"/>
      <c r="F2079" s="2559"/>
      <c r="G2079" s="2559"/>
      <c r="H2079" s="2559"/>
      <c r="I2079" s="2559"/>
      <c r="J2079" s="2559"/>
      <c r="K2079" s="2559"/>
      <c r="L2079" s="2559"/>
      <c r="M2079" s="2559"/>
      <c r="N2079" s="2559"/>
      <c r="O2079" s="2559"/>
      <c r="P2079" s="2559"/>
      <c r="Q2079" s="2497" t="s">
        <v>1228</v>
      </c>
      <c r="R2079" s="2497"/>
      <c r="S2079" s="2497"/>
    </row>
    <row r="2080" spans="1:19" s="2777" customFormat="1" ht="1.5" customHeight="1">
      <c r="A2080" s="1550"/>
      <c r="B2080" s="2807"/>
      <c r="F2080" s="2740"/>
      <c r="G2080" s="2251"/>
      <c r="M2080" s="2782"/>
      <c r="N2080" s="2782"/>
      <c r="O2080" s="2782"/>
      <c r="P2080" s="2782"/>
      <c r="Q2080" s="2505"/>
    </row>
    <row r="2081" spans="1:18" s="2777" customFormat="1" ht="11.25" customHeight="1">
      <c r="A2081" s="2850" t="s">
        <v>6997</v>
      </c>
      <c r="B2081" s="2729" t="s">
        <v>4591</v>
      </c>
      <c r="C2081" s="2729"/>
      <c r="H2081" s="2729"/>
      <c r="M2081" s="2782">
        <v>2</v>
      </c>
      <c r="N2081" s="2730" t="s">
        <v>1938</v>
      </c>
      <c r="O2081" s="2707">
        <f>'Part IX Scoring Criteria'!O422</f>
        <v>0</v>
      </c>
      <c r="P2081" s="2707">
        <f>'Part IX Scoring Criteria'!P422</f>
        <v>0</v>
      </c>
      <c r="Q2081" s="2766" t="str">
        <f>IF(OR($O2081=$M2081,$O2081=0,$O2081=""),"","*CHECK!*")</f>
        <v/>
      </c>
      <c r="R2081" s="2500" t="s">
        <v>4775</v>
      </c>
    </row>
    <row r="2082" spans="1:18" s="2777" customFormat="1" ht="11.25" customHeight="1">
      <c r="A2082" s="2850"/>
      <c r="B2082" s="2729" t="s">
        <v>6888</v>
      </c>
      <c r="C2082" s="2729"/>
      <c r="D2082" s="2729"/>
      <c r="E2082" s="2729"/>
      <c r="F2082" s="2729"/>
      <c r="G2082" s="2729"/>
      <c r="H2082" s="2729"/>
      <c r="I2082" s="2729"/>
      <c r="J2082" s="2729"/>
      <c r="K2082" s="2729"/>
      <c r="L2082" s="2729"/>
      <c r="M2082" s="2531" t="s">
        <v>4351</v>
      </c>
      <c r="O2082" s="2701">
        <f>'Part VI-Revenues &amp; Expenses'!$P$125</f>
        <v>0</v>
      </c>
      <c r="P2082" s="2701"/>
      <c r="Q2082" s="2505"/>
    </row>
    <row r="2083" spans="1:18" s="2777" customFormat="1" ht="11.25" customHeight="1">
      <c r="A2083" s="2850"/>
      <c r="B2083" s="2729"/>
      <c r="C2083" s="2729"/>
      <c r="D2083" s="2729"/>
      <c r="E2083" s="2729"/>
      <c r="F2083" s="2729"/>
      <c r="G2083" s="2729"/>
      <c r="H2083" s="2729"/>
      <c r="I2083" s="2729"/>
      <c r="J2083" s="2729"/>
      <c r="K2083" s="2729"/>
      <c r="L2083" s="2729"/>
      <c r="M2083" s="2766" t="s">
        <v>2732</v>
      </c>
      <c r="N2083" s="2782"/>
      <c r="O2083" s="2701">
        <f>'Part VI-Revenues &amp; Expenses'!$P$67</f>
        <v>200</v>
      </c>
      <c r="P2083" s="2701"/>
      <c r="Q2083" s="2505"/>
    </row>
    <row r="2084" spans="1:18" s="2777" customFormat="1" ht="11.25" customHeight="1">
      <c r="A2084" s="2850"/>
      <c r="B2084" s="2729"/>
      <c r="C2084" s="2729"/>
      <c r="D2084" s="2729"/>
      <c r="E2084" s="2729"/>
      <c r="F2084" s="2729"/>
      <c r="G2084" s="2729"/>
      <c r="H2084" s="2729"/>
      <c r="I2084" s="2729"/>
      <c r="J2084" s="2729"/>
      <c r="K2084" s="2729"/>
      <c r="L2084" s="2729"/>
      <c r="M2084" s="2542" t="s">
        <v>2733</v>
      </c>
      <c r="N2084" s="2782"/>
      <c r="O2084" s="2849">
        <f>IF(O2083=0,0,L2070/O2083)</f>
        <v>0</v>
      </c>
      <c r="P2084" s="2849"/>
      <c r="Q2084" s="2505"/>
    </row>
    <row r="2085" spans="1:18" s="2762" customFormat="1" ht="11.25" customHeight="1">
      <c r="A2085" s="2408"/>
      <c r="B2085" s="512" t="s">
        <v>3572</v>
      </c>
      <c r="C2085" s="2408"/>
      <c r="D2085" s="2654"/>
      <c r="E2085" s="2654"/>
      <c r="F2085" s="2654"/>
      <c r="G2085" s="2654"/>
      <c r="H2085" s="512"/>
      <c r="I2085" s="512"/>
      <c r="J2085" s="512"/>
      <c r="K2085" s="512"/>
      <c r="M2085" s="2652"/>
      <c r="N2085" s="2613"/>
      <c r="O2085" s="2707"/>
      <c r="P2085" s="2613"/>
    </row>
    <row r="2086" spans="1:18" s="2762" customFormat="1" ht="66.599999999999994" customHeight="1">
      <c r="A2086" s="2729">
        <f>'Part IX Scoring Criteria'!A427</f>
        <v>0</v>
      </c>
      <c r="B2086" s="2729"/>
      <c r="C2086" s="2729"/>
      <c r="D2086" s="2729"/>
      <c r="E2086" s="2729"/>
      <c r="F2086" s="2729"/>
      <c r="G2086" s="2729"/>
      <c r="H2086" s="2729"/>
      <c r="I2086" s="2729"/>
      <c r="J2086" s="2729"/>
      <c r="K2086" s="2729"/>
      <c r="L2086" s="2729"/>
      <c r="M2086" s="2729"/>
      <c r="N2086" s="2729"/>
      <c r="O2086" s="2729"/>
      <c r="P2086" s="2729"/>
      <c r="Q2086" s="2497" t="s">
        <v>1228</v>
      </c>
      <c r="R2086" s="2497"/>
    </row>
    <row r="2087" spans="1:18" s="2762" customFormat="1" ht="10.5" customHeight="1">
      <c r="B2087" s="2729" t="s">
        <v>1820</v>
      </c>
      <c r="C2087" s="2408"/>
      <c r="D2087" s="2729"/>
      <c r="E2087" s="2731"/>
      <c r="F2087" s="2731"/>
      <c r="G2087" s="2731"/>
      <c r="H2087" s="2731"/>
      <c r="I2087" s="2731"/>
      <c r="J2087" s="2731"/>
      <c r="K2087" s="2731"/>
      <c r="L2087" s="2731"/>
      <c r="M2087" s="2731"/>
      <c r="N2087" s="2782"/>
      <c r="O2087" s="2782"/>
      <c r="P2087" s="2652"/>
    </row>
    <row r="2088" spans="1:18" s="2762" customFormat="1" ht="22.2" customHeight="1">
      <c r="A2088" s="2729"/>
      <c r="B2088" s="2729"/>
      <c r="C2088" s="2729"/>
      <c r="D2088" s="2729"/>
      <c r="E2088" s="2729"/>
      <c r="F2088" s="2729"/>
      <c r="G2088" s="2729"/>
      <c r="H2088" s="2729"/>
      <c r="I2088" s="2729"/>
      <c r="J2088" s="2729"/>
      <c r="K2088" s="2729"/>
      <c r="L2088" s="2729"/>
      <c r="M2088" s="2729"/>
      <c r="N2088" s="2729"/>
      <c r="O2088" s="2729"/>
      <c r="P2088" s="2729"/>
      <c r="Q2088" s="2497"/>
    </row>
    <row r="2089" spans="1:18" s="2762" customFormat="1" ht="3" customHeight="1">
      <c r="A2089" s="2408"/>
      <c r="B2089" s="2408"/>
      <c r="C2089" s="2731"/>
      <c r="D2089" s="2731"/>
      <c r="E2089" s="2731"/>
      <c r="F2089" s="2731"/>
      <c r="G2089" s="2731"/>
      <c r="H2089" s="2731"/>
      <c r="I2089" s="2731"/>
      <c r="J2089" s="2731"/>
      <c r="K2089" s="2731"/>
      <c r="L2089" s="2731"/>
      <c r="M2089" s="2731"/>
      <c r="N2089" s="2782"/>
      <c r="O2089" s="2782"/>
      <c r="P2089" s="2652"/>
    </row>
    <row r="2090" spans="1:18" s="2767" customFormat="1" ht="11.25" customHeight="1">
      <c r="A2090" s="2721" t="s">
        <v>3793</v>
      </c>
      <c r="B2090" s="2408" t="s">
        <v>4726</v>
      </c>
      <c r="D2090" s="512"/>
      <c r="E2090" s="512"/>
      <c r="F2090" s="512"/>
      <c r="G2090" s="512"/>
      <c r="I2090" s="512"/>
      <c r="J2090" s="512"/>
      <c r="K2090" s="512"/>
      <c r="L2090" s="2251" t="str">
        <f>IF(OR($O2090=$M2090,$O2090&lt;=0,$O2090=""),"","* * Check Score! * *")</f>
        <v/>
      </c>
      <c r="M2090" s="2652">
        <v>10</v>
      </c>
      <c r="N2090" s="2652"/>
      <c r="O2090" s="2707">
        <f>'Part IX Scoring Criteria'!O431</f>
        <v>10</v>
      </c>
      <c r="P2090" s="2707">
        <f>'Part IX Scoring Criteria'!P431</f>
        <v>10</v>
      </c>
      <c r="Q2090" s="2652" t="s">
        <v>433</v>
      </c>
    </row>
    <row r="2091" spans="1:18" s="2767" customFormat="1" ht="1.5" customHeight="1">
      <c r="A2091" s="2721"/>
      <c r="B2091" s="2408"/>
      <c r="D2091" s="512"/>
      <c r="E2091" s="512"/>
      <c r="F2091" s="512"/>
      <c r="G2091" s="512"/>
      <c r="I2091" s="512"/>
      <c r="J2091" s="512"/>
      <c r="K2091" s="512"/>
      <c r="L2091" s="2251"/>
      <c r="M2091" s="2652"/>
      <c r="N2091" s="2652"/>
      <c r="O2091" s="2652"/>
      <c r="P2091" s="2652"/>
      <c r="Q2091" s="2652"/>
    </row>
    <row r="2092" spans="1:18" s="2767" customFormat="1" ht="10.5" customHeight="1">
      <c r="A2092" s="2721"/>
      <c r="B2092" s="512" t="s">
        <v>3487</v>
      </c>
      <c r="D2092" s="512"/>
      <c r="E2092" s="512"/>
      <c r="F2092" s="512"/>
      <c r="G2092" s="512"/>
      <c r="I2092" s="512"/>
      <c r="J2092" s="512"/>
      <c r="K2092" s="512"/>
      <c r="L2092" s="2251"/>
      <c r="M2092" s="2652"/>
      <c r="N2092" s="2652"/>
      <c r="O2092" s="2707">
        <v>10</v>
      </c>
      <c r="P2092" s="2707">
        <v>10</v>
      </c>
      <c r="Q2092" s="2652"/>
    </row>
    <row r="2093" spans="1:18" s="2767" customFormat="1" ht="10.5" customHeight="1">
      <c r="A2093" s="2721"/>
      <c r="B2093" s="512" t="s">
        <v>3488</v>
      </c>
      <c r="D2093" s="512"/>
      <c r="E2093" s="512"/>
      <c r="F2093" s="512"/>
      <c r="G2093" s="512"/>
      <c r="I2093" s="512"/>
      <c r="J2093" s="512"/>
      <c r="K2093" s="512"/>
      <c r="L2093" s="2251"/>
      <c r="M2093" s="2652"/>
      <c r="N2093" s="2652"/>
      <c r="O2093" s="2707">
        <f>'Part IX Scoring Criteria'!O434</f>
        <v>0</v>
      </c>
      <c r="P2093" s="2707"/>
      <c r="Q2093" s="2652"/>
    </row>
    <row r="2094" spans="1:18" s="2767" customFormat="1" ht="10.5" customHeight="1">
      <c r="A2094" s="2721"/>
      <c r="B2094" s="512" t="s">
        <v>3489</v>
      </c>
      <c r="D2094" s="512"/>
      <c r="E2094" s="512"/>
      <c r="F2094" s="512"/>
      <c r="G2094" s="512"/>
      <c r="I2094" s="512"/>
      <c r="J2094" s="512"/>
      <c r="K2094" s="512"/>
      <c r="L2094" s="2251"/>
      <c r="M2094" s="2652"/>
      <c r="N2094" s="2652"/>
      <c r="O2094" s="2707">
        <f>'Part IX Scoring Criteria'!O435</f>
        <v>0</v>
      </c>
      <c r="P2094" s="2707"/>
      <c r="Q2094" s="2652"/>
    </row>
    <row r="2095" spans="1:18" s="2767" customFormat="1" ht="10.5" customHeight="1">
      <c r="A2095" s="512"/>
      <c r="B2095" s="512" t="s">
        <v>1820</v>
      </c>
      <c r="C2095" s="2408"/>
      <c r="D2095" s="512"/>
      <c r="E2095" s="2684"/>
      <c r="F2095" s="2684"/>
      <c r="G2095" s="2684"/>
      <c r="H2095" s="2684"/>
      <c r="I2095" s="2684"/>
      <c r="J2095" s="2684"/>
      <c r="K2095" s="2684"/>
      <c r="L2095" s="2684"/>
      <c r="M2095" s="2684"/>
      <c r="N2095" s="2652"/>
      <c r="O2095" s="2652"/>
      <c r="P2095" s="2652"/>
    </row>
    <row r="2096" spans="1:18" s="2762" customFormat="1" ht="10.8" customHeight="1">
      <c r="A2096" s="2729"/>
      <c r="B2096" s="2729"/>
      <c r="C2096" s="2729"/>
      <c r="D2096" s="2729"/>
      <c r="E2096" s="2729"/>
      <c r="F2096" s="2729"/>
      <c r="G2096" s="2729"/>
      <c r="H2096" s="2729"/>
      <c r="I2096" s="2729"/>
      <c r="J2096" s="2729"/>
      <c r="K2096" s="2729"/>
      <c r="L2096" s="2729"/>
      <c r="M2096" s="2729"/>
      <c r="N2096" s="2729"/>
      <c r="O2096" s="2729"/>
      <c r="P2096" s="2729"/>
      <c r="Q2096" s="2497" t="s">
        <v>1228</v>
      </c>
      <c r="R2096" s="2497"/>
    </row>
    <row r="2097" spans="1:18" s="2762" customFormat="1" ht="6" customHeight="1">
      <c r="A2097" s="2721"/>
      <c r="B2097" s="2408"/>
      <c r="C2097" s="2731"/>
      <c r="D2097" s="2731"/>
      <c r="E2097" s="2731"/>
      <c r="F2097" s="2731"/>
      <c r="G2097" s="2731"/>
      <c r="H2097" s="2731"/>
      <c r="I2097" s="2731"/>
      <c r="J2097" s="2731"/>
      <c r="K2097" s="2731"/>
      <c r="L2097" s="2731"/>
      <c r="M2097" s="2731"/>
      <c r="N2097" s="2782"/>
      <c r="O2097" s="2782"/>
      <c r="P2097" s="2652"/>
    </row>
    <row r="2098" spans="1:18" s="2408" customFormat="1" ht="12.75" customHeight="1">
      <c r="A2098" s="2721"/>
      <c r="B2098" s="2851"/>
      <c r="D2098" s="2494"/>
      <c r="E2098" s="2494"/>
      <c r="F2098" s="2762"/>
      <c r="G2098" s="2744" t="s">
        <v>419</v>
      </c>
      <c r="I2098" s="2744"/>
      <c r="J2098" s="2744"/>
      <c r="K2098" s="2744"/>
      <c r="L2098" s="2767"/>
      <c r="M2098" s="2852">
        <f>M1680+M1705+M1719+M1729+M1767+M1805+M1848+M1887+M1920+M1941+M1948+M1956+M1971+M1988+M2001+M2019+M2034+M2070+M2090</f>
        <v>95</v>
      </c>
      <c r="N2098" s="2852"/>
      <c r="O2098" s="2852">
        <f>-O1663+O1680+O1705+O1719+O1729+O1767+O1805+O1848+O1920+O1941+O1948+O1956+O1971+O1988+O2019+O2034+O2070+O2090</f>
        <v>20</v>
      </c>
      <c r="P2098" s="2852">
        <f>-P1663+P1680+P1705+P1719+P1729+P1767+P1805+P1848+P1887+P1920+P1941+P1948+P1956+P1971+P1988+P2001+P2019+P2034+P2070+P2090</f>
        <v>20</v>
      </c>
    </row>
    <row r="2099" spans="1:18" s="2408" customFormat="1" ht="11.25" customHeight="1">
      <c r="A2099" s="2762"/>
      <c r="B2099" s="2851"/>
      <c r="C2099" s="2762"/>
      <c r="D2099" s="2494"/>
      <c r="E2099" s="2494"/>
      <c r="F2099" s="2490"/>
      <c r="G2099" s="2490"/>
      <c r="H2099" s="2654" t="s">
        <v>3845</v>
      </c>
      <c r="J2099" s="2494"/>
      <c r="K2099" s="2494"/>
      <c r="L2099" s="2762"/>
      <c r="M2099" s="2494"/>
      <c r="N2099" s="2652"/>
      <c r="O2099" s="2652"/>
      <c r="P2099" s="2779">
        <f>P1887</f>
        <v>0</v>
      </c>
    </row>
    <row r="2100" spans="1:18" s="2408" customFormat="1" ht="11.25" customHeight="1">
      <c r="A2100" s="2762"/>
      <c r="B2100" s="2851"/>
      <c r="C2100" s="2762"/>
      <c r="D2100" s="2494"/>
      <c r="E2100" s="2494"/>
      <c r="F2100" s="2490"/>
      <c r="G2100" s="2490"/>
      <c r="H2100" s="2654" t="s">
        <v>3846</v>
      </c>
      <c r="J2100" s="2494"/>
      <c r="K2100" s="2494"/>
      <c r="L2100" s="2762"/>
      <c r="M2100" s="2494"/>
      <c r="N2100" s="2652"/>
      <c r="O2100" s="2779"/>
      <c r="P2100" s="2779">
        <f>P2001</f>
        <v>0</v>
      </c>
    </row>
    <row r="2101" spans="1:18" s="2762" customFormat="1" ht="11.25" customHeight="1">
      <c r="A2101" s="2408"/>
      <c r="D2101" s="512"/>
      <c r="E2101" s="512"/>
      <c r="F2101" s="2652"/>
      <c r="H2101" s="2654" t="s">
        <v>3848</v>
      </c>
      <c r="I2101" s="2652"/>
      <c r="J2101" s="2684"/>
      <c r="K2101" s="2684"/>
      <c r="L2101" s="2684"/>
      <c r="M2101" s="1550"/>
      <c r="N2101" s="2652"/>
      <c r="O2101" s="2613"/>
      <c r="P2101" s="2707">
        <f>P2098-P2099-P2100</f>
        <v>20</v>
      </c>
    </row>
    <row r="2102" spans="1:18" ht="2.25" customHeight="1">
      <c r="A2102" s="2762"/>
      <c r="B2102" s="2851"/>
      <c r="C2102" s="2762"/>
      <c r="F2102" s="2684"/>
      <c r="G2102" s="2684"/>
      <c r="H2102" s="2490"/>
      <c r="I2102" s="2490"/>
      <c r="L2102" s="2762"/>
      <c r="N2102" s="2652"/>
      <c r="O2102" s="2652"/>
      <c r="P2102" s="2707"/>
    </row>
    <row r="2103" spans="1:18" s="2762" customFormat="1" ht="22.5" customHeight="1">
      <c r="A2103" s="512" t="s">
        <v>3514</v>
      </c>
      <c r="B2103" s="512"/>
      <c r="C2103" s="512"/>
      <c r="D2103" s="512"/>
      <c r="E2103" s="512"/>
      <c r="F2103" s="512"/>
      <c r="G2103" s="512"/>
      <c r="H2103" s="512"/>
      <c r="I2103" s="512"/>
      <c r="J2103" s="512"/>
      <c r="K2103" s="512"/>
      <c r="L2103" s="512"/>
      <c r="M2103" s="512"/>
      <c r="N2103" s="512"/>
      <c r="O2103" s="512"/>
      <c r="P2103" s="512"/>
    </row>
    <row r="2104" spans="1:18" s="2762" customFormat="1" ht="179.4" customHeight="1">
      <c r="A2104" s="2729">
        <f>'Part IX Scoring Criteria'!A445</f>
        <v>0</v>
      </c>
      <c r="B2104" s="2729"/>
      <c r="C2104" s="2729"/>
      <c r="D2104" s="2729"/>
      <c r="E2104" s="2729"/>
      <c r="F2104" s="2729"/>
      <c r="G2104" s="2729"/>
      <c r="H2104" s="2729"/>
      <c r="I2104" s="2729"/>
      <c r="J2104" s="2729"/>
      <c r="K2104" s="2729"/>
      <c r="L2104" s="2729"/>
      <c r="M2104" s="2729"/>
      <c r="N2104" s="2729"/>
      <c r="O2104" s="2729"/>
      <c r="P2104" s="2729"/>
      <c r="Q2104" s="2497" t="s">
        <v>1228</v>
      </c>
      <c r="R2104" s="2497"/>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73"/>
    <col min="29" max="16384" width="8.88671875" style="27"/>
  </cols>
  <sheetData>
    <row r="1" spans="1:28" s="184" customFormat="1" ht="3" customHeight="1">
      <c r="A1" s="185"/>
      <c r="B1" s="185"/>
      <c r="C1" s="185"/>
      <c r="D1" s="185"/>
      <c r="E1" s="185"/>
      <c r="F1" s="185"/>
      <c r="G1" s="185"/>
      <c r="H1" s="185"/>
      <c r="I1" s="185"/>
      <c r="J1" s="185"/>
      <c r="K1" s="185"/>
      <c r="L1" s="185"/>
      <c r="M1" s="185"/>
      <c r="N1" s="185"/>
      <c r="O1" s="185"/>
      <c r="P1" s="185"/>
      <c r="AA1" s="1037"/>
      <c r="AB1" s="1037"/>
    </row>
    <row r="2" spans="1:28" s="300" customFormat="1" ht="13.35" customHeight="1">
      <c r="A2" s="4439" t="s">
        <v>703</v>
      </c>
      <c r="B2" s="4440"/>
      <c r="C2" s="4440"/>
      <c r="D2" s="4440"/>
      <c r="E2" s="4440"/>
      <c r="F2" s="4440"/>
      <c r="G2" s="4440"/>
      <c r="H2" s="4440"/>
      <c r="I2" s="4440"/>
      <c r="J2" s="4440"/>
      <c r="K2" s="4440"/>
      <c r="L2" s="4440"/>
      <c r="M2" s="4440"/>
      <c r="N2" s="4440"/>
      <c r="O2" s="4440"/>
      <c r="P2" s="4440"/>
      <c r="Q2" s="4440"/>
      <c r="R2" s="4441"/>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2940</v>
      </c>
      <c r="R4" s="190" t="s">
        <v>1687</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 customHeight="1">
      <c r="A6" s="305" t="s">
        <v>1688</v>
      </c>
      <c r="B6" s="189"/>
      <c r="C6" s="189"/>
      <c r="D6" s="186"/>
      <c r="E6" s="186"/>
      <c r="F6" s="189" t="s">
        <v>497</v>
      </c>
      <c r="G6" s="189"/>
      <c r="H6" s="186"/>
      <c r="I6" s="186"/>
      <c r="J6" s="189" t="s">
        <v>1689</v>
      </c>
      <c r="K6" s="189"/>
      <c r="L6" s="189" t="s">
        <v>2694</v>
      </c>
      <c r="M6" s="189"/>
      <c r="N6" s="189"/>
      <c r="O6" s="189"/>
      <c r="P6" s="186"/>
      <c r="Q6" s="1223" t="s">
        <v>1690</v>
      </c>
      <c r="R6" s="1223">
        <v>1000000</v>
      </c>
      <c r="S6" s="186"/>
      <c r="U6" s="186"/>
      <c r="V6" s="1043"/>
      <c r="W6" s="1043"/>
      <c r="X6" s="190"/>
      <c r="AA6" s="573"/>
      <c r="AB6" s="573"/>
    </row>
    <row r="7" spans="1:28" s="300" customFormat="1" ht="11.4" customHeight="1">
      <c r="A7" s="305"/>
      <c r="B7" s="189"/>
      <c r="C7" s="189"/>
      <c r="D7" s="186"/>
      <c r="E7" s="186"/>
      <c r="F7" s="189"/>
      <c r="G7" s="189"/>
      <c r="H7" s="186"/>
      <c r="I7" s="186"/>
      <c r="J7" s="189"/>
      <c r="K7" s="189"/>
      <c r="L7" s="189" t="s">
        <v>2696</v>
      </c>
      <c r="M7" s="189"/>
      <c r="N7" s="189"/>
      <c r="O7" s="189"/>
      <c r="P7" s="186"/>
      <c r="Q7" s="1232" t="s">
        <v>1690</v>
      </c>
      <c r="R7" s="719">
        <v>900000</v>
      </c>
      <c r="S7" s="186"/>
      <c r="U7" s="186"/>
      <c r="V7" s="1043"/>
      <c r="W7" s="1043"/>
      <c r="X7" s="190"/>
      <c r="AA7" s="573"/>
      <c r="AB7" s="573"/>
    </row>
    <row r="8" spans="1:28" s="300" customFormat="1" ht="11.4" customHeight="1">
      <c r="F8" s="189"/>
      <c r="G8" s="189"/>
      <c r="H8" s="186"/>
      <c r="I8" s="186"/>
      <c r="J8" s="189" t="s">
        <v>1230</v>
      </c>
      <c r="K8" s="189"/>
      <c r="L8" s="189"/>
      <c r="M8" s="189"/>
      <c r="N8" s="189"/>
      <c r="O8" s="189"/>
      <c r="P8" s="186"/>
      <c r="Q8" s="1223" t="s">
        <v>1690</v>
      </c>
      <c r="R8" s="1223">
        <v>1800000</v>
      </c>
      <c r="S8" s="186"/>
      <c r="T8" s="186"/>
      <c r="U8" s="186"/>
      <c r="V8" s="1043"/>
      <c r="W8" s="1043"/>
      <c r="X8" s="190"/>
      <c r="AA8" s="573"/>
      <c r="AB8" s="573"/>
    </row>
    <row r="9" spans="1:28" s="300" customFormat="1" ht="11.4" customHeight="1">
      <c r="F9" s="189" t="s">
        <v>2347</v>
      </c>
      <c r="G9" s="189"/>
      <c r="H9" s="186"/>
      <c r="I9" s="186"/>
      <c r="J9" s="189" t="s">
        <v>1719</v>
      </c>
      <c r="K9" s="189"/>
      <c r="L9" s="189"/>
      <c r="M9" s="189"/>
      <c r="N9" s="189"/>
      <c r="O9" s="189"/>
      <c r="P9" s="186"/>
      <c r="Q9" s="1223">
        <v>1000000</v>
      </c>
      <c r="R9" s="1223">
        <v>2000000</v>
      </c>
      <c r="S9" s="306"/>
      <c r="T9" s="306"/>
      <c r="U9" s="186"/>
      <c r="V9" s="1109"/>
      <c r="W9" s="1109"/>
      <c r="X9" s="1109"/>
      <c r="AA9" s="573"/>
      <c r="AB9" s="573"/>
    </row>
    <row r="10" spans="1:28" s="300" customFormat="1" ht="11.4" customHeight="1">
      <c r="F10" s="189"/>
      <c r="G10" s="189"/>
      <c r="H10" s="186"/>
      <c r="I10" s="186"/>
      <c r="J10" s="189" t="s">
        <v>2323</v>
      </c>
      <c r="K10" s="189"/>
      <c r="L10" s="189"/>
      <c r="M10" s="189"/>
      <c r="N10" s="189"/>
      <c r="O10" s="189"/>
      <c r="P10" s="186"/>
      <c r="Q10" s="1223" t="s">
        <v>1690</v>
      </c>
      <c r="R10" s="1222">
        <v>0.25</v>
      </c>
      <c r="S10" s="186"/>
      <c r="T10" s="186"/>
      <c r="U10" s="186"/>
      <c r="V10" s="1043"/>
      <c r="W10" s="1043"/>
      <c r="X10" s="190"/>
      <c r="AA10" s="573"/>
      <c r="AB10" s="573"/>
    </row>
    <row r="11" spans="1:28" s="300" customFormat="1" ht="11.4" customHeight="1">
      <c r="A11" s="189"/>
      <c r="B11" s="189"/>
      <c r="C11" s="189"/>
      <c r="D11" s="186"/>
      <c r="E11" s="186"/>
      <c r="F11" s="189" t="s">
        <v>3465</v>
      </c>
      <c r="G11" s="189"/>
      <c r="H11" s="186"/>
      <c r="I11" s="186"/>
      <c r="J11" s="637" t="s">
        <v>3466</v>
      </c>
      <c r="K11" s="310"/>
      <c r="M11" s="310"/>
      <c r="N11" s="310"/>
      <c r="O11" s="189"/>
      <c r="Q11" s="308"/>
      <c r="R11" s="308"/>
      <c r="S11" s="321"/>
      <c r="T11" s="186"/>
      <c r="U11" s="186"/>
      <c r="V11" s="1109"/>
      <c r="W11" s="1109"/>
      <c r="X11" s="1109"/>
      <c r="AA11" s="573"/>
      <c r="AB11" s="573"/>
    </row>
    <row r="12" spans="1:28" s="300" customFormat="1" ht="11.4" customHeight="1">
      <c r="A12" s="189"/>
      <c r="B12" s="189"/>
      <c r="C12" s="189"/>
      <c r="D12" s="186"/>
      <c r="E12" s="186"/>
      <c r="F12" s="189" t="s">
        <v>4508</v>
      </c>
      <c r="G12" s="189"/>
      <c r="H12" s="186"/>
      <c r="I12" s="186"/>
      <c r="J12" s="637" t="s">
        <v>3443</v>
      </c>
      <c r="K12" s="310"/>
      <c r="M12" s="310"/>
      <c r="N12" s="310"/>
      <c r="O12" s="189"/>
      <c r="Q12" s="4436">
        <v>0.1</v>
      </c>
      <c r="R12" s="4437"/>
      <c r="S12" s="321"/>
      <c r="T12" s="186"/>
      <c r="U12" s="186"/>
      <c r="V12" s="1109"/>
      <c r="W12" s="1109"/>
      <c r="X12" s="1109"/>
      <c r="AA12" s="573"/>
      <c r="AB12" s="573"/>
    </row>
    <row r="13" spans="1:28" s="300" customFormat="1" ht="12.75" customHeight="1">
      <c r="A13" s="189"/>
      <c r="B13" s="189"/>
      <c r="C13" s="189"/>
      <c r="F13" s="2024" t="s">
        <v>2634</v>
      </c>
      <c r="G13" s="2025"/>
      <c r="H13" s="2025"/>
      <c r="I13" s="2033" t="s">
        <v>4499</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26" t="s">
        <v>4500</v>
      </c>
      <c r="G14" s="2027"/>
      <c r="H14" s="2027"/>
      <c r="I14" s="2030">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26" t="s">
        <v>4501</v>
      </c>
      <c r="G15" s="2027"/>
      <c r="H15" s="2027"/>
      <c r="I15" s="2030">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26" t="s">
        <v>4502</v>
      </c>
      <c r="G16" s="2027"/>
      <c r="H16" s="2027"/>
      <c r="I16" s="2030">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26" t="s">
        <v>4503</v>
      </c>
      <c r="G17" s="2027"/>
      <c r="H17" s="2027"/>
      <c r="I17" s="2030">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28" t="s">
        <v>4504</v>
      </c>
      <c r="G18" s="2029"/>
      <c r="H18" s="2029"/>
      <c r="I18" s="2031">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2"/>
      <c r="E19" s="2021"/>
      <c r="F19" s="2021"/>
      <c r="G19" s="2023"/>
      <c r="H19" s="309"/>
      <c r="I19" s="186"/>
      <c r="J19" s="189"/>
      <c r="K19" s="310"/>
      <c r="L19" s="310"/>
      <c r="M19" s="310"/>
      <c r="N19" s="310"/>
      <c r="O19" s="189"/>
      <c r="P19" s="186"/>
      <c r="Q19" s="308"/>
      <c r="R19" s="308"/>
      <c r="S19" s="186"/>
      <c r="T19" s="186"/>
      <c r="U19" s="186"/>
      <c r="AA19" s="573"/>
      <c r="AB19" s="573"/>
    </row>
    <row r="20" spans="1:28" s="300" customFormat="1" ht="11.4" customHeight="1">
      <c r="A20" s="189"/>
      <c r="B20" s="189"/>
      <c r="C20" s="189"/>
      <c r="D20" s="1757">
        <v>2019</v>
      </c>
      <c r="E20" s="186"/>
      <c r="F20" s="4442" t="s">
        <v>3253</v>
      </c>
      <c r="G20" s="4443"/>
      <c r="H20" s="4443"/>
      <c r="I20" s="4443"/>
      <c r="J20" s="4444"/>
      <c r="K20" s="310"/>
      <c r="L20" s="638" t="s">
        <v>3443</v>
      </c>
      <c r="M20" s="310"/>
      <c r="N20" s="4442" t="s">
        <v>3253</v>
      </c>
      <c r="O20" s="4443"/>
      <c r="P20" s="4443"/>
      <c r="Q20" s="4443"/>
      <c r="R20" s="4444"/>
      <c r="S20" s="321"/>
      <c r="T20" s="186"/>
      <c r="U20" s="186"/>
      <c r="V20" s="1109"/>
      <c r="W20" s="1109"/>
      <c r="X20" s="1109"/>
      <c r="AA20" s="573"/>
      <c r="AB20" s="573"/>
    </row>
    <row r="21" spans="1:28" s="300" customFormat="1" ht="11.4" customHeight="1">
      <c r="A21" s="189"/>
      <c r="D21" s="639" t="s">
        <v>2546</v>
      </c>
      <c r="E21" s="639" t="s">
        <v>1270</v>
      </c>
      <c r="F21" s="640">
        <v>0</v>
      </c>
      <c r="G21" s="641">
        <v>1</v>
      </c>
      <c r="H21" s="1220">
        <v>2</v>
      </c>
      <c r="I21" s="1220">
        <v>3</v>
      </c>
      <c r="J21" s="642" t="s">
        <v>3250</v>
      </c>
      <c r="L21" s="639" t="s">
        <v>2546</v>
      </c>
      <c r="M21" s="639" t="s">
        <v>1270</v>
      </c>
      <c r="N21" s="640">
        <v>0</v>
      </c>
      <c r="O21" s="641">
        <v>1</v>
      </c>
      <c r="P21" s="1220">
        <v>2</v>
      </c>
      <c r="Q21" s="1220">
        <v>3</v>
      </c>
      <c r="R21" s="642" t="s">
        <v>3250</v>
      </c>
      <c r="S21" s="321"/>
      <c r="T21" s="186"/>
      <c r="U21" s="186"/>
      <c r="V21" s="1109"/>
      <c r="W21" s="1109"/>
      <c r="X21" s="1109"/>
      <c r="AA21" s="573"/>
      <c r="AB21" s="573"/>
    </row>
    <row r="22" spans="1:28" s="300" customFormat="1" ht="11.4" customHeight="1">
      <c r="A22" s="189"/>
      <c r="C22" s="344"/>
      <c r="D22" s="1129" t="s">
        <v>1738</v>
      </c>
      <c r="E22" s="1129" t="s">
        <v>3252</v>
      </c>
      <c r="F22" s="1130">
        <v>141961</v>
      </c>
      <c r="G22" s="1130">
        <v>183643</v>
      </c>
      <c r="H22" s="1130">
        <v>219722</v>
      </c>
      <c r="I22" s="1130">
        <v>261937</v>
      </c>
      <c r="J22" s="1130">
        <v>308633</v>
      </c>
      <c r="L22" s="321" t="s">
        <v>1738</v>
      </c>
      <c r="M22" s="321" t="s">
        <v>3252</v>
      </c>
      <c r="N22" s="1251">
        <f t="shared" ref="N22:R37" si="0">ROUNDDOWN(F22*1.1,0)</f>
        <v>156157</v>
      </c>
      <c r="O22" s="1251">
        <f t="shared" si="0"/>
        <v>202007</v>
      </c>
      <c r="P22" s="1251">
        <f t="shared" si="0"/>
        <v>241694</v>
      </c>
      <c r="Q22" s="1251">
        <f t="shared" si="0"/>
        <v>288130</v>
      </c>
      <c r="R22" s="1251">
        <f t="shared" si="0"/>
        <v>339496</v>
      </c>
      <c r="S22" s="321"/>
      <c r="T22" s="186"/>
      <c r="U22" s="186"/>
      <c r="V22" s="1109"/>
      <c r="W22" s="1109"/>
      <c r="X22" s="1109"/>
      <c r="AA22" s="573"/>
      <c r="AB22" s="573"/>
    </row>
    <row r="23" spans="1:28" s="300" customFormat="1" ht="11.4" customHeight="1">
      <c r="A23" s="189"/>
      <c r="C23" s="344"/>
      <c r="D23" s="1129" t="s">
        <v>1738</v>
      </c>
      <c r="E23" s="1129" t="s">
        <v>3249</v>
      </c>
      <c r="F23" s="1130">
        <v>110685</v>
      </c>
      <c r="G23" s="1130">
        <v>154960</v>
      </c>
      <c r="H23" s="1130">
        <v>199234</v>
      </c>
      <c r="I23" s="1130">
        <v>265645</v>
      </c>
      <c r="J23" s="1130">
        <v>332056</v>
      </c>
      <c r="L23" s="321" t="s">
        <v>1738</v>
      </c>
      <c r="M23" s="321" t="s">
        <v>3249</v>
      </c>
      <c r="N23" s="1251">
        <f t="shared" si="0"/>
        <v>121753</v>
      </c>
      <c r="O23" s="1251">
        <f t="shared" si="0"/>
        <v>170456</v>
      </c>
      <c r="P23" s="1251">
        <f t="shared" si="0"/>
        <v>219157</v>
      </c>
      <c r="Q23" s="1251">
        <f t="shared" si="0"/>
        <v>292209</v>
      </c>
      <c r="R23" s="1251">
        <f t="shared" si="0"/>
        <v>365261</v>
      </c>
      <c r="S23" s="321"/>
      <c r="T23" s="186"/>
      <c r="U23" s="186"/>
      <c r="V23" s="1109"/>
      <c r="W23" s="1109"/>
      <c r="X23" s="1109"/>
      <c r="AA23" s="573"/>
      <c r="AB23" s="573"/>
    </row>
    <row r="24" spans="1:28" s="300" customFormat="1" ht="11.4" customHeight="1">
      <c r="A24" s="189"/>
      <c r="C24" s="344"/>
      <c r="D24" s="1129" t="s">
        <v>1738</v>
      </c>
      <c r="E24" s="1129" t="s">
        <v>3247</v>
      </c>
      <c r="F24" s="1130">
        <v>122254</v>
      </c>
      <c r="G24" s="1130">
        <v>159614</v>
      </c>
      <c r="H24" s="1130">
        <v>193408</v>
      </c>
      <c r="I24" s="1130">
        <v>236016</v>
      </c>
      <c r="J24" s="1130">
        <v>279942</v>
      </c>
      <c r="L24" s="321" t="s">
        <v>1738</v>
      </c>
      <c r="M24" s="321" t="s">
        <v>3247</v>
      </c>
      <c r="N24" s="1251">
        <f t="shared" si="0"/>
        <v>134479</v>
      </c>
      <c r="O24" s="1251">
        <f t="shared" si="0"/>
        <v>175575</v>
      </c>
      <c r="P24" s="1251">
        <f t="shared" si="0"/>
        <v>212748</v>
      </c>
      <c r="Q24" s="1251">
        <f t="shared" si="0"/>
        <v>259617</v>
      </c>
      <c r="R24" s="1251">
        <f t="shared" si="0"/>
        <v>307936</v>
      </c>
      <c r="S24" s="321"/>
      <c r="T24" s="186"/>
      <c r="U24" s="186"/>
      <c r="V24" s="1109"/>
      <c r="W24" s="1109"/>
      <c r="X24" s="1109"/>
      <c r="AA24" s="573"/>
      <c r="AB24" s="573"/>
    </row>
    <row r="25" spans="1:28" s="300" customFormat="1" ht="11.4" customHeight="1">
      <c r="A25" s="189"/>
      <c r="C25" s="344"/>
      <c r="D25" s="1129" t="s">
        <v>1738</v>
      </c>
      <c r="E25" s="1129" t="s">
        <v>3248</v>
      </c>
      <c r="F25" s="1130">
        <v>107479</v>
      </c>
      <c r="G25" s="1130">
        <v>146778</v>
      </c>
      <c r="H25" s="1130">
        <v>185800</v>
      </c>
      <c r="I25" s="1130">
        <v>244830</v>
      </c>
      <c r="J25" s="1130">
        <v>303475</v>
      </c>
      <c r="L25" s="321" t="s">
        <v>1738</v>
      </c>
      <c r="M25" s="321" t="s">
        <v>3248</v>
      </c>
      <c r="N25" s="1251">
        <f t="shared" si="0"/>
        <v>118226</v>
      </c>
      <c r="O25" s="1251">
        <f t="shared" si="0"/>
        <v>161455</v>
      </c>
      <c r="P25" s="1251">
        <f t="shared" si="0"/>
        <v>204380</v>
      </c>
      <c r="Q25" s="1251">
        <f t="shared" si="0"/>
        <v>269313</v>
      </c>
      <c r="R25" s="1251">
        <f t="shared" si="0"/>
        <v>333822</v>
      </c>
      <c r="S25" s="321"/>
      <c r="T25" s="186"/>
      <c r="U25" s="186"/>
      <c r="V25" s="1109"/>
      <c r="W25" s="1109"/>
      <c r="X25" s="1109"/>
      <c r="AA25" s="573"/>
      <c r="AB25" s="573"/>
    </row>
    <row r="26" spans="1:28" s="300" customFormat="1" ht="11.4" customHeight="1">
      <c r="A26" s="189"/>
      <c r="C26" s="344"/>
      <c r="D26" s="1121" t="s">
        <v>162</v>
      </c>
      <c r="E26" s="1121" t="s">
        <v>3252</v>
      </c>
      <c r="F26" s="1122">
        <v>141914</v>
      </c>
      <c r="G26" s="1122">
        <v>183685</v>
      </c>
      <c r="H26" s="1122">
        <v>219843</v>
      </c>
      <c r="I26" s="1122">
        <v>262188</v>
      </c>
      <c r="J26" s="1122">
        <v>309029</v>
      </c>
      <c r="L26" s="321" t="s">
        <v>162</v>
      </c>
      <c r="M26" s="321" t="s">
        <v>3252</v>
      </c>
      <c r="N26" s="1251">
        <f t="shared" si="0"/>
        <v>156105</v>
      </c>
      <c r="O26" s="1251">
        <f t="shared" si="0"/>
        <v>202053</v>
      </c>
      <c r="P26" s="1251">
        <f t="shared" si="0"/>
        <v>241827</v>
      </c>
      <c r="Q26" s="1251">
        <f t="shared" si="0"/>
        <v>288406</v>
      </c>
      <c r="R26" s="1251">
        <f t="shared" si="0"/>
        <v>339931</v>
      </c>
      <c r="S26" s="321"/>
      <c r="T26" s="186"/>
      <c r="U26" s="186"/>
      <c r="V26" s="1109"/>
      <c r="W26" s="1109"/>
      <c r="X26" s="1109"/>
      <c r="AA26" s="573"/>
      <c r="AB26" s="573"/>
    </row>
    <row r="27" spans="1:28" s="300" customFormat="1" ht="11.4" customHeight="1">
      <c r="A27" s="189"/>
      <c r="C27" s="344"/>
      <c r="D27" s="1121" t="s">
        <v>162</v>
      </c>
      <c r="E27" s="1121" t="s">
        <v>3249</v>
      </c>
      <c r="F27" s="1122">
        <v>110625</v>
      </c>
      <c r="G27" s="1122">
        <v>154874</v>
      </c>
      <c r="H27" s="1122">
        <v>199124</v>
      </c>
      <c r="I27" s="1122">
        <v>265499</v>
      </c>
      <c r="J27" s="1122">
        <v>331874</v>
      </c>
      <c r="L27" s="321" t="s">
        <v>162</v>
      </c>
      <c r="M27" s="321" t="s">
        <v>3249</v>
      </c>
      <c r="N27" s="1251">
        <f t="shared" si="0"/>
        <v>121687</v>
      </c>
      <c r="O27" s="1251">
        <f t="shared" si="0"/>
        <v>170361</v>
      </c>
      <c r="P27" s="1251">
        <f t="shared" si="0"/>
        <v>219036</v>
      </c>
      <c r="Q27" s="1251">
        <f t="shared" si="0"/>
        <v>292048</v>
      </c>
      <c r="R27" s="1251">
        <f t="shared" si="0"/>
        <v>365061</v>
      </c>
      <c r="S27" s="321"/>
      <c r="T27" s="186"/>
      <c r="U27" s="186"/>
      <c r="V27" s="1109"/>
      <c r="W27" s="1109"/>
      <c r="X27" s="1109"/>
      <c r="AA27" s="573"/>
      <c r="AB27" s="573"/>
    </row>
    <row r="28" spans="1:28" s="300" customFormat="1" ht="11.4" customHeight="1">
      <c r="A28" s="189"/>
      <c r="C28" s="344"/>
      <c r="D28" s="1121" t="s">
        <v>162</v>
      </c>
      <c r="E28" s="1121" t="s">
        <v>3247</v>
      </c>
      <c r="F28" s="1122">
        <v>121732</v>
      </c>
      <c r="G28" s="1122">
        <v>159078</v>
      </c>
      <c r="H28" s="1122">
        <v>192895</v>
      </c>
      <c r="I28" s="1122">
        <v>235643</v>
      </c>
      <c r="J28" s="1122">
        <v>279647</v>
      </c>
      <c r="L28" s="321" t="s">
        <v>162</v>
      </c>
      <c r="M28" s="321" t="s">
        <v>3247</v>
      </c>
      <c r="N28" s="1251">
        <f t="shared" si="0"/>
        <v>133905</v>
      </c>
      <c r="O28" s="1251">
        <f t="shared" si="0"/>
        <v>174985</v>
      </c>
      <c r="P28" s="1251">
        <f t="shared" si="0"/>
        <v>212184</v>
      </c>
      <c r="Q28" s="1251">
        <f t="shared" si="0"/>
        <v>259207</v>
      </c>
      <c r="R28" s="1251">
        <f t="shared" si="0"/>
        <v>307611</v>
      </c>
      <c r="S28" s="321"/>
      <c r="T28" s="186"/>
      <c r="U28" s="186"/>
      <c r="V28" s="1109"/>
      <c r="W28" s="1109"/>
      <c r="X28" s="1109"/>
      <c r="AA28" s="573"/>
      <c r="AB28" s="573"/>
    </row>
    <row r="29" spans="1:28" s="300" customFormat="1" ht="11.4" customHeight="1">
      <c r="A29" s="189"/>
      <c r="C29" s="344"/>
      <c r="D29" s="1121" t="s">
        <v>162</v>
      </c>
      <c r="E29" s="1121" t="s">
        <v>3248</v>
      </c>
      <c r="F29" s="1122">
        <v>106625</v>
      </c>
      <c r="G29" s="1122">
        <v>145495</v>
      </c>
      <c r="H29" s="1122">
        <v>184080</v>
      </c>
      <c r="I29" s="1122">
        <v>242466</v>
      </c>
      <c r="J29" s="1122">
        <v>300459</v>
      </c>
      <c r="L29" s="321" t="s">
        <v>162</v>
      </c>
      <c r="M29" s="321" t="s">
        <v>3248</v>
      </c>
      <c r="N29" s="1251">
        <f t="shared" si="0"/>
        <v>117287</v>
      </c>
      <c r="O29" s="1251">
        <f t="shared" si="0"/>
        <v>160044</v>
      </c>
      <c r="P29" s="1251">
        <f t="shared" si="0"/>
        <v>202488</v>
      </c>
      <c r="Q29" s="1251">
        <f t="shared" si="0"/>
        <v>266712</v>
      </c>
      <c r="R29" s="1251">
        <f t="shared" si="0"/>
        <v>330504</v>
      </c>
      <c r="S29" s="321"/>
      <c r="T29" s="186"/>
      <c r="U29" s="186"/>
      <c r="V29" s="1109"/>
      <c r="W29" s="1109"/>
      <c r="X29" s="1109"/>
      <c r="AA29" s="573"/>
      <c r="AB29" s="573"/>
    </row>
    <row r="30" spans="1:28" s="300" customFormat="1" ht="11.4" customHeight="1">
      <c r="A30" s="189"/>
      <c r="C30" s="344"/>
      <c r="D30" s="1119" t="s">
        <v>1179</v>
      </c>
      <c r="E30" s="1119" t="s">
        <v>3252</v>
      </c>
      <c r="F30" s="1120">
        <v>153887</v>
      </c>
      <c r="G30" s="1120">
        <v>199173</v>
      </c>
      <c r="H30" s="1120">
        <v>238374</v>
      </c>
      <c r="I30" s="1120">
        <v>284279</v>
      </c>
      <c r="J30" s="1120">
        <v>335059</v>
      </c>
      <c r="L30" s="637" t="s">
        <v>1179</v>
      </c>
      <c r="M30" s="637" t="s">
        <v>3252</v>
      </c>
      <c r="N30" s="1251">
        <f t="shared" si="0"/>
        <v>169275</v>
      </c>
      <c r="O30" s="1251">
        <f t="shared" si="0"/>
        <v>219090</v>
      </c>
      <c r="P30" s="1251">
        <f t="shared" si="0"/>
        <v>262211</v>
      </c>
      <c r="Q30" s="1251">
        <f t="shared" si="0"/>
        <v>312706</v>
      </c>
      <c r="R30" s="1251">
        <f t="shared" si="0"/>
        <v>368564</v>
      </c>
      <c r="S30" s="321"/>
      <c r="T30" s="186"/>
      <c r="U30" s="186"/>
      <c r="V30" s="1109"/>
      <c r="W30" s="1109"/>
      <c r="X30" s="1109"/>
      <c r="AA30" s="573"/>
      <c r="AB30" s="573"/>
    </row>
    <row r="31" spans="1:28" s="300" customFormat="1" ht="11.4" customHeight="1">
      <c r="A31" s="189"/>
      <c r="C31" s="344"/>
      <c r="D31" s="1119" t="s">
        <v>1179</v>
      </c>
      <c r="E31" s="1119" t="s">
        <v>3249</v>
      </c>
      <c r="F31" s="1120">
        <v>119960</v>
      </c>
      <c r="G31" s="1120">
        <v>167943</v>
      </c>
      <c r="H31" s="1120">
        <v>215927</v>
      </c>
      <c r="I31" s="1120">
        <v>287903</v>
      </c>
      <c r="J31" s="1120">
        <v>359879</v>
      </c>
      <c r="L31" s="637" t="s">
        <v>1179</v>
      </c>
      <c r="M31" s="637" t="s">
        <v>3249</v>
      </c>
      <c r="N31" s="1251">
        <f t="shared" si="0"/>
        <v>131956</v>
      </c>
      <c r="O31" s="1251">
        <f t="shared" si="0"/>
        <v>184737</v>
      </c>
      <c r="P31" s="1251">
        <f t="shared" si="0"/>
        <v>237519</v>
      </c>
      <c r="Q31" s="1251">
        <f t="shared" si="0"/>
        <v>316693</v>
      </c>
      <c r="R31" s="1251">
        <f t="shared" si="0"/>
        <v>395866</v>
      </c>
      <c r="S31" s="321"/>
      <c r="T31" s="186"/>
      <c r="U31" s="186"/>
      <c r="V31" s="1109"/>
      <c r="W31" s="1109"/>
      <c r="X31" s="1109"/>
      <c r="AA31" s="573"/>
      <c r="AB31" s="573"/>
    </row>
    <row r="32" spans="1:28" s="300" customFormat="1" ht="11.4" customHeight="1">
      <c r="A32" s="189"/>
      <c r="C32" s="344"/>
      <c r="D32" s="1119" t="s">
        <v>1179</v>
      </c>
      <c r="E32" s="1119" t="s">
        <v>3247</v>
      </c>
      <c r="F32" s="1120">
        <v>132042</v>
      </c>
      <c r="G32" s="1120">
        <v>172539</v>
      </c>
      <c r="H32" s="1120">
        <v>209207</v>
      </c>
      <c r="I32" s="1120">
        <v>255548</v>
      </c>
      <c r="J32" s="1120">
        <v>303256</v>
      </c>
      <c r="L32" s="637" t="s">
        <v>1179</v>
      </c>
      <c r="M32" s="637" t="s">
        <v>3247</v>
      </c>
      <c r="N32" s="1251">
        <f t="shared" si="0"/>
        <v>145246</v>
      </c>
      <c r="O32" s="1251">
        <f t="shared" si="0"/>
        <v>189792</v>
      </c>
      <c r="P32" s="1251">
        <f t="shared" si="0"/>
        <v>230127</v>
      </c>
      <c r="Q32" s="1251">
        <f t="shared" si="0"/>
        <v>281102</v>
      </c>
      <c r="R32" s="1251">
        <f t="shared" si="0"/>
        <v>333581</v>
      </c>
      <c r="S32" s="321"/>
      <c r="T32" s="186"/>
      <c r="U32" s="186"/>
      <c r="V32" s="1109"/>
      <c r="W32" s="1109"/>
      <c r="X32" s="1109"/>
      <c r="AA32" s="573"/>
      <c r="AB32" s="573"/>
    </row>
    <row r="33" spans="1:28" s="300" customFormat="1" ht="11.4" customHeight="1">
      <c r="A33" s="189"/>
      <c r="C33" s="344"/>
      <c r="D33" s="1119" t="s">
        <v>1179</v>
      </c>
      <c r="E33" s="1119" t="s">
        <v>3248</v>
      </c>
      <c r="F33" s="1120">
        <v>115690</v>
      </c>
      <c r="G33" s="1120">
        <v>157874</v>
      </c>
      <c r="H33" s="1120">
        <v>199750</v>
      </c>
      <c r="I33" s="1120">
        <v>263115</v>
      </c>
      <c r="J33" s="1120">
        <v>326053</v>
      </c>
      <c r="L33" s="637" t="s">
        <v>1179</v>
      </c>
      <c r="M33" s="637" t="s">
        <v>3248</v>
      </c>
      <c r="N33" s="1251">
        <f t="shared" si="0"/>
        <v>127259</v>
      </c>
      <c r="O33" s="1251">
        <f t="shared" si="0"/>
        <v>173661</v>
      </c>
      <c r="P33" s="1251">
        <f t="shared" si="0"/>
        <v>219725</v>
      </c>
      <c r="Q33" s="1251">
        <f t="shared" si="0"/>
        <v>289426</v>
      </c>
      <c r="R33" s="1251">
        <f t="shared" si="0"/>
        <v>358658</v>
      </c>
      <c r="S33" s="321"/>
      <c r="T33" s="186"/>
      <c r="U33" s="186"/>
      <c r="V33" s="1109"/>
      <c r="W33" s="1109"/>
      <c r="X33" s="1109"/>
      <c r="AA33" s="573"/>
      <c r="AB33" s="573"/>
    </row>
    <row r="34" spans="1:28" s="300" customFormat="1" ht="11.4" customHeight="1">
      <c r="A34" s="189"/>
      <c r="C34" s="344"/>
      <c r="D34" s="1123" t="s">
        <v>1303</v>
      </c>
      <c r="E34" s="1123" t="s">
        <v>3252</v>
      </c>
      <c r="F34" s="1124">
        <v>143742</v>
      </c>
      <c r="G34" s="1124">
        <v>185791</v>
      </c>
      <c r="H34" s="1124">
        <v>222188</v>
      </c>
      <c r="I34" s="1124">
        <v>264716</v>
      </c>
      <c r="J34" s="1124">
        <v>311757</v>
      </c>
      <c r="L34" s="637" t="s">
        <v>1303</v>
      </c>
      <c r="M34" s="637" t="s">
        <v>3252</v>
      </c>
      <c r="N34" s="1251">
        <f t="shared" si="0"/>
        <v>158116</v>
      </c>
      <c r="O34" s="1251">
        <f t="shared" si="0"/>
        <v>204370</v>
      </c>
      <c r="P34" s="1251">
        <f t="shared" si="0"/>
        <v>244406</v>
      </c>
      <c r="Q34" s="1251">
        <f t="shared" si="0"/>
        <v>291187</v>
      </c>
      <c r="R34" s="1251">
        <f t="shared" si="0"/>
        <v>342932</v>
      </c>
      <c r="S34" s="321"/>
      <c r="T34" s="186"/>
      <c r="U34" s="186"/>
      <c r="V34" s="1109"/>
      <c r="W34" s="1109"/>
      <c r="X34" s="1109"/>
      <c r="AA34" s="573"/>
      <c r="AB34" s="573"/>
    </row>
    <row r="35" spans="1:28" s="300" customFormat="1" ht="11.4" customHeight="1">
      <c r="A35" s="189"/>
      <c r="C35" s="344"/>
      <c r="D35" s="1123" t="s">
        <v>1303</v>
      </c>
      <c r="E35" s="1123" t="s">
        <v>3249</v>
      </c>
      <c r="F35" s="1124">
        <v>112110</v>
      </c>
      <c r="G35" s="1124">
        <v>156955</v>
      </c>
      <c r="H35" s="1124">
        <v>201799</v>
      </c>
      <c r="I35" s="1124">
        <v>269065</v>
      </c>
      <c r="J35" s="1124">
        <v>336331</v>
      </c>
      <c r="L35" s="637" t="s">
        <v>1303</v>
      </c>
      <c r="M35" s="637" t="s">
        <v>3249</v>
      </c>
      <c r="N35" s="1251">
        <f t="shared" si="0"/>
        <v>123321</v>
      </c>
      <c r="O35" s="1251">
        <f t="shared" si="0"/>
        <v>172650</v>
      </c>
      <c r="P35" s="1251">
        <f t="shared" si="0"/>
        <v>221978</v>
      </c>
      <c r="Q35" s="1251">
        <f t="shared" si="0"/>
        <v>295971</v>
      </c>
      <c r="R35" s="1251">
        <f t="shared" si="0"/>
        <v>369964</v>
      </c>
      <c r="S35" s="321"/>
      <c r="T35" s="186"/>
      <c r="U35" s="186"/>
      <c r="V35" s="1109"/>
      <c r="W35" s="1109"/>
      <c r="X35" s="1109"/>
      <c r="AA35" s="573"/>
      <c r="AB35" s="573"/>
    </row>
    <row r="36" spans="1:28" s="300" customFormat="1" ht="11.4" customHeight="1">
      <c r="A36" s="189"/>
      <c r="C36" s="344"/>
      <c r="D36" s="1123" t="s">
        <v>1303</v>
      </c>
      <c r="E36" s="1123" t="s">
        <v>3247</v>
      </c>
      <c r="F36" s="1124">
        <v>124509</v>
      </c>
      <c r="G36" s="1124">
        <v>162342</v>
      </c>
      <c r="H36" s="1124">
        <v>196508</v>
      </c>
      <c r="I36" s="1124">
        <v>239420</v>
      </c>
      <c r="J36" s="1124">
        <v>283757</v>
      </c>
      <c r="L36" s="637" t="s">
        <v>1303</v>
      </c>
      <c r="M36" s="637" t="s">
        <v>3247</v>
      </c>
      <c r="N36" s="1251">
        <f t="shared" si="0"/>
        <v>136959</v>
      </c>
      <c r="O36" s="1251">
        <f t="shared" si="0"/>
        <v>178576</v>
      </c>
      <c r="P36" s="1251">
        <f t="shared" si="0"/>
        <v>216158</v>
      </c>
      <c r="Q36" s="1251">
        <f t="shared" si="0"/>
        <v>263362</v>
      </c>
      <c r="R36" s="1251">
        <f t="shared" si="0"/>
        <v>312132</v>
      </c>
      <c r="S36" s="321"/>
      <c r="T36" s="186"/>
      <c r="U36" s="186"/>
      <c r="V36" s="1109"/>
      <c r="W36" s="1109"/>
      <c r="X36" s="1109"/>
      <c r="AA36" s="573"/>
      <c r="AB36" s="573"/>
    </row>
    <row r="37" spans="1:28" s="300" customFormat="1" ht="11.4" customHeight="1">
      <c r="A37" s="189"/>
      <c r="C37" s="344"/>
      <c r="D37" s="1123" t="s">
        <v>1303</v>
      </c>
      <c r="E37" s="1123" t="s">
        <v>3248</v>
      </c>
      <c r="F37" s="1124">
        <v>110053</v>
      </c>
      <c r="G37" s="1124">
        <v>150472</v>
      </c>
      <c r="H37" s="1124">
        <v>190620</v>
      </c>
      <c r="I37" s="1124">
        <v>251326</v>
      </c>
      <c r="J37" s="1124">
        <v>311657</v>
      </c>
      <c r="L37" s="637" t="s">
        <v>1303</v>
      </c>
      <c r="M37" s="637" t="s">
        <v>3248</v>
      </c>
      <c r="N37" s="1251">
        <f t="shared" si="0"/>
        <v>121058</v>
      </c>
      <c r="O37" s="1251">
        <f t="shared" si="0"/>
        <v>165519</v>
      </c>
      <c r="P37" s="1251">
        <f t="shared" si="0"/>
        <v>209682</v>
      </c>
      <c r="Q37" s="1251">
        <f t="shared" si="0"/>
        <v>276458</v>
      </c>
      <c r="R37" s="1251">
        <f t="shared" si="0"/>
        <v>342822</v>
      </c>
      <c r="S37" s="321"/>
      <c r="T37" s="186"/>
      <c r="U37" s="186"/>
      <c r="V37" s="1109"/>
      <c r="W37" s="1109"/>
      <c r="X37" s="1109"/>
      <c r="AA37" s="573"/>
      <c r="AB37" s="573"/>
    </row>
    <row r="38" spans="1:28" s="300" customFormat="1" ht="11.4" customHeight="1">
      <c r="A38" s="189"/>
      <c r="C38" s="344"/>
      <c r="D38" s="1149" t="s">
        <v>1489</v>
      </c>
      <c r="E38" s="1149" t="s">
        <v>3252</v>
      </c>
      <c r="F38" s="951">
        <v>152106</v>
      </c>
      <c r="G38" s="951">
        <v>197025</v>
      </c>
      <c r="H38" s="951">
        <v>235908</v>
      </c>
      <c r="I38" s="951">
        <v>281500</v>
      </c>
      <c r="J38" s="951">
        <v>331935</v>
      </c>
      <c r="L38" s="1149" t="s">
        <v>1489</v>
      </c>
      <c r="M38" s="637" t="s">
        <v>3252</v>
      </c>
      <c r="N38" s="1251">
        <f t="shared" ref="N38:R41" si="1">ROUNDDOWN(F38*1.1,0)</f>
        <v>167316</v>
      </c>
      <c r="O38" s="1251">
        <f t="shared" si="1"/>
        <v>216727</v>
      </c>
      <c r="P38" s="1251">
        <f t="shared" si="1"/>
        <v>259498</v>
      </c>
      <c r="Q38" s="1251">
        <f t="shared" si="1"/>
        <v>309650</v>
      </c>
      <c r="R38" s="1251">
        <f t="shared" si="1"/>
        <v>365128</v>
      </c>
      <c r="S38" s="321"/>
      <c r="T38" s="186"/>
      <c r="U38" s="186"/>
      <c r="V38" s="1109"/>
      <c r="W38" s="1109"/>
      <c r="X38" s="1109"/>
      <c r="AA38" s="573"/>
      <c r="AB38" s="573"/>
    </row>
    <row r="39" spans="1:28" s="300" customFormat="1" ht="11.4" customHeight="1">
      <c r="A39" s="189"/>
      <c r="C39" s="344"/>
      <c r="D39" s="1149" t="s">
        <v>1489</v>
      </c>
      <c r="E39" s="1149" t="s">
        <v>3249</v>
      </c>
      <c r="F39" s="951">
        <v>118535</v>
      </c>
      <c r="G39" s="951">
        <v>165949</v>
      </c>
      <c r="H39" s="951">
        <v>213362</v>
      </c>
      <c r="I39" s="951">
        <v>284483</v>
      </c>
      <c r="J39" s="951">
        <v>355604</v>
      </c>
      <c r="L39" s="1149" t="s">
        <v>1489</v>
      </c>
      <c r="M39" s="637" t="s">
        <v>3249</v>
      </c>
      <c r="N39" s="1251">
        <f t="shared" si="1"/>
        <v>130388</v>
      </c>
      <c r="O39" s="1251">
        <f t="shared" si="1"/>
        <v>182543</v>
      </c>
      <c r="P39" s="1251">
        <f t="shared" si="1"/>
        <v>234698</v>
      </c>
      <c r="Q39" s="1251">
        <f t="shared" si="1"/>
        <v>312931</v>
      </c>
      <c r="R39" s="1251">
        <f t="shared" si="1"/>
        <v>391164</v>
      </c>
      <c r="S39" s="321"/>
      <c r="T39" s="186"/>
      <c r="U39" s="186"/>
      <c r="V39" s="1109"/>
      <c r="W39" s="1109"/>
      <c r="X39" s="1109"/>
      <c r="AA39" s="573"/>
      <c r="AB39" s="573"/>
    </row>
    <row r="40" spans="1:28" s="300" customFormat="1" ht="11.4" customHeight="1">
      <c r="A40" s="189"/>
      <c r="C40" s="344"/>
      <c r="D40" s="1149" t="s">
        <v>1489</v>
      </c>
      <c r="E40" s="1149" t="s">
        <v>3247</v>
      </c>
      <c r="F40" s="951">
        <v>129787</v>
      </c>
      <c r="G40" s="951">
        <v>169811</v>
      </c>
      <c r="H40" s="951">
        <v>206107</v>
      </c>
      <c r="I40" s="951">
        <v>252144</v>
      </c>
      <c r="J40" s="951">
        <v>299441</v>
      </c>
      <c r="L40" s="1149" t="s">
        <v>1489</v>
      </c>
      <c r="M40" s="637" t="s">
        <v>3247</v>
      </c>
      <c r="N40" s="1251">
        <f t="shared" si="1"/>
        <v>142765</v>
      </c>
      <c r="O40" s="1251">
        <f t="shared" si="1"/>
        <v>186792</v>
      </c>
      <c r="P40" s="1251">
        <f t="shared" si="1"/>
        <v>226717</v>
      </c>
      <c r="Q40" s="1251">
        <f t="shared" si="1"/>
        <v>277358</v>
      </c>
      <c r="R40" s="1251">
        <f t="shared" si="1"/>
        <v>329385</v>
      </c>
      <c r="S40" s="321"/>
      <c r="T40" s="186"/>
      <c r="U40" s="186"/>
      <c r="V40" s="1109"/>
      <c r="W40" s="1109"/>
      <c r="X40" s="1109"/>
      <c r="AA40" s="573"/>
      <c r="AB40" s="573"/>
    </row>
    <row r="41" spans="1:28" s="300" customFormat="1" ht="11.4" customHeight="1">
      <c r="A41" s="189"/>
      <c r="C41" s="344"/>
      <c r="D41" s="1149" t="s">
        <v>1489</v>
      </c>
      <c r="E41" s="1149" t="s">
        <v>3248</v>
      </c>
      <c r="F41" s="951">
        <v>113115</v>
      </c>
      <c r="G41" s="951">
        <v>154180</v>
      </c>
      <c r="H41" s="951">
        <v>194931</v>
      </c>
      <c r="I41" s="951">
        <v>256619</v>
      </c>
      <c r="J41" s="951">
        <v>317872</v>
      </c>
      <c r="L41" s="1149" t="s">
        <v>1489</v>
      </c>
      <c r="M41" s="637" t="s">
        <v>3248</v>
      </c>
      <c r="N41" s="1251">
        <f t="shared" si="1"/>
        <v>124426</v>
      </c>
      <c r="O41" s="1251">
        <f t="shared" si="1"/>
        <v>169598</v>
      </c>
      <c r="P41" s="1251">
        <f t="shared" si="1"/>
        <v>214424</v>
      </c>
      <c r="Q41" s="1251">
        <f t="shared" si="1"/>
        <v>282280</v>
      </c>
      <c r="R41" s="1251">
        <f t="shared" si="1"/>
        <v>349659</v>
      </c>
      <c r="S41" s="321"/>
      <c r="T41" s="186"/>
      <c r="U41" s="186"/>
      <c r="V41" s="1109"/>
      <c r="W41" s="1109"/>
      <c r="X41" s="1109"/>
      <c r="AA41" s="573"/>
      <c r="AB41" s="573"/>
    </row>
    <row r="42" spans="1:28" s="300" customFormat="1" ht="11.4" customHeight="1">
      <c r="A42" s="189"/>
      <c r="C42" s="344"/>
      <c r="D42" s="1125" t="s">
        <v>157</v>
      </c>
      <c r="E42" s="1125" t="s">
        <v>3252</v>
      </c>
      <c r="F42" s="1126">
        <v>140251</v>
      </c>
      <c r="G42" s="1126">
        <v>181430</v>
      </c>
      <c r="H42" s="1126">
        <v>217075</v>
      </c>
      <c r="I42" s="1126">
        <v>258781</v>
      </c>
      <c r="J42" s="1126">
        <v>304915</v>
      </c>
      <c r="L42" s="321" t="s">
        <v>157</v>
      </c>
      <c r="M42" s="321" t="s">
        <v>3252</v>
      </c>
      <c r="N42" s="1251">
        <f t="shared" ref="N42:R57" si="2">ROUNDDOWN(F42*1.1,0)</f>
        <v>154276</v>
      </c>
      <c r="O42" s="1251">
        <f t="shared" si="2"/>
        <v>199573</v>
      </c>
      <c r="P42" s="1251">
        <f t="shared" si="2"/>
        <v>238782</v>
      </c>
      <c r="Q42" s="1251">
        <f t="shared" si="2"/>
        <v>284659</v>
      </c>
      <c r="R42" s="1251">
        <f t="shared" si="2"/>
        <v>335406</v>
      </c>
      <c r="S42" s="321"/>
      <c r="T42" s="186"/>
      <c r="U42" s="186"/>
      <c r="V42" s="1109"/>
      <c r="W42" s="1109"/>
      <c r="X42" s="1109"/>
      <c r="AA42" s="573"/>
      <c r="AB42" s="573"/>
    </row>
    <row r="43" spans="1:28" s="300" customFormat="1" ht="11.4" customHeight="1">
      <c r="A43" s="189"/>
      <c r="C43" s="344"/>
      <c r="D43" s="1125" t="s">
        <v>157</v>
      </c>
      <c r="E43" s="1125" t="s">
        <v>3249</v>
      </c>
      <c r="F43" s="1126">
        <v>109352</v>
      </c>
      <c r="G43" s="1126">
        <v>153093</v>
      </c>
      <c r="H43" s="1126">
        <v>196833</v>
      </c>
      <c r="I43" s="1126">
        <v>262445</v>
      </c>
      <c r="J43" s="1126">
        <v>328056</v>
      </c>
      <c r="L43" s="321" t="s">
        <v>157</v>
      </c>
      <c r="M43" s="321" t="s">
        <v>3249</v>
      </c>
      <c r="N43" s="1251">
        <f t="shared" si="2"/>
        <v>120287</v>
      </c>
      <c r="O43" s="1251">
        <f t="shared" si="2"/>
        <v>168402</v>
      </c>
      <c r="P43" s="1251">
        <f t="shared" si="2"/>
        <v>216516</v>
      </c>
      <c r="Q43" s="1251">
        <f t="shared" si="2"/>
        <v>288689</v>
      </c>
      <c r="R43" s="1251">
        <f t="shared" si="2"/>
        <v>360861</v>
      </c>
      <c r="S43" s="321"/>
      <c r="T43" s="186"/>
      <c r="U43" s="186"/>
      <c r="V43" s="1109"/>
      <c r="W43" s="1109"/>
      <c r="X43" s="1109"/>
      <c r="AA43" s="573"/>
      <c r="AB43" s="573"/>
    </row>
    <row r="44" spans="1:28" s="300" customFormat="1" ht="11.4" customHeight="1">
      <c r="A44" s="189"/>
      <c r="C44" s="344"/>
      <c r="D44" s="1125" t="s">
        <v>157</v>
      </c>
      <c r="E44" s="1125" t="s">
        <v>3247</v>
      </c>
      <c r="F44" s="1126">
        <v>120781</v>
      </c>
      <c r="G44" s="1126">
        <v>157691</v>
      </c>
      <c r="H44" s="1126">
        <v>191078</v>
      </c>
      <c r="I44" s="1126">
        <v>233173</v>
      </c>
      <c r="J44" s="1126">
        <v>276569</v>
      </c>
      <c r="L44" s="321" t="s">
        <v>157</v>
      </c>
      <c r="M44" s="321" t="s">
        <v>3247</v>
      </c>
      <c r="N44" s="1251">
        <f t="shared" si="2"/>
        <v>132859</v>
      </c>
      <c r="O44" s="1251">
        <f t="shared" si="2"/>
        <v>173460</v>
      </c>
      <c r="P44" s="1251">
        <f t="shared" si="2"/>
        <v>210185</v>
      </c>
      <c r="Q44" s="1251">
        <f t="shared" si="2"/>
        <v>256490</v>
      </c>
      <c r="R44" s="1251">
        <f t="shared" si="2"/>
        <v>304225</v>
      </c>
      <c r="S44" s="321"/>
      <c r="T44" s="186"/>
      <c r="U44" s="186"/>
      <c r="V44" s="1109"/>
      <c r="W44" s="1109"/>
      <c r="X44" s="1109"/>
      <c r="AA44" s="573"/>
      <c r="AB44" s="573"/>
    </row>
    <row r="45" spans="1:28" s="300" customFormat="1" ht="11.4" customHeight="1">
      <c r="A45" s="189"/>
      <c r="C45" s="344"/>
      <c r="D45" s="1125" t="s">
        <v>157</v>
      </c>
      <c r="E45" s="1125" t="s">
        <v>3248</v>
      </c>
      <c r="F45" s="1126">
        <v>106184</v>
      </c>
      <c r="G45" s="1126">
        <v>145010</v>
      </c>
      <c r="H45" s="1126">
        <v>183562</v>
      </c>
      <c r="I45" s="1126">
        <v>241880</v>
      </c>
      <c r="J45" s="1126">
        <v>299819</v>
      </c>
      <c r="L45" s="321" t="s">
        <v>157</v>
      </c>
      <c r="M45" s="321" t="s">
        <v>3248</v>
      </c>
      <c r="N45" s="1251">
        <f t="shared" si="2"/>
        <v>116802</v>
      </c>
      <c r="O45" s="1251">
        <f t="shared" si="2"/>
        <v>159511</v>
      </c>
      <c r="P45" s="1251">
        <f t="shared" si="2"/>
        <v>201918</v>
      </c>
      <c r="Q45" s="1251">
        <f t="shared" si="2"/>
        <v>266068</v>
      </c>
      <c r="R45" s="1251">
        <f t="shared" si="2"/>
        <v>329800</v>
      </c>
      <c r="S45" s="321"/>
      <c r="T45" s="186"/>
      <c r="U45" s="186"/>
      <c r="V45" s="1109"/>
      <c r="W45" s="1109"/>
      <c r="X45" s="1109"/>
      <c r="AA45" s="573"/>
      <c r="AB45" s="573"/>
    </row>
    <row r="46" spans="1:28" s="300" customFormat="1" ht="11.4" customHeight="1">
      <c r="A46" s="189"/>
      <c r="C46" s="344"/>
      <c r="D46" s="1127" t="s">
        <v>1293</v>
      </c>
      <c r="E46" s="1127" t="s">
        <v>3252</v>
      </c>
      <c r="F46" s="1128">
        <v>143648</v>
      </c>
      <c r="G46" s="1128">
        <v>185876</v>
      </c>
      <c r="H46" s="1128">
        <v>222430</v>
      </c>
      <c r="I46" s="1128">
        <v>265219</v>
      </c>
      <c r="J46" s="1128">
        <v>312550</v>
      </c>
      <c r="L46" s="637" t="s">
        <v>1293</v>
      </c>
      <c r="M46" s="637" t="s">
        <v>3252</v>
      </c>
      <c r="N46" s="1251">
        <f t="shared" si="2"/>
        <v>158012</v>
      </c>
      <c r="O46" s="1251">
        <f t="shared" si="2"/>
        <v>204463</v>
      </c>
      <c r="P46" s="1251">
        <f t="shared" si="2"/>
        <v>244673</v>
      </c>
      <c r="Q46" s="1251">
        <f t="shared" si="2"/>
        <v>291740</v>
      </c>
      <c r="R46" s="1251">
        <f t="shared" si="2"/>
        <v>343805</v>
      </c>
      <c r="S46" s="321"/>
      <c r="T46" s="186"/>
      <c r="U46" s="186"/>
      <c r="V46" s="1109"/>
      <c r="W46" s="1109"/>
      <c r="X46" s="1109"/>
      <c r="AA46" s="573"/>
      <c r="AB46" s="573"/>
    </row>
    <row r="47" spans="1:28" s="300" customFormat="1" ht="11.4" customHeight="1">
      <c r="A47" s="189"/>
      <c r="C47" s="344"/>
      <c r="D47" s="1127" t="s">
        <v>1293</v>
      </c>
      <c r="E47" s="1127" t="s">
        <v>3249</v>
      </c>
      <c r="F47" s="1128">
        <v>111989</v>
      </c>
      <c r="G47" s="1128">
        <v>156784</v>
      </c>
      <c r="H47" s="1128">
        <v>201579</v>
      </c>
      <c r="I47" s="1128">
        <v>268773</v>
      </c>
      <c r="J47" s="1128">
        <v>335966</v>
      </c>
      <c r="L47" s="637" t="s">
        <v>1293</v>
      </c>
      <c r="M47" s="637" t="s">
        <v>3249</v>
      </c>
      <c r="N47" s="1251">
        <f t="shared" si="2"/>
        <v>123187</v>
      </c>
      <c r="O47" s="1251">
        <f t="shared" si="2"/>
        <v>172462</v>
      </c>
      <c r="P47" s="1251">
        <f t="shared" si="2"/>
        <v>221736</v>
      </c>
      <c r="Q47" s="1251">
        <f t="shared" si="2"/>
        <v>295650</v>
      </c>
      <c r="R47" s="1251">
        <f t="shared" si="2"/>
        <v>369562</v>
      </c>
      <c r="S47" s="321"/>
      <c r="T47" s="186"/>
      <c r="U47" s="186"/>
      <c r="V47" s="1109"/>
      <c r="W47" s="1109"/>
      <c r="X47" s="1109"/>
      <c r="AA47" s="573"/>
      <c r="AB47" s="573"/>
    </row>
    <row r="48" spans="1:28" s="300" customFormat="1" ht="11.4" customHeight="1">
      <c r="A48" s="189"/>
      <c r="C48" s="344"/>
      <c r="D48" s="1127" t="s">
        <v>1293</v>
      </c>
      <c r="E48" s="1127" t="s">
        <v>3247</v>
      </c>
      <c r="F48" s="1128">
        <v>123466</v>
      </c>
      <c r="G48" s="1128">
        <v>161269</v>
      </c>
      <c r="H48" s="1128">
        <v>195482</v>
      </c>
      <c r="I48" s="1128">
        <v>238673</v>
      </c>
      <c r="J48" s="1128">
        <v>283167</v>
      </c>
      <c r="L48" s="637" t="s">
        <v>1293</v>
      </c>
      <c r="M48" s="637" t="s">
        <v>3247</v>
      </c>
      <c r="N48" s="1251">
        <f t="shared" si="2"/>
        <v>135812</v>
      </c>
      <c r="O48" s="1251">
        <f t="shared" si="2"/>
        <v>177395</v>
      </c>
      <c r="P48" s="1251">
        <f t="shared" si="2"/>
        <v>215030</v>
      </c>
      <c r="Q48" s="1251">
        <f t="shared" si="2"/>
        <v>262540</v>
      </c>
      <c r="R48" s="1251">
        <f t="shared" si="2"/>
        <v>311483</v>
      </c>
      <c r="S48" s="321"/>
      <c r="T48" s="186"/>
      <c r="U48" s="186"/>
      <c r="V48" s="1109"/>
      <c r="W48" s="1109"/>
      <c r="X48" s="1109"/>
      <c r="AA48" s="573"/>
      <c r="AB48" s="573"/>
    </row>
    <row r="49" spans="1:28" s="300" customFormat="1" ht="11.4" customHeight="1">
      <c r="A49" s="189"/>
      <c r="C49" s="344"/>
      <c r="D49" s="1127" t="s">
        <v>1293</v>
      </c>
      <c r="E49" s="1127" t="s">
        <v>3248</v>
      </c>
      <c r="F49" s="1128">
        <v>108347</v>
      </c>
      <c r="G49" s="1128">
        <v>147905</v>
      </c>
      <c r="H49" s="1128">
        <v>187179</v>
      </c>
      <c r="I49" s="1128">
        <v>246598</v>
      </c>
      <c r="J49" s="1128">
        <v>305623</v>
      </c>
      <c r="L49" s="637" t="s">
        <v>1293</v>
      </c>
      <c r="M49" s="637" t="s">
        <v>3248</v>
      </c>
      <c r="N49" s="1251">
        <f t="shared" si="2"/>
        <v>119181</v>
      </c>
      <c r="O49" s="1251">
        <f t="shared" si="2"/>
        <v>162695</v>
      </c>
      <c r="P49" s="1251">
        <f t="shared" si="2"/>
        <v>205896</v>
      </c>
      <c r="Q49" s="1251">
        <f t="shared" si="2"/>
        <v>271257</v>
      </c>
      <c r="R49" s="1251">
        <f t="shared" si="2"/>
        <v>336185</v>
      </c>
      <c r="S49" s="321"/>
      <c r="T49" s="186"/>
      <c r="U49" s="186"/>
      <c r="V49" s="1109"/>
      <c r="W49" s="1109"/>
      <c r="X49" s="1109"/>
      <c r="AA49" s="573"/>
      <c r="AB49" s="573"/>
    </row>
    <row r="50" spans="1:28" s="300" customFormat="1" ht="11.4" customHeight="1">
      <c r="A50" s="189"/>
      <c r="C50" s="344"/>
      <c r="D50" s="1119" t="s">
        <v>1299</v>
      </c>
      <c r="E50" s="1119" t="s">
        <v>3252</v>
      </c>
      <c r="F50" s="1120">
        <v>146202</v>
      </c>
      <c r="G50" s="1120">
        <v>189206</v>
      </c>
      <c r="H50" s="1120">
        <v>226431</v>
      </c>
      <c r="I50" s="1120">
        <v>270015</v>
      </c>
      <c r="J50" s="1120">
        <v>318226</v>
      </c>
      <c r="L50" s="637" t="s">
        <v>1299</v>
      </c>
      <c r="M50" s="637" t="s">
        <v>3252</v>
      </c>
      <c r="N50" s="1251">
        <f t="shared" si="2"/>
        <v>160822</v>
      </c>
      <c r="O50" s="1251">
        <f t="shared" si="2"/>
        <v>208126</v>
      </c>
      <c r="P50" s="1251">
        <f t="shared" si="2"/>
        <v>249074</v>
      </c>
      <c r="Q50" s="1251">
        <f t="shared" si="2"/>
        <v>297016</v>
      </c>
      <c r="R50" s="1251">
        <f t="shared" si="2"/>
        <v>350048</v>
      </c>
      <c r="S50" s="321"/>
      <c r="T50" s="186"/>
      <c r="U50" s="186"/>
      <c r="V50" s="1109"/>
      <c r="W50" s="1109"/>
      <c r="X50" s="1109"/>
      <c r="AA50" s="573"/>
      <c r="AB50" s="573"/>
    </row>
    <row r="51" spans="1:28" s="300" customFormat="1" ht="11.4" customHeight="1">
      <c r="A51" s="189"/>
      <c r="C51" s="344"/>
      <c r="D51" s="1119" t="s">
        <v>1299</v>
      </c>
      <c r="E51" s="1119" t="s">
        <v>3249</v>
      </c>
      <c r="F51" s="1120">
        <v>113974</v>
      </c>
      <c r="G51" s="1120">
        <v>159563</v>
      </c>
      <c r="H51" s="1120">
        <v>205153</v>
      </c>
      <c r="I51" s="1120">
        <v>273537</v>
      </c>
      <c r="J51" s="1120">
        <v>341921</v>
      </c>
      <c r="L51" s="637" t="s">
        <v>1299</v>
      </c>
      <c r="M51" s="637" t="s">
        <v>3249</v>
      </c>
      <c r="N51" s="1251">
        <f t="shared" si="2"/>
        <v>125371</v>
      </c>
      <c r="O51" s="1251">
        <f t="shared" si="2"/>
        <v>175519</v>
      </c>
      <c r="P51" s="1251">
        <f t="shared" si="2"/>
        <v>225668</v>
      </c>
      <c r="Q51" s="1251">
        <f t="shared" si="2"/>
        <v>300890</v>
      </c>
      <c r="R51" s="1251">
        <f t="shared" si="2"/>
        <v>376113</v>
      </c>
      <c r="S51" s="321"/>
      <c r="T51" s="186"/>
      <c r="U51" s="186"/>
      <c r="V51" s="1109"/>
      <c r="W51" s="1109"/>
      <c r="X51" s="1109"/>
      <c r="AA51" s="573"/>
      <c r="AB51" s="573"/>
    </row>
    <row r="52" spans="1:28" s="300" customFormat="1" ht="11.4" customHeight="1">
      <c r="A52" s="189"/>
      <c r="C52" s="344"/>
      <c r="D52" s="1119" t="s">
        <v>1299</v>
      </c>
      <c r="E52" s="1119" t="s">
        <v>3247</v>
      </c>
      <c r="F52" s="1120">
        <v>125545</v>
      </c>
      <c r="G52" s="1120">
        <v>164019</v>
      </c>
      <c r="H52" s="1120">
        <v>198849</v>
      </c>
      <c r="I52" s="1120">
        <v>242845</v>
      </c>
      <c r="J52" s="1120">
        <v>288152</v>
      </c>
      <c r="L52" s="637" t="s">
        <v>1299</v>
      </c>
      <c r="M52" s="637" t="s">
        <v>3247</v>
      </c>
      <c r="N52" s="1251">
        <f t="shared" si="2"/>
        <v>138099</v>
      </c>
      <c r="O52" s="1251">
        <f t="shared" si="2"/>
        <v>180420</v>
      </c>
      <c r="P52" s="1251">
        <f t="shared" si="2"/>
        <v>218733</v>
      </c>
      <c r="Q52" s="1251">
        <f t="shared" si="2"/>
        <v>267129</v>
      </c>
      <c r="R52" s="1251">
        <f t="shared" si="2"/>
        <v>316967</v>
      </c>
      <c r="S52" s="321"/>
      <c r="T52" s="186"/>
      <c r="U52" s="186"/>
      <c r="V52" s="1109"/>
      <c r="W52" s="1109"/>
      <c r="X52" s="1109"/>
      <c r="AA52" s="573"/>
      <c r="AB52" s="573"/>
    </row>
    <row r="53" spans="1:28" s="300" customFormat="1" ht="11.4" customHeight="1">
      <c r="A53" s="189"/>
      <c r="C53" s="344"/>
      <c r="D53" s="1119" t="s">
        <v>1299</v>
      </c>
      <c r="E53" s="1119" t="s">
        <v>3248</v>
      </c>
      <c r="F53" s="1120">
        <v>110076</v>
      </c>
      <c r="G53" s="1120">
        <v>150237</v>
      </c>
      <c r="H53" s="1120">
        <v>190106</v>
      </c>
      <c r="I53" s="1120">
        <v>250432</v>
      </c>
      <c r="J53" s="1120">
        <v>310354</v>
      </c>
      <c r="L53" s="637" t="s">
        <v>1299</v>
      </c>
      <c r="M53" s="637" t="s">
        <v>3248</v>
      </c>
      <c r="N53" s="1251">
        <f t="shared" si="2"/>
        <v>121083</v>
      </c>
      <c r="O53" s="1251">
        <f t="shared" si="2"/>
        <v>165260</v>
      </c>
      <c r="P53" s="1251">
        <f t="shared" si="2"/>
        <v>209116</v>
      </c>
      <c r="Q53" s="1251">
        <f t="shared" si="2"/>
        <v>275475</v>
      </c>
      <c r="R53" s="1251">
        <f t="shared" si="2"/>
        <v>341389</v>
      </c>
      <c r="S53" s="321"/>
      <c r="T53" s="186"/>
      <c r="U53" s="186"/>
      <c r="V53" s="1109"/>
      <c r="W53" s="1109"/>
      <c r="X53" s="1109"/>
      <c r="AA53" s="573"/>
      <c r="AB53" s="573"/>
    </row>
    <row r="54" spans="1:28" s="300" customFormat="1" ht="11.4" customHeight="1">
      <c r="A54" s="189"/>
      <c r="C54" s="344"/>
      <c r="D54" s="1123" t="s">
        <v>1654</v>
      </c>
      <c r="E54" s="1123" t="s">
        <v>3252</v>
      </c>
      <c r="F54" s="1124">
        <v>133316</v>
      </c>
      <c r="G54" s="1124">
        <v>172665</v>
      </c>
      <c r="H54" s="1124">
        <v>206728</v>
      </c>
      <c r="I54" s="1124">
        <v>246660</v>
      </c>
      <c r="J54" s="1124">
        <v>290833</v>
      </c>
      <c r="L54" s="637" t="s">
        <v>1654</v>
      </c>
      <c r="M54" s="637" t="s">
        <v>3252</v>
      </c>
      <c r="N54" s="1251">
        <f t="shared" si="2"/>
        <v>146647</v>
      </c>
      <c r="O54" s="1251">
        <f t="shared" si="2"/>
        <v>189931</v>
      </c>
      <c r="P54" s="1251">
        <f t="shared" si="2"/>
        <v>227400</v>
      </c>
      <c r="Q54" s="1251">
        <f t="shared" si="2"/>
        <v>271326</v>
      </c>
      <c r="R54" s="1251">
        <f t="shared" si="2"/>
        <v>319916</v>
      </c>
      <c r="S54" s="321"/>
      <c r="T54" s="186"/>
      <c r="U54" s="186"/>
      <c r="V54" s="1109"/>
      <c r="W54" s="1109"/>
      <c r="X54" s="1109"/>
      <c r="AA54" s="573"/>
      <c r="AB54" s="573"/>
    </row>
    <row r="55" spans="1:28" s="300" customFormat="1" ht="11.4" customHeight="1">
      <c r="A55" s="189"/>
      <c r="C55" s="344"/>
      <c r="D55" s="1123" t="s">
        <v>1654</v>
      </c>
      <c r="E55" s="1123" t="s">
        <v>3249</v>
      </c>
      <c r="F55" s="1124">
        <v>103896</v>
      </c>
      <c r="G55" s="1124">
        <v>145454</v>
      </c>
      <c r="H55" s="1124">
        <v>187013</v>
      </c>
      <c r="I55" s="1124">
        <v>249350</v>
      </c>
      <c r="J55" s="1124">
        <v>311688</v>
      </c>
      <c r="L55" s="637" t="s">
        <v>1654</v>
      </c>
      <c r="M55" s="637" t="s">
        <v>3249</v>
      </c>
      <c r="N55" s="1251">
        <f t="shared" si="2"/>
        <v>114285</v>
      </c>
      <c r="O55" s="1251">
        <f t="shared" si="2"/>
        <v>159999</v>
      </c>
      <c r="P55" s="1251">
        <f t="shared" si="2"/>
        <v>205714</v>
      </c>
      <c r="Q55" s="1251">
        <f t="shared" si="2"/>
        <v>274285</v>
      </c>
      <c r="R55" s="1251">
        <f t="shared" si="2"/>
        <v>342856</v>
      </c>
      <c r="S55" s="321"/>
      <c r="T55" s="186"/>
      <c r="U55" s="186"/>
      <c r="V55" s="1109"/>
      <c r="W55" s="1109"/>
      <c r="X55" s="1109"/>
      <c r="AA55" s="573"/>
      <c r="AB55" s="573"/>
    </row>
    <row r="56" spans="1:28" s="300" customFormat="1" ht="11.4" customHeight="1">
      <c r="A56" s="189"/>
      <c r="C56" s="344"/>
      <c r="D56" s="1123" t="s">
        <v>1654</v>
      </c>
      <c r="E56" s="1123" t="s">
        <v>3247</v>
      </c>
      <c r="F56" s="1124">
        <v>113846</v>
      </c>
      <c r="G56" s="1124">
        <v>148926</v>
      </c>
      <c r="H56" s="1124">
        <v>180731</v>
      </c>
      <c r="I56" s="1124">
        <v>221052</v>
      </c>
      <c r="J56" s="1124">
        <v>262488</v>
      </c>
      <c r="L56" s="637" t="s">
        <v>1654</v>
      </c>
      <c r="M56" s="637" t="s">
        <v>3247</v>
      </c>
      <c r="N56" s="1251">
        <f t="shared" si="2"/>
        <v>125230</v>
      </c>
      <c r="O56" s="1251">
        <f t="shared" si="2"/>
        <v>163818</v>
      </c>
      <c r="P56" s="1251">
        <f t="shared" si="2"/>
        <v>198804</v>
      </c>
      <c r="Q56" s="1251">
        <f t="shared" si="2"/>
        <v>243157</v>
      </c>
      <c r="R56" s="1251">
        <f t="shared" si="2"/>
        <v>288736</v>
      </c>
      <c r="S56" s="321"/>
      <c r="T56" s="186"/>
      <c r="U56" s="186"/>
      <c r="V56" s="1109"/>
      <c r="W56" s="1109"/>
      <c r="X56" s="1109"/>
      <c r="AA56" s="573"/>
      <c r="AB56" s="573"/>
    </row>
    <row r="57" spans="1:28" s="300" customFormat="1" ht="11.4" customHeight="1">
      <c r="A57" s="189"/>
      <c r="C57" s="344"/>
      <c r="D57" s="1123" t="s">
        <v>1654</v>
      </c>
      <c r="E57" s="1123" t="s">
        <v>3248</v>
      </c>
      <c r="F57" s="1124">
        <v>99297</v>
      </c>
      <c r="G57" s="1124">
        <v>135369</v>
      </c>
      <c r="H57" s="1124">
        <v>171167</v>
      </c>
      <c r="I57" s="1124">
        <v>225354</v>
      </c>
      <c r="J57" s="1124">
        <v>279161</v>
      </c>
      <c r="L57" s="637" t="s">
        <v>1654</v>
      </c>
      <c r="M57" s="637" t="s">
        <v>3248</v>
      </c>
      <c r="N57" s="1251">
        <f t="shared" si="2"/>
        <v>109226</v>
      </c>
      <c r="O57" s="1251">
        <f t="shared" si="2"/>
        <v>148905</v>
      </c>
      <c r="P57" s="1251">
        <f t="shared" si="2"/>
        <v>188283</v>
      </c>
      <c r="Q57" s="1251">
        <f t="shared" si="2"/>
        <v>247889</v>
      </c>
      <c r="R57" s="1251">
        <f t="shared" si="2"/>
        <v>307077</v>
      </c>
      <c r="S57" s="321"/>
      <c r="T57" s="186"/>
      <c r="U57" s="186"/>
      <c r="V57" s="1109"/>
      <c r="W57" s="1109"/>
      <c r="X57" s="1109"/>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 customHeight="1">
      <c r="A59" s="189"/>
      <c r="B59" s="189"/>
      <c r="C59" s="189"/>
      <c r="D59" s="186"/>
      <c r="E59" s="186"/>
      <c r="O59" s="189"/>
      <c r="T59" s="306"/>
      <c r="U59" s="186"/>
      <c r="V59" s="1109"/>
      <c r="W59" s="1109"/>
      <c r="X59" s="1109"/>
      <c r="AA59" s="573"/>
      <c r="AB59" s="573"/>
    </row>
    <row r="60" spans="1:28" s="300" customFormat="1" ht="11.4" customHeight="1">
      <c r="A60" s="301" t="s">
        <v>1684</v>
      </c>
      <c r="B60" s="301"/>
      <c r="C60" s="301"/>
      <c r="D60" s="186"/>
      <c r="E60" s="186"/>
      <c r="F60" s="301" t="s">
        <v>1685</v>
      </c>
      <c r="G60" s="301"/>
      <c r="H60" s="186"/>
      <c r="I60" s="186"/>
      <c r="J60" s="301" t="s">
        <v>1686</v>
      </c>
      <c r="K60" s="301"/>
      <c r="L60" s="301"/>
      <c r="M60" s="301"/>
      <c r="N60" s="301"/>
      <c r="O60" s="301"/>
      <c r="P60" s="186"/>
      <c r="Q60" s="190" t="s">
        <v>2940</v>
      </c>
      <c r="R60" s="190" t="s">
        <v>1687</v>
      </c>
      <c r="S60" s="321"/>
      <c r="T60" s="306"/>
      <c r="U60" s="186"/>
      <c r="V60" s="1109"/>
      <c r="W60" s="1109"/>
      <c r="X60" s="1109"/>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 customHeight="1">
      <c r="A63" s="186"/>
      <c r="B63" s="189" t="s">
        <v>1169</v>
      </c>
      <c r="C63" s="189"/>
      <c r="D63" s="186"/>
      <c r="E63" s="186"/>
      <c r="F63" s="189" t="s">
        <v>1170</v>
      </c>
      <c r="G63" s="189" t="s">
        <v>3491</v>
      </c>
      <c r="H63" s="186"/>
      <c r="I63" s="186"/>
      <c r="J63" s="189" t="s">
        <v>1498</v>
      </c>
      <c r="K63" s="189"/>
      <c r="L63" s="189"/>
      <c r="M63" s="189"/>
      <c r="N63" s="189"/>
      <c r="O63" s="189"/>
      <c r="P63" s="186"/>
      <c r="Q63" s="1305">
        <v>5000</v>
      </c>
      <c r="R63" s="311" t="s">
        <v>1690</v>
      </c>
      <c r="S63" s="312"/>
      <c r="AA63" s="573"/>
      <c r="AB63" s="573"/>
    </row>
    <row r="64" spans="1:28" s="300" customFormat="1" ht="11.4" customHeight="1">
      <c r="A64" s="186"/>
      <c r="B64" s="189"/>
      <c r="C64" s="189"/>
      <c r="D64" s="186"/>
      <c r="E64" s="186"/>
      <c r="F64" s="189"/>
      <c r="G64" s="189" t="s">
        <v>3490</v>
      </c>
      <c r="H64" s="186"/>
      <c r="I64" s="186"/>
      <c r="J64" s="189" t="s">
        <v>1498</v>
      </c>
      <c r="K64" s="189"/>
      <c r="L64" s="189"/>
      <c r="M64" s="189"/>
      <c r="N64" s="189"/>
      <c r="O64" s="189"/>
      <c r="P64" s="186"/>
      <c r="Q64" s="1305">
        <v>4500</v>
      </c>
      <c r="R64" s="311" t="s">
        <v>1690</v>
      </c>
      <c r="S64" s="312"/>
      <c r="AA64" s="573"/>
      <c r="AB64" s="573"/>
    </row>
    <row r="65" spans="1:28" s="300" customFormat="1" ht="11.4" customHeight="1">
      <c r="A65" s="186"/>
      <c r="B65" s="189"/>
      <c r="C65" s="189"/>
      <c r="D65" s="186"/>
      <c r="E65" s="186"/>
      <c r="F65" s="189" t="s">
        <v>2532</v>
      </c>
      <c r="G65" s="189" t="s">
        <v>2546</v>
      </c>
      <c r="H65" s="186"/>
      <c r="I65" s="186"/>
      <c r="J65" s="189" t="s">
        <v>1498</v>
      </c>
      <c r="K65" s="189"/>
      <c r="L65" s="189"/>
      <c r="M65" s="189"/>
      <c r="N65" s="189"/>
      <c r="O65" s="189"/>
      <c r="P65" s="186"/>
      <c r="Q65" s="1305">
        <v>3750</v>
      </c>
      <c r="R65" s="311" t="s">
        <v>1690</v>
      </c>
      <c r="S65" s="312"/>
      <c r="AA65" s="573"/>
      <c r="AB65" s="573"/>
    </row>
    <row r="66" spans="1:28" s="300" customFormat="1" ht="11.4" customHeight="1">
      <c r="A66" s="189"/>
      <c r="B66" s="189"/>
      <c r="C66" s="189"/>
      <c r="D66" s="186"/>
      <c r="E66" s="186"/>
      <c r="G66" s="189" t="s">
        <v>2545</v>
      </c>
      <c r="H66" s="186"/>
      <c r="I66" s="186"/>
      <c r="J66" s="189" t="s">
        <v>1498</v>
      </c>
      <c r="K66" s="189"/>
      <c r="L66" s="189"/>
      <c r="M66" s="189"/>
      <c r="N66" s="189"/>
      <c r="O66" s="189"/>
      <c r="P66" s="186"/>
      <c r="Q66" s="1305">
        <v>3250</v>
      </c>
      <c r="R66" s="311" t="s">
        <v>1690</v>
      </c>
      <c r="S66" s="312"/>
      <c r="AA66" s="573"/>
      <c r="AB66" s="573"/>
    </row>
    <row r="67" spans="1:28" s="300" customFormat="1" ht="11.4" customHeight="1">
      <c r="A67" s="189"/>
      <c r="B67" s="189"/>
      <c r="C67" s="189"/>
      <c r="D67" s="186"/>
      <c r="E67" s="186"/>
      <c r="G67" s="189" t="s">
        <v>3703</v>
      </c>
      <c r="H67" s="186"/>
      <c r="I67" s="186"/>
      <c r="J67" s="189" t="s">
        <v>1498</v>
      </c>
      <c r="K67" s="189"/>
      <c r="L67" s="189"/>
      <c r="M67" s="189"/>
      <c r="N67" s="189"/>
      <c r="O67" s="189"/>
      <c r="P67" s="186"/>
      <c r="Q67" s="1305">
        <v>3000</v>
      </c>
      <c r="R67" s="311" t="s">
        <v>1690</v>
      </c>
      <c r="S67" s="312"/>
      <c r="T67" s="312"/>
      <c r="U67" s="312"/>
      <c r="AA67" s="573"/>
      <c r="AB67" s="573"/>
    </row>
    <row r="68" spans="1:28" s="300" customFormat="1" ht="11.4" customHeight="1">
      <c r="A68" s="189"/>
      <c r="B68" s="189" t="s">
        <v>1171</v>
      </c>
      <c r="C68" s="189"/>
      <c r="D68" s="186"/>
      <c r="E68" s="186"/>
      <c r="F68" s="189" t="s">
        <v>271</v>
      </c>
      <c r="G68" s="189"/>
      <c r="H68" s="186"/>
      <c r="I68" s="186"/>
      <c r="J68" s="189" t="s">
        <v>1498</v>
      </c>
      <c r="K68" s="189"/>
      <c r="L68" s="189"/>
      <c r="M68" s="189"/>
      <c r="N68" s="189"/>
      <c r="O68" s="189"/>
      <c r="P68" s="186"/>
      <c r="Q68" s="1306">
        <v>350</v>
      </c>
      <c r="R68" s="311" t="s">
        <v>1690</v>
      </c>
      <c r="S68" s="312"/>
      <c r="T68" s="312"/>
      <c r="U68" s="312"/>
      <c r="AA68" s="573"/>
      <c r="AB68" s="573"/>
    </row>
    <row r="69" spans="1:28" s="300" customFormat="1" ht="11.4" customHeight="1">
      <c r="A69" s="189"/>
      <c r="B69" s="189"/>
      <c r="C69" s="189"/>
      <c r="D69" s="186"/>
      <c r="E69" s="186"/>
      <c r="F69" s="189" t="s">
        <v>1172</v>
      </c>
      <c r="G69" s="189"/>
      <c r="H69" s="186"/>
      <c r="I69" s="186"/>
      <c r="J69" s="189" t="s">
        <v>1498</v>
      </c>
      <c r="K69" s="189"/>
      <c r="L69" s="189"/>
      <c r="M69" s="189"/>
      <c r="N69" s="189"/>
      <c r="O69" s="189"/>
      <c r="P69" s="186"/>
      <c r="Q69" s="1306">
        <v>250</v>
      </c>
      <c r="R69" s="311" t="s">
        <v>1690</v>
      </c>
      <c r="S69" s="312"/>
      <c r="T69" s="312"/>
      <c r="U69" s="312"/>
      <c r="AA69" s="573"/>
      <c r="AB69" s="573"/>
    </row>
    <row r="70" spans="1:28" s="300" customFormat="1" ht="11.4" customHeight="1">
      <c r="A70" s="189"/>
      <c r="B70" s="189"/>
      <c r="C70" s="189"/>
      <c r="D70" s="189"/>
      <c r="E70" s="186"/>
      <c r="F70" s="189" t="s">
        <v>3317</v>
      </c>
      <c r="G70" s="189"/>
      <c r="H70" s="186"/>
      <c r="I70" s="186"/>
      <c r="J70" s="189" t="s">
        <v>1498</v>
      </c>
      <c r="K70" s="189"/>
      <c r="L70" s="189"/>
      <c r="M70" s="189"/>
      <c r="N70" s="189"/>
      <c r="O70" s="189"/>
      <c r="P70" s="186"/>
      <c r="Q70" s="1306">
        <v>420</v>
      </c>
      <c r="R70" s="311" t="s">
        <v>1690</v>
      </c>
      <c r="S70" s="312"/>
      <c r="T70" s="312"/>
      <c r="U70" s="312"/>
      <c r="AA70" s="573"/>
      <c r="AB70" s="573"/>
    </row>
    <row r="71" spans="1:28" s="300" customFormat="1" ht="11.4" customHeight="1">
      <c r="A71" s="189"/>
      <c r="B71" s="189"/>
      <c r="C71" s="189"/>
      <c r="D71" s="189"/>
      <c r="E71" s="186"/>
      <c r="F71" s="189" t="s">
        <v>360</v>
      </c>
      <c r="G71" s="189"/>
      <c r="H71" s="186"/>
      <c r="I71" s="186"/>
      <c r="J71" s="189" t="s">
        <v>1498</v>
      </c>
      <c r="K71" s="189"/>
      <c r="L71" s="189"/>
      <c r="M71" s="189"/>
      <c r="N71" s="189"/>
      <c r="O71" s="189"/>
      <c r="P71" s="186"/>
      <c r="Q71" s="1306">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 customHeight="1">
      <c r="A74" s="189"/>
      <c r="B74" s="189" t="s">
        <v>742</v>
      </c>
      <c r="C74" s="189"/>
      <c r="D74" s="186"/>
      <c r="E74" s="186"/>
      <c r="F74" s="189" t="s">
        <v>271</v>
      </c>
      <c r="G74" s="189"/>
      <c r="H74" s="186"/>
      <c r="I74" s="186"/>
      <c r="J74" s="189" t="s">
        <v>3652</v>
      </c>
      <c r="K74" s="189"/>
      <c r="L74" s="189"/>
      <c r="M74" s="189"/>
      <c r="N74" s="189"/>
      <c r="O74" s="189"/>
      <c r="P74" s="186"/>
      <c r="Q74" s="1223">
        <v>25000</v>
      </c>
      <c r="R74" s="311" t="s">
        <v>496</v>
      </c>
      <c r="S74" s="312"/>
      <c r="T74" s="312"/>
      <c r="U74" s="312"/>
      <c r="AA74" s="573"/>
      <c r="AB74" s="573"/>
    </row>
    <row r="75" spans="1:28" s="300" customFormat="1" ht="11.4" customHeight="1">
      <c r="A75" s="189"/>
      <c r="B75" s="189" t="s">
        <v>1914</v>
      </c>
      <c r="C75" s="189"/>
      <c r="D75" s="186"/>
      <c r="E75" s="186"/>
      <c r="F75" s="189" t="s">
        <v>1172</v>
      </c>
      <c r="G75" s="189"/>
      <c r="H75" s="186"/>
      <c r="I75" s="186"/>
      <c r="J75" s="189" t="s">
        <v>3704</v>
      </c>
      <c r="K75" s="189"/>
      <c r="L75" s="189"/>
      <c r="M75" s="189"/>
      <c r="N75" s="189"/>
      <c r="O75" s="189"/>
      <c r="P75" s="186"/>
      <c r="Q75" s="1222" t="s">
        <v>948</v>
      </c>
      <c r="R75" s="1222">
        <v>0.05</v>
      </c>
      <c r="S75" s="312"/>
      <c r="T75" s="312"/>
      <c r="U75" s="312"/>
      <c r="AA75" s="573"/>
      <c r="AB75" s="573"/>
    </row>
    <row r="76" spans="1:28" s="300" customFormat="1" ht="11.4" customHeight="1">
      <c r="A76" s="189"/>
      <c r="B76" s="189"/>
      <c r="C76" s="189"/>
      <c r="D76" s="186"/>
      <c r="E76" s="186"/>
      <c r="F76" s="189" t="s">
        <v>271</v>
      </c>
      <c r="G76" s="189"/>
      <c r="H76" s="186"/>
      <c r="I76" s="186"/>
      <c r="J76" s="189" t="s">
        <v>3704</v>
      </c>
      <c r="K76" s="189"/>
      <c r="L76" s="189"/>
      <c r="M76" s="189"/>
      <c r="N76" s="189"/>
      <c r="O76" s="189"/>
      <c r="P76" s="186"/>
      <c r="Q76" s="1222" t="s">
        <v>948</v>
      </c>
      <c r="R76" s="1222">
        <v>0.1</v>
      </c>
      <c r="S76" s="312"/>
      <c r="T76" s="312"/>
      <c r="U76" s="312"/>
      <c r="AA76" s="573"/>
      <c r="AB76" s="573"/>
    </row>
    <row r="77" spans="1:28" s="300" customFormat="1" ht="11.4" customHeight="1">
      <c r="A77" s="189"/>
      <c r="B77" s="189" t="s">
        <v>1990</v>
      </c>
      <c r="C77" s="189"/>
      <c r="D77" s="186"/>
      <c r="E77" s="186"/>
      <c r="F77" s="189" t="s">
        <v>1690</v>
      </c>
      <c r="G77" s="189"/>
      <c r="H77" s="186"/>
      <c r="I77" s="186"/>
      <c r="J77" s="189" t="s">
        <v>3705</v>
      </c>
      <c r="K77" s="189"/>
      <c r="L77" s="189"/>
      <c r="M77" s="189"/>
      <c r="N77" s="189"/>
      <c r="O77" s="189"/>
      <c r="P77" s="186"/>
      <c r="Q77" s="311" t="s">
        <v>1690</v>
      </c>
      <c r="R77" s="1222">
        <v>0.06</v>
      </c>
      <c r="S77" s="312"/>
      <c r="T77" s="312"/>
      <c r="U77" s="312"/>
      <c r="AA77" s="573"/>
      <c r="AB77" s="573"/>
    </row>
    <row r="78" spans="1:28" s="300" customFormat="1" ht="11.4" customHeight="1">
      <c r="A78" s="189"/>
      <c r="B78" s="189" t="s">
        <v>1991</v>
      </c>
      <c r="C78" s="189"/>
      <c r="D78" s="186"/>
      <c r="E78" s="186"/>
      <c r="F78" s="189" t="s">
        <v>1690</v>
      </c>
      <c r="G78" s="189"/>
      <c r="H78" s="186"/>
      <c r="I78" s="186"/>
      <c r="J78" s="189" t="s">
        <v>3705</v>
      </c>
      <c r="K78" s="189"/>
      <c r="L78" s="189"/>
      <c r="M78" s="189"/>
      <c r="N78" s="189"/>
      <c r="O78" s="189"/>
      <c r="P78" s="186"/>
      <c r="Q78" s="311" t="s">
        <v>1690</v>
      </c>
      <c r="R78" s="1222">
        <v>0.02</v>
      </c>
      <c r="S78" s="312"/>
      <c r="T78" s="312"/>
      <c r="U78" s="312"/>
      <c r="AA78" s="573"/>
      <c r="AB78" s="573"/>
    </row>
    <row r="79" spans="1:28" s="300" customFormat="1" ht="11.4" customHeight="1">
      <c r="A79" s="189"/>
      <c r="B79" s="189" t="s">
        <v>2721</v>
      </c>
      <c r="C79" s="189"/>
      <c r="D79" s="186"/>
      <c r="E79" s="186"/>
      <c r="F79" s="189" t="s">
        <v>1690</v>
      </c>
      <c r="G79" s="189"/>
      <c r="H79" s="186"/>
      <c r="I79" s="186"/>
      <c r="J79" s="189" t="s">
        <v>3705</v>
      </c>
      <c r="K79" s="189"/>
      <c r="L79" s="189"/>
      <c r="M79" s="189"/>
      <c r="N79" s="189"/>
      <c r="O79" s="189"/>
      <c r="P79" s="186"/>
      <c r="Q79" s="311" t="s">
        <v>1690</v>
      </c>
      <c r="R79" s="1222">
        <v>0.06</v>
      </c>
      <c r="S79" s="312"/>
      <c r="T79" s="312"/>
      <c r="U79" s="312"/>
      <c r="AA79" s="573"/>
      <c r="AB79" s="573"/>
    </row>
    <row r="80" spans="1:28" s="300" customFormat="1" ht="11.4" customHeight="1">
      <c r="A80" s="189"/>
      <c r="B80" s="189" t="s">
        <v>1266</v>
      </c>
      <c r="C80" s="189"/>
      <c r="D80" s="186"/>
      <c r="E80" s="186"/>
      <c r="F80" s="189" t="s">
        <v>1105</v>
      </c>
      <c r="G80" s="189"/>
      <c r="H80" s="186"/>
      <c r="I80" s="186"/>
      <c r="J80" s="189"/>
      <c r="K80" s="189"/>
      <c r="L80" s="189"/>
      <c r="M80" s="189"/>
      <c r="N80" s="189"/>
      <c r="O80" s="189"/>
      <c r="P80" s="186"/>
      <c r="Q80" s="311" t="s">
        <v>1690</v>
      </c>
      <c r="R80" s="1236">
        <v>20000</v>
      </c>
      <c r="S80" s="312"/>
      <c r="T80" s="312"/>
      <c r="U80" s="312"/>
      <c r="AA80" s="573"/>
      <c r="AB80" s="573"/>
    </row>
    <row r="81" spans="1:28" s="300" customFormat="1" ht="11.4" customHeight="1">
      <c r="A81" s="186"/>
      <c r="B81" s="312" t="s">
        <v>3637</v>
      </c>
      <c r="C81" s="189"/>
      <c r="D81" s="189"/>
      <c r="E81" s="186"/>
      <c r="F81" s="191" t="s">
        <v>3359</v>
      </c>
      <c r="G81" s="189"/>
      <c r="H81" s="186"/>
      <c r="I81" s="186"/>
      <c r="J81" s="189" t="s">
        <v>1174</v>
      </c>
      <c r="K81" s="189"/>
      <c r="L81" s="189"/>
      <c r="M81" s="189"/>
      <c r="N81" s="189"/>
      <c r="O81" s="189"/>
      <c r="P81" s="186"/>
      <c r="Q81" s="4425">
        <v>1000</v>
      </c>
      <c r="R81" s="4426"/>
      <c r="S81" s="312"/>
      <c r="T81" s="312"/>
      <c r="U81" s="312"/>
      <c r="AA81" s="573"/>
      <c r="AB81" s="573"/>
    </row>
    <row r="82" spans="1:28" s="300" customFormat="1" ht="11.4" customHeight="1">
      <c r="A82" s="189"/>
      <c r="B82" s="189"/>
      <c r="C82" s="189"/>
      <c r="D82" s="189"/>
      <c r="E82" s="186"/>
      <c r="G82" s="189"/>
      <c r="H82" s="186"/>
      <c r="I82" s="186"/>
      <c r="J82" s="189" t="s">
        <v>1175</v>
      </c>
      <c r="K82" s="189"/>
      <c r="L82" s="189"/>
      <c r="M82" s="189"/>
      <c r="N82" s="189"/>
      <c r="O82" s="189"/>
      <c r="P82" s="186"/>
      <c r="Q82" s="4425">
        <v>500</v>
      </c>
      <c r="R82" s="4426"/>
      <c r="S82" s="312"/>
      <c r="T82" s="312"/>
      <c r="U82" s="312"/>
      <c r="AA82" s="573"/>
      <c r="AB82" s="573"/>
    </row>
    <row r="83" spans="1:28" s="300" customFormat="1" ht="11.4" customHeight="1">
      <c r="A83" s="189"/>
      <c r="B83" s="189"/>
      <c r="C83" s="189"/>
      <c r="D83" s="189"/>
      <c r="E83" s="186"/>
      <c r="F83" s="191" t="s">
        <v>3712</v>
      </c>
      <c r="G83" s="189"/>
      <c r="H83" s="186"/>
      <c r="I83" s="186"/>
      <c r="J83" s="191" t="s">
        <v>3708</v>
      </c>
      <c r="K83" s="189"/>
      <c r="L83" s="189"/>
      <c r="M83" s="189"/>
      <c r="N83" s="189"/>
      <c r="O83" s="189"/>
      <c r="P83" s="186"/>
      <c r="Q83" s="4425">
        <v>1500</v>
      </c>
      <c r="R83" s="4426"/>
      <c r="S83" s="312"/>
      <c r="T83" s="312"/>
      <c r="U83" s="312"/>
      <c r="AA83" s="573"/>
      <c r="AB83" s="573"/>
    </row>
    <row r="84" spans="1:28" s="300" customFormat="1" ht="11.4" customHeight="1">
      <c r="A84" s="189"/>
      <c r="B84" s="189"/>
      <c r="C84" s="189"/>
      <c r="D84" s="189"/>
      <c r="E84" s="186"/>
      <c r="G84" s="189"/>
      <c r="H84" s="186"/>
      <c r="I84" s="186"/>
      <c r="J84" s="191" t="s">
        <v>3709</v>
      </c>
      <c r="K84" s="189"/>
      <c r="L84" s="189"/>
      <c r="M84" s="189"/>
      <c r="N84" s="189"/>
      <c r="O84" s="189"/>
      <c r="P84" s="186"/>
      <c r="Q84" s="4425">
        <v>1500</v>
      </c>
      <c r="R84" s="4426"/>
      <c r="S84" s="312"/>
      <c r="T84" s="312"/>
      <c r="U84" s="312"/>
      <c r="AA84" s="573"/>
      <c r="AB84" s="573"/>
    </row>
    <row r="85" spans="1:28" s="300" customFormat="1" ht="11.4" customHeight="1">
      <c r="A85" s="189"/>
      <c r="B85" s="189"/>
      <c r="C85" s="189"/>
      <c r="D85" s="189"/>
      <c r="E85" s="186"/>
      <c r="G85" s="189"/>
      <c r="H85" s="186"/>
      <c r="I85" s="186"/>
      <c r="J85" s="191" t="s">
        <v>3710</v>
      </c>
      <c r="K85" s="189"/>
      <c r="L85" s="189"/>
      <c r="M85" s="189"/>
      <c r="N85" s="189"/>
      <c r="O85" s="189"/>
      <c r="P85" s="186"/>
      <c r="Q85" s="4425">
        <v>1500</v>
      </c>
      <c r="R85" s="4426"/>
      <c r="S85" s="312"/>
      <c r="T85" s="312"/>
      <c r="U85" s="312"/>
      <c r="AA85" s="573"/>
      <c r="AB85" s="573"/>
    </row>
    <row r="86" spans="1:28" s="300" customFormat="1" ht="11.4" customHeight="1">
      <c r="A86" s="189"/>
      <c r="B86" s="189"/>
      <c r="C86" s="189"/>
      <c r="D86" s="189"/>
      <c r="E86" s="186"/>
      <c r="G86" s="189"/>
      <c r="H86" s="186"/>
      <c r="I86" s="186"/>
      <c r="J86" s="191" t="s">
        <v>3711</v>
      </c>
      <c r="K86" s="189"/>
      <c r="L86" s="189"/>
      <c r="M86" s="189"/>
      <c r="N86" s="189"/>
      <c r="O86" s="189"/>
      <c r="P86" s="186"/>
      <c r="Q86" s="4425">
        <v>1500</v>
      </c>
      <c r="R86" s="4426"/>
      <c r="S86" s="312"/>
      <c r="T86" s="312"/>
      <c r="U86" s="312"/>
      <c r="AA86" s="573"/>
      <c r="AB86" s="573"/>
    </row>
    <row r="87" spans="1:28" s="300" customFormat="1" ht="11.4" customHeight="1">
      <c r="A87" s="189"/>
      <c r="B87" s="189"/>
      <c r="C87" s="189"/>
      <c r="D87" s="189"/>
      <c r="E87" s="186"/>
      <c r="F87" s="191" t="s">
        <v>4240</v>
      </c>
      <c r="G87" s="189"/>
      <c r="H87" s="186"/>
      <c r="I87" s="186"/>
      <c r="J87" s="189" t="s">
        <v>1174</v>
      </c>
      <c r="K87" s="189"/>
      <c r="L87" s="189"/>
      <c r="M87" s="189"/>
      <c r="N87" s="189"/>
      <c r="O87" s="189"/>
      <c r="P87" s="186"/>
      <c r="Q87" s="4425">
        <v>6500</v>
      </c>
      <c r="R87" s="4426"/>
      <c r="S87" s="312"/>
      <c r="T87" s="312"/>
      <c r="U87" s="312"/>
      <c r="AA87" s="573"/>
      <c r="AB87" s="573"/>
    </row>
    <row r="88" spans="1:28" s="300" customFormat="1" ht="11.4" customHeight="1">
      <c r="A88" s="189"/>
      <c r="B88" s="189"/>
      <c r="C88" s="189"/>
      <c r="D88" s="189"/>
      <c r="E88" s="186"/>
      <c r="F88" s="191" t="s">
        <v>4240</v>
      </c>
      <c r="G88" s="189"/>
      <c r="H88" s="186"/>
      <c r="I88" s="186"/>
      <c r="J88" s="189" t="s">
        <v>1175</v>
      </c>
      <c r="K88" s="189"/>
      <c r="L88" s="189"/>
      <c r="M88" s="189"/>
      <c r="N88" s="189"/>
      <c r="O88" s="189"/>
      <c r="P88" s="186"/>
      <c r="Q88" s="4425">
        <v>5500</v>
      </c>
      <c r="R88" s="4426"/>
      <c r="S88" s="312"/>
      <c r="T88" s="312"/>
      <c r="U88" s="312"/>
      <c r="AA88" s="573"/>
      <c r="AB88" s="573"/>
    </row>
    <row r="89" spans="1:28" s="300" customFormat="1" ht="11.4" customHeight="1">
      <c r="A89" s="189"/>
      <c r="B89" s="189"/>
      <c r="C89" s="189"/>
      <c r="D89" s="189"/>
      <c r="E89" s="186"/>
      <c r="F89" s="191" t="s">
        <v>3325</v>
      </c>
      <c r="G89" s="189"/>
      <c r="H89" s="186"/>
      <c r="I89" s="186"/>
      <c r="J89" s="189"/>
      <c r="K89" s="189"/>
      <c r="L89" s="189"/>
      <c r="M89" s="189"/>
      <c r="N89" s="189"/>
      <c r="O89" s="189"/>
      <c r="P89" s="186"/>
      <c r="Q89" s="4425">
        <v>5000</v>
      </c>
      <c r="R89" s="4426"/>
      <c r="S89" s="312"/>
      <c r="T89" s="312"/>
      <c r="U89" s="312"/>
      <c r="AA89" s="573"/>
      <c r="AB89" s="573"/>
    </row>
    <row r="90" spans="1:28" s="300" customFormat="1" ht="11.4" customHeight="1">
      <c r="A90" s="189"/>
      <c r="B90" s="189"/>
      <c r="C90" s="189"/>
      <c r="D90" s="189"/>
      <c r="E90" s="186"/>
      <c r="F90" s="191"/>
      <c r="G90" s="189" t="s">
        <v>4238</v>
      </c>
      <c r="H90" s="186"/>
      <c r="I90" s="186"/>
      <c r="J90" s="189" t="s">
        <v>4239</v>
      </c>
      <c r="K90" s="189"/>
      <c r="L90" s="189"/>
      <c r="M90" s="189"/>
      <c r="N90" s="189"/>
      <c r="O90" s="189"/>
      <c r="P90" s="186"/>
      <c r="Q90" s="4425">
        <v>500</v>
      </c>
      <c r="R90" s="4426"/>
      <c r="S90" s="312"/>
      <c r="T90" s="312"/>
      <c r="U90" s="312"/>
      <c r="AA90" s="573"/>
      <c r="AB90" s="573"/>
    </row>
    <row r="91" spans="1:28" s="300" customFormat="1" ht="11.4" customHeight="1">
      <c r="A91" s="189"/>
      <c r="B91" s="189"/>
      <c r="C91" s="189"/>
      <c r="D91" s="189"/>
      <c r="E91" s="186"/>
      <c r="F91" s="191" t="s">
        <v>3706</v>
      </c>
      <c r="G91" s="189"/>
      <c r="H91" s="186"/>
      <c r="I91" s="186"/>
      <c r="J91" s="189"/>
      <c r="K91" s="189"/>
      <c r="L91" s="189"/>
      <c r="M91" s="189"/>
      <c r="N91" s="189"/>
      <c r="O91" s="189"/>
      <c r="P91" s="186"/>
      <c r="Q91" s="4425">
        <v>1500</v>
      </c>
      <c r="R91" s="4426"/>
      <c r="S91" s="312"/>
      <c r="T91" s="312"/>
      <c r="U91" s="312"/>
      <c r="AA91" s="573"/>
      <c r="AB91" s="573"/>
    </row>
    <row r="92" spans="1:28" s="300" customFormat="1" ht="11.4" customHeight="1">
      <c r="A92" s="189"/>
      <c r="C92" s="189"/>
      <c r="D92" s="186"/>
      <c r="E92" s="186"/>
      <c r="F92" s="191" t="s">
        <v>926</v>
      </c>
      <c r="H92" s="189"/>
      <c r="I92" s="186"/>
      <c r="J92" s="189" t="s">
        <v>927</v>
      </c>
      <c r="K92" s="189"/>
      <c r="L92" s="189"/>
      <c r="M92" s="189"/>
      <c r="N92" s="189"/>
      <c r="O92" s="189"/>
      <c r="P92" s="186"/>
      <c r="Q92" s="4431">
        <v>0.08</v>
      </c>
      <c r="R92" s="4431"/>
      <c r="S92" s="312"/>
      <c r="T92" s="312"/>
      <c r="U92" s="312"/>
      <c r="AA92" s="573"/>
      <c r="AB92" s="573"/>
    </row>
    <row r="93" spans="1:28" s="300" customFormat="1" ht="11.4" customHeight="1">
      <c r="A93" s="189"/>
      <c r="C93" s="189"/>
      <c r="D93" s="186"/>
      <c r="E93" s="186"/>
      <c r="F93" s="191" t="s">
        <v>928</v>
      </c>
      <c r="H93" s="189"/>
      <c r="I93" s="186"/>
      <c r="J93" s="189" t="s">
        <v>927</v>
      </c>
      <c r="K93" s="189"/>
      <c r="L93" s="189"/>
      <c r="M93" s="189"/>
      <c r="N93" s="189"/>
      <c r="O93" s="189"/>
      <c r="P93" s="186"/>
      <c r="Q93" s="4431">
        <v>0.08</v>
      </c>
      <c r="R93" s="4431"/>
      <c r="S93" s="312"/>
      <c r="T93" s="312"/>
      <c r="U93" s="312"/>
      <c r="AA93" s="573"/>
      <c r="AB93" s="573"/>
    </row>
    <row r="94" spans="1:28" s="300" customFormat="1" ht="11.4" customHeight="1">
      <c r="A94" s="189"/>
      <c r="C94" s="189"/>
      <c r="D94" s="186"/>
      <c r="E94" s="186"/>
      <c r="F94" s="191" t="s">
        <v>4241</v>
      </c>
      <c r="H94" s="189"/>
      <c r="I94" s="186"/>
      <c r="J94" s="189"/>
      <c r="K94" s="189"/>
      <c r="L94" s="189"/>
      <c r="M94" s="189"/>
      <c r="N94" s="189"/>
      <c r="O94" s="189"/>
      <c r="P94" s="186"/>
      <c r="Q94" s="4425">
        <v>3000</v>
      </c>
      <c r="R94" s="4426"/>
      <c r="S94" s="312"/>
      <c r="T94" s="312"/>
      <c r="U94" s="312"/>
      <c r="AA94" s="573"/>
      <c r="AB94" s="573"/>
    </row>
    <row r="95" spans="1:28" s="300" customFormat="1" ht="11.4" customHeight="1">
      <c r="A95" s="189"/>
      <c r="C95" s="189"/>
      <c r="D95" s="186"/>
      <c r="E95" s="186"/>
      <c r="F95" s="191" t="s">
        <v>3651</v>
      </c>
      <c r="H95" s="189"/>
      <c r="I95" s="186"/>
      <c r="J95" s="189"/>
      <c r="K95" s="189"/>
      <c r="L95" s="189"/>
      <c r="M95" s="189"/>
      <c r="N95" s="189"/>
      <c r="O95" s="189"/>
      <c r="P95" s="186"/>
      <c r="Q95" s="4425">
        <v>1500</v>
      </c>
      <c r="R95" s="4426"/>
      <c r="S95" s="312"/>
      <c r="T95" s="312"/>
      <c r="U95" s="312"/>
      <c r="AA95" s="573"/>
      <c r="AB95" s="573"/>
    </row>
    <row r="96" spans="1:28" s="300" customFormat="1" ht="11.4" customHeight="1">
      <c r="A96" s="189"/>
      <c r="C96" s="189"/>
      <c r="D96" s="186"/>
      <c r="E96" s="186"/>
      <c r="F96" s="189" t="s">
        <v>929</v>
      </c>
      <c r="H96" s="189" t="s">
        <v>1578</v>
      </c>
      <c r="I96" s="186"/>
      <c r="J96" s="189" t="s">
        <v>1498</v>
      </c>
      <c r="K96" s="189"/>
      <c r="L96" s="189"/>
      <c r="M96" s="189"/>
      <c r="N96" s="189"/>
      <c r="O96" s="189"/>
      <c r="P96" s="186"/>
      <c r="Q96" s="4425">
        <v>800</v>
      </c>
      <c r="R96" s="4426"/>
      <c r="S96" s="312"/>
      <c r="T96" s="312"/>
      <c r="U96" s="312"/>
      <c r="AA96" s="573"/>
      <c r="AB96" s="573"/>
    </row>
    <row r="97" spans="1:28" s="300" customFormat="1" ht="11.4" customHeight="1">
      <c r="A97" s="189"/>
      <c r="C97" s="189"/>
      <c r="D97" s="186"/>
      <c r="E97" s="186"/>
      <c r="F97" s="189"/>
      <c r="H97" s="189"/>
      <c r="I97" s="189" t="s">
        <v>4242</v>
      </c>
      <c r="J97" s="189" t="s">
        <v>1498</v>
      </c>
      <c r="K97" s="189"/>
      <c r="L97" s="189"/>
      <c r="M97" s="189"/>
      <c r="N97" s="189"/>
      <c r="O97" s="189"/>
      <c r="P97" s="186"/>
      <c r="Q97" s="4425">
        <v>1000</v>
      </c>
      <c r="R97" s="4426"/>
      <c r="S97" s="312"/>
      <c r="T97" s="312"/>
      <c r="U97" s="312"/>
      <c r="AA97" s="573"/>
      <c r="AB97" s="573"/>
    </row>
    <row r="98" spans="1:28" s="300" customFormat="1" ht="11.4" customHeight="1">
      <c r="A98" s="189"/>
      <c r="B98" s="189"/>
      <c r="C98" s="189"/>
      <c r="D98" s="186"/>
      <c r="E98" s="186"/>
      <c r="H98" s="191" t="s">
        <v>2606</v>
      </c>
      <c r="I98" s="323"/>
      <c r="J98" s="191" t="s">
        <v>1498</v>
      </c>
      <c r="K98" s="191" t="s">
        <v>3664</v>
      </c>
      <c r="L98" s="191"/>
      <c r="M98" s="191"/>
      <c r="N98" s="191"/>
      <c r="O98" s="191"/>
      <c r="P98" s="323"/>
      <c r="Q98" s="4425">
        <v>800</v>
      </c>
      <c r="R98" s="4426"/>
      <c r="S98" s="312"/>
      <c r="T98" s="312"/>
      <c r="U98" s="312"/>
      <c r="AA98" s="573"/>
      <c r="AB98" s="573"/>
    </row>
    <row r="99" spans="1:28" s="300" customFormat="1" ht="11.4" customHeight="1">
      <c r="A99" s="189"/>
      <c r="B99" s="189"/>
      <c r="C99" s="189"/>
      <c r="D99" s="186"/>
      <c r="E99" s="186"/>
      <c r="H99" s="189" t="s">
        <v>2726</v>
      </c>
      <c r="I99" s="186"/>
      <c r="J99" s="189" t="s">
        <v>2605</v>
      </c>
      <c r="K99" s="189"/>
      <c r="L99" s="189"/>
      <c r="M99" s="189"/>
      <c r="N99" s="189"/>
      <c r="O99" s="189"/>
      <c r="P99" s="186"/>
      <c r="Q99" s="4425">
        <v>1500</v>
      </c>
      <c r="R99" s="4426"/>
      <c r="S99" s="312"/>
      <c r="T99" s="312"/>
      <c r="U99" s="312"/>
      <c r="AA99" s="573"/>
      <c r="AB99" s="573"/>
    </row>
    <row r="100" spans="1:28" s="300" customFormat="1" ht="11.4" customHeight="1">
      <c r="A100" s="189"/>
      <c r="B100" s="189"/>
      <c r="C100" s="189"/>
      <c r="D100" s="186"/>
      <c r="E100" s="186"/>
      <c r="F100" s="189" t="s">
        <v>3849</v>
      </c>
      <c r="I100" s="186"/>
      <c r="J100" s="189" t="s">
        <v>4244</v>
      </c>
      <c r="K100" s="189"/>
      <c r="L100" s="189"/>
      <c r="M100" s="189"/>
      <c r="N100" s="189"/>
      <c r="O100" s="189"/>
      <c r="P100" s="186"/>
      <c r="Q100" s="311">
        <v>750</v>
      </c>
      <c r="R100" s="311" t="s">
        <v>1690</v>
      </c>
      <c r="S100" s="312"/>
      <c r="T100" s="312"/>
      <c r="U100" s="312"/>
      <c r="AA100" s="573"/>
      <c r="AB100" s="573"/>
    </row>
    <row r="101" spans="1:28" s="300" customFormat="1" ht="11.4" customHeight="1">
      <c r="A101" s="189"/>
      <c r="B101" s="189"/>
      <c r="C101" s="189"/>
      <c r="D101" s="186"/>
      <c r="E101" s="186"/>
      <c r="F101" s="189" t="s">
        <v>4243</v>
      </c>
      <c r="I101" s="186"/>
      <c r="J101" s="189" t="s">
        <v>1719</v>
      </c>
      <c r="K101" s="189"/>
      <c r="L101" s="189"/>
      <c r="M101" s="189"/>
      <c r="N101" s="189"/>
      <c r="O101" s="189"/>
      <c r="P101" s="186"/>
      <c r="Q101" s="4425">
        <v>3000</v>
      </c>
      <c r="R101" s="4426"/>
      <c r="S101" s="312"/>
      <c r="T101" s="312"/>
      <c r="U101" s="312"/>
      <c r="AA101" s="573"/>
      <c r="AB101" s="573"/>
    </row>
    <row r="102" spans="1:28" s="300" customFormat="1" ht="11.4" customHeight="1">
      <c r="A102" s="189"/>
      <c r="B102" s="191"/>
      <c r="C102" s="189"/>
      <c r="D102" s="186"/>
      <c r="E102" s="186"/>
      <c r="F102" s="189" t="s">
        <v>3326</v>
      </c>
      <c r="I102" s="186"/>
      <c r="J102" s="189" t="s">
        <v>3327</v>
      </c>
      <c r="K102" s="189"/>
      <c r="L102" s="189" t="s">
        <v>2725</v>
      </c>
      <c r="M102" s="189"/>
      <c r="N102" s="189"/>
      <c r="O102" s="189"/>
      <c r="P102" s="186"/>
      <c r="Q102" s="4425">
        <v>75</v>
      </c>
      <c r="R102" s="4426"/>
      <c r="S102" s="312"/>
      <c r="T102" s="312"/>
      <c r="U102" s="312"/>
      <c r="AA102" s="573"/>
      <c r="AB102" s="573"/>
    </row>
    <row r="103" spans="1:28" customFormat="1" ht="11.25" customHeight="1">
      <c r="B103" s="189" t="s">
        <v>1816</v>
      </c>
      <c r="C103" s="27"/>
      <c r="F103" s="2036" t="s">
        <v>4505</v>
      </c>
      <c r="G103" s="2027"/>
      <c r="H103" s="2032"/>
      <c r="I103" s="27"/>
      <c r="J103" s="189" t="s">
        <v>4514</v>
      </c>
      <c r="K103" s="189" t="s">
        <v>4515</v>
      </c>
      <c r="L103" s="2043"/>
      <c r="M103" s="2043"/>
      <c r="N103" s="2043"/>
      <c r="O103" s="2042" t="s">
        <v>4506</v>
      </c>
    </row>
    <row r="104" spans="1:28" customFormat="1" ht="11.25" customHeight="1">
      <c r="B104" s="27"/>
      <c r="C104" s="27"/>
      <c r="F104" s="162"/>
      <c r="G104" s="27"/>
      <c r="H104" s="2037">
        <v>0.09</v>
      </c>
      <c r="I104" s="27"/>
      <c r="J104" s="2044">
        <v>1</v>
      </c>
      <c r="K104" s="2046">
        <v>50</v>
      </c>
      <c r="Q104" s="4428">
        <v>25000</v>
      </c>
      <c r="R104" s="4428"/>
    </row>
    <row r="105" spans="1:28" customFormat="1" ht="11.25" customHeight="1">
      <c r="B105" s="27"/>
      <c r="C105" s="27"/>
      <c r="F105" s="162"/>
      <c r="G105" s="27"/>
      <c r="H105" s="2038"/>
      <c r="I105" s="27"/>
      <c r="J105" s="2044">
        <v>51</v>
      </c>
      <c r="K105" s="2046">
        <v>70</v>
      </c>
      <c r="Q105" s="4427">
        <v>20000</v>
      </c>
      <c r="R105" s="4427"/>
    </row>
    <row r="106" spans="1:28" customFormat="1" ht="11.25" customHeight="1">
      <c r="B106" s="27"/>
      <c r="C106" s="27"/>
      <c r="F106" s="162"/>
      <c r="G106" s="27"/>
      <c r="H106" s="2038"/>
      <c r="I106" s="27"/>
      <c r="J106" s="2044">
        <v>71</v>
      </c>
      <c r="K106" s="2045"/>
      <c r="Q106" s="4429">
        <v>15000</v>
      </c>
      <c r="R106" s="4429"/>
    </row>
    <row r="107" spans="1:28" customFormat="1" ht="11.25" customHeight="1">
      <c r="B107" s="27"/>
      <c r="C107" s="27"/>
      <c r="F107" s="27"/>
      <c r="G107" s="27"/>
      <c r="H107" s="2037">
        <v>0.04</v>
      </c>
      <c r="I107" s="27"/>
      <c r="J107" s="2044">
        <v>1</v>
      </c>
      <c r="K107" s="2046">
        <v>100</v>
      </c>
      <c r="Q107" s="4428">
        <v>18000</v>
      </c>
      <c r="R107" s="4428"/>
    </row>
    <row r="108" spans="1:28" customFormat="1" ht="11.25" customHeight="1">
      <c r="B108" s="27"/>
      <c r="C108" s="27"/>
      <c r="F108" s="27"/>
      <c r="G108" s="27"/>
      <c r="H108" s="2039"/>
      <c r="I108" s="27"/>
      <c r="J108" s="2044">
        <v>101</v>
      </c>
      <c r="K108" s="2046">
        <v>130</v>
      </c>
      <c r="Q108" s="4427">
        <v>15500</v>
      </c>
      <c r="R108" s="4427"/>
    </row>
    <row r="109" spans="1:28" customFormat="1" ht="11.25" customHeight="1">
      <c r="B109" s="27"/>
      <c r="C109" s="27"/>
      <c r="F109" s="27"/>
      <c r="G109" s="27"/>
      <c r="H109" s="2039"/>
      <c r="I109" s="27"/>
      <c r="J109" s="2044">
        <v>131</v>
      </c>
      <c r="K109" s="2045"/>
      <c r="Q109" s="4429">
        <v>13000</v>
      </c>
      <c r="R109" s="4429"/>
    </row>
    <row r="110" spans="1:28" customFormat="1" ht="11.25" customHeight="1">
      <c r="B110" s="27"/>
      <c r="C110" s="27"/>
      <c r="F110" s="2035"/>
      <c r="G110" s="27"/>
      <c r="H110" s="2040"/>
      <c r="I110" s="2035"/>
    </row>
    <row r="111" spans="1:28" customFormat="1" ht="11.25" customHeight="1">
      <c r="B111" s="27"/>
      <c r="C111" s="27"/>
      <c r="F111" s="2032" t="s">
        <v>4507</v>
      </c>
      <c r="G111" s="27"/>
      <c r="H111" s="2040"/>
      <c r="I111" s="2035"/>
    </row>
    <row r="112" spans="1:28" customFormat="1" ht="11.25" customHeight="1">
      <c r="B112" s="27"/>
      <c r="C112" s="27"/>
      <c r="F112" s="27"/>
      <c r="G112" s="27"/>
      <c r="H112" s="2041">
        <v>0.09</v>
      </c>
      <c r="I112" s="2032"/>
      <c r="J112" s="27"/>
      <c r="Q112" s="4430">
        <v>2000000</v>
      </c>
      <c r="R112" s="4430"/>
    </row>
    <row r="113" spans="1:28" customFormat="1" ht="11.25" customHeight="1">
      <c r="B113" s="27"/>
      <c r="C113" s="27"/>
      <c r="F113" s="27"/>
      <c r="G113" s="27"/>
      <c r="H113" s="2041">
        <v>0.04</v>
      </c>
      <c r="I113" s="2032"/>
      <c r="J113" s="27"/>
      <c r="Q113" s="4430">
        <v>3500000</v>
      </c>
      <c r="R113" s="4430"/>
    </row>
    <row r="114" spans="1:28" customFormat="1"/>
    <row r="115" spans="1:28" s="300" customFormat="1" ht="13.8">
      <c r="A115" s="189"/>
      <c r="B115" s="189"/>
      <c r="C115" s="189"/>
      <c r="D115" s="186"/>
      <c r="E115" s="186"/>
      <c r="F115" s="189"/>
      <c r="G115" s="189"/>
      <c r="H115" s="189"/>
      <c r="I115" s="186"/>
      <c r="J115" s="189" t="s">
        <v>3303</v>
      </c>
      <c r="K115" s="189"/>
      <c r="L115" s="189"/>
      <c r="M115" s="189"/>
      <c r="N115" s="189"/>
      <c r="O115" s="189"/>
      <c r="P115" s="186"/>
      <c r="Q115" s="4434">
        <v>3500000</v>
      </c>
      <c r="R115" s="4435"/>
      <c r="S115" s="312"/>
      <c r="T115" s="312"/>
      <c r="U115" s="312"/>
      <c r="AA115" s="573"/>
      <c r="AB115" s="573"/>
    </row>
    <row r="116" spans="1:28" s="300" customFormat="1" ht="13.8" hidden="1">
      <c r="A116" s="189"/>
      <c r="B116" s="189"/>
      <c r="C116" s="189"/>
      <c r="D116" s="186"/>
      <c r="E116" s="186"/>
      <c r="F116" s="189" t="s">
        <v>1673</v>
      </c>
      <c r="G116" s="189"/>
      <c r="H116" s="189" t="s">
        <v>2237</v>
      </c>
      <c r="I116" s="186"/>
      <c r="J116" s="189" t="s">
        <v>953</v>
      </c>
      <c r="K116" s="189"/>
      <c r="L116" s="189"/>
      <c r="M116" s="189"/>
      <c r="N116" s="189"/>
      <c r="O116" s="189"/>
      <c r="P116" s="186"/>
      <c r="Q116" s="4432">
        <v>0.15</v>
      </c>
      <c r="R116" s="4433"/>
      <c r="S116" s="312"/>
      <c r="T116" s="312"/>
      <c r="U116" s="312"/>
      <c r="AA116" s="573"/>
      <c r="AB116" s="573"/>
    </row>
    <row r="117" spans="1:28" s="300" customFormat="1" ht="13.8" hidden="1">
      <c r="A117" s="189"/>
      <c r="B117" s="439"/>
      <c r="C117" s="189"/>
      <c r="D117" s="186"/>
      <c r="E117" s="186"/>
      <c r="F117" s="189"/>
      <c r="G117" s="189"/>
      <c r="H117" s="189" t="s">
        <v>3469</v>
      </c>
      <c r="I117" s="189" t="s">
        <v>950</v>
      </c>
      <c r="J117" s="189" t="s">
        <v>952</v>
      </c>
      <c r="K117" s="189"/>
      <c r="L117" s="189"/>
      <c r="M117" s="189"/>
      <c r="N117" s="189"/>
      <c r="O117" s="189"/>
      <c r="P117" s="186"/>
      <c r="Q117" s="4432">
        <v>0.15</v>
      </c>
      <c r="R117" s="4433"/>
      <c r="S117" s="312"/>
      <c r="T117" s="312"/>
      <c r="U117" s="312"/>
      <c r="AA117" s="573"/>
      <c r="AB117" s="573"/>
    </row>
    <row r="118" spans="1:28" s="300" customFormat="1" ht="13.8" hidden="1">
      <c r="A118" s="189"/>
      <c r="B118" s="439"/>
      <c r="C118" s="189"/>
      <c r="D118" s="186"/>
      <c r="E118" s="186"/>
      <c r="F118" s="189"/>
      <c r="G118" s="189"/>
      <c r="H118" s="189"/>
      <c r="I118" s="189" t="s">
        <v>951</v>
      </c>
      <c r="J118" s="189" t="s">
        <v>954</v>
      </c>
      <c r="K118" s="189"/>
      <c r="L118" s="189"/>
      <c r="M118" s="189"/>
      <c r="N118" s="189"/>
      <c r="O118" s="189"/>
      <c r="P118" s="186"/>
      <c r="Q118" s="4432">
        <v>0.15</v>
      </c>
      <c r="R118" s="4433"/>
      <c r="S118" s="312"/>
      <c r="T118" s="312"/>
      <c r="U118" s="312"/>
      <c r="AA118" s="573"/>
      <c r="AB118" s="573"/>
    </row>
    <row r="119" spans="1:28" s="300" customFormat="1" ht="13.8" hidden="1">
      <c r="A119" s="189"/>
      <c r="B119" s="439"/>
      <c r="C119" s="189"/>
      <c r="D119" s="186"/>
      <c r="E119" s="186"/>
      <c r="F119" s="189"/>
      <c r="G119" s="189"/>
      <c r="H119" s="189" t="s">
        <v>949</v>
      </c>
      <c r="I119" s="186"/>
      <c r="J119" s="189" t="s">
        <v>954</v>
      </c>
      <c r="K119" s="189"/>
      <c r="L119" s="189"/>
      <c r="M119" s="189"/>
      <c r="N119" s="189"/>
      <c r="O119" s="189"/>
      <c r="P119" s="186"/>
      <c r="Q119" s="4432">
        <v>0.15</v>
      </c>
      <c r="R119" s="4433"/>
      <c r="S119" s="312"/>
      <c r="T119" s="312"/>
      <c r="U119" s="312"/>
      <c r="AA119" s="573"/>
      <c r="AB119" s="573"/>
    </row>
    <row r="120" spans="1:28" s="300" customFormat="1" ht="13.8" hidden="1">
      <c r="A120" s="189"/>
      <c r="B120" s="439"/>
      <c r="C120" s="189"/>
      <c r="D120" s="186"/>
      <c r="E120" s="186"/>
      <c r="F120" s="189"/>
      <c r="G120" s="189"/>
      <c r="H120" s="189"/>
      <c r="I120" s="189" t="s">
        <v>955</v>
      </c>
      <c r="J120" s="189" t="s">
        <v>956</v>
      </c>
      <c r="K120" s="189"/>
      <c r="L120" s="189"/>
      <c r="M120" s="189"/>
      <c r="N120" s="189"/>
      <c r="O120" s="189"/>
      <c r="P120" s="186"/>
      <c r="Q120" s="4432">
        <v>0.15</v>
      </c>
      <c r="R120" s="4433"/>
      <c r="S120" s="312"/>
      <c r="T120" s="312"/>
      <c r="U120" s="312"/>
      <c r="AA120" s="573"/>
      <c r="AB120" s="573"/>
    </row>
    <row r="121" spans="1:28" s="300" customFormat="1" ht="13.8" hidden="1">
      <c r="A121" s="189"/>
      <c r="B121" s="439"/>
      <c r="C121" s="189"/>
      <c r="D121" s="186"/>
      <c r="E121" s="186"/>
      <c r="F121" s="189" t="s">
        <v>1715</v>
      </c>
      <c r="G121" s="189"/>
      <c r="H121" s="189"/>
      <c r="I121" s="186"/>
      <c r="J121" s="189" t="s">
        <v>2311</v>
      </c>
      <c r="K121" s="189"/>
      <c r="L121" s="189"/>
      <c r="M121" s="189"/>
      <c r="N121" s="189"/>
      <c r="O121" s="189"/>
      <c r="P121" s="186"/>
      <c r="Q121" s="4432">
        <v>0.15</v>
      </c>
      <c r="R121" s="4433"/>
      <c r="S121" s="312"/>
      <c r="T121" s="312"/>
      <c r="U121" s="312"/>
      <c r="AA121" s="573"/>
      <c r="AB121" s="573"/>
    </row>
    <row r="122" spans="1:28" s="300" customFormat="1" ht="13.8" hidden="1">
      <c r="A122" s="189"/>
      <c r="B122" s="439"/>
      <c r="C122" s="189"/>
      <c r="D122" s="186"/>
      <c r="E122" s="186"/>
      <c r="G122" s="189"/>
      <c r="H122" s="189"/>
      <c r="I122" s="186"/>
      <c r="J122" s="189" t="s">
        <v>2312</v>
      </c>
      <c r="K122" s="189"/>
      <c r="L122" s="189"/>
      <c r="M122" s="189"/>
      <c r="N122" s="189"/>
      <c r="O122" s="189"/>
      <c r="P122" s="186"/>
      <c r="Q122" s="4432" t="s">
        <v>2313</v>
      </c>
      <c r="R122" s="4433"/>
      <c r="S122" s="312"/>
      <c r="T122" s="312"/>
      <c r="U122" s="312"/>
      <c r="AA122" s="573"/>
      <c r="AB122" s="573"/>
    </row>
    <row r="123" spans="1:28" s="300" customFormat="1" ht="13.8">
      <c r="A123" s="189"/>
      <c r="B123" s="439"/>
      <c r="C123" s="189"/>
      <c r="D123" s="186"/>
      <c r="E123" s="186"/>
      <c r="F123" s="189" t="s">
        <v>1986</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1985</v>
      </c>
      <c r="G124" s="189"/>
      <c r="I124" s="186"/>
      <c r="J124" s="189"/>
      <c r="K124" s="189"/>
      <c r="L124" s="189"/>
      <c r="M124" s="189"/>
      <c r="N124" s="189"/>
      <c r="O124" s="189"/>
      <c r="P124" s="186"/>
      <c r="Q124" s="1222">
        <v>0</v>
      </c>
      <c r="R124" s="1222">
        <v>0.5</v>
      </c>
      <c r="S124" s="312"/>
      <c r="T124" s="312"/>
      <c r="U124" s="312"/>
      <c r="AA124" s="573"/>
      <c r="AB124" s="573"/>
    </row>
    <row r="125" spans="1:28" s="300" customFormat="1" ht="11.4"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4"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4" customHeight="1">
      <c r="A127" s="189"/>
      <c r="B127" s="441" t="s">
        <v>1987</v>
      </c>
      <c r="C127" s="189"/>
      <c r="D127" s="186"/>
      <c r="E127" s="186"/>
      <c r="F127" s="189"/>
      <c r="G127" s="189"/>
      <c r="I127" s="186"/>
      <c r="J127" s="189" t="s">
        <v>1988</v>
      </c>
      <c r="K127" s="189"/>
      <c r="L127" s="189"/>
      <c r="M127" s="189"/>
      <c r="N127" s="189"/>
      <c r="O127" s="189"/>
      <c r="P127" s="186"/>
      <c r="Q127" s="313">
        <v>3</v>
      </c>
      <c r="R127" s="311" t="s">
        <v>1690</v>
      </c>
      <c r="S127" s="312"/>
      <c r="T127" s="312"/>
      <c r="U127" s="312"/>
      <c r="AA127" s="573"/>
      <c r="AB127" s="573"/>
    </row>
    <row r="128" spans="1:28" s="300" customFormat="1" ht="11.4" customHeight="1">
      <c r="A128" s="189"/>
      <c r="B128" s="191" t="s">
        <v>3360</v>
      </c>
      <c r="C128" s="189"/>
      <c r="D128" s="186"/>
      <c r="E128" s="189"/>
      <c r="F128" s="189"/>
      <c r="G128" s="189"/>
      <c r="H128" s="186"/>
      <c r="I128" s="186"/>
      <c r="J128" s="189" t="s">
        <v>1719</v>
      </c>
      <c r="K128" s="189"/>
      <c r="L128" s="189"/>
      <c r="M128" s="189"/>
      <c r="N128" s="189"/>
      <c r="O128" s="189"/>
      <c r="P128" s="186"/>
      <c r="Q128" s="4425">
        <v>3000</v>
      </c>
      <c r="R128" s="4426"/>
      <c r="S128" s="312"/>
      <c r="T128" s="312"/>
      <c r="U128" s="312"/>
      <c r="AA128" s="573"/>
      <c r="AB128" s="573"/>
    </row>
    <row r="129" spans="1:28" s="300" customFormat="1" ht="11.4" customHeight="1">
      <c r="A129" s="189"/>
      <c r="B129" s="189"/>
      <c r="C129" s="189"/>
      <c r="D129" s="186"/>
      <c r="E129" s="186"/>
      <c r="O129" s="189"/>
      <c r="T129" s="306"/>
      <c r="U129" s="186"/>
      <c r="V129" s="1109"/>
      <c r="W129" s="1109"/>
      <c r="X129" s="1109"/>
      <c r="AA129" s="573"/>
      <c r="AB129" s="573"/>
    </row>
    <row r="130" spans="1:28" s="300" customFormat="1" ht="11.4" customHeight="1">
      <c r="A130" s="301" t="s">
        <v>1684</v>
      </c>
      <c r="B130" s="301"/>
      <c r="C130" s="301"/>
      <c r="D130" s="186"/>
      <c r="E130" s="186"/>
      <c r="F130" s="301" t="s">
        <v>1685</v>
      </c>
      <c r="G130" s="301"/>
      <c r="H130" s="186"/>
      <c r="I130" s="186"/>
      <c r="J130" s="301" t="s">
        <v>1686</v>
      </c>
      <c r="K130" s="301"/>
      <c r="L130" s="301"/>
      <c r="M130" s="301"/>
      <c r="N130" s="301"/>
      <c r="O130" s="301"/>
      <c r="P130" s="186"/>
      <c r="Q130" s="190" t="s">
        <v>2940</v>
      </c>
      <c r="R130" s="190" t="s">
        <v>1687</v>
      </c>
      <c r="S130" s="321"/>
      <c r="T130" s="306"/>
      <c r="U130" s="186"/>
      <c r="V130" s="1109"/>
      <c r="W130" s="1109"/>
      <c r="X130" s="1109"/>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 customHeight="1">
      <c r="B134" s="314" t="s">
        <v>2349</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 customHeight="1">
      <c r="A136" s="189"/>
      <c r="B136" s="189" t="s">
        <v>1721</v>
      </c>
      <c r="C136" s="189"/>
      <c r="D136" s="189"/>
      <c r="E136" s="189"/>
      <c r="F136" s="189"/>
      <c r="G136" s="189"/>
      <c r="H136" s="189"/>
      <c r="J136" s="189" t="s">
        <v>1722</v>
      </c>
      <c r="K136" s="189"/>
      <c r="L136" s="189"/>
      <c r="M136" s="189"/>
      <c r="N136" s="189"/>
      <c r="O136" s="189"/>
      <c r="Q136" s="4431">
        <v>0.02</v>
      </c>
      <c r="R136" s="4431"/>
      <c r="AA136" s="573"/>
      <c r="AB136" s="573"/>
    </row>
    <row r="137" spans="1:28" s="312" customFormat="1" ht="11.4" customHeight="1">
      <c r="A137" s="189"/>
      <c r="B137" s="189" t="s">
        <v>1723</v>
      </c>
      <c r="C137" s="189"/>
      <c r="D137" s="189"/>
      <c r="E137" s="189"/>
      <c r="F137" s="189"/>
      <c r="G137" s="189"/>
      <c r="H137" s="189"/>
      <c r="J137" s="189" t="s">
        <v>1722</v>
      </c>
      <c r="K137" s="189"/>
      <c r="L137" s="189"/>
      <c r="M137" s="189"/>
      <c r="N137" s="189"/>
      <c r="O137" s="189"/>
      <c r="Q137" s="4431">
        <v>7.0000000000000007E-2</v>
      </c>
      <c r="R137" s="4431"/>
      <c r="AA137" s="573"/>
      <c r="AB137" s="573"/>
    </row>
    <row r="138" spans="1:28" s="312" customFormat="1" ht="11.4" customHeight="1">
      <c r="A138" s="189"/>
      <c r="B138" s="189" t="s">
        <v>1724</v>
      </c>
      <c r="C138" s="189"/>
      <c r="D138" s="189"/>
      <c r="E138" s="189"/>
      <c r="F138" s="189"/>
      <c r="G138" s="189"/>
      <c r="H138" s="189"/>
      <c r="J138" s="189" t="s">
        <v>1722</v>
      </c>
      <c r="K138" s="189"/>
      <c r="L138" s="189"/>
      <c r="M138" s="189"/>
      <c r="N138" s="189"/>
      <c r="O138" s="189"/>
      <c r="Q138" s="4431">
        <v>7.0000000000000007E-2</v>
      </c>
      <c r="R138" s="4431"/>
      <c r="AA138" s="573"/>
      <c r="AB138" s="573"/>
    </row>
    <row r="139" spans="1:28" s="300" customFormat="1" ht="11.4" customHeight="1">
      <c r="A139" s="189"/>
      <c r="B139" s="189" t="s">
        <v>131</v>
      </c>
      <c r="C139" s="189"/>
      <c r="D139" s="186"/>
      <c r="E139" s="186"/>
      <c r="F139" s="186"/>
      <c r="G139" s="189"/>
      <c r="H139" s="186"/>
      <c r="I139" s="186"/>
      <c r="J139" s="189" t="s">
        <v>1722</v>
      </c>
      <c r="K139" s="189"/>
      <c r="L139" s="189"/>
      <c r="M139" s="189"/>
      <c r="N139" s="189"/>
      <c r="O139" s="189"/>
      <c r="P139" s="186"/>
      <c r="Q139" s="4431">
        <v>0.03</v>
      </c>
      <c r="R139" s="4431"/>
      <c r="S139" s="312"/>
      <c r="T139" s="312"/>
      <c r="U139" s="312"/>
      <c r="AA139" s="573"/>
      <c r="AB139" s="573"/>
    </row>
    <row r="140" spans="1:28" s="300" customFormat="1" ht="11.4" customHeight="1">
      <c r="A140" s="189"/>
      <c r="B140" s="189" t="s">
        <v>132</v>
      </c>
      <c r="C140" s="189"/>
      <c r="D140" s="186"/>
      <c r="E140" s="186"/>
      <c r="F140" s="186"/>
      <c r="G140" s="189"/>
      <c r="H140" s="186"/>
      <c r="I140" s="186"/>
      <c r="J140" s="189" t="s">
        <v>1722</v>
      </c>
      <c r="K140" s="189"/>
      <c r="L140" s="189"/>
      <c r="M140" s="189"/>
      <c r="N140" s="189"/>
      <c r="O140" s="189"/>
      <c r="P140" s="186"/>
      <c r="Q140" s="4431">
        <v>0.03</v>
      </c>
      <c r="R140" s="4431"/>
      <c r="S140" s="312"/>
      <c r="T140" s="312"/>
      <c r="U140" s="312"/>
      <c r="AA140" s="573"/>
      <c r="AB140" s="573"/>
    </row>
    <row r="141" spans="1:28" s="300" customFormat="1" ht="11.4" customHeight="1">
      <c r="A141" s="189"/>
      <c r="B141" s="189" t="s">
        <v>133</v>
      </c>
      <c r="C141" s="189"/>
      <c r="D141" s="186"/>
      <c r="E141" s="186"/>
      <c r="F141" s="186"/>
      <c r="G141" s="189"/>
      <c r="H141" s="186"/>
      <c r="I141" s="186"/>
      <c r="J141" s="189" t="s">
        <v>1722</v>
      </c>
      <c r="K141" s="189"/>
      <c r="L141" s="189"/>
      <c r="M141" s="189"/>
      <c r="N141" s="189"/>
      <c r="O141" s="189"/>
      <c r="P141" s="186"/>
      <c r="Q141" s="4431">
        <v>0</v>
      </c>
      <c r="R141" s="4431"/>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 customHeight="1">
      <c r="A143" s="305" t="s">
        <v>2602</v>
      </c>
      <c r="B143" s="189"/>
      <c r="C143" s="189"/>
      <c r="D143" s="186"/>
      <c r="E143" s="186"/>
      <c r="F143" s="189" t="s">
        <v>497</v>
      </c>
      <c r="G143" s="189"/>
      <c r="H143" s="189" t="s">
        <v>2533</v>
      </c>
      <c r="I143" s="186"/>
      <c r="J143" s="189" t="s">
        <v>2604</v>
      </c>
      <c r="K143" s="189"/>
      <c r="L143" s="189"/>
      <c r="M143" s="189"/>
      <c r="N143" s="189"/>
      <c r="O143" s="189"/>
      <c r="P143" s="186"/>
      <c r="Q143" s="4431">
        <v>0.1</v>
      </c>
      <c r="R143" s="4431"/>
      <c r="S143" s="186"/>
      <c r="T143" s="186"/>
      <c r="U143" s="186"/>
      <c r="V143" s="1043"/>
      <c r="W143" s="1043"/>
      <c r="X143" s="190"/>
      <c r="AA143" s="573"/>
      <c r="AB143" s="573"/>
    </row>
    <row r="144" spans="1:28" s="300" customFormat="1" ht="11.4" customHeight="1">
      <c r="A144" s="305"/>
      <c r="B144" s="189"/>
      <c r="C144" s="189"/>
      <c r="D144" s="186"/>
      <c r="E144" s="186"/>
      <c r="F144" s="189"/>
      <c r="G144" s="189"/>
      <c r="H144" s="189" t="s">
        <v>3675</v>
      </c>
      <c r="I144" s="186"/>
      <c r="J144" s="189" t="s">
        <v>3676</v>
      </c>
      <c r="K144" s="189"/>
      <c r="L144" s="189"/>
      <c r="M144" s="189"/>
      <c r="N144" s="189"/>
      <c r="O144" s="189"/>
      <c r="P144" s="186"/>
      <c r="Q144" s="4424">
        <v>1000000</v>
      </c>
      <c r="R144" s="4424"/>
      <c r="S144" s="186"/>
      <c r="T144" s="186"/>
      <c r="U144" s="186"/>
      <c r="V144" s="1043"/>
      <c r="W144" s="1043"/>
      <c r="X144" s="190"/>
      <c r="AA144" s="573"/>
      <c r="AB144" s="573"/>
    </row>
    <row r="145" spans="1:28" s="300" customFormat="1" ht="11.4" customHeight="1">
      <c r="A145" s="189"/>
      <c r="B145" s="189"/>
      <c r="C145" s="189"/>
      <c r="D145" s="186"/>
      <c r="E145" s="186"/>
      <c r="F145" s="189"/>
      <c r="G145" s="189"/>
      <c r="H145" s="189" t="s">
        <v>3671</v>
      </c>
      <c r="I145" s="186"/>
      <c r="J145" s="189" t="s">
        <v>3677</v>
      </c>
      <c r="K145" s="189"/>
      <c r="L145" s="189"/>
      <c r="M145" s="189"/>
      <c r="N145" s="189"/>
      <c r="O145" s="189"/>
      <c r="P145" s="186"/>
      <c r="Q145" s="4424">
        <v>1500000</v>
      </c>
      <c r="R145" s="4424"/>
      <c r="S145" s="306"/>
      <c r="T145" s="306"/>
      <c r="U145" s="186"/>
      <c r="V145" s="1109"/>
      <c r="W145" s="1109"/>
      <c r="X145" s="1109"/>
      <c r="AA145" s="573"/>
      <c r="AB145" s="573"/>
    </row>
    <row r="146" spans="1:28" s="300" customFormat="1" ht="11.4" customHeight="1">
      <c r="A146" s="189"/>
      <c r="B146" s="189"/>
      <c r="C146" s="189"/>
      <c r="D146" s="186"/>
      <c r="E146" s="186"/>
      <c r="F146" s="189"/>
      <c r="G146" s="189"/>
      <c r="H146" s="189"/>
      <c r="I146" s="186"/>
      <c r="J146" s="189" t="s">
        <v>3678</v>
      </c>
      <c r="K146" s="189"/>
      <c r="L146" s="189"/>
      <c r="M146" s="189"/>
      <c r="N146" s="189"/>
      <c r="O146" s="189"/>
      <c r="P146" s="186"/>
      <c r="Q146" s="4424">
        <v>375000</v>
      </c>
      <c r="R146" s="4424"/>
      <c r="S146" s="306"/>
      <c r="T146" s="306"/>
      <c r="U146" s="186"/>
      <c r="V146" s="1109"/>
      <c r="W146" s="1109"/>
      <c r="X146" s="1109"/>
      <c r="AA146" s="573"/>
      <c r="AB146" s="573"/>
    </row>
    <row r="147" spans="1:28" s="300" customFormat="1" ht="11.4" customHeight="1">
      <c r="A147" s="189"/>
      <c r="B147" s="189"/>
      <c r="C147" s="189"/>
      <c r="D147" s="186"/>
      <c r="E147" s="186"/>
      <c r="F147" s="189"/>
      <c r="G147" s="189"/>
      <c r="H147" s="189" t="s">
        <v>4236</v>
      </c>
      <c r="I147" s="186"/>
      <c r="J147" s="189"/>
      <c r="K147" s="189"/>
      <c r="L147" s="189"/>
      <c r="M147" s="189"/>
      <c r="N147" s="189"/>
      <c r="O147" s="189"/>
      <c r="P147" s="186"/>
      <c r="Q147" s="4424"/>
      <c r="R147" s="4424"/>
      <c r="S147" s="306"/>
      <c r="T147" s="306"/>
      <c r="U147" s="186"/>
      <c r="V147" s="1109"/>
      <c r="W147" s="1109"/>
      <c r="X147" s="1109"/>
      <c r="AA147" s="573"/>
      <c r="AB147" s="573"/>
    </row>
    <row r="148" spans="1:28" s="300" customFormat="1" ht="11.4" customHeight="1">
      <c r="A148" s="189"/>
      <c r="B148" s="189"/>
      <c r="C148" s="189"/>
      <c r="D148" s="186"/>
      <c r="E148" s="186"/>
      <c r="F148" s="189" t="s">
        <v>2347</v>
      </c>
      <c r="G148" s="189"/>
      <c r="H148" s="189" t="s">
        <v>2603</v>
      </c>
      <c r="I148" s="186"/>
      <c r="J148" s="189" t="s">
        <v>3702</v>
      </c>
      <c r="K148" s="189"/>
      <c r="L148" s="189"/>
      <c r="M148" s="189"/>
      <c r="N148" s="189"/>
      <c r="O148" s="189"/>
      <c r="P148" s="186"/>
      <c r="Q148" s="4424">
        <v>4000000</v>
      </c>
      <c r="R148" s="4424"/>
      <c r="S148" s="306"/>
      <c r="T148" s="306"/>
      <c r="U148" s="186"/>
      <c r="V148" s="1109"/>
      <c r="W148" s="1109"/>
      <c r="X148" s="1109"/>
      <c r="AA148" s="573"/>
      <c r="AB148" s="573"/>
    </row>
    <row r="149" spans="1:28" s="300" customFormat="1" ht="11.4"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09"/>
      <c r="W149" s="1109"/>
      <c r="X149" s="1109"/>
      <c r="AA149" s="573"/>
      <c r="AB149" s="573"/>
    </row>
    <row r="150" spans="1:28" ht="4.5" customHeight="1"/>
    <row r="151" spans="1:28" ht="13.8">
      <c r="A151" s="305" t="s">
        <v>2722</v>
      </c>
      <c r="F151" s="189" t="s">
        <v>2532</v>
      </c>
      <c r="G151" s="189"/>
      <c r="H151" s="186"/>
      <c r="I151" s="186"/>
      <c r="J151" s="189" t="s">
        <v>4237</v>
      </c>
      <c r="K151" s="189"/>
      <c r="L151" s="189"/>
      <c r="M151" s="189"/>
      <c r="N151" s="189"/>
      <c r="O151" s="189"/>
      <c r="P151" s="186"/>
      <c r="Q151" s="4431">
        <v>0.35</v>
      </c>
      <c r="R151" s="4431"/>
    </row>
    <row r="152" spans="1:28" s="300" customFormat="1" ht="12.75" customHeight="1">
      <c r="A152" s="305"/>
      <c r="B152" s="189"/>
      <c r="C152" s="189"/>
      <c r="D152" s="186"/>
      <c r="E152" s="186"/>
      <c r="F152" s="189" t="s">
        <v>2723</v>
      </c>
      <c r="G152" s="189"/>
      <c r="H152" s="186"/>
      <c r="I152" s="186"/>
      <c r="J152" s="189" t="s">
        <v>2604</v>
      </c>
      <c r="K152" s="189"/>
      <c r="L152" s="189"/>
      <c r="M152" s="189"/>
      <c r="N152" s="189"/>
      <c r="O152" s="189"/>
      <c r="P152" s="186"/>
      <c r="Q152" s="4431" t="s">
        <v>2724</v>
      </c>
      <c r="R152" s="4431"/>
      <c r="S152" s="186"/>
      <c r="T152" s="186"/>
      <c r="U152" s="186"/>
      <c r="V152" s="1043"/>
      <c r="W152" s="1043"/>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3"/>
      <c r="W153" s="1043"/>
      <c r="X153" s="190"/>
      <c r="AA153" s="573"/>
      <c r="AB153" s="573"/>
    </row>
    <row r="154" spans="1:28" s="300" customFormat="1" ht="12.75" customHeight="1">
      <c r="A154" s="305" t="s">
        <v>3515</v>
      </c>
      <c r="B154" s="189"/>
      <c r="C154" s="189"/>
      <c r="D154" s="186"/>
      <c r="E154" s="186"/>
      <c r="F154" s="189" t="s">
        <v>3518</v>
      </c>
      <c r="G154" s="189"/>
      <c r="H154" s="186"/>
      <c r="I154" s="186"/>
      <c r="J154" s="189" t="s">
        <v>3519</v>
      </c>
      <c r="K154" s="189"/>
      <c r="L154" s="189"/>
      <c r="M154" s="189"/>
      <c r="N154" s="189"/>
      <c r="O154" s="189"/>
      <c r="P154" s="186"/>
      <c r="Q154" s="4431">
        <v>0.05</v>
      </c>
      <c r="R154" s="4431"/>
      <c r="S154" s="186"/>
      <c r="T154" s="186"/>
      <c r="U154" s="186"/>
      <c r="V154" s="1043"/>
      <c r="W154" s="1043"/>
      <c r="X154" s="190"/>
      <c r="AA154" s="573"/>
      <c r="AB154" s="573"/>
    </row>
    <row r="155" spans="1:28" s="300" customFormat="1" ht="12.75" customHeight="1">
      <c r="A155" s="305"/>
      <c r="B155" s="189"/>
      <c r="C155" s="189"/>
      <c r="D155" s="186"/>
      <c r="E155" s="186"/>
      <c r="F155" s="189"/>
      <c r="G155" s="189" t="s">
        <v>3516</v>
      </c>
      <c r="H155" s="186"/>
      <c r="I155" s="186"/>
      <c r="J155" s="189" t="s">
        <v>3520</v>
      </c>
      <c r="K155" s="189"/>
      <c r="L155" s="189"/>
      <c r="M155" s="189"/>
      <c r="N155" s="189"/>
      <c r="O155" s="189"/>
      <c r="P155" s="186"/>
      <c r="Q155" s="4431">
        <v>0.4</v>
      </c>
      <c r="R155" s="4431"/>
      <c r="S155" s="186"/>
      <c r="T155" s="186"/>
      <c r="U155" s="186"/>
      <c r="V155" s="1043"/>
      <c r="W155" s="1043"/>
      <c r="X155" s="190"/>
      <c r="AA155" s="573"/>
      <c r="AB155" s="573"/>
    </row>
    <row r="156" spans="1:28" s="300" customFormat="1" ht="12.75" customHeight="1">
      <c r="A156" s="305"/>
      <c r="B156" s="189"/>
      <c r="C156" s="189"/>
      <c r="D156" s="186"/>
      <c r="E156" s="186"/>
      <c r="F156" s="189" t="s">
        <v>3517</v>
      </c>
      <c r="G156" s="189"/>
      <c r="H156" s="186"/>
      <c r="I156" s="186"/>
      <c r="J156" s="189" t="s">
        <v>3519</v>
      </c>
      <c r="K156" s="189"/>
      <c r="L156" s="189"/>
      <c r="M156" s="189"/>
      <c r="N156" s="189"/>
      <c r="O156" s="189"/>
      <c r="P156" s="186"/>
      <c r="Q156" s="4431">
        <v>0.02</v>
      </c>
      <c r="R156" s="4431"/>
      <c r="S156" s="186"/>
      <c r="T156" s="186"/>
      <c r="U156" s="186"/>
      <c r="V156" s="1043"/>
      <c r="W156" s="1043"/>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3"/>
      <c r="W157" s="1043"/>
      <c r="X157" s="190"/>
      <c r="AA157" s="573"/>
      <c r="AB157" s="573"/>
    </row>
    <row r="158" spans="1:28" ht="13.35" customHeight="1">
      <c r="C158" s="189"/>
      <c r="D158" s="186"/>
      <c r="E158" s="317"/>
      <c r="F158" s="317"/>
      <c r="G158" s="317"/>
      <c r="H158" s="317"/>
      <c r="I158" s="317"/>
    </row>
    <row r="159" spans="1:28" ht="13.8">
      <c r="C159" s="189"/>
      <c r="D159" s="186"/>
      <c r="J159" s="436" t="s">
        <v>784</v>
      </c>
      <c r="K159" s="436"/>
      <c r="L159" s="298"/>
    </row>
    <row r="160" spans="1:28" ht="13.8">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38" t="s">
        <v>3835</v>
      </c>
      <c r="E169" s="312"/>
      <c r="F169" s="312"/>
    </row>
    <row r="170" spans="2:37" ht="10.5" customHeight="1">
      <c r="C170" s="4438"/>
      <c r="E170" s="312"/>
      <c r="F170" s="312"/>
    </row>
    <row r="171" spans="2:37" ht="10.5" customHeight="1">
      <c r="C171" s="4438"/>
      <c r="D171" s="1450" t="s">
        <v>4748</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2677</v>
      </c>
      <c r="N172" s="624" t="s">
        <v>3670</v>
      </c>
      <c r="O172" s="624" t="s">
        <v>3935</v>
      </c>
      <c r="P172" s="622" t="s">
        <v>2340</v>
      </c>
      <c r="Q172" s="622"/>
      <c r="R172" s="189"/>
      <c r="S172" s="445"/>
      <c r="T172" s="1762" t="s">
        <v>600</v>
      </c>
      <c r="U172" s="625" t="s">
        <v>601</v>
      </c>
      <c r="W172" s="654" t="s">
        <v>3278</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31" t="s">
        <v>1184</v>
      </c>
      <c r="H173" s="1131" t="s">
        <v>1185</v>
      </c>
      <c r="I173" s="1132" t="s">
        <v>1186</v>
      </c>
      <c r="J173" s="1132" t="s">
        <v>2545</v>
      </c>
      <c r="K173" s="1133" t="s">
        <v>1136</v>
      </c>
      <c r="L173" s="1134" t="s">
        <v>415</v>
      </c>
      <c r="M173" s="1295" t="s">
        <v>2532</v>
      </c>
      <c r="N173" s="1295" t="s">
        <v>1299</v>
      </c>
      <c r="O173" s="1525" t="s">
        <v>3936</v>
      </c>
      <c r="P173" s="626" t="s">
        <v>1490</v>
      </c>
      <c r="Q173" s="321"/>
      <c r="R173" s="189"/>
      <c r="S173" s="445"/>
      <c r="T173" s="560" t="s">
        <v>2676</v>
      </c>
      <c r="U173" s="560" t="s">
        <v>1575</v>
      </c>
      <c r="W173" s="490" t="s">
        <v>2341</v>
      </c>
      <c r="X173" s="490" t="s">
        <v>3279</v>
      </c>
      <c r="Z173" s="490"/>
      <c r="AA173" s="162"/>
      <c r="AB173" s="162"/>
      <c r="AC173" s="1038"/>
      <c r="AD173" s="573"/>
      <c r="AE173" s="162"/>
      <c r="AF173" s="162"/>
      <c r="AG173" s="162"/>
      <c r="AH173" s="162"/>
      <c r="AI173" s="162"/>
      <c r="AJ173" s="162"/>
      <c r="AK173" s="162"/>
    </row>
    <row r="174" spans="2:37" ht="10.5" customHeight="1">
      <c r="B174" s="312"/>
      <c r="C174" s="433" t="s">
        <v>1186</v>
      </c>
      <c r="D174" s="502">
        <v>49300</v>
      </c>
      <c r="E174" s="312"/>
      <c r="F174" s="312" t="s">
        <v>818</v>
      </c>
      <c r="G174" s="1131" t="s">
        <v>1733</v>
      </c>
      <c r="H174" s="1131" t="s">
        <v>1185</v>
      </c>
      <c r="I174" s="1132" t="s">
        <v>1734</v>
      </c>
      <c r="J174" s="1132" t="s">
        <v>2545</v>
      </c>
      <c r="K174" s="1133" t="s">
        <v>1137</v>
      </c>
      <c r="L174" s="1134" t="s">
        <v>415</v>
      </c>
      <c r="M174" s="1295" t="s">
        <v>2532</v>
      </c>
      <c r="N174" s="1295" t="s">
        <v>1654</v>
      </c>
      <c r="O174" s="1525" t="s">
        <v>3937</v>
      </c>
      <c r="P174" s="626" t="s">
        <v>1492</v>
      </c>
      <c r="Q174" s="321"/>
      <c r="R174" s="189"/>
      <c r="S174" s="445"/>
      <c r="T174" s="560" t="s">
        <v>2341</v>
      </c>
      <c r="U174" s="560" t="s">
        <v>1904</v>
      </c>
      <c r="W174" s="490" t="s">
        <v>1491</v>
      </c>
      <c r="X174" s="490" t="s">
        <v>3279</v>
      </c>
      <c r="Z174" s="490"/>
      <c r="AA174" s="162"/>
      <c r="AB174" s="162"/>
      <c r="AC174" s="1038"/>
      <c r="AD174" s="573"/>
      <c r="AE174" s="162"/>
      <c r="AF174" s="162"/>
      <c r="AG174" s="162"/>
      <c r="AH174" s="162"/>
      <c r="AI174" s="162"/>
      <c r="AJ174" s="162"/>
      <c r="AK174" s="162"/>
    </row>
    <row r="175" spans="2:37" ht="10.5" customHeight="1">
      <c r="B175" s="312"/>
      <c r="C175" s="433" t="s">
        <v>1014</v>
      </c>
      <c r="D175" s="502">
        <v>66700</v>
      </c>
      <c r="E175" s="312"/>
      <c r="F175" s="312" t="s">
        <v>821</v>
      </c>
      <c r="G175" s="1131" t="s">
        <v>1735</v>
      </c>
      <c r="H175" s="1131" t="s">
        <v>1185</v>
      </c>
      <c r="I175" s="1132" t="s">
        <v>1736</v>
      </c>
      <c r="J175" s="1132" t="s">
        <v>2545</v>
      </c>
      <c r="K175" s="1133" t="s">
        <v>1138</v>
      </c>
      <c r="L175" s="1134" t="s">
        <v>415</v>
      </c>
      <c r="M175" s="1295" t="s">
        <v>2532</v>
      </c>
      <c r="N175" s="1295" t="s">
        <v>1654</v>
      </c>
      <c r="O175" s="1525" t="s">
        <v>3938</v>
      </c>
      <c r="P175" s="626" t="s">
        <v>453</v>
      </c>
      <c r="Q175" s="321"/>
      <c r="R175" s="189"/>
      <c r="S175" s="445"/>
      <c r="T175" s="560" t="s">
        <v>1491</v>
      </c>
      <c r="U175" s="560" t="s">
        <v>2422</v>
      </c>
      <c r="W175" s="490" t="s">
        <v>923</v>
      </c>
      <c r="X175" s="490" t="s">
        <v>3279</v>
      </c>
      <c r="Z175" s="490"/>
      <c r="AA175" s="162"/>
      <c r="AB175" s="162"/>
      <c r="AC175" s="1038"/>
      <c r="AD175" s="573"/>
      <c r="AE175" s="162"/>
      <c r="AF175" s="162"/>
      <c r="AG175" s="162"/>
      <c r="AH175" s="162"/>
      <c r="AI175" s="162"/>
      <c r="AJ175" s="162"/>
      <c r="AK175" s="162"/>
    </row>
    <row r="176" spans="2:37" ht="10.5" customHeight="1">
      <c r="B176" s="312"/>
      <c r="C176" s="433" t="s">
        <v>1734</v>
      </c>
      <c r="D176" s="502">
        <v>37200</v>
      </c>
      <c r="E176" s="312"/>
      <c r="F176" s="312" t="s">
        <v>820</v>
      </c>
      <c r="G176" s="1131" t="s">
        <v>1737</v>
      </c>
      <c r="H176" s="1131" t="s">
        <v>1185</v>
      </c>
      <c r="I176" s="1135" t="s">
        <v>1738</v>
      </c>
      <c r="J176" s="1135" t="s">
        <v>2546</v>
      </c>
      <c r="K176" s="1133" t="s">
        <v>1139</v>
      </c>
      <c r="L176" s="1134" t="s">
        <v>416</v>
      </c>
      <c r="M176" s="1295" t="s">
        <v>1170</v>
      </c>
      <c r="N176" s="1295" t="s">
        <v>1738</v>
      </c>
      <c r="O176" s="1525" t="s">
        <v>3939</v>
      </c>
      <c r="P176" s="626" t="s">
        <v>2032</v>
      </c>
      <c r="Q176" s="321"/>
      <c r="R176" s="189"/>
      <c r="S176" s="445"/>
      <c r="T176" s="560" t="s">
        <v>923</v>
      </c>
      <c r="U176" s="560" t="s">
        <v>1287</v>
      </c>
      <c r="W176" s="490" t="s">
        <v>2033</v>
      </c>
      <c r="X176" s="490" t="s">
        <v>3279</v>
      </c>
      <c r="Z176" s="490"/>
      <c r="AA176" s="162"/>
      <c r="AB176" s="162"/>
      <c r="AC176" s="1038"/>
      <c r="AD176" s="573"/>
      <c r="AE176" s="162"/>
      <c r="AF176" s="162"/>
      <c r="AG176" s="162"/>
      <c r="AH176" s="162"/>
      <c r="AI176" s="162"/>
      <c r="AJ176" s="162"/>
      <c r="AK176" s="162"/>
    </row>
    <row r="177" spans="2:37" ht="10.5" customHeight="1">
      <c r="B177" s="312"/>
      <c r="C177" s="433" t="s">
        <v>746</v>
      </c>
      <c r="D177" s="502">
        <v>79700</v>
      </c>
      <c r="E177" s="312"/>
      <c r="F177" s="312" t="s">
        <v>822</v>
      </c>
      <c r="G177" s="1131" t="s">
        <v>1739</v>
      </c>
      <c r="H177" s="1131" t="s">
        <v>1185</v>
      </c>
      <c r="I177" s="1135" t="s">
        <v>152</v>
      </c>
      <c r="J177" s="1135" t="s">
        <v>2545</v>
      </c>
      <c r="K177" s="1133" t="s">
        <v>1140</v>
      </c>
      <c r="L177" s="1134" t="s">
        <v>415</v>
      </c>
      <c r="M177" s="1295" t="s">
        <v>2532</v>
      </c>
      <c r="N177" s="1295" t="s">
        <v>1293</v>
      </c>
      <c r="O177" s="1525" t="s">
        <v>3940</v>
      </c>
      <c r="P177" s="626" t="s">
        <v>2034</v>
      </c>
      <c r="Q177" s="321"/>
      <c r="R177" s="189"/>
      <c r="S177" s="445"/>
      <c r="T177" s="560" t="s">
        <v>454</v>
      </c>
      <c r="U177" s="560" t="s">
        <v>2463</v>
      </c>
      <c r="W177" s="490" t="s">
        <v>2037</v>
      </c>
      <c r="X177" s="490" t="s">
        <v>3279</v>
      </c>
      <c r="Z177" s="490"/>
      <c r="AA177" s="162"/>
      <c r="AB177" s="162"/>
      <c r="AC177" s="1038"/>
      <c r="AD177" s="573"/>
      <c r="AE177" s="162"/>
      <c r="AF177" s="162"/>
      <c r="AG177" s="162"/>
      <c r="AH177" s="162"/>
      <c r="AI177" s="162"/>
      <c r="AJ177" s="162"/>
      <c r="AK177" s="162"/>
    </row>
    <row r="178" spans="2:37" ht="10.5" customHeight="1">
      <c r="B178" s="312"/>
      <c r="C178" s="433" t="s">
        <v>747</v>
      </c>
      <c r="D178" s="502">
        <v>62800</v>
      </c>
      <c r="E178" s="312"/>
      <c r="F178" s="312" t="s">
        <v>823</v>
      </c>
      <c r="G178" s="1131" t="s">
        <v>1283</v>
      </c>
      <c r="H178" s="1131" t="s">
        <v>1284</v>
      </c>
      <c r="I178" s="1132" t="s">
        <v>1285</v>
      </c>
      <c r="J178" s="1132" t="s">
        <v>2545</v>
      </c>
      <c r="K178" s="1133" t="s">
        <v>1776</v>
      </c>
      <c r="L178" s="1134" t="s">
        <v>415</v>
      </c>
      <c r="M178" s="1295" t="s">
        <v>2532</v>
      </c>
      <c r="N178" s="1295" t="s">
        <v>162</v>
      </c>
      <c r="O178" s="1525" t="s">
        <v>3941</v>
      </c>
      <c r="P178" s="626" t="s">
        <v>2036</v>
      </c>
      <c r="Q178" s="321"/>
      <c r="R178" s="189"/>
      <c r="S178" s="445"/>
      <c r="T178" s="560" t="s">
        <v>2033</v>
      </c>
      <c r="U178" s="560" t="s">
        <v>327</v>
      </c>
      <c r="W178" s="490" t="s">
        <v>1738</v>
      </c>
      <c r="X178" s="490" t="s">
        <v>3279</v>
      </c>
      <c r="Z178" s="490"/>
      <c r="AA178" s="162"/>
      <c r="AB178" s="162"/>
      <c r="AC178" s="1038"/>
      <c r="AD178" s="573"/>
      <c r="AE178" s="162"/>
      <c r="AF178" s="162"/>
      <c r="AG178" s="162"/>
      <c r="AH178" s="162"/>
      <c r="AI178" s="162"/>
      <c r="AJ178" s="162"/>
      <c r="AK178" s="162"/>
    </row>
    <row r="179" spans="2:37" ht="10.5" customHeight="1">
      <c r="B179" s="312"/>
      <c r="C179" s="433" t="s">
        <v>1736</v>
      </c>
      <c r="D179" s="502">
        <v>49000</v>
      </c>
      <c r="E179" s="312"/>
      <c r="F179" s="312" t="s">
        <v>824</v>
      </c>
      <c r="G179" s="1131" t="s">
        <v>1286</v>
      </c>
      <c r="H179" s="1131" t="s">
        <v>1284</v>
      </c>
      <c r="I179" s="1135" t="s">
        <v>746</v>
      </c>
      <c r="J179" s="1135" t="s">
        <v>2546</v>
      </c>
      <c r="K179" s="1133" t="s">
        <v>2510</v>
      </c>
      <c r="L179" s="1134" t="s">
        <v>416</v>
      </c>
      <c r="M179" s="1295" t="s">
        <v>1170</v>
      </c>
      <c r="N179" s="1295" t="s">
        <v>1179</v>
      </c>
      <c r="O179" s="1525" t="s">
        <v>3942</v>
      </c>
      <c r="P179" s="626" t="s">
        <v>2038</v>
      </c>
      <c r="Q179" s="321"/>
      <c r="R179" s="189"/>
      <c r="S179" s="445"/>
      <c r="T179" s="560" t="s">
        <v>2035</v>
      </c>
      <c r="U179" s="560" t="s">
        <v>180</v>
      </c>
      <c r="W179" s="490" t="s">
        <v>435</v>
      </c>
      <c r="X179" s="490" t="s">
        <v>3279</v>
      </c>
      <c r="Z179" s="490"/>
      <c r="AA179" s="162"/>
      <c r="AB179" s="162"/>
      <c r="AC179" s="1038"/>
      <c r="AD179" s="573"/>
      <c r="AE179" s="162"/>
      <c r="AF179" s="162"/>
      <c r="AG179" s="162"/>
      <c r="AH179" s="162"/>
      <c r="AI179" s="162"/>
      <c r="AJ179" s="162"/>
      <c r="AK179" s="162"/>
    </row>
    <row r="180" spans="2:37" ht="10.5" customHeight="1">
      <c r="B180" s="312"/>
      <c r="C180" s="433" t="s">
        <v>152</v>
      </c>
      <c r="D180" s="502">
        <v>53400</v>
      </c>
      <c r="E180" s="312"/>
      <c r="F180" s="312" t="s">
        <v>826</v>
      </c>
      <c r="G180" s="1131" t="s">
        <v>1287</v>
      </c>
      <c r="H180" s="1131" t="s">
        <v>1284</v>
      </c>
      <c r="I180" s="1135" t="s">
        <v>746</v>
      </c>
      <c r="J180" s="1135" t="s">
        <v>2546</v>
      </c>
      <c r="K180" s="1133" t="s">
        <v>2510</v>
      </c>
      <c r="L180" s="1134" t="s">
        <v>416</v>
      </c>
      <c r="M180" s="1295" t="s">
        <v>1170</v>
      </c>
      <c r="N180" s="1295" t="s">
        <v>1179</v>
      </c>
      <c r="O180" s="1525" t="s">
        <v>3943</v>
      </c>
      <c r="P180" s="626" t="s">
        <v>2040</v>
      </c>
      <c r="Q180" s="321"/>
      <c r="R180" s="189"/>
      <c r="S180" s="445"/>
      <c r="T180" s="560" t="s">
        <v>2037</v>
      </c>
      <c r="U180" s="560" t="s">
        <v>109</v>
      </c>
      <c r="W180" s="490" t="s">
        <v>437</v>
      </c>
      <c r="X180" s="490" t="s">
        <v>3279</v>
      </c>
      <c r="Z180" s="490"/>
      <c r="AA180" s="162"/>
      <c r="AB180" s="162"/>
      <c r="AC180" s="1038"/>
      <c r="AD180" s="573"/>
      <c r="AE180" s="162"/>
      <c r="AF180" s="162"/>
      <c r="AG180" s="162"/>
      <c r="AH180" s="162"/>
      <c r="AI180" s="162"/>
      <c r="AJ180" s="162"/>
      <c r="AK180" s="162"/>
    </row>
    <row r="181" spans="2:37" ht="10.5" customHeight="1">
      <c r="B181" s="312"/>
      <c r="C181" s="433" t="s">
        <v>1285</v>
      </c>
      <c r="D181" s="502">
        <v>53200</v>
      </c>
      <c r="E181" s="312"/>
      <c r="F181" s="312" t="s">
        <v>825</v>
      </c>
      <c r="G181" s="1131" t="s">
        <v>1288</v>
      </c>
      <c r="H181" s="1131" t="s">
        <v>1185</v>
      </c>
      <c r="I181" s="1132" t="s">
        <v>1289</v>
      </c>
      <c r="J181" s="1132" t="s">
        <v>2545</v>
      </c>
      <c r="K181" s="1133" t="s">
        <v>2511</v>
      </c>
      <c r="L181" s="1134" t="s">
        <v>415</v>
      </c>
      <c r="M181" s="1295" t="s">
        <v>2532</v>
      </c>
      <c r="N181" s="1295" t="s">
        <v>1738</v>
      </c>
      <c r="O181" s="1525" t="s">
        <v>3944</v>
      </c>
      <c r="P181" s="626" t="s">
        <v>1915</v>
      </c>
      <c r="Q181" s="589"/>
      <c r="R181" s="189"/>
      <c r="S181" s="445"/>
      <c r="T181" s="560" t="s">
        <v>2039</v>
      </c>
      <c r="U181" s="560" t="s">
        <v>1290</v>
      </c>
      <c r="W181" s="490" t="s">
        <v>1802</v>
      </c>
      <c r="X181" s="490" t="s">
        <v>3279</v>
      </c>
      <c r="Z181" s="490"/>
      <c r="AA181" s="162"/>
      <c r="AB181" s="162"/>
      <c r="AC181" s="1038"/>
      <c r="AD181" s="573"/>
      <c r="AE181" s="162"/>
      <c r="AF181" s="162"/>
      <c r="AG181" s="162"/>
      <c r="AH181" s="162"/>
      <c r="AI181" s="162"/>
      <c r="AJ181" s="162"/>
      <c r="AK181" s="162"/>
    </row>
    <row r="182" spans="2:37" ht="10.5" customHeight="1">
      <c r="B182" s="312"/>
      <c r="C182" s="434" t="s">
        <v>1017</v>
      </c>
      <c r="D182" s="502">
        <v>40400</v>
      </c>
      <c r="E182" s="312"/>
      <c r="F182" s="312" t="s">
        <v>827</v>
      </c>
      <c r="G182" s="1131" t="s">
        <v>1290</v>
      </c>
      <c r="H182" s="1131" t="s">
        <v>1185</v>
      </c>
      <c r="I182" s="1132" t="s">
        <v>1291</v>
      </c>
      <c r="J182" s="1132" t="s">
        <v>2545</v>
      </c>
      <c r="K182" s="1133" t="s">
        <v>2512</v>
      </c>
      <c r="L182" s="1134" t="s">
        <v>415</v>
      </c>
      <c r="M182" s="1295" t="s">
        <v>2532</v>
      </c>
      <c r="N182" s="1295" t="s">
        <v>1654</v>
      </c>
      <c r="O182" s="1525" t="s">
        <v>3945</v>
      </c>
      <c r="P182" s="626" t="s">
        <v>176</v>
      </c>
      <c r="Q182" s="589"/>
      <c r="R182" s="312"/>
      <c r="S182" s="445"/>
      <c r="T182" s="560" t="s">
        <v>1738</v>
      </c>
      <c r="U182" s="560" t="s">
        <v>933</v>
      </c>
      <c r="W182" s="490" t="s">
        <v>2482</v>
      </c>
      <c r="X182" s="490" t="s">
        <v>3279</v>
      </c>
      <c r="Z182" s="490"/>
      <c r="AA182" s="162"/>
      <c r="AB182" s="162"/>
      <c r="AC182" s="1038"/>
      <c r="AD182" s="573"/>
      <c r="AE182" s="162"/>
      <c r="AF182" s="162"/>
      <c r="AG182" s="162"/>
      <c r="AH182" s="162"/>
      <c r="AI182" s="162"/>
      <c r="AJ182" s="162"/>
      <c r="AK182" s="162"/>
    </row>
    <row r="183" spans="2:37" ht="10.5" customHeight="1">
      <c r="B183" s="312"/>
      <c r="C183" s="434" t="s">
        <v>1291</v>
      </c>
      <c r="D183" s="502">
        <v>45800</v>
      </c>
      <c r="E183" s="312"/>
      <c r="F183" s="312" t="s">
        <v>828</v>
      </c>
      <c r="G183" s="1131" t="s">
        <v>1292</v>
      </c>
      <c r="H183" s="1131" t="s">
        <v>1752</v>
      </c>
      <c r="I183" s="1135" t="s">
        <v>1293</v>
      </c>
      <c r="J183" s="1135" t="s">
        <v>2546</v>
      </c>
      <c r="K183" s="1133" t="s">
        <v>2513</v>
      </c>
      <c r="L183" s="1134" t="s">
        <v>416</v>
      </c>
      <c r="M183" s="1295" t="s">
        <v>1170</v>
      </c>
      <c r="N183" s="1295" t="s">
        <v>1293</v>
      </c>
      <c r="O183" s="1525" t="s">
        <v>3946</v>
      </c>
      <c r="P183" s="626" t="s">
        <v>178</v>
      </c>
      <c r="Q183" s="589"/>
      <c r="R183" s="189"/>
      <c r="S183" s="445"/>
      <c r="T183" s="560" t="s">
        <v>1916</v>
      </c>
      <c r="U183" s="560" t="s">
        <v>421</v>
      </c>
      <c r="W183" s="490" t="s">
        <v>2488</v>
      </c>
      <c r="X183" s="490" t="s">
        <v>3279</v>
      </c>
      <c r="Z183" s="490"/>
      <c r="AA183" s="162"/>
      <c r="AB183" s="162"/>
      <c r="AC183" s="1038"/>
      <c r="AD183" s="573"/>
      <c r="AE183" s="162"/>
      <c r="AF183" s="162"/>
      <c r="AG183" s="162"/>
      <c r="AH183" s="162"/>
      <c r="AI183" s="162"/>
      <c r="AJ183" s="162"/>
      <c r="AK183" s="162"/>
    </row>
    <row r="184" spans="2:37" ht="10.5" customHeight="1">
      <c r="B184" s="312"/>
      <c r="C184" s="434" t="s">
        <v>1295</v>
      </c>
      <c r="D184" s="502">
        <v>52600</v>
      </c>
      <c r="E184" s="312"/>
      <c r="F184" s="312" t="s">
        <v>829</v>
      </c>
      <c r="G184" s="1131" t="s">
        <v>1294</v>
      </c>
      <c r="H184" s="1131" t="s">
        <v>1185</v>
      </c>
      <c r="I184" s="1135" t="s">
        <v>1295</v>
      </c>
      <c r="J184" s="1135" t="s">
        <v>2545</v>
      </c>
      <c r="K184" s="1133" t="s">
        <v>2514</v>
      </c>
      <c r="L184" s="1134" t="s">
        <v>415</v>
      </c>
      <c r="M184" s="1295" t="s">
        <v>2532</v>
      </c>
      <c r="N184" s="1295" t="s">
        <v>1293</v>
      </c>
      <c r="O184" s="1525" t="s">
        <v>3947</v>
      </c>
      <c r="P184" s="626" t="s">
        <v>434</v>
      </c>
      <c r="Q184" s="321"/>
      <c r="R184" s="189"/>
      <c r="S184" s="445"/>
      <c r="T184" s="560" t="s">
        <v>177</v>
      </c>
      <c r="U184" s="560" t="s">
        <v>1427</v>
      </c>
      <c r="W184" s="490" t="s">
        <v>2493</v>
      </c>
      <c r="X184" s="490" t="s">
        <v>3279</v>
      </c>
      <c r="Z184" s="490"/>
      <c r="AA184" s="162"/>
      <c r="AB184" s="162"/>
      <c r="AC184" s="1038"/>
      <c r="AD184" s="573"/>
      <c r="AE184" s="162"/>
      <c r="AF184" s="162"/>
      <c r="AG184" s="162"/>
      <c r="AH184" s="162"/>
      <c r="AI184" s="162"/>
      <c r="AJ184" s="162"/>
      <c r="AK184" s="162"/>
    </row>
    <row r="185" spans="2:37" ht="10.5" customHeight="1">
      <c r="B185" s="312"/>
      <c r="C185" s="433" t="s">
        <v>9</v>
      </c>
      <c r="D185" s="502">
        <v>58000</v>
      </c>
      <c r="E185" s="312"/>
      <c r="F185" s="312" t="s">
        <v>833</v>
      </c>
      <c r="G185" s="1131" t="s">
        <v>1296</v>
      </c>
      <c r="H185" s="1131" t="s">
        <v>1185</v>
      </c>
      <c r="I185" s="1132" t="s">
        <v>9</v>
      </c>
      <c r="J185" s="1132" t="s">
        <v>2546</v>
      </c>
      <c r="K185" s="1133" t="s">
        <v>2515</v>
      </c>
      <c r="L185" s="1134" t="s">
        <v>416</v>
      </c>
      <c r="M185" s="1295" t="s">
        <v>1170</v>
      </c>
      <c r="N185" s="1295" t="s">
        <v>1654</v>
      </c>
      <c r="O185" s="1525" t="s">
        <v>3948</v>
      </c>
      <c r="P185" s="626" t="s">
        <v>436</v>
      </c>
      <c r="Q185" s="321"/>
      <c r="R185" s="189"/>
      <c r="S185" s="445"/>
      <c r="T185" s="560" t="s">
        <v>179</v>
      </c>
      <c r="U185" s="560" t="s">
        <v>2337</v>
      </c>
      <c r="W185" s="490" t="s">
        <v>162</v>
      </c>
      <c r="X185" s="490" t="s">
        <v>3279</v>
      </c>
      <c r="Z185" s="490"/>
      <c r="AA185" s="162"/>
      <c r="AB185" s="162"/>
      <c r="AC185" s="1038"/>
      <c r="AD185" s="573"/>
      <c r="AE185" s="162"/>
      <c r="AF185" s="162"/>
      <c r="AG185" s="162"/>
      <c r="AH185" s="162"/>
      <c r="AI185" s="162"/>
      <c r="AJ185" s="162"/>
      <c r="AK185" s="162"/>
    </row>
    <row r="186" spans="2:37" ht="10.5" customHeight="1">
      <c r="B186" s="312"/>
      <c r="C186" s="434" t="s">
        <v>1301</v>
      </c>
      <c r="D186" s="502">
        <v>55000</v>
      </c>
      <c r="E186" s="312"/>
      <c r="F186" s="312" t="s">
        <v>830</v>
      </c>
      <c r="G186" s="1131" t="s">
        <v>1297</v>
      </c>
      <c r="H186" s="1131" t="s">
        <v>1185</v>
      </c>
      <c r="I186" s="1132" t="s">
        <v>1654</v>
      </c>
      <c r="J186" s="1132" t="s">
        <v>2546</v>
      </c>
      <c r="K186" s="1133" t="s">
        <v>2516</v>
      </c>
      <c r="L186" s="1134" t="s">
        <v>416</v>
      </c>
      <c r="M186" s="1295" t="s">
        <v>1170</v>
      </c>
      <c r="N186" s="1295" t="s">
        <v>1654</v>
      </c>
      <c r="O186" s="1525" t="s">
        <v>3949</v>
      </c>
      <c r="P186" s="626" t="s">
        <v>438</v>
      </c>
      <c r="Q186" s="321"/>
      <c r="R186" s="189"/>
      <c r="S186" s="445"/>
      <c r="T186" s="560" t="s">
        <v>435</v>
      </c>
      <c r="U186" s="560" t="s">
        <v>1735</v>
      </c>
      <c r="W186" s="490" t="s">
        <v>1179</v>
      </c>
      <c r="X186" s="490" t="s">
        <v>3279</v>
      </c>
      <c r="Z186" s="490"/>
      <c r="AA186" s="162"/>
      <c r="AB186" s="162"/>
      <c r="AC186" s="1038"/>
      <c r="AD186" s="573"/>
      <c r="AE186" s="162"/>
      <c r="AF186" s="162"/>
      <c r="AG186" s="162"/>
      <c r="AH186" s="162"/>
      <c r="AI186" s="162"/>
      <c r="AJ186" s="162"/>
      <c r="AK186" s="162"/>
    </row>
    <row r="187" spans="2:37" ht="10.5" customHeight="1">
      <c r="B187" s="312"/>
      <c r="C187" s="433" t="s">
        <v>1015</v>
      </c>
      <c r="D187" s="502">
        <v>56500</v>
      </c>
      <c r="E187" s="312"/>
      <c r="F187" s="312" t="s">
        <v>831</v>
      </c>
      <c r="G187" s="1131" t="s">
        <v>1298</v>
      </c>
      <c r="H187" s="1131" t="s">
        <v>1185</v>
      </c>
      <c r="I187" s="1135" t="s">
        <v>1299</v>
      </c>
      <c r="J187" s="1135" t="s">
        <v>2546</v>
      </c>
      <c r="K187" s="1133" t="s">
        <v>1434</v>
      </c>
      <c r="L187" s="1134" t="s">
        <v>416</v>
      </c>
      <c r="M187" s="1295" t="s">
        <v>1170</v>
      </c>
      <c r="N187" s="1295" t="s">
        <v>1299</v>
      </c>
      <c r="O187" s="1525" t="s">
        <v>3950</v>
      </c>
      <c r="P187" s="626" t="s">
        <v>440</v>
      </c>
      <c r="Q187" s="321"/>
      <c r="R187" s="189"/>
      <c r="S187" s="445"/>
      <c r="T187" s="560" t="s">
        <v>437</v>
      </c>
      <c r="U187" s="560" t="s">
        <v>1180</v>
      </c>
      <c r="W187" s="490" t="s">
        <v>2023</v>
      </c>
      <c r="X187" s="490" t="s">
        <v>3279</v>
      </c>
      <c r="Z187" s="490"/>
      <c r="AA187" s="162"/>
      <c r="AB187" s="162"/>
      <c r="AC187" s="1038"/>
      <c r="AD187" s="573"/>
      <c r="AE187" s="162"/>
      <c r="AF187" s="162"/>
      <c r="AG187" s="162"/>
      <c r="AH187" s="162"/>
      <c r="AI187" s="162"/>
      <c r="AJ187" s="162"/>
      <c r="AK187" s="162"/>
    </row>
    <row r="188" spans="2:37" ht="10.5" customHeight="1">
      <c r="B188" s="312"/>
      <c r="C188" s="434" t="s">
        <v>1306</v>
      </c>
      <c r="D188" s="502">
        <v>35400</v>
      </c>
      <c r="E188" s="312"/>
      <c r="F188" s="312" t="s">
        <v>832</v>
      </c>
      <c r="G188" s="1131" t="s">
        <v>1300</v>
      </c>
      <c r="H188" s="1131" t="s">
        <v>1185</v>
      </c>
      <c r="I188" s="1135" t="s">
        <v>1301</v>
      </c>
      <c r="J188" s="1135" t="s">
        <v>2545</v>
      </c>
      <c r="K188" s="1133" t="s">
        <v>2530</v>
      </c>
      <c r="L188" s="1134" t="s">
        <v>415</v>
      </c>
      <c r="M188" s="1295" t="s">
        <v>2532</v>
      </c>
      <c r="N188" s="1295" t="s">
        <v>1299</v>
      </c>
      <c r="O188" s="1525" t="s">
        <v>3951</v>
      </c>
      <c r="P188" s="626" t="s">
        <v>2204</v>
      </c>
      <c r="Q188" s="321"/>
      <c r="R188" s="189"/>
      <c r="S188" s="445"/>
      <c r="T188" s="560" t="s">
        <v>439</v>
      </c>
      <c r="U188" s="560" t="s">
        <v>180</v>
      </c>
      <c r="W188" s="490" t="s">
        <v>1303</v>
      </c>
      <c r="X188" s="490" t="s">
        <v>3279</v>
      </c>
      <c r="Z188" s="490"/>
      <c r="AA188" s="162"/>
      <c r="AB188" s="162"/>
      <c r="AC188" s="1038"/>
      <c r="AD188" s="573"/>
      <c r="AE188" s="162"/>
      <c r="AF188" s="162"/>
      <c r="AG188" s="162"/>
      <c r="AH188" s="162"/>
      <c r="AI188" s="162"/>
      <c r="AJ188" s="162"/>
      <c r="AK188" s="162"/>
    </row>
    <row r="189" spans="2:37" ht="10.5" customHeight="1">
      <c r="B189" s="312"/>
      <c r="C189" s="434" t="s">
        <v>712</v>
      </c>
      <c r="D189" s="502">
        <v>64400</v>
      </c>
      <c r="E189" s="312"/>
      <c r="F189" s="312" t="s">
        <v>834</v>
      </c>
      <c r="G189" s="1131" t="s">
        <v>1302</v>
      </c>
      <c r="H189" s="1131" t="s">
        <v>1185</v>
      </c>
      <c r="I189" s="1135" t="s">
        <v>747</v>
      </c>
      <c r="J189" s="1135" t="s">
        <v>2546</v>
      </c>
      <c r="K189" s="1133" t="s">
        <v>2531</v>
      </c>
      <c r="L189" s="1134" t="s">
        <v>416</v>
      </c>
      <c r="M189" s="1295" t="s">
        <v>2532</v>
      </c>
      <c r="N189" s="1295" t="s">
        <v>1303</v>
      </c>
      <c r="O189" s="1525" t="s">
        <v>3952</v>
      </c>
      <c r="P189" s="626" t="s">
        <v>2206</v>
      </c>
      <c r="Q189" s="321"/>
      <c r="R189" s="189"/>
      <c r="S189" s="445"/>
      <c r="T189" s="560" t="s">
        <v>441</v>
      </c>
      <c r="U189" s="560" t="s">
        <v>119</v>
      </c>
      <c r="W189" s="490" t="s">
        <v>2026</v>
      </c>
      <c r="X189" s="490" t="s">
        <v>3279</v>
      </c>
      <c r="Z189" s="490"/>
      <c r="AA189" s="162"/>
      <c r="AB189" s="162"/>
      <c r="AC189" s="1038"/>
      <c r="AD189" s="573"/>
      <c r="AE189" s="162"/>
      <c r="AF189" s="162"/>
      <c r="AG189" s="162"/>
      <c r="AH189" s="162"/>
      <c r="AI189" s="162"/>
      <c r="AJ189" s="162"/>
      <c r="AK189" s="162"/>
    </row>
    <row r="190" spans="2:37" ht="10.5" customHeight="1">
      <c r="B190" s="312"/>
      <c r="C190" s="434" t="s">
        <v>714</v>
      </c>
      <c r="D190" s="502">
        <v>39500</v>
      </c>
      <c r="E190" s="312"/>
      <c r="F190" s="312" t="s">
        <v>835</v>
      </c>
      <c r="G190" s="1131" t="s">
        <v>1304</v>
      </c>
      <c r="H190" s="1131" t="s">
        <v>1284</v>
      </c>
      <c r="I190" s="1135" t="s">
        <v>1015</v>
      </c>
      <c r="J190" s="1135" t="s">
        <v>2546</v>
      </c>
      <c r="K190" s="1133" t="s">
        <v>1231</v>
      </c>
      <c r="L190" s="1134" t="s">
        <v>416</v>
      </c>
      <c r="M190" s="1295" t="s">
        <v>2532</v>
      </c>
      <c r="N190" s="1295" t="s">
        <v>1179</v>
      </c>
      <c r="O190" s="1525" t="s">
        <v>3953</v>
      </c>
      <c r="P190" s="626" t="s">
        <v>362</v>
      </c>
      <c r="Q190" s="321"/>
      <c r="R190" s="189"/>
      <c r="S190" s="445"/>
      <c r="T190" s="560" t="s">
        <v>2205</v>
      </c>
      <c r="U190" s="560" t="s">
        <v>2423</v>
      </c>
      <c r="W190" s="490" t="s">
        <v>2058</v>
      </c>
      <c r="X190" s="490" t="s">
        <v>3279</v>
      </c>
      <c r="Z190" s="490"/>
      <c r="AA190" s="162"/>
      <c r="AB190" s="162"/>
      <c r="AC190" s="1038"/>
      <c r="AD190" s="573"/>
      <c r="AE190" s="162"/>
      <c r="AF190" s="162"/>
      <c r="AG190" s="162"/>
      <c r="AH190" s="162"/>
      <c r="AI190" s="162"/>
      <c r="AJ190" s="162"/>
      <c r="AK190" s="162"/>
    </row>
    <row r="191" spans="2:37" ht="10.5" customHeight="1">
      <c r="B191" s="312"/>
      <c r="C191" s="433" t="s">
        <v>154</v>
      </c>
      <c r="D191" s="502">
        <v>57400</v>
      </c>
      <c r="E191" s="312"/>
      <c r="F191" s="312" t="s">
        <v>836</v>
      </c>
      <c r="G191" s="1131" t="s">
        <v>1305</v>
      </c>
      <c r="H191" s="1131" t="s">
        <v>1185</v>
      </c>
      <c r="I191" s="1132" t="s">
        <v>1306</v>
      </c>
      <c r="J191" s="1132" t="s">
        <v>2545</v>
      </c>
      <c r="K191" s="1133" t="s">
        <v>1232</v>
      </c>
      <c r="L191" s="1134" t="s">
        <v>415</v>
      </c>
      <c r="M191" s="1295" t="s">
        <v>2532</v>
      </c>
      <c r="N191" s="1295" t="s">
        <v>1738</v>
      </c>
      <c r="O191" s="1525" t="s">
        <v>3954</v>
      </c>
      <c r="P191" s="626" t="s">
        <v>364</v>
      </c>
      <c r="Q191" s="321"/>
      <c r="R191" s="189"/>
      <c r="S191" s="445"/>
      <c r="T191" s="560" t="s">
        <v>1802</v>
      </c>
      <c r="U191" s="560" t="s">
        <v>2127</v>
      </c>
      <c r="W191" s="490" t="s">
        <v>2062</v>
      </c>
      <c r="X191" s="490" t="s">
        <v>3279</v>
      </c>
      <c r="Z191" s="490"/>
      <c r="AA191" s="162"/>
      <c r="AB191" s="162"/>
      <c r="AC191" s="1038"/>
      <c r="AD191" s="573"/>
      <c r="AE191" s="162"/>
      <c r="AF191" s="162"/>
      <c r="AG191" s="162"/>
      <c r="AH191" s="162"/>
      <c r="AI191" s="162"/>
      <c r="AJ191" s="162"/>
      <c r="AK191" s="162"/>
    </row>
    <row r="192" spans="2:37" ht="10.5" customHeight="1">
      <c r="B192" s="312"/>
      <c r="C192" s="433" t="s">
        <v>1489</v>
      </c>
      <c r="D192" s="502">
        <v>70100</v>
      </c>
      <c r="E192" s="312"/>
      <c r="F192" s="312" t="s">
        <v>839</v>
      </c>
      <c r="G192" s="1131" t="s">
        <v>1307</v>
      </c>
      <c r="H192" s="1131" t="s">
        <v>1185</v>
      </c>
      <c r="I192" s="1135" t="s">
        <v>712</v>
      </c>
      <c r="J192" s="1135" t="s">
        <v>2545</v>
      </c>
      <c r="K192" s="1133" t="s">
        <v>1233</v>
      </c>
      <c r="L192" s="1134" t="s">
        <v>415</v>
      </c>
      <c r="M192" s="1295" t="s">
        <v>2532</v>
      </c>
      <c r="N192" s="1295" t="s">
        <v>1654</v>
      </c>
      <c r="O192" s="1525" t="s">
        <v>3955</v>
      </c>
      <c r="P192" s="626" t="s">
        <v>2479</v>
      </c>
      <c r="Q192" s="321"/>
      <c r="R192" s="189"/>
      <c r="S192" s="445"/>
      <c r="T192" s="560" t="s">
        <v>363</v>
      </c>
      <c r="U192" s="560" t="s">
        <v>2127</v>
      </c>
      <c r="W192" s="490" t="s">
        <v>1739</v>
      </c>
      <c r="X192" s="490" t="s">
        <v>3279</v>
      </c>
      <c r="Z192" s="490"/>
      <c r="AA192" s="162"/>
      <c r="AB192" s="162"/>
      <c r="AC192" s="1038"/>
      <c r="AD192" s="573"/>
      <c r="AE192" s="162"/>
      <c r="AF192" s="162"/>
      <c r="AG192" s="162"/>
      <c r="AH192" s="162"/>
      <c r="AI192" s="162"/>
      <c r="AJ192" s="162"/>
      <c r="AK192" s="162"/>
    </row>
    <row r="193" spans="2:37" ht="10.5" customHeight="1">
      <c r="B193" s="312"/>
      <c r="C193" s="433" t="s">
        <v>159</v>
      </c>
      <c r="D193" s="502">
        <v>44500</v>
      </c>
      <c r="E193" s="312"/>
      <c r="F193" s="312" t="s">
        <v>838</v>
      </c>
      <c r="G193" s="1131" t="s">
        <v>713</v>
      </c>
      <c r="H193" s="1131" t="s">
        <v>1185</v>
      </c>
      <c r="I193" s="1132" t="s">
        <v>714</v>
      </c>
      <c r="J193" s="1132" t="s">
        <v>2545</v>
      </c>
      <c r="K193" s="1133" t="s">
        <v>1669</v>
      </c>
      <c r="L193" s="1134" t="s">
        <v>415</v>
      </c>
      <c r="M193" s="1295" t="s">
        <v>2532</v>
      </c>
      <c r="N193" s="1295" t="s">
        <v>1299</v>
      </c>
      <c r="O193" s="1525" t="s">
        <v>3956</v>
      </c>
      <c r="P193" s="626" t="s">
        <v>2481</v>
      </c>
      <c r="Q193" s="321"/>
      <c r="R193" s="189"/>
      <c r="S193" s="445"/>
      <c r="T193" s="560" t="s">
        <v>1184</v>
      </c>
      <c r="U193" s="560" t="s">
        <v>2462</v>
      </c>
      <c r="W193" s="490" t="s">
        <v>985</v>
      </c>
      <c r="X193" s="490" t="s">
        <v>3279</v>
      </c>
      <c r="Z193" s="490"/>
      <c r="AA193" s="162"/>
      <c r="AB193" s="162"/>
      <c r="AC193" s="1038"/>
      <c r="AD193" s="573"/>
      <c r="AE193" s="162"/>
      <c r="AF193" s="162"/>
      <c r="AG193" s="162"/>
      <c r="AH193" s="162"/>
      <c r="AI193" s="162"/>
      <c r="AJ193" s="162"/>
      <c r="AK193" s="162"/>
    </row>
    <row r="194" spans="2:37" ht="10.5" customHeight="1">
      <c r="B194" s="312"/>
      <c r="C194" s="433" t="s">
        <v>2418</v>
      </c>
      <c r="D194" s="502">
        <v>37700</v>
      </c>
      <c r="E194" s="312"/>
      <c r="F194" s="312" t="s">
        <v>837</v>
      </c>
      <c r="G194" s="1131" t="s">
        <v>715</v>
      </c>
      <c r="H194" s="1131" t="s">
        <v>1284</v>
      </c>
      <c r="I194" s="1135" t="s">
        <v>746</v>
      </c>
      <c r="J194" s="1135" t="s">
        <v>2546</v>
      </c>
      <c r="K194" s="1133" t="s">
        <v>2510</v>
      </c>
      <c r="L194" s="1134" t="s">
        <v>416</v>
      </c>
      <c r="M194" s="1295" t="s">
        <v>1170</v>
      </c>
      <c r="N194" s="1295" t="s">
        <v>1179</v>
      </c>
      <c r="O194" s="1525" t="s">
        <v>3957</v>
      </c>
      <c r="P194" s="626" t="s">
        <v>2483</v>
      </c>
      <c r="Q194" s="321"/>
      <c r="R194" s="189"/>
      <c r="S194" s="445"/>
      <c r="T194" s="560" t="s">
        <v>2480</v>
      </c>
      <c r="U194" s="560" t="s">
        <v>2467</v>
      </c>
      <c r="W194" s="490" t="s">
        <v>2382</v>
      </c>
      <c r="X194" s="490" t="s">
        <v>3279</v>
      </c>
      <c r="Z194" s="490"/>
      <c r="AA194" s="162"/>
      <c r="AB194" s="162"/>
      <c r="AC194" s="1038"/>
      <c r="AD194" s="573"/>
      <c r="AE194" s="162"/>
      <c r="AF194" s="162"/>
      <c r="AG194" s="162"/>
      <c r="AH194" s="162"/>
      <c r="AI194" s="162"/>
      <c r="AJ194" s="162"/>
      <c r="AK194" s="162"/>
    </row>
    <row r="195" spans="2:37" ht="10.5" customHeight="1">
      <c r="B195" s="312"/>
      <c r="C195" s="434" t="s">
        <v>2421</v>
      </c>
      <c r="D195" s="502">
        <v>39400</v>
      </c>
      <c r="E195" s="312"/>
      <c r="F195" s="312" t="s">
        <v>840</v>
      </c>
      <c r="G195" s="1131" t="s">
        <v>1488</v>
      </c>
      <c r="H195" s="1131" t="s">
        <v>1284</v>
      </c>
      <c r="I195" s="1135" t="s">
        <v>1489</v>
      </c>
      <c r="J195" s="1135" t="s">
        <v>2546</v>
      </c>
      <c r="K195" s="1133" t="s">
        <v>1638</v>
      </c>
      <c r="L195" s="1134" t="s">
        <v>416</v>
      </c>
      <c r="M195" s="1295" t="s">
        <v>2532</v>
      </c>
      <c r="N195" s="1295" t="s">
        <v>1489</v>
      </c>
      <c r="O195" s="1525" t="s">
        <v>3958</v>
      </c>
      <c r="P195" s="626" t="s">
        <v>2485</v>
      </c>
      <c r="Q195" s="321"/>
      <c r="R195" s="189"/>
      <c r="S195" s="445"/>
      <c r="T195" s="560" t="s">
        <v>2482</v>
      </c>
      <c r="U195" s="560" t="s">
        <v>1075</v>
      </c>
      <c r="W195" s="490" t="s">
        <v>2384</v>
      </c>
      <c r="X195" s="490" t="s">
        <v>3279</v>
      </c>
      <c r="Z195" s="490"/>
      <c r="AA195" s="162"/>
      <c r="AB195" s="162"/>
      <c r="AC195" s="1038"/>
      <c r="AD195" s="573"/>
      <c r="AE195" s="162"/>
      <c r="AF195" s="162"/>
      <c r="AG195" s="162"/>
      <c r="AH195" s="162"/>
      <c r="AI195" s="162"/>
      <c r="AJ195" s="162"/>
      <c r="AK195" s="162"/>
    </row>
    <row r="196" spans="2:37" ht="10.5" customHeight="1">
      <c r="B196" s="312"/>
      <c r="C196" s="434" t="s">
        <v>2424</v>
      </c>
      <c r="D196" s="502">
        <v>46200</v>
      </c>
      <c r="E196" s="312"/>
      <c r="F196" s="312" t="s">
        <v>841</v>
      </c>
      <c r="G196" s="1131" t="s">
        <v>153</v>
      </c>
      <c r="H196" s="1131" t="s">
        <v>1185</v>
      </c>
      <c r="I196" s="1132" t="s">
        <v>154</v>
      </c>
      <c r="J196" s="1132" t="s">
        <v>2545</v>
      </c>
      <c r="K196" s="1133" t="s">
        <v>1639</v>
      </c>
      <c r="L196" s="1134" t="s">
        <v>415</v>
      </c>
      <c r="M196" s="1295" t="s">
        <v>2532</v>
      </c>
      <c r="N196" s="1295" t="s">
        <v>1654</v>
      </c>
      <c r="O196" s="1525" t="s">
        <v>3959</v>
      </c>
      <c r="P196" s="626" t="s">
        <v>2487</v>
      </c>
      <c r="Q196" s="321"/>
      <c r="R196" s="189"/>
      <c r="S196" s="445"/>
      <c r="T196" s="560" t="s">
        <v>2484</v>
      </c>
      <c r="U196" s="560" t="s">
        <v>318</v>
      </c>
      <c r="W196" s="490" t="s">
        <v>2386</v>
      </c>
      <c r="X196" s="490" t="s">
        <v>3279</v>
      </c>
      <c r="Z196" s="490"/>
      <c r="AA196" s="162"/>
      <c r="AB196" s="162"/>
      <c r="AC196" s="1038"/>
      <c r="AD196" s="573"/>
      <c r="AE196" s="162"/>
      <c r="AF196" s="162"/>
      <c r="AG196" s="162"/>
      <c r="AH196" s="162"/>
      <c r="AI196" s="162"/>
      <c r="AJ196" s="162"/>
      <c r="AK196" s="162"/>
    </row>
    <row r="197" spans="2:37" ht="10.5" customHeight="1">
      <c r="B197" s="312"/>
      <c r="C197" s="434" t="s">
        <v>2461</v>
      </c>
      <c r="D197" s="502">
        <v>42000</v>
      </c>
      <c r="E197" s="312"/>
      <c r="F197" s="312" t="s">
        <v>1314</v>
      </c>
      <c r="G197" s="1131" t="s">
        <v>155</v>
      </c>
      <c r="H197" s="1131" t="s">
        <v>1752</v>
      </c>
      <c r="I197" s="1135" t="s">
        <v>1299</v>
      </c>
      <c r="J197" s="1135" t="s">
        <v>2546</v>
      </c>
      <c r="K197" s="1133" t="s">
        <v>1434</v>
      </c>
      <c r="L197" s="1134" t="s">
        <v>416</v>
      </c>
      <c r="M197" s="1295" t="s">
        <v>1170</v>
      </c>
      <c r="N197" s="1295" t="s">
        <v>1299</v>
      </c>
      <c r="O197" s="1525" t="s">
        <v>3960</v>
      </c>
      <c r="P197" s="626" t="s">
        <v>2489</v>
      </c>
      <c r="Q197" s="321"/>
      <c r="R197" s="189"/>
      <c r="S197" s="445"/>
      <c r="T197" s="560" t="s">
        <v>2486</v>
      </c>
      <c r="U197" s="560" t="s">
        <v>2420</v>
      </c>
      <c r="W197" s="490" t="s">
        <v>2389</v>
      </c>
      <c r="X197" s="490" t="s">
        <v>3279</v>
      </c>
      <c r="Z197" s="490"/>
      <c r="AA197" s="162"/>
      <c r="AB197" s="162"/>
      <c r="AC197" s="1038"/>
      <c r="AD197" s="573"/>
      <c r="AE197" s="162"/>
      <c r="AF197" s="162"/>
      <c r="AG197" s="162"/>
      <c r="AH197" s="162"/>
      <c r="AI197" s="162"/>
      <c r="AJ197" s="162"/>
      <c r="AK197" s="162"/>
    </row>
    <row r="198" spans="2:37" ht="10.5" customHeight="1">
      <c r="B198" s="312"/>
      <c r="C198" s="433" t="s">
        <v>157</v>
      </c>
      <c r="D198" s="502">
        <v>59600</v>
      </c>
      <c r="E198" s="312"/>
      <c r="F198" s="312" t="s">
        <v>842</v>
      </c>
      <c r="G198" s="1131" t="s">
        <v>156</v>
      </c>
      <c r="H198" s="1131" t="s">
        <v>1185</v>
      </c>
      <c r="I198" s="1135" t="s">
        <v>157</v>
      </c>
      <c r="J198" s="1135" t="s">
        <v>2546</v>
      </c>
      <c r="K198" s="1133" t="s">
        <v>1640</v>
      </c>
      <c r="L198" s="1134" t="s">
        <v>416</v>
      </c>
      <c r="M198" s="1295" t="s">
        <v>2532</v>
      </c>
      <c r="N198" s="1295" t="s">
        <v>157</v>
      </c>
      <c r="O198" s="1525" t="s">
        <v>3961</v>
      </c>
      <c r="P198" s="626" t="s">
        <v>2490</v>
      </c>
      <c r="Q198" s="321"/>
      <c r="R198" s="189"/>
      <c r="S198" s="445"/>
      <c r="T198" s="560" t="s">
        <v>2488</v>
      </c>
      <c r="U198" s="560" t="s">
        <v>1305</v>
      </c>
      <c r="W198" s="490" t="s">
        <v>2175</v>
      </c>
      <c r="X198" s="490" t="s">
        <v>3279</v>
      </c>
      <c r="Z198" s="490"/>
      <c r="AA198" s="162"/>
      <c r="AB198" s="162"/>
      <c r="AC198" s="1038"/>
      <c r="AD198" s="573"/>
      <c r="AE198" s="162"/>
      <c r="AF198" s="162"/>
      <c r="AG198" s="162"/>
      <c r="AH198" s="162"/>
      <c r="AI198" s="162"/>
      <c r="AJ198" s="162"/>
      <c r="AK198" s="162"/>
    </row>
    <row r="199" spans="2:37" ht="10.5" customHeight="1">
      <c r="B199" s="312"/>
      <c r="C199" s="434" t="s">
        <v>2464</v>
      </c>
      <c r="D199" s="502">
        <v>42000</v>
      </c>
      <c r="E199" s="312"/>
      <c r="F199" s="312" t="s">
        <v>1315</v>
      </c>
      <c r="G199" s="1131" t="s">
        <v>158</v>
      </c>
      <c r="H199" s="1131" t="s">
        <v>1284</v>
      </c>
      <c r="I199" s="1132" t="s">
        <v>159</v>
      </c>
      <c r="J199" s="1132" t="s">
        <v>2545</v>
      </c>
      <c r="K199" s="1133" t="s">
        <v>1641</v>
      </c>
      <c r="L199" s="1134" t="s">
        <v>415</v>
      </c>
      <c r="M199" s="1295" t="s">
        <v>2532</v>
      </c>
      <c r="N199" s="1295" t="s">
        <v>1489</v>
      </c>
      <c r="O199" s="1525" t="s">
        <v>3962</v>
      </c>
      <c r="P199" s="626" t="s">
        <v>2492</v>
      </c>
      <c r="Q199" s="321"/>
      <c r="R199" s="189"/>
      <c r="S199" s="445"/>
      <c r="T199" s="560" t="s">
        <v>2491</v>
      </c>
      <c r="U199" s="560" t="s">
        <v>2524</v>
      </c>
      <c r="W199" s="490" t="s">
        <v>2272</v>
      </c>
      <c r="X199" s="490" t="s">
        <v>3279</v>
      </c>
      <c r="Z199" s="490"/>
      <c r="AA199" s="162"/>
      <c r="AB199" s="162"/>
      <c r="AC199" s="1038"/>
      <c r="AD199" s="573"/>
      <c r="AE199" s="162"/>
      <c r="AF199" s="162"/>
      <c r="AG199" s="162"/>
      <c r="AH199" s="162"/>
      <c r="AI199" s="162"/>
      <c r="AJ199" s="162"/>
      <c r="AK199" s="162"/>
    </row>
    <row r="200" spans="2:37" ht="10.5" customHeight="1">
      <c r="B200" s="312"/>
      <c r="C200" s="434" t="s">
        <v>189</v>
      </c>
      <c r="D200" s="502">
        <v>40100</v>
      </c>
      <c r="E200" s="312"/>
      <c r="F200" s="312" t="s">
        <v>1322</v>
      </c>
      <c r="G200" s="1131" t="s">
        <v>160</v>
      </c>
      <c r="H200" s="1131" t="s">
        <v>1284</v>
      </c>
      <c r="I200" s="1135" t="s">
        <v>746</v>
      </c>
      <c r="J200" s="1135" t="s">
        <v>2546</v>
      </c>
      <c r="K200" s="1133" t="s">
        <v>2510</v>
      </c>
      <c r="L200" s="1134" t="s">
        <v>416</v>
      </c>
      <c r="M200" s="1295" t="s">
        <v>1170</v>
      </c>
      <c r="N200" s="1295" t="s">
        <v>1179</v>
      </c>
      <c r="O200" s="1525" t="s">
        <v>3963</v>
      </c>
      <c r="P200" s="626" t="s">
        <v>409</v>
      </c>
      <c r="Q200" s="321"/>
      <c r="R200" s="189"/>
      <c r="S200" s="445"/>
      <c r="T200" s="560" t="s">
        <v>2493</v>
      </c>
      <c r="U200" s="560" t="s">
        <v>1870</v>
      </c>
      <c r="W200" s="490" t="s">
        <v>300</v>
      </c>
      <c r="X200" s="490" t="s">
        <v>3279</v>
      </c>
      <c r="Z200" s="490"/>
      <c r="AA200" s="162"/>
      <c r="AB200" s="162"/>
      <c r="AC200" s="1038"/>
      <c r="AD200" s="573"/>
      <c r="AE200" s="162"/>
      <c r="AF200" s="162"/>
      <c r="AG200" s="162"/>
      <c r="AH200" s="162"/>
      <c r="AI200" s="162"/>
      <c r="AJ200" s="162"/>
      <c r="AK200" s="162"/>
    </row>
    <row r="201" spans="2:37" ht="10.5" customHeight="1">
      <c r="B201" s="312"/>
      <c r="C201" s="434" t="s">
        <v>330</v>
      </c>
      <c r="D201" s="502">
        <v>54400</v>
      </c>
      <c r="E201" s="312"/>
      <c r="F201" s="312" t="s">
        <v>1323</v>
      </c>
      <c r="G201" s="1131" t="s">
        <v>161</v>
      </c>
      <c r="H201" s="1131" t="s">
        <v>1284</v>
      </c>
      <c r="I201" s="1132" t="s">
        <v>1995</v>
      </c>
      <c r="J201" s="1132" t="s">
        <v>2546</v>
      </c>
      <c r="K201" s="1133" t="s">
        <v>602</v>
      </c>
      <c r="L201" s="1134" t="s">
        <v>416</v>
      </c>
      <c r="M201" s="1296" t="s">
        <v>1170</v>
      </c>
      <c r="N201" s="1296" t="s">
        <v>162</v>
      </c>
      <c r="O201" s="1525" t="s">
        <v>3964</v>
      </c>
      <c r="P201" s="626" t="s">
        <v>410</v>
      </c>
      <c r="Q201" s="321"/>
      <c r="R201" s="312"/>
      <c r="S201" s="445"/>
      <c r="T201" s="560" t="s">
        <v>162</v>
      </c>
      <c r="U201" s="560" t="s">
        <v>161</v>
      </c>
      <c r="W201" s="490" t="s">
        <v>9</v>
      </c>
      <c r="X201" s="490" t="s">
        <v>3279</v>
      </c>
      <c r="Z201" s="490"/>
      <c r="AA201" s="162"/>
      <c r="AB201" s="162"/>
      <c r="AC201" s="1038"/>
      <c r="AD201" s="573"/>
      <c r="AE201" s="162"/>
      <c r="AF201" s="162"/>
      <c r="AG201" s="162"/>
      <c r="AH201" s="162"/>
      <c r="AI201" s="162"/>
      <c r="AJ201" s="162"/>
      <c r="AK201" s="162"/>
    </row>
    <row r="202" spans="2:37" ht="10.5" customHeight="1">
      <c r="B202" s="312"/>
      <c r="C202" s="433" t="s">
        <v>193</v>
      </c>
      <c r="D202" s="502">
        <v>48400</v>
      </c>
      <c r="E202" s="312"/>
      <c r="F202" s="312" t="s">
        <v>1316</v>
      </c>
      <c r="G202" s="1131" t="s">
        <v>2417</v>
      </c>
      <c r="H202" s="1131" t="s">
        <v>1185</v>
      </c>
      <c r="I202" s="1132" t="s">
        <v>2418</v>
      </c>
      <c r="J202" s="1132" t="s">
        <v>2545</v>
      </c>
      <c r="K202" s="1133" t="s">
        <v>603</v>
      </c>
      <c r="L202" s="1134" t="s">
        <v>415</v>
      </c>
      <c r="M202" s="1296" t="s">
        <v>2532</v>
      </c>
      <c r="N202" s="1296" t="s">
        <v>1738</v>
      </c>
      <c r="O202" s="1525" t="s">
        <v>3965</v>
      </c>
      <c r="P202" s="626" t="s">
        <v>758</v>
      </c>
      <c r="Q202" s="589"/>
      <c r="R202" s="189"/>
      <c r="S202" s="445"/>
      <c r="T202" s="560" t="s">
        <v>1179</v>
      </c>
      <c r="U202" s="560" t="s">
        <v>1180</v>
      </c>
      <c r="W202" s="490" t="s">
        <v>11</v>
      </c>
      <c r="X202" s="490" t="s">
        <v>3279</v>
      </c>
      <c r="Z202" s="490"/>
      <c r="AA202" s="162"/>
      <c r="AB202" s="162"/>
      <c r="AC202" s="1038"/>
      <c r="AD202" s="573"/>
      <c r="AE202" s="162"/>
      <c r="AF202" s="162"/>
      <c r="AG202" s="162"/>
      <c r="AH202" s="162"/>
      <c r="AI202" s="162"/>
      <c r="AJ202" s="162"/>
      <c r="AK202" s="162"/>
    </row>
    <row r="203" spans="2:37" ht="10.5" customHeight="1">
      <c r="B203" s="312"/>
      <c r="C203" s="433" t="s">
        <v>930</v>
      </c>
      <c r="D203" s="502">
        <v>49600</v>
      </c>
      <c r="E203" s="312"/>
      <c r="F203" s="312" t="s">
        <v>1318</v>
      </c>
      <c r="G203" s="1131" t="s">
        <v>2419</v>
      </c>
      <c r="H203" s="1131" t="s">
        <v>1752</v>
      </c>
      <c r="I203" s="1135" t="s">
        <v>746</v>
      </c>
      <c r="J203" s="1135" t="s">
        <v>2546</v>
      </c>
      <c r="K203" s="1133" t="s">
        <v>2510</v>
      </c>
      <c r="L203" s="1134" t="s">
        <v>416</v>
      </c>
      <c r="M203" s="1295" t="s">
        <v>1170</v>
      </c>
      <c r="N203" s="1295" t="s">
        <v>1179</v>
      </c>
      <c r="O203" s="1525" t="s">
        <v>3966</v>
      </c>
      <c r="P203" s="626" t="s">
        <v>760</v>
      </c>
      <c r="Q203" s="589"/>
      <c r="R203" s="189"/>
      <c r="S203" s="445"/>
      <c r="T203" s="560" t="s">
        <v>759</v>
      </c>
      <c r="U203" s="560" t="s">
        <v>192</v>
      </c>
      <c r="W203" s="490" t="s">
        <v>57</v>
      </c>
      <c r="X203" s="490" t="s">
        <v>3279</v>
      </c>
      <c r="Z203" s="490"/>
      <c r="AA203" s="162"/>
      <c r="AB203" s="162"/>
      <c r="AC203" s="1038"/>
      <c r="AD203" s="573"/>
      <c r="AE203" s="162"/>
      <c r="AF203" s="162"/>
      <c r="AG203" s="162"/>
      <c r="AH203" s="162"/>
      <c r="AI203" s="162"/>
      <c r="AJ203" s="162"/>
      <c r="AK203" s="162"/>
    </row>
    <row r="204" spans="2:37" ht="10.5" customHeight="1">
      <c r="B204" s="312"/>
      <c r="C204" s="434" t="s">
        <v>932</v>
      </c>
      <c r="D204" s="502">
        <v>48100</v>
      </c>
      <c r="E204" s="312"/>
      <c r="F204" s="312" t="s">
        <v>1319</v>
      </c>
      <c r="G204" s="1131" t="s">
        <v>2420</v>
      </c>
      <c r="H204" s="1131" t="s">
        <v>1185</v>
      </c>
      <c r="I204" s="1132" t="s">
        <v>2421</v>
      </c>
      <c r="J204" s="1132" t="s">
        <v>2545</v>
      </c>
      <c r="K204" s="1133" t="s">
        <v>604</v>
      </c>
      <c r="L204" s="1134" t="s">
        <v>415</v>
      </c>
      <c r="M204" s="1296" t="s">
        <v>2532</v>
      </c>
      <c r="N204" s="1296" t="s">
        <v>1654</v>
      </c>
      <c r="O204" s="1525" t="s">
        <v>3967</v>
      </c>
      <c r="P204" s="626" t="s">
        <v>2024</v>
      </c>
      <c r="Q204" s="589"/>
      <c r="R204" s="189"/>
      <c r="S204" s="445"/>
      <c r="T204" s="560" t="s">
        <v>2023</v>
      </c>
      <c r="U204" s="560" t="s">
        <v>1286</v>
      </c>
      <c r="W204" s="490" t="s">
        <v>59</v>
      </c>
      <c r="X204" s="490" t="s">
        <v>3279</v>
      </c>
      <c r="Z204" s="490"/>
      <c r="AA204" s="162"/>
      <c r="AB204" s="162"/>
      <c r="AC204" s="1038"/>
      <c r="AD204" s="573"/>
      <c r="AE204" s="162"/>
      <c r="AF204" s="162"/>
      <c r="AG204" s="162"/>
      <c r="AH204" s="162"/>
      <c r="AI204" s="162"/>
      <c r="AJ204" s="162"/>
      <c r="AK204" s="162"/>
    </row>
    <row r="205" spans="2:37" ht="10.5" customHeight="1">
      <c r="B205" s="312"/>
      <c r="C205" s="433" t="s">
        <v>854</v>
      </c>
      <c r="D205" s="502">
        <v>38300</v>
      </c>
      <c r="E205" s="312"/>
      <c r="F205" s="312" t="s">
        <v>1320</v>
      </c>
      <c r="G205" s="1131" t="s">
        <v>2422</v>
      </c>
      <c r="H205" s="1131" t="s">
        <v>1752</v>
      </c>
      <c r="I205" s="1135" t="s">
        <v>746</v>
      </c>
      <c r="J205" s="1135" t="s">
        <v>2546</v>
      </c>
      <c r="K205" s="1133" t="s">
        <v>2510</v>
      </c>
      <c r="L205" s="1134" t="s">
        <v>416</v>
      </c>
      <c r="M205" s="1295" t="s">
        <v>1170</v>
      </c>
      <c r="N205" s="1295" t="s">
        <v>1179</v>
      </c>
      <c r="O205" s="1525" t="s">
        <v>3968</v>
      </c>
      <c r="P205" s="626" t="s">
        <v>2025</v>
      </c>
      <c r="Q205" s="589"/>
      <c r="R205" s="189"/>
      <c r="S205" s="445"/>
      <c r="T205" s="560" t="s">
        <v>1303</v>
      </c>
      <c r="U205" s="560" t="s">
        <v>1087</v>
      </c>
      <c r="W205" s="490" t="s">
        <v>346</v>
      </c>
      <c r="X205" s="490" t="s">
        <v>3279</v>
      </c>
      <c r="Z205" s="490"/>
      <c r="AA205" s="162"/>
      <c r="AB205" s="162"/>
      <c r="AC205" s="1038"/>
      <c r="AD205" s="573"/>
      <c r="AE205" s="162"/>
      <c r="AF205" s="162"/>
      <c r="AG205" s="162"/>
      <c r="AH205" s="162"/>
      <c r="AI205" s="162"/>
      <c r="AJ205" s="162"/>
      <c r="AK205" s="162"/>
    </row>
    <row r="206" spans="2:37" ht="10.5" customHeight="1">
      <c r="B206" s="312"/>
      <c r="C206" s="434" t="s">
        <v>858</v>
      </c>
      <c r="D206" s="502">
        <v>46200</v>
      </c>
      <c r="E206" s="312"/>
      <c r="F206" s="312" t="s">
        <v>1317</v>
      </c>
      <c r="G206" s="1131" t="s">
        <v>2423</v>
      </c>
      <c r="H206" s="1131" t="s">
        <v>1185</v>
      </c>
      <c r="I206" s="1132" t="s">
        <v>2424</v>
      </c>
      <c r="J206" s="1132" t="s">
        <v>2545</v>
      </c>
      <c r="K206" s="1133" t="s">
        <v>605</v>
      </c>
      <c r="L206" s="1134" t="s">
        <v>415</v>
      </c>
      <c r="M206" s="1296" t="s">
        <v>2532</v>
      </c>
      <c r="N206" s="1296" t="s">
        <v>1654</v>
      </c>
      <c r="O206" s="1525" t="s">
        <v>3969</v>
      </c>
      <c r="P206" s="626" t="s">
        <v>2027</v>
      </c>
      <c r="Q206" s="589"/>
      <c r="R206" s="189"/>
      <c r="S206" s="445"/>
      <c r="T206" s="560" t="s">
        <v>2026</v>
      </c>
      <c r="U206" s="560" t="s">
        <v>2422</v>
      </c>
      <c r="W206" s="490" t="s">
        <v>350</v>
      </c>
      <c r="X206" s="490" t="s">
        <v>3279</v>
      </c>
      <c r="Z206" s="490"/>
      <c r="AA206" s="162"/>
      <c r="AB206" s="162"/>
      <c r="AC206" s="1038"/>
      <c r="AD206" s="573"/>
      <c r="AE206" s="162"/>
      <c r="AF206" s="162"/>
      <c r="AG206" s="162"/>
      <c r="AH206" s="162"/>
      <c r="AI206" s="162"/>
      <c r="AJ206" s="162"/>
      <c r="AK206" s="162"/>
    </row>
    <row r="207" spans="2:37" ht="10.5" customHeight="1">
      <c r="B207" s="312"/>
      <c r="C207" s="434" t="s">
        <v>2186</v>
      </c>
      <c r="D207" s="502">
        <v>40200</v>
      </c>
      <c r="E207" s="312"/>
      <c r="F207" s="312" t="s">
        <v>1321</v>
      </c>
      <c r="G207" s="1131" t="s">
        <v>2425</v>
      </c>
      <c r="H207" s="1131" t="s">
        <v>1185</v>
      </c>
      <c r="I207" s="1132" t="s">
        <v>2461</v>
      </c>
      <c r="J207" s="1132" t="s">
        <v>2545</v>
      </c>
      <c r="K207" s="1133" t="s">
        <v>606</v>
      </c>
      <c r="L207" s="1134" t="s">
        <v>415</v>
      </c>
      <c r="M207" s="1296" t="s">
        <v>2532</v>
      </c>
      <c r="N207" s="1296" t="s">
        <v>1738</v>
      </c>
      <c r="O207" s="1525" t="s">
        <v>3970</v>
      </c>
      <c r="P207" s="626" t="s">
        <v>2057</v>
      </c>
      <c r="Q207" s="589"/>
      <c r="R207" s="189"/>
      <c r="S207" s="445"/>
      <c r="T207" s="560" t="s">
        <v>1952</v>
      </c>
      <c r="U207" s="560" t="s">
        <v>2123</v>
      </c>
      <c r="W207" s="490" t="s">
        <v>2232</v>
      </c>
      <c r="X207" s="490" t="s">
        <v>3279</v>
      </c>
      <c r="Z207" s="490"/>
      <c r="AA207" s="162"/>
      <c r="AB207" s="162"/>
      <c r="AC207" s="1038"/>
      <c r="AD207" s="573"/>
      <c r="AE207" s="162"/>
      <c r="AF207" s="162"/>
      <c r="AG207" s="162"/>
      <c r="AH207" s="162"/>
      <c r="AI207" s="162"/>
      <c r="AJ207" s="162"/>
      <c r="AK207" s="162"/>
    </row>
    <row r="208" spans="2:37" ht="10.5" customHeight="1">
      <c r="B208" s="312"/>
      <c r="C208" s="434" t="s">
        <v>636</v>
      </c>
      <c r="D208" s="502">
        <v>51600</v>
      </c>
      <c r="E208" s="312"/>
      <c r="F208" s="312" t="s">
        <v>1324</v>
      </c>
      <c r="G208" s="1131" t="s">
        <v>2462</v>
      </c>
      <c r="H208" s="1131" t="s">
        <v>1284</v>
      </c>
      <c r="I208" s="1135" t="s">
        <v>747</v>
      </c>
      <c r="J208" s="1135" t="s">
        <v>2546</v>
      </c>
      <c r="K208" s="1133" t="s">
        <v>2531</v>
      </c>
      <c r="L208" s="1134" t="s">
        <v>416</v>
      </c>
      <c r="M208" s="1295" t="s">
        <v>2532</v>
      </c>
      <c r="N208" s="1295" t="s">
        <v>1303</v>
      </c>
      <c r="O208" s="1525" t="s">
        <v>3971</v>
      </c>
      <c r="P208" s="626" t="s">
        <v>2059</v>
      </c>
      <c r="Q208" s="589"/>
      <c r="R208" s="189"/>
      <c r="S208" s="445"/>
      <c r="T208" s="560" t="s">
        <v>2028</v>
      </c>
      <c r="U208" s="560" t="s">
        <v>323</v>
      </c>
      <c r="W208" s="490" t="s">
        <v>1305</v>
      </c>
      <c r="X208" s="490" t="s">
        <v>3279</v>
      </c>
      <c r="Z208" s="490"/>
      <c r="AA208" s="162"/>
      <c r="AB208" s="162"/>
      <c r="AC208" s="1038"/>
      <c r="AD208" s="573"/>
      <c r="AE208" s="162"/>
      <c r="AF208" s="162"/>
      <c r="AG208" s="162"/>
      <c r="AH208" s="162"/>
      <c r="AI208" s="162"/>
      <c r="AJ208" s="162"/>
      <c r="AK208" s="162"/>
    </row>
    <row r="209" spans="2:37" ht="10.5" customHeight="1">
      <c r="B209" s="312"/>
      <c r="C209" s="434" t="s">
        <v>638</v>
      </c>
      <c r="D209" s="502">
        <v>53900</v>
      </c>
      <c r="E209" s="312"/>
      <c r="F209" s="312" t="s">
        <v>1325</v>
      </c>
      <c r="G209" s="1131" t="s">
        <v>2463</v>
      </c>
      <c r="H209" s="1131" t="s">
        <v>1185</v>
      </c>
      <c r="I209" s="1132" t="s">
        <v>2464</v>
      </c>
      <c r="J209" s="1132" t="s">
        <v>2545</v>
      </c>
      <c r="K209" s="1133" t="s">
        <v>607</v>
      </c>
      <c r="L209" s="1134" t="s">
        <v>415</v>
      </c>
      <c r="M209" s="1296" t="s">
        <v>2532</v>
      </c>
      <c r="N209" s="1296" t="s">
        <v>1654</v>
      </c>
      <c r="O209" s="1525" t="s">
        <v>3972</v>
      </c>
      <c r="P209" s="626" t="s">
        <v>2061</v>
      </c>
      <c r="Q209" s="589"/>
      <c r="R209" s="189"/>
      <c r="S209" s="445"/>
      <c r="T209" s="560" t="s">
        <v>2058</v>
      </c>
      <c r="U209" s="560" t="s">
        <v>610</v>
      </c>
      <c r="W209" s="490" t="s">
        <v>1527</v>
      </c>
      <c r="X209" s="490" t="s">
        <v>3279</v>
      </c>
      <c r="Z209" s="490"/>
      <c r="AA209" s="162"/>
      <c r="AB209" s="162"/>
      <c r="AC209" s="1038"/>
      <c r="AD209" s="573"/>
      <c r="AE209" s="162"/>
      <c r="AF209" s="162"/>
      <c r="AG209" s="162"/>
      <c r="AH209" s="162"/>
      <c r="AI209" s="162"/>
      <c r="AJ209" s="162"/>
      <c r="AK209" s="162"/>
    </row>
    <row r="210" spans="2:37" ht="10.5" customHeight="1">
      <c r="B210" s="312"/>
      <c r="C210" s="434" t="s">
        <v>643</v>
      </c>
      <c r="D210" s="502">
        <v>49700</v>
      </c>
      <c r="E210" s="312"/>
      <c r="F210" s="312" t="s">
        <v>1326</v>
      </c>
      <c r="G210" s="1131" t="s">
        <v>2465</v>
      </c>
      <c r="H210" s="1131" t="s">
        <v>1185</v>
      </c>
      <c r="I210" s="1135" t="s">
        <v>746</v>
      </c>
      <c r="J210" s="1135" t="s">
        <v>2546</v>
      </c>
      <c r="K210" s="1133" t="s">
        <v>2510</v>
      </c>
      <c r="L210" s="1134" t="s">
        <v>416</v>
      </c>
      <c r="M210" s="1295" t="s">
        <v>1170</v>
      </c>
      <c r="N210" s="1295" t="s">
        <v>1179</v>
      </c>
      <c r="O210" s="1525" t="s">
        <v>3973</v>
      </c>
      <c r="P210" s="626" t="s">
        <v>2063</v>
      </c>
      <c r="Q210" s="589"/>
      <c r="R210" s="189"/>
      <c r="S210" s="445"/>
      <c r="T210" s="560" t="s">
        <v>2060</v>
      </c>
      <c r="U210" s="560" t="s">
        <v>1600</v>
      </c>
      <c r="W210" s="490" t="s">
        <v>1531</v>
      </c>
      <c r="X210" s="490" t="s">
        <v>3279</v>
      </c>
      <c r="Z210" s="490"/>
      <c r="AA210" s="162"/>
      <c r="AB210" s="162"/>
      <c r="AC210" s="1038"/>
      <c r="AD210" s="573"/>
      <c r="AE210" s="162"/>
      <c r="AF210" s="162"/>
      <c r="AG210" s="162"/>
      <c r="AH210" s="162"/>
      <c r="AI210" s="162"/>
      <c r="AJ210" s="162"/>
      <c r="AK210" s="162"/>
    </row>
    <row r="211" spans="2:37" ht="10.5" customHeight="1">
      <c r="B211" s="312"/>
      <c r="C211" s="434" t="s">
        <v>1195</v>
      </c>
      <c r="D211" s="502">
        <v>66800</v>
      </c>
      <c r="E211" s="312"/>
      <c r="F211" s="312" t="s">
        <v>1327</v>
      </c>
      <c r="G211" s="1131" t="s">
        <v>2466</v>
      </c>
      <c r="H211" s="1131" t="s">
        <v>1284</v>
      </c>
      <c r="I211" s="1135" t="s">
        <v>1293</v>
      </c>
      <c r="J211" s="1135" t="s">
        <v>2546</v>
      </c>
      <c r="K211" s="1133" t="s">
        <v>2513</v>
      </c>
      <c r="L211" s="1134" t="s">
        <v>416</v>
      </c>
      <c r="M211" s="1295" t="s">
        <v>2532</v>
      </c>
      <c r="N211" s="1295" t="s">
        <v>1293</v>
      </c>
      <c r="O211" s="1525" t="s">
        <v>3974</v>
      </c>
      <c r="P211" s="626" t="s">
        <v>2473</v>
      </c>
      <c r="Q211" s="589"/>
      <c r="R211" s="189"/>
      <c r="S211" s="445"/>
      <c r="T211" s="560" t="s">
        <v>2062</v>
      </c>
      <c r="U211" s="560" t="s">
        <v>192</v>
      </c>
      <c r="W211" s="490" t="s">
        <v>1702</v>
      </c>
      <c r="X211" s="490" t="s">
        <v>3279</v>
      </c>
      <c r="Z211" s="490"/>
      <c r="AA211" s="162"/>
      <c r="AB211" s="162"/>
      <c r="AC211" s="1038"/>
      <c r="AD211" s="573"/>
      <c r="AE211" s="162"/>
      <c r="AF211" s="162"/>
      <c r="AG211" s="162"/>
      <c r="AH211" s="162"/>
      <c r="AI211" s="162"/>
      <c r="AJ211" s="162"/>
      <c r="AK211" s="162"/>
    </row>
    <row r="212" spans="2:37" ht="10.5" customHeight="1">
      <c r="B212" s="312"/>
      <c r="C212" s="434" t="s">
        <v>645</v>
      </c>
      <c r="D212" s="502">
        <v>54900</v>
      </c>
      <c r="E212" s="312"/>
      <c r="F212" s="312" t="s">
        <v>1328</v>
      </c>
      <c r="G212" s="1131" t="s">
        <v>2467</v>
      </c>
      <c r="H212" s="1131" t="s">
        <v>1185</v>
      </c>
      <c r="I212" s="1132" t="s">
        <v>189</v>
      </c>
      <c r="J212" s="1132" t="s">
        <v>2545</v>
      </c>
      <c r="K212" s="1133" t="s">
        <v>608</v>
      </c>
      <c r="L212" s="1134" t="s">
        <v>415</v>
      </c>
      <c r="M212" s="1296" t="s">
        <v>2532</v>
      </c>
      <c r="N212" s="1296" t="s">
        <v>1738</v>
      </c>
      <c r="O212" s="1525" t="s">
        <v>3975</v>
      </c>
      <c r="P212" s="626" t="s">
        <v>984</v>
      </c>
      <c r="Q212" s="589"/>
      <c r="R212" s="189"/>
      <c r="S212" s="445"/>
      <c r="T212" s="560" t="s">
        <v>1739</v>
      </c>
      <c r="U212" s="560" t="s">
        <v>119</v>
      </c>
      <c r="W212" s="490" t="s">
        <v>1000</v>
      </c>
      <c r="X212" s="490" t="s">
        <v>3279</v>
      </c>
      <c r="Z212" s="490"/>
      <c r="AA212" s="162"/>
      <c r="AB212" s="162"/>
      <c r="AC212" s="1038"/>
      <c r="AD212" s="573"/>
      <c r="AE212" s="162"/>
      <c r="AF212" s="162"/>
      <c r="AG212" s="162"/>
      <c r="AH212" s="162"/>
      <c r="AI212" s="162"/>
      <c r="AJ212" s="162"/>
      <c r="AK212" s="162"/>
    </row>
    <row r="213" spans="2:37" ht="10.5" customHeight="1">
      <c r="B213" s="312"/>
      <c r="C213" s="434" t="s">
        <v>647</v>
      </c>
      <c r="D213" s="502">
        <v>55300</v>
      </c>
      <c r="E213" s="312"/>
      <c r="F213" s="312" t="s">
        <v>1329</v>
      </c>
      <c r="G213" s="1131" t="s">
        <v>190</v>
      </c>
      <c r="H213" s="1131" t="s">
        <v>1284</v>
      </c>
      <c r="I213" s="1135" t="s">
        <v>1489</v>
      </c>
      <c r="J213" s="1135" t="s">
        <v>2546</v>
      </c>
      <c r="K213" s="1133" t="s">
        <v>1638</v>
      </c>
      <c r="L213" s="1134" t="s">
        <v>416</v>
      </c>
      <c r="M213" s="1295" t="s">
        <v>2532</v>
      </c>
      <c r="N213" s="1295" t="s">
        <v>1489</v>
      </c>
      <c r="O213" s="1525" t="s">
        <v>3976</v>
      </c>
      <c r="P213" s="626" t="s">
        <v>1955</v>
      </c>
      <c r="Q213" s="589"/>
      <c r="R213" s="189"/>
      <c r="S213" s="445"/>
      <c r="T213" s="560" t="s">
        <v>2474</v>
      </c>
      <c r="U213" s="560" t="s">
        <v>160</v>
      </c>
      <c r="W213" s="490" t="s">
        <v>1003</v>
      </c>
      <c r="X213" s="490" t="s">
        <v>3279</v>
      </c>
      <c r="Z213" s="490"/>
      <c r="AA213" s="162"/>
      <c r="AB213" s="162"/>
      <c r="AC213" s="1038"/>
      <c r="AD213" s="573"/>
      <c r="AE213" s="162"/>
      <c r="AF213" s="162"/>
      <c r="AG213" s="162"/>
      <c r="AH213" s="162"/>
      <c r="AI213" s="162"/>
      <c r="AJ213" s="162"/>
      <c r="AK213" s="162"/>
    </row>
    <row r="214" spans="2:37" ht="10.5" customHeight="1">
      <c r="B214" s="312"/>
      <c r="C214" s="434" t="s">
        <v>650</v>
      </c>
      <c r="D214" s="502">
        <v>48800</v>
      </c>
      <c r="E214" s="312"/>
      <c r="F214" s="312" t="s">
        <v>1330</v>
      </c>
      <c r="G214" s="1131" t="s">
        <v>191</v>
      </c>
      <c r="H214" s="1131" t="s">
        <v>1284</v>
      </c>
      <c r="I214" s="1135" t="s">
        <v>746</v>
      </c>
      <c r="J214" s="1135" t="s">
        <v>2546</v>
      </c>
      <c r="K214" s="1133" t="s">
        <v>2510</v>
      </c>
      <c r="L214" s="1134" t="s">
        <v>416</v>
      </c>
      <c r="M214" s="1295" t="s">
        <v>1170</v>
      </c>
      <c r="N214" s="1295" t="s">
        <v>1179</v>
      </c>
      <c r="O214" s="1525" t="s">
        <v>3977</v>
      </c>
      <c r="P214" s="626" t="s">
        <v>13</v>
      </c>
      <c r="Q214" s="589"/>
      <c r="R214" s="189"/>
      <c r="S214" s="445"/>
      <c r="T214" s="560" t="s">
        <v>985</v>
      </c>
      <c r="U214" s="560" t="s">
        <v>421</v>
      </c>
      <c r="W214" s="490" t="s">
        <v>1714</v>
      </c>
      <c r="X214" s="490" t="s">
        <v>3279</v>
      </c>
      <c r="Z214" s="490"/>
      <c r="AA214" s="162"/>
      <c r="AB214" s="162"/>
      <c r="AC214" s="1038"/>
      <c r="AD214" s="573"/>
      <c r="AE214" s="162"/>
      <c r="AF214" s="162"/>
      <c r="AG214" s="162"/>
      <c r="AH214" s="162"/>
      <c r="AI214" s="162"/>
      <c r="AJ214" s="162"/>
      <c r="AK214" s="162"/>
    </row>
    <row r="215" spans="2:37" ht="10.5" customHeight="1">
      <c r="B215" s="312"/>
      <c r="C215" s="434" t="s">
        <v>652</v>
      </c>
      <c r="D215" s="502">
        <v>43400</v>
      </c>
      <c r="E215" s="312"/>
      <c r="F215" s="312" t="s">
        <v>1331</v>
      </c>
      <c r="G215" s="1131" t="s">
        <v>192</v>
      </c>
      <c r="H215" s="1131" t="s">
        <v>1185</v>
      </c>
      <c r="I215" s="1132" t="s">
        <v>193</v>
      </c>
      <c r="J215" s="1132" t="s">
        <v>2545</v>
      </c>
      <c r="K215" s="1133" t="s">
        <v>609</v>
      </c>
      <c r="L215" s="1134" t="s">
        <v>415</v>
      </c>
      <c r="M215" s="1296" t="s">
        <v>2532</v>
      </c>
      <c r="N215" s="1296" t="s">
        <v>1738</v>
      </c>
      <c r="O215" s="1525" t="s">
        <v>3978</v>
      </c>
      <c r="P215" s="626" t="s">
        <v>2178</v>
      </c>
      <c r="Q215" s="589"/>
      <c r="R215" s="189"/>
      <c r="S215" s="445"/>
      <c r="T215" s="560" t="s">
        <v>1287</v>
      </c>
      <c r="U215" s="560" t="s">
        <v>323</v>
      </c>
      <c r="W215" s="490" t="s">
        <v>2016</v>
      </c>
      <c r="X215" s="490" t="s">
        <v>3279</v>
      </c>
      <c r="Z215" s="490"/>
      <c r="AA215" s="162"/>
      <c r="AB215" s="162"/>
      <c r="AC215" s="1038"/>
      <c r="AD215" s="573"/>
      <c r="AE215" s="162"/>
      <c r="AF215" s="162"/>
      <c r="AG215" s="162"/>
      <c r="AH215" s="162"/>
      <c r="AI215" s="162"/>
      <c r="AJ215" s="162"/>
      <c r="AK215" s="162"/>
    </row>
    <row r="216" spans="2:37" ht="10.5" customHeight="1">
      <c r="B216" s="312"/>
      <c r="C216" s="434" t="s">
        <v>654</v>
      </c>
      <c r="D216" s="502">
        <v>57900</v>
      </c>
      <c r="E216" s="312"/>
      <c r="F216" s="312" t="s">
        <v>1332</v>
      </c>
      <c r="G216" s="1131" t="s">
        <v>194</v>
      </c>
      <c r="H216" s="1131" t="s">
        <v>1752</v>
      </c>
      <c r="I216" s="1135" t="s">
        <v>746</v>
      </c>
      <c r="J216" s="1135" t="s">
        <v>2546</v>
      </c>
      <c r="K216" s="1133" t="s">
        <v>2510</v>
      </c>
      <c r="L216" s="1134" t="s">
        <v>416</v>
      </c>
      <c r="M216" s="1295" t="s">
        <v>1170</v>
      </c>
      <c r="N216" s="1295" t="s">
        <v>1179</v>
      </c>
      <c r="O216" s="1525" t="s">
        <v>3979</v>
      </c>
      <c r="P216" s="626" t="s">
        <v>2180</v>
      </c>
      <c r="Q216" s="589"/>
      <c r="R216" s="189"/>
      <c r="S216" s="445"/>
      <c r="T216" s="560" t="s">
        <v>14</v>
      </c>
      <c r="U216" s="560" t="s">
        <v>1627</v>
      </c>
      <c r="W216" s="490" t="s">
        <v>2018</v>
      </c>
      <c r="X216" s="490" t="s">
        <v>3279</v>
      </c>
      <c r="Z216" s="490"/>
      <c r="AA216" s="162"/>
      <c r="AB216" s="162"/>
      <c r="AC216" s="1038"/>
      <c r="AD216" s="573"/>
      <c r="AE216" s="162"/>
      <c r="AF216" s="162"/>
      <c r="AG216" s="162"/>
      <c r="AH216" s="162"/>
      <c r="AI216" s="162"/>
      <c r="AJ216" s="162"/>
      <c r="AK216" s="162"/>
    </row>
    <row r="217" spans="2:37" ht="10.5" customHeight="1">
      <c r="B217" s="312"/>
      <c r="C217" s="434" t="s">
        <v>120</v>
      </c>
      <c r="D217" s="502">
        <v>54000</v>
      </c>
      <c r="E217" s="312"/>
      <c r="F217" s="312" t="s">
        <v>1333</v>
      </c>
      <c r="G217" s="1131" t="s">
        <v>195</v>
      </c>
      <c r="H217" s="1131" t="s">
        <v>1185</v>
      </c>
      <c r="I217" s="1132" t="s">
        <v>930</v>
      </c>
      <c r="J217" s="1132" t="s">
        <v>2545</v>
      </c>
      <c r="K217" s="1133" t="s">
        <v>1911</v>
      </c>
      <c r="L217" s="1134" t="s">
        <v>415</v>
      </c>
      <c r="M217" s="1296" t="s">
        <v>2532</v>
      </c>
      <c r="N217" s="1296" t="s">
        <v>1293</v>
      </c>
      <c r="O217" s="1525" t="s">
        <v>3980</v>
      </c>
      <c r="P217" s="626" t="s">
        <v>2182</v>
      </c>
      <c r="Q217" s="589"/>
      <c r="R217" s="189"/>
      <c r="S217" s="445"/>
      <c r="T217" s="627" t="s">
        <v>2179</v>
      </c>
      <c r="U217" s="627" t="s">
        <v>1184</v>
      </c>
      <c r="W217" s="490" t="s">
        <v>658</v>
      </c>
      <c r="X217" s="490" t="s">
        <v>3279</v>
      </c>
      <c r="Z217" s="490"/>
      <c r="AA217" s="162"/>
      <c r="AB217" s="162"/>
      <c r="AC217" s="1039"/>
      <c r="AD217" s="573"/>
      <c r="AE217" s="162"/>
      <c r="AF217" s="162"/>
      <c r="AG217" s="162"/>
      <c r="AH217" s="162"/>
      <c r="AI217" s="162"/>
      <c r="AJ217" s="162"/>
      <c r="AK217" s="162"/>
    </row>
    <row r="218" spans="2:37" ht="10.5" customHeight="1">
      <c r="B218" s="312"/>
      <c r="C218" s="434" t="s">
        <v>308</v>
      </c>
      <c r="D218" s="502">
        <v>32900</v>
      </c>
      <c r="E218" s="312"/>
      <c r="F218" s="312" t="s">
        <v>1335</v>
      </c>
      <c r="G218" s="1131" t="s">
        <v>931</v>
      </c>
      <c r="H218" s="1131" t="s">
        <v>1185</v>
      </c>
      <c r="I218" s="1132" t="s">
        <v>932</v>
      </c>
      <c r="J218" s="1132" t="s">
        <v>2545</v>
      </c>
      <c r="K218" s="1133" t="s">
        <v>1912</v>
      </c>
      <c r="L218" s="1134" t="s">
        <v>415</v>
      </c>
      <c r="M218" s="1296" t="s">
        <v>2532</v>
      </c>
      <c r="N218" s="1296" t="s">
        <v>1738</v>
      </c>
      <c r="O218" s="1525" t="s">
        <v>3981</v>
      </c>
      <c r="P218" s="626" t="s">
        <v>2211</v>
      </c>
      <c r="Q218" s="589"/>
      <c r="R218" s="189"/>
      <c r="S218" s="445"/>
      <c r="T218" s="560" t="s">
        <v>2181</v>
      </c>
      <c r="U218" s="560" t="s">
        <v>2187</v>
      </c>
      <c r="W218" s="490" t="s">
        <v>1221</v>
      </c>
      <c r="X218" s="490" t="s">
        <v>3279</v>
      </c>
      <c r="Z218" s="490"/>
      <c r="AA218" s="162"/>
      <c r="AB218" s="162"/>
      <c r="AC218" s="1038"/>
      <c r="AD218" s="573"/>
      <c r="AE218" s="162"/>
      <c r="AF218" s="162"/>
      <c r="AG218" s="162"/>
      <c r="AH218" s="162"/>
      <c r="AI218" s="162"/>
      <c r="AJ218" s="162"/>
      <c r="AK218" s="162"/>
    </row>
    <row r="219" spans="2:37" ht="10.5" customHeight="1">
      <c r="B219" s="312"/>
      <c r="C219" s="434" t="s">
        <v>748</v>
      </c>
      <c r="D219" s="502">
        <v>54600</v>
      </c>
      <c r="E219" s="312"/>
      <c r="F219" s="312" t="s">
        <v>1334</v>
      </c>
      <c r="G219" s="1131" t="s">
        <v>933</v>
      </c>
      <c r="H219" s="1131" t="s">
        <v>1185</v>
      </c>
      <c r="I219" s="1135" t="s">
        <v>1738</v>
      </c>
      <c r="J219" s="1135" t="s">
        <v>2546</v>
      </c>
      <c r="K219" s="1133" t="s">
        <v>1139</v>
      </c>
      <c r="L219" s="1134" t="s">
        <v>416</v>
      </c>
      <c r="M219" s="1296" t="s">
        <v>1170</v>
      </c>
      <c r="N219" s="1296" t="s">
        <v>1738</v>
      </c>
      <c r="O219" s="1525" t="s">
        <v>3982</v>
      </c>
      <c r="P219" s="626" t="s">
        <v>1729</v>
      </c>
      <c r="Q219" s="589"/>
      <c r="R219" s="189"/>
      <c r="S219" s="445"/>
      <c r="T219" s="560" t="s">
        <v>2495</v>
      </c>
      <c r="U219" s="560" t="s">
        <v>610</v>
      </c>
      <c r="W219" s="490" t="s">
        <v>1223</v>
      </c>
      <c r="X219" s="490" t="s">
        <v>3279</v>
      </c>
      <c r="Z219" s="490"/>
      <c r="AA219" s="162"/>
      <c r="AB219" s="162"/>
      <c r="AC219" s="1038"/>
      <c r="AD219" s="573"/>
      <c r="AE219" s="162"/>
      <c r="AF219" s="162"/>
      <c r="AG219" s="162"/>
      <c r="AH219" s="162"/>
      <c r="AI219" s="162"/>
      <c r="AJ219" s="162"/>
      <c r="AK219" s="162"/>
    </row>
    <row r="220" spans="2:37" ht="10.5" customHeight="1">
      <c r="B220" s="312"/>
      <c r="C220" s="434" t="s">
        <v>312</v>
      </c>
      <c r="D220" s="502">
        <v>50900</v>
      </c>
      <c r="E220" s="312"/>
      <c r="F220" s="312" t="s">
        <v>1336</v>
      </c>
      <c r="G220" s="1131" t="s">
        <v>852</v>
      </c>
      <c r="H220" s="1131" t="s">
        <v>1284</v>
      </c>
      <c r="I220" s="1135" t="s">
        <v>746</v>
      </c>
      <c r="J220" s="1135" t="s">
        <v>2546</v>
      </c>
      <c r="K220" s="1133" t="s">
        <v>2510</v>
      </c>
      <c r="L220" s="1134" t="s">
        <v>416</v>
      </c>
      <c r="M220" s="1295" t="s">
        <v>1170</v>
      </c>
      <c r="N220" s="1295" t="s">
        <v>1179</v>
      </c>
      <c r="O220" s="1525" t="s">
        <v>3983</v>
      </c>
      <c r="P220" s="626" t="s">
        <v>1731</v>
      </c>
      <c r="Q220" s="589"/>
      <c r="R220" s="189"/>
      <c r="S220" s="445"/>
      <c r="T220" s="560" t="s">
        <v>2183</v>
      </c>
      <c r="U220" s="560" t="s">
        <v>118</v>
      </c>
      <c r="W220" s="490" t="s">
        <v>2419</v>
      </c>
      <c r="X220" s="490" t="s">
        <v>3279</v>
      </c>
      <c r="Z220" s="490"/>
      <c r="AA220" s="162"/>
      <c r="AB220" s="162"/>
      <c r="AC220" s="1038"/>
      <c r="AD220" s="573"/>
      <c r="AE220" s="162"/>
      <c r="AF220" s="162"/>
      <c r="AG220" s="162"/>
      <c r="AH220" s="162"/>
      <c r="AI220" s="162"/>
      <c r="AJ220" s="162"/>
      <c r="AK220" s="162"/>
    </row>
    <row r="221" spans="2:37" ht="10.5" customHeight="1">
      <c r="B221" s="312"/>
      <c r="C221" s="434" t="s">
        <v>1016</v>
      </c>
      <c r="D221" s="502">
        <v>52400</v>
      </c>
      <c r="E221" s="312"/>
      <c r="F221" s="312" t="s">
        <v>1338</v>
      </c>
      <c r="G221" s="1131" t="s">
        <v>853</v>
      </c>
      <c r="H221" s="1131" t="s">
        <v>1185</v>
      </c>
      <c r="I221" s="1132" t="s">
        <v>854</v>
      </c>
      <c r="J221" s="1132" t="s">
        <v>2545</v>
      </c>
      <c r="K221" s="1133" t="s">
        <v>1913</v>
      </c>
      <c r="L221" s="1134" t="s">
        <v>415</v>
      </c>
      <c r="M221" s="1296" t="s">
        <v>2532</v>
      </c>
      <c r="N221" s="1296" t="s">
        <v>1738</v>
      </c>
      <c r="O221" s="1525" t="s">
        <v>3984</v>
      </c>
      <c r="P221" s="626" t="s">
        <v>2108</v>
      </c>
      <c r="Q221" s="589"/>
      <c r="R221" s="189"/>
      <c r="S221" s="445"/>
      <c r="T221" s="560" t="s">
        <v>1706</v>
      </c>
      <c r="U221" s="560" t="s">
        <v>2425</v>
      </c>
      <c r="W221" s="490" t="s">
        <v>2428</v>
      </c>
      <c r="X221" s="490" t="s">
        <v>3279</v>
      </c>
      <c r="Z221" s="490"/>
      <c r="AA221" s="162"/>
      <c r="AB221" s="162"/>
      <c r="AC221" s="1038"/>
      <c r="AD221" s="573"/>
      <c r="AE221" s="162"/>
      <c r="AF221" s="162"/>
      <c r="AG221" s="162"/>
      <c r="AH221" s="162"/>
      <c r="AI221" s="162"/>
      <c r="AJ221" s="162"/>
      <c r="AK221" s="162"/>
    </row>
    <row r="222" spans="2:37" ht="10.5" customHeight="1">
      <c r="B222" s="312"/>
      <c r="C222" s="434" t="s">
        <v>317</v>
      </c>
      <c r="D222" s="502">
        <v>47000</v>
      </c>
      <c r="E222" s="312"/>
      <c r="F222" s="312" t="s">
        <v>1337</v>
      </c>
      <c r="G222" s="1131" t="s">
        <v>855</v>
      </c>
      <c r="H222" s="1131" t="s">
        <v>1185</v>
      </c>
      <c r="I222" s="1132" t="s">
        <v>1654</v>
      </c>
      <c r="J222" s="1132" t="s">
        <v>2546</v>
      </c>
      <c r="K222" s="1133" t="s">
        <v>2516</v>
      </c>
      <c r="L222" s="1134" t="s">
        <v>416</v>
      </c>
      <c r="M222" s="1295" t="s">
        <v>2532</v>
      </c>
      <c r="N222" s="1295" t="s">
        <v>1654</v>
      </c>
      <c r="O222" s="1525" t="s">
        <v>3985</v>
      </c>
      <c r="P222" s="626" t="s">
        <v>2109</v>
      </c>
      <c r="Q222" s="589"/>
      <c r="R222" s="189"/>
      <c r="S222" s="445"/>
      <c r="T222" s="560" t="s">
        <v>1730</v>
      </c>
      <c r="U222" s="560" t="s">
        <v>1286</v>
      </c>
      <c r="W222" s="490" t="s">
        <v>85</v>
      </c>
      <c r="X222" s="490" t="s">
        <v>3279</v>
      </c>
      <c r="Z222" s="490"/>
      <c r="AA222" s="162"/>
      <c r="AB222" s="162"/>
      <c r="AC222" s="1038"/>
      <c r="AD222" s="573"/>
      <c r="AE222" s="162"/>
      <c r="AF222" s="162"/>
      <c r="AG222" s="162"/>
      <c r="AH222" s="162"/>
      <c r="AI222" s="162"/>
      <c r="AJ222" s="162"/>
      <c r="AK222" s="162"/>
    </row>
    <row r="223" spans="2:37" ht="10.5" customHeight="1">
      <c r="B223" s="312"/>
      <c r="C223" s="433" t="s">
        <v>319</v>
      </c>
      <c r="D223" s="502">
        <v>66900</v>
      </c>
      <c r="E223" s="312"/>
      <c r="F223" s="312" t="s">
        <v>1339</v>
      </c>
      <c r="G223" s="1131" t="s">
        <v>856</v>
      </c>
      <c r="H223" s="1131" t="s">
        <v>1185</v>
      </c>
      <c r="I223" s="1135" t="s">
        <v>1299</v>
      </c>
      <c r="J223" s="1135" t="s">
        <v>2546</v>
      </c>
      <c r="K223" s="1133" t="s">
        <v>1434</v>
      </c>
      <c r="L223" s="1134" t="s">
        <v>416</v>
      </c>
      <c r="M223" s="1295" t="s">
        <v>2532</v>
      </c>
      <c r="N223" s="1295" t="s">
        <v>1299</v>
      </c>
      <c r="O223" s="1525" t="s">
        <v>3986</v>
      </c>
      <c r="P223" s="626" t="s">
        <v>2381</v>
      </c>
      <c r="Q223" s="321"/>
      <c r="R223" s="189"/>
      <c r="S223" s="445"/>
      <c r="T223" s="560" t="s">
        <v>1732</v>
      </c>
      <c r="U223" s="560" t="s">
        <v>1961</v>
      </c>
      <c r="W223" s="490" t="s">
        <v>1208</v>
      </c>
      <c r="X223" s="490" t="s">
        <v>3279</v>
      </c>
      <c r="Z223" s="490"/>
      <c r="AA223" s="162"/>
      <c r="AB223" s="162"/>
      <c r="AC223" s="1038"/>
      <c r="AD223" s="1038"/>
      <c r="AE223" s="162"/>
      <c r="AF223" s="162"/>
      <c r="AG223" s="162"/>
      <c r="AH223" s="162"/>
      <c r="AI223" s="162"/>
      <c r="AJ223" s="162"/>
      <c r="AK223" s="162"/>
    </row>
    <row r="224" spans="2:37" ht="10.5" customHeight="1">
      <c r="B224" s="312"/>
      <c r="C224" s="434" t="s">
        <v>322</v>
      </c>
      <c r="D224" s="502">
        <v>44100</v>
      </c>
      <c r="E224" s="312"/>
      <c r="F224" s="628"/>
      <c r="G224" s="1131" t="s">
        <v>857</v>
      </c>
      <c r="H224" s="1131" t="s">
        <v>1284</v>
      </c>
      <c r="I224" s="1132" t="s">
        <v>858</v>
      </c>
      <c r="J224" s="1132" t="s">
        <v>2545</v>
      </c>
      <c r="K224" s="1133" t="s">
        <v>1308</v>
      </c>
      <c r="L224" s="1134" t="s">
        <v>415</v>
      </c>
      <c r="M224" s="1296" t="s">
        <v>2532</v>
      </c>
      <c r="N224" s="1296" t="s">
        <v>162</v>
      </c>
      <c r="O224" s="1525" t="s">
        <v>3987</v>
      </c>
      <c r="P224" s="626" t="s">
        <v>2383</v>
      </c>
      <c r="Q224" s="321"/>
      <c r="R224" s="189"/>
      <c r="S224" s="445"/>
      <c r="T224" s="560" t="s">
        <v>805</v>
      </c>
      <c r="U224" s="560" t="s">
        <v>2521</v>
      </c>
      <c r="W224" s="490" t="s">
        <v>157</v>
      </c>
      <c r="X224" s="490" t="s">
        <v>3279</v>
      </c>
      <c r="Z224" s="490"/>
      <c r="AA224" s="162"/>
      <c r="AB224" s="162"/>
      <c r="AC224" s="1038"/>
      <c r="AD224" s="573"/>
      <c r="AE224" s="162"/>
      <c r="AF224" s="162"/>
      <c r="AG224" s="162"/>
      <c r="AH224" s="162"/>
      <c r="AI224" s="162"/>
      <c r="AJ224" s="162"/>
      <c r="AK224" s="162"/>
    </row>
    <row r="225" spans="2:37" ht="10.5" customHeight="1">
      <c r="B225" s="312"/>
      <c r="C225" s="433" t="s">
        <v>324</v>
      </c>
      <c r="D225" s="502">
        <v>43700</v>
      </c>
      <c r="E225" s="312"/>
      <c r="F225" s="628"/>
      <c r="G225" s="1131" t="s">
        <v>2185</v>
      </c>
      <c r="H225" s="1131" t="s">
        <v>1185</v>
      </c>
      <c r="I225" s="1132" t="s">
        <v>2186</v>
      </c>
      <c r="J225" s="1132" t="s">
        <v>2545</v>
      </c>
      <c r="K225" s="1133" t="s">
        <v>1309</v>
      </c>
      <c r="L225" s="1134" t="s">
        <v>415</v>
      </c>
      <c r="M225" s="1296" t="s">
        <v>2532</v>
      </c>
      <c r="N225" s="1296" t="s">
        <v>1303</v>
      </c>
      <c r="O225" s="1525" t="s">
        <v>3988</v>
      </c>
      <c r="P225" s="626" t="s">
        <v>2385</v>
      </c>
      <c r="Q225" s="321"/>
      <c r="R225" s="189"/>
      <c r="S225" s="445"/>
      <c r="T225" s="627" t="s">
        <v>2110</v>
      </c>
      <c r="U225" s="627" t="s">
        <v>2523</v>
      </c>
      <c r="W225" s="490" t="s">
        <v>874</v>
      </c>
      <c r="X225" s="490" t="s">
        <v>3279</v>
      </c>
      <c r="Z225" s="490"/>
      <c r="AA225" s="162"/>
      <c r="AB225" s="162"/>
      <c r="AC225" s="1039"/>
      <c r="AD225" s="573"/>
      <c r="AE225" s="162"/>
      <c r="AF225" s="162"/>
      <c r="AG225" s="162"/>
      <c r="AH225" s="162"/>
      <c r="AI225" s="162"/>
      <c r="AJ225" s="162"/>
      <c r="AK225" s="162"/>
    </row>
    <row r="226" spans="2:37" ht="10.5" customHeight="1">
      <c r="B226" s="312"/>
      <c r="C226" s="434" t="s">
        <v>326</v>
      </c>
      <c r="D226" s="502">
        <v>44500</v>
      </c>
      <c r="E226" s="312"/>
      <c r="F226" s="628"/>
      <c r="G226" s="1131" t="s">
        <v>2187</v>
      </c>
      <c r="H226" s="1131" t="s">
        <v>1185</v>
      </c>
      <c r="I226" s="1132" t="s">
        <v>636</v>
      </c>
      <c r="J226" s="1132" t="s">
        <v>2545</v>
      </c>
      <c r="K226" s="1133" t="s">
        <v>1310</v>
      </c>
      <c r="L226" s="1134" t="s">
        <v>415</v>
      </c>
      <c r="M226" s="1296" t="s">
        <v>2532</v>
      </c>
      <c r="N226" s="1296" t="s">
        <v>1299</v>
      </c>
      <c r="O226" s="1525" t="s">
        <v>3989</v>
      </c>
      <c r="P226" s="626" t="s">
        <v>2387</v>
      </c>
      <c r="Q226" s="321"/>
      <c r="R226" s="189"/>
      <c r="S226" s="445"/>
      <c r="T226" s="560" t="s">
        <v>2382</v>
      </c>
      <c r="U226" s="560" t="s">
        <v>1072</v>
      </c>
      <c r="W226" s="490" t="s">
        <v>2090</v>
      </c>
      <c r="X226" s="490" t="s">
        <v>3279</v>
      </c>
      <c r="Z226" s="490"/>
      <c r="AA226" s="162"/>
      <c r="AB226" s="162"/>
      <c r="AC226" s="1038"/>
      <c r="AD226" s="1042"/>
      <c r="AE226" s="162"/>
      <c r="AF226" s="162"/>
      <c r="AG226" s="162"/>
      <c r="AH226" s="162"/>
      <c r="AI226" s="162"/>
      <c r="AJ226" s="162"/>
      <c r="AK226" s="162"/>
    </row>
    <row r="227" spans="2:37" ht="10.5" customHeight="1">
      <c r="B227" s="312"/>
      <c r="C227" s="434" t="s">
        <v>328</v>
      </c>
      <c r="D227" s="502">
        <v>46500</v>
      </c>
      <c r="E227" s="312"/>
      <c r="F227" s="628"/>
      <c r="G227" s="1131" t="s">
        <v>637</v>
      </c>
      <c r="H227" s="1131" t="s">
        <v>1284</v>
      </c>
      <c r="I227" s="1132" t="s">
        <v>638</v>
      </c>
      <c r="J227" s="1132" t="s">
        <v>2545</v>
      </c>
      <c r="K227" s="1133" t="s">
        <v>1311</v>
      </c>
      <c r="L227" s="1134" t="s">
        <v>415</v>
      </c>
      <c r="M227" s="1296" t="s">
        <v>2532</v>
      </c>
      <c r="N227" s="1296" t="s">
        <v>1179</v>
      </c>
      <c r="O227" s="1525" t="s">
        <v>3990</v>
      </c>
      <c r="P227" s="626" t="s">
        <v>2388</v>
      </c>
      <c r="Q227" s="321"/>
      <c r="R227" s="189"/>
      <c r="S227" s="445"/>
      <c r="T227" s="560" t="s">
        <v>2496</v>
      </c>
      <c r="U227" s="560" t="s">
        <v>314</v>
      </c>
      <c r="W227" s="490" t="s">
        <v>2010</v>
      </c>
      <c r="X227" s="490" t="s">
        <v>3279</v>
      </c>
      <c r="Z227" s="490"/>
      <c r="AA227" s="162"/>
      <c r="AB227" s="162"/>
      <c r="AC227" s="1038"/>
      <c r="AD227" s="573"/>
      <c r="AE227" s="162"/>
      <c r="AF227" s="162"/>
      <c r="AG227" s="162"/>
      <c r="AH227" s="162"/>
      <c r="AI227" s="162"/>
      <c r="AJ227" s="162"/>
      <c r="AK227" s="162"/>
    </row>
    <row r="228" spans="2:37" ht="10.5" customHeight="1">
      <c r="B228" s="312"/>
      <c r="C228" s="434" t="s">
        <v>749</v>
      </c>
      <c r="D228" s="502">
        <v>54500</v>
      </c>
      <c r="E228" s="312"/>
      <c r="F228" s="628"/>
      <c r="G228" s="1131" t="s">
        <v>639</v>
      </c>
      <c r="H228" s="1131" t="s">
        <v>1284</v>
      </c>
      <c r="I228" s="1135" t="s">
        <v>746</v>
      </c>
      <c r="J228" s="1135" t="s">
        <v>2546</v>
      </c>
      <c r="K228" s="1133" t="s">
        <v>2510</v>
      </c>
      <c r="L228" s="1134" t="s">
        <v>416</v>
      </c>
      <c r="M228" s="1295" t="s">
        <v>1170</v>
      </c>
      <c r="N228" s="1295" t="s">
        <v>1179</v>
      </c>
      <c r="O228" s="1525" t="s">
        <v>3991</v>
      </c>
      <c r="P228" s="626" t="s">
        <v>2174</v>
      </c>
      <c r="Q228" s="321"/>
      <c r="R228" s="189"/>
      <c r="S228" s="445"/>
      <c r="T228" s="560" t="s">
        <v>2384</v>
      </c>
      <c r="U228" s="560" t="s">
        <v>1873</v>
      </c>
      <c r="W228" s="490" t="s">
        <v>582</v>
      </c>
      <c r="X228" s="490" t="s">
        <v>3279</v>
      </c>
      <c r="Z228" s="490"/>
      <c r="AA228" s="162"/>
      <c r="AB228" s="162"/>
      <c r="AC228" s="1038"/>
      <c r="AD228" s="573"/>
      <c r="AE228" s="162"/>
      <c r="AF228" s="162"/>
      <c r="AG228" s="162"/>
      <c r="AH228" s="162"/>
      <c r="AI228" s="162"/>
      <c r="AJ228" s="162"/>
      <c r="AK228" s="162"/>
    </row>
    <row r="229" spans="2:37" ht="10.5" customHeight="1">
      <c r="B229" s="312"/>
      <c r="C229" s="434" t="s">
        <v>1425</v>
      </c>
      <c r="D229" s="502">
        <v>45600</v>
      </c>
      <c r="E229" s="312"/>
      <c r="F229" s="628"/>
      <c r="G229" s="1131" t="s">
        <v>640</v>
      </c>
      <c r="H229" s="1131" t="s">
        <v>1284</v>
      </c>
      <c r="I229" s="1135" t="s">
        <v>2210</v>
      </c>
      <c r="J229" s="1135" t="s">
        <v>2546</v>
      </c>
      <c r="K229" s="1133" t="s">
        <v>1312</v>
      </c>
      <c r="L229" s="1134" t="s">
        <v>416</v>
      </c>
      <c r="M229" s="1296" t="s">
        <v>1170</v>
      </c>
      <c r="N229" s="1296" t="s">
        <v>1179</v>
      </c>
      <c r="O229" s="1525" t="s">
        <v>3992</v>
      </c>
      <c r="P229" s="626" t="s">
        <v>690</v>
      </c>
      <c r="Q229" s="321"/>
      <c r="R229" s="189"/>
      <c r="S229" s="445"/>
      <c r="T229" s="560" t="s">
        <v>2386</v>
      </c>
      <c r="U229" s="560" t="s">
        <v>853</v>
      </c>
      <c r="W229" s="490" t="s">
        <v>584</v>
      </c>
      <c r="X229" s="490" t="s">
        <v>3279</v>
      </c>
      <c r="Z229" s="490"/>
      <c r="AA229" s="162"/>
      <c r="AB229" s="162"/>
      <c r="AC229" s="1038"/>
      <c r="AD229" s="573"/>
      <c r="AE229" s="162"/>
      <c r="AF229" s="162"/>
      <c r="AG229" s="162"/>
      <c r="AH229" s="162"/>
      <c r="AI229" s="162"/>
      <c r="AJ229" s="162"/>
      <c r="AK229" s="162"/>
    </row>
    <row r="230" spans="2:37" ht="10.5" customHeight="1">
      <c r="B230" s="312"/>
      <c r="C230" s="434" t="s">
        <v>1429</v>
      </c>
      <c r="D230" s="502">
        <v>50800</v>
      </c>
      <c r="E230" s="312"/>
      <c r="F230" s="628"/>
      <c r="G230" s="1131" t="s">
        <v>641</v>
      </c>
      <c r="H230" s="1131" t="s">
        <v>1284</v>
      </c>
      <c r="I230" s="1135" t="s">
        <v>746</v>
      </c>
      <c r="J230" s="1135" t="s">
        <v>2546</v>
      </c>
      <c r="K230" s="1133" t="s">
        <v>2510</v>
      </c>
      <c r="L230" s="1134" t="s">
        <v>416</v>
      </c>
      <c r="M230" s="1295" t="s">
        <v>1170</v>
      </c>
      <c r="N230" s="1295" t="s">
        <v>1179</v>
      </c>
      <c r="O230" s="1525" t="s">
        <v>3993</v>
      </c>
      <c r="P230" s="626" t="s">
        <v>692</v>
      </c>
      <c r="Q230" s="321"/>
      <c r="R230" s="189"/>
      <c r="S230" s="445"/>
      <c r="T230" s="560" t="s">
        <v>2389</v>
      </c>
      <c r="U230" s="560" t="s">
        <v>155</v>
      </c>
      <c r="W230" s="490" t="s">
        <v>2466</v>
      </c>
      <c r="X230" s="490" t="s">
        <v>3279</v>
      </c>
      <c r="Z230" s="490"/>
      <c r="AA230" s="162"/>
      <c r="AB230" s="162"/>
      <c r="AC230" s="1038"/>
      <c r="AD230" s="573"/>
      <c r="AE230" s="162"/>
      <c r="AF230" s="162"/>
      <c r="AG230" s="162"/>
      <c r="AH230" s="162"/>
      <c r="AI230" s="162"/>
      <c r="AJ230" s="162"/>
      <c r="AK230" s="162"/>
    </row>
    <row r="231" spans="2:37" ht="10.5" customHeight="1">
      <c r="B231" s="312"/>
      <c r="C231" s="434" t="s">
        <v>1431</v>
      </c>
      <c r="D231" s="502">
        <v>58200</v>
      </c>
      <c r="E231" s="312"/>
      <c r="F231" s="628"/>
      <c r="G231" s="1131" t="s">
        <v>642</v>
      </c>
      <c r="H231" s="1131" t="s">
        <v>1284</v>
      </c>
      <c r="I231" s="1135" t="s">
        <v>643</v>
      </c>
      <c r="J231" s="1135" t="s">
        <v>2545</v>
      </c>
      <c r="K231" s="1133" t="s">
        <v>1313</v>
      </c>
      <c r="L231" s="1134" t="s">
        <v>415</v>
      </c>
      <c r="M231" s="1296" t="s">
        <v>2532</v>
      </c>
      <c r="N231" s="1296" t="s">
        <v>162</v>
      </c>
      <c r="O231" s="1525" t="s">
        <v>3994</v>
      </c>
      <c r="P231" s="626" t="s">
        <v>694</v>
      </c>
      <c r="Q231" s="321"/>
      <c r="R231" s="189"/>
      <c r="S231" s="445"/>
      <c r="T231" s="560" t="s">
        <v>2175</v>
      </c>
      <c r="U231" s="560" t="s">
        <v>637</v>
      </c>
      <c r="W231" s="490" t="s">
        <v>588</v>
      </c>
      <c r="X231" s="490" t="s">
        <v>3279</v>
      </c>
      <c r="Z231" s="490"/>
      <c r="AA231" s="162"/>
      <c r="AB231" s="162"/>
      <c r="AC231" s="1038"/>
      <c r="AD231" s="573"/>
      <c r="AE231" s="162"/>
      <c r="AF231" s="162"/>
      <c r="AG231" s="162"/>
      <c r="AH231" s="162"/>
      <c r="AI231" s="162"/>
      <c r="AJ231" s="162"/>
      <c r="AK231" s="162"/>
    </row>
    <row r="232" spans="2:37" ht="10.5" customHeight="1">
      <c r="B232" s="312"/>
      <c r="C232" s="434" t="s">
        <v>173</v>
      </c>
      <c r="D232" s="502">
        <v>54900</v>
      </c>
      <c r="E232" s="312"/>
      <c r="F232" s="628"/>
      <c r="G232" s="1131" t="s">
        <v>1180</v>
      </c>
      <c r="H232" s="1131" t="s">
        <v>1752</v>
      </c>
      <c r="I232" s="1135" t="s">
        <v>746</v>
      </c>
      <c r="J232" s="1135" t="s">
        <v>2546</v>
      </c>
      <c r="K232" s="1133" t="s">
        <v>2510</v>
      </c>
      <c r="L232" s="1134" t="s">
        <v>416</v>
      </c>
      <c r="M232" s="1295" t="s">
        <v>1170</v>
      </c>
      <c r="N232" s="1295" t="s">
        <v>1179</v>
      </c>
      <c r="O232" s="1525" t="s">
        <v>3995</v>
      </c>
      <c r="P232" s="626" t="s">
        <v>696</v>
      </c>
      <c r="Q232" s="321"/>
      <c r="R232" s="189"/>
      <c r="S232" s="445"/>
      <c r="T232" s="560" t="s">
        <v>691</v>
      </c>
      <c r="U232" s="560" t="s">
        <v>2417</v>
      </c>
      <c r="W232" s="490" t="s">
        <v>531</v>
      </c>
      <c r="X232" s="490" t="s">
        <v>3279</v>
      </c>
      <c r="Z232" s="490"/>
      <c r="AA232" s="162"/>
      <c r="AB232" s="162"/>
      <c r="AC232" s="1038"/>
      <c r="AD232" s="573"/>
      <c r="AE232" s="162"/>
      <c r="AF232" s="162"/>
      <c r="AG232" s="162"/>
      <c r="AH232" s="162"/>
      <c r="AI232" s="162"/>
      <c r="AJ232" s="162"/>
      <c r="AK232" s="162"/>
    </row>
    <row r="233" spans="2:37" ht="10.5" customHeight="1">
      <c r="B233" s="312"/>
      <c r="C233" s="434" t="s">
        <v>1293</v>
      </c>
      <c r="D233" s="502">
        <v>40500</v>
      </c>
      <c r="E233" s="312"/>
      <c r="F233" s="628"/>
      <c r="G233" s="1131" t="s">
        <v>644</v>
      </c>
      <c r="H233" s="1131" t="s">
        <v>1284</v>
      </c>
      <c r="I233" s="1132" t="s">
        <v>645</v>
      </c>
      <c r="J233" s="1132" t="s">
        <v>2545</v>
      </c>
      <c r="K233" s="1133" t="s">
        <v>234</v>
      </c>
      <c r="L233" s="1134" t="s">
        <v>415</v>
      </c>
      <c r="M233" s="1296" t="s">
        <v>2532</v>
      </c>
      <c r="N233" s="1296" t="s">
        <v>1179</v>
      </c>
      <c r="O233" s="1525" t="s">
        <v>3996</v>
      </c>
      <c r="P233" s="626" t="s">
        <v>2166</v>
      </c>
      <c r="Q233" s="321"/>
      <c r="R233" s="189"/>
      <c r="S233" s="445"/>
      <c r="T233" s="627" t="s">
        <v>693</v>
      </c>
      <c r="U233" s="627" t="s">
        <v>1087</v>
      </c>
      <c r="W233" s="490" t="s">
        <v>728</v>
      </c>
      <c r="X233" s="490" t="s">
        <v>3279</v>
      </c>
      <c r="Z233" s="490"/>
      <c r="AA233" s="162"/>
      <c r="AB233" s="162"/>
      <c r="AC233" s="1039"/>
      <c r="AD233" s="573"/>
      <c r="AE233" s="162"/>
      <c r="AF233" s="162"/>
      <c r="AG233" s="162"/>
      <c r="AH233" s="162"/>
      <c r="AI233" s="162"/>
      <c r="AJ233" s="162"/>
      <c r="AK233" s="162"/>
    </row>
    <row r="234" spans="2:37" ht="10.5" customHeight="1">
      <c r="B234" s="312"/>
      <c r="C234" s="434" t="s">
        <v>174</v>
      </c>
      <c r="D234" s="502">
        <v>53900</v>
      </c>
      <c r="E234" s="312"/>
      <c r="F234" s="628"/>
      <c r="G234" s="1131" t="s">
        <v>646</v>
      </c>
      <c r="H234" s="1131" t="s">
        <v>1284</v>
      </c>
      <c r="I234" s="1135" t="s">
        <v>647</v>
      </c>
      <c r="J234" s="1135" t="s">
        <v>2545</v>
      </c>
      <c r="K234" s="1133" t="s">
        <v>235</v>
      </c>
      <c r="L234" s="1134" t="s">
        <v>415</v>
      </c>
      <c r="M234" s="1296" t="s">
        <v>2532</v>
      </c>
      <c r="N234" s="1296" t="s">
        <v>1303</v>
      </c>
      <c r="O234" s="1525" t="s">
        <v>3997</v>
      </c>
      <c r="P234" s="626" t="s">
        <v>2167</v>
      </c>
      <c r="Q234" s="321"/>
      <c r="R234" s="189"/>
      <c r="S234" s="445"/>
      <c r="T234" s="560" t="s">
        <v>695</v>
      </c>
      <c r="U234" s="560" t="s">
        <v>2523</v>
      </c>
      <c r="W234" s="490" t="s">
        <v>35</v>
      </c>
      <c r="X234" s="490" t="s">
        <v>3279</v>
      </c>
      <c r="Z234" s="490"/>
      <c r="AA234" s="162"/>
      <c r="AB234" s="162"/>
      <c r="AC234" s="1038"/>
      <c r="AD234" s="573"/>
      <c r="AE234" s="162"/>
      <c r="AF234" s="162"/>
      <c r="AG234" s="162"/>
      <c r="AH234" s="162"/>
      <c r="AI234" s="162"/>
      <c r="AJ234" s="162"/>
      <c r="AK234" s="162"/>
    </row>
    <row r="235" spans="2:37" ht="10.5" customHeight="1">
      <c r="B235" s="312"/>
      <c r="C235" s="434" t="s">
        <v>751</v>
      </c>
      <c r="D235" s="502">
        <v>49500</v>
      </c>
      <c r="E235" s="312"/>
      <c r="F235" s="628"/>
      <c r="G235" s="1131" t="s">
        <v>648</v>
      </c>
      <c r="H235" s="1131" t="s">
        <v>1752</v>
      </c>
      <c r="I235" s="1132" t="s">
        <v>9</v>
      </c>
      <c r="J235" s="1132" t="s">
        <v>2546</v>
      </c>
      <c r="K235" s="1133" t="s">
        <v>2515</v>
      </c>
      <c r="L235" s="1134" t="s">
        <v>416</v>
      </c>
      <c r="M235" s="1296" t="s">
        <v>1170</v>
      </c>
      <c r="N235" s="1296" t="s">
        <v>1299</v>
      </c>
      <c r="O235" s="1525" t="s">
        <v>3998</v>
      </c>
      <c r="P235" s="626" t="s">
        <v>2169</v>
      </c>
      <c r="Q235" s="321"/>
      <c r="R235" s="189"/>
      <c r="S235" s="445"/>
      <c r="T235" s="560" t="s">
        <v>2497</v>
      </c>
      <c r="U235" s="560" t="s">
        <v>2419</v>
      </c>
      <c r="W235" s="490" t="s">
        <v>1920</v>
      </c>
      <c r="X235" s="490" t="s">
        <v>3279</v>
      </c>
      <c r="Z235" s="490"/>
      <c r="AA235" s="162"/>
      <c r="AB235" s="162"/>
      <c r="AC235" s="1038"/>
      <c r="AD235" s="573"/>
      <c r="AE235" s="162"/>
      <c r="AF235" s="162"/>
      <c r="AG235" s="162"/>
      <c r="AH235" s="162"/>
      <c r="AI235" s="162"/>
      <c r="AJ235" s="162"/>
      <c r="AK235" s="162"/>
    </row>
    <row r="236" spans="2:37" ht="10.5" customHeight="1">
      <c r="B236" s="312"/>
      <c r="C236" s="434" t="s">
        <v>1599</v>
      </c>
      <c r="D236" s="502">
        <v>50500</v>
      </c>
      <c r="E236" s="312"/>
      <c r="F236" s="628"/>
      <c r="G236" s="1131" t="s">
        <v>649</v>
      </c>
      <c r="H236" s="1131" t="s">
        <v>1284</v>
      </c>
      <c r="I236" s="1132" t="s">
        <v>650</v>
      </c>
      <c r="J236" s="1132" t="s">
        <v>2545</v>
      </c>
      <c r="K236" s="1133" t="s">
        <v>236</v>
      </c>
      <c r="L236" s="1134" t="s">
        <v>415</v>
      </c>
      <c r="M236" s="1296" t="s">
        <v>2532</v>
      </c>
      <c r="N236" s="1296" t="s">
        <v>1179</v>
      </c>
      <c r="O236" s="1525" t="s">
        <v>3999</v>
      </c>
      <c r="P236" s="626" t="s">
        <v>666</v>
      </c>
      <c r="Q236" s="321"/>
      <c r="R236" s="189"/>
      <c r="S236" s="445"/>
      <c r="T236" s="560" t="s">
        <v>2168</v>
      </c>
      <c r="U236" s="560" t="s">
        <v>1627</v>
      </c>
      <c r="W236" s="490" t="s">
        <v>330</v>
      </c>
      <c r="X236" s="490" t="s">
        <v>3279</v>
      </c>
      <c r="Z236" s="490"/>
      <c r="AA236" s="162"/>
      <c r="AB236" s="162"/>
      <c r="AC236" s="1038"/>
      <c r="AD236" s="573"/>
      <c r="AE236" s="162"/>
      <c r="AF236" s="162"/>
      <c r="AG236" s="162"/>
      <c r="AH236" s="162"/>
      <c r="AI236" s="162"/>
      <c r="AJ236" s="162"/>
      <c r="AK236" s="162"/>
    </row>
    <row r="237" spans="2:37" ht="10.5" customHeight="1">
      <c r="B237" s="312"/>
      <c r="C237" s="434" t="s">
        <v>1601</v>
      </c>
      <c r="D237" s="502">
        <v>40200</v>
      </c>
      <c r="E237" s="312"/>
      <c r="F237" s="628"/>
      <c r="G237" s="1131" t="s">
        <v>651</v>
      </c>
      <c r="H237" s="1131" t="s">
        <v>1185</v>
      </c>
      <c r="I237" s="1132" t="s">
        <v>652</v>
      </c>
      <c r="J237" s="1132" t="s">
        <v>2545</v>
      </c>
      <c r="K237" s="1133" t="s">
        <v>395</v>
      </c>
      <c r="L237" s="1134" t="s">
        <v>415</v>
      </c>
      <c r="M237" s="1296" t="s">
        <v>2532</v>
      </c>
      <c r="N237" s="1296" t="s">
        <v>1738</v>
      </c>
      <c r="O237" s="1525" t="s">
        <v>4000</v>
      </c>
      <c r="P237" s="626" t="s">
        <v>769</v>
      </c>
      <c r="Q237" s="321"/>
      <c r="R237" s="189"/>
      <c r="S237" s="445"/>
      <c r="T237" s="560" t="s">
        <v>2170</v>
      </c>
      <c r="U237" s="560" t="s">
        <v>2517</v>
      </c>
      <c r="W237" s="490" t="s">
        <v>338</v>
      </c>
      <c r="X237" s="490" t="s">
        <v>3279</v>
      </c>
      <c r="Z237" s="490"/>
      <c r="AA237" s="162"/>
      <c r="AB237" s="162"/>
      <c r="AC237" s="1038"/>
      <c r="AD237" s="573"/>
      <c r="AE237" s="162"/>
      <c r="AF237" s="162"/>
      <c r="AG237" s="162"/>
      <c r="AH237" s="162"/>
      <c r="AI237" s="162"/>
      <c r="AJ237" s="162"/>
      <c r="AK237" s="162"/>
    </row>
    <row r="238" spans="2:37" ht="10.5" customHeight="1">
      <c r="B238" s="312"/>
      <c r="C238" s="434" t="s">
        <v>1994</v>
      </c>
      <c r="D238" s="502">
        <v>63800</v>
      </c>
      <c r="E238" s="312"/>
      <c r="F238" s="628"/>
      <c r="G238" s="1131" t="s">
        <v>653</v>
      </c>
      <c r="H238" s="1131" t="s">
        <v>1284</v>
      </c>
      <c r="I238" s="1132" t="s">
        <v>654</v>
      </c>
      <c r="J238" s="1132" t="s">
        <v>2545</v>
      </c>
      <c r="K238" s="1133" t="s">
        <v>396</v>
      </c>
      <c r="L238" s="1134" t="s">
        <v>415</v>
      </c>
      <c r="M238" s="1296" t="s">
        <v>2532</v>
      </c>
      <c r="N238" s="1296" t="s">
        <v>162</v>
      </c>
      <c r="O238" s="1525" t="s">
        <v>4001</v>
      </c>
      <c r="P238" s="626" t="s">
        <v>2213</v>
      </c>
      <c r="Q238" s="321"/>
      <c r="R238" s="189"/>
      <c r="S238" s="445"/>
      <c r="T238" s="560" t="s">
        <v>667</v>
      </c>
      <c r="U238" s="560" t="s">
        <v>715</v>
      </c>
      <c r="W238" s="490" t="s">
        <v>191</v>
      </c>
      <c r="X238" s="490" t="s">
        <v>3279</v>
      </c>
      <c r="Z238" s="490"/>
      <c r="AA238" s="162"/>
      <c r="AB238" s="162"/>
      <c r="AC238" s="1038"/>
      <c r="AD238" s="573"/>
      <c r="AE238" s="162"/>
      <c r="AF238" s="162"/>
      <c r="AG238" s="162"/>
      <c r="AH238" s="162"/>
      <c r="AI238" s="162"/>
      <c r="AJ238" s="162"/>
      <c r="AK238" s="162"/>
    </row>
    <row r="239" spans="2:37" ht="10.5" customHeight="1">
      <c r="B239" s="312"/>
      <c r="C239" s="434" t="s">
        <v>181</v>
      </c>
      <c r="D239" s="502">
        <v>50500</v>
      </c>
      <c r="E239" s="312"/>
      <c r="F239" s="628"/>
      <c r="G239" s="1131" t="s">
        <v>118</v>
      </c>
      <c r="H239" s="1131" t="s">
        <v>1284</v>
      </c>
      <c r="I239" s="1135" t="s">
        <v>746</v>
      </c>
      <c r="J239" s="1135" t="s">
        <v>2546</v>
      </c>
      <c r="K239" s="1133" t="s">
        <v>2510</v>
      </c>
      <c r="L239" s="1134" t="s">
        <v>416</v>
      </c>
      <c r="M239" s="1295" t="s">
        <v>1170</v>
      </c>
      <c r="N239" s="1295" t="s">
        <v>1179</v>
      </c>
      <c r="O239" s="1525" t="s">
        <v>4002</v>
      </c>
      <c r="P239" s="626" t="s">
        <v>2242</v>
      </c>
      <c r="Q239" s="321"/>
      <c r="R239" s="189"/>
      <c r="S239" s="445"/>
      <c r="T239" s="560" t="s">
        <v>2212</v>
      </c>
      <c r="U239" s="560" t="s">
        <v>311</v>
      </c>
      <c r="W239" s="490" t="s">
        <v>2105</v>
      </c>
      <c r="X239" s="490" t="s">
        <v>3279</v>
      </c>
      <c r="Z239" s="490"/>
      <c r="AA239" s="162"/>
      <c r="AB239" s="162"/>
      <c r="AC239" s="1038"/>
      <c r="AD239" s="573"/>
      <c r="AE239" s="162"/>
      <c r="AF239" s="162"/>
      <c r="AG239" s="162"/>
      <c r="AH239" s="162"/>
      <c r="AI239" s="162"/>
      <c r="AJ239" s="162"/>
      <c r="AK239" s="162"/>
    </row>
    <row r="240" spans="2:37" ht="10.5" customHeight="1">
      <c r="B240" s="312"/>
      <c r="C240" s="433" t="s">
        <v>2518</v>
      </c>
      <c r="D240" s="502">
        <v>62400</v>
      </c>
      <c r="E240" s="312"/>
      <c r="F240" s="628"/>
      <c r="G240" s="1131" t="s">
        <v>119</v>
      </c>
      <c r="H240" s="1131" t="s">
        <v>1284</v>
      </c>
      <c r="I240" s="1132" t="s">
        <v>120</v>
      </c>
      <c r="J240" s="1132" t="s">
        <v>2545</v>
      </c>
      <c r="K240" s="1133" t="s">
        <v>397</v>
      </c>
      <c r="L240" s="1134" t="s">
        <v>415</v>
      </c>
      <c r="M240" s="1296" t="s">
        <v>2532</v>
      </c>
      <c r="N240" s="1296" t="s">
        <v>162</v>
      </c>
      <c r="O240" s="1525" t="s">
        <v>4003</v>
      </c>
      <c r="P240" s="626" t="s">
        <v>43</v>
      </c>
      <c r="Q240" s="321"/>
      <c r="R240" s="189"/>
      <c r="S240" s="445"/>
      <c r="T240" s="560" t="s">
        <v>2272</v>
      </c>
      <c r="U240" s="560" t="s">
        <v>857</v>
      </c>
      <c r="W240" s="490" t="s">
        <v>192</v>
      </c>
      <c r="X240" s="490" t="s">
        <v>3279</v>
      </c>
      <c r="Z240" s="490"/>
      <c r="AA240" s="162"/>
      <c r="AB240" s="162"/>
      <c r="AC240" s="1041"/>
      <c r="AD240" s="573"/>
      <c r="AE240" s="162"/>
      <c r="AF240" s="162"/>
      <c r="AG240" s="162"/>
      <c r="AH240" s="162"/>
      <c r="AI240" s="162"/>
      <c r="AJ240" s="162"/>
      <c r="AK240" s="162"/>
    </row>
    <row r="241" spans="2:37" ht="10.5" customHeight="1">
      <c r="B241" s="312"/>
      <c r="C241" s="434" t="s">
        <v>2520</v>
      </c>
      <c r="D241" s="502">
        <v>49500</v>
      </c>
      <c r="E241" s="312"/>
      <c r="F241" s="628"/>
      <c r="G241" s="1131" t="s">
        <v>306</v>
      </c>
      <c r="H241" s="1131" t="s">
        <v>1284</v>
      </c>
      <c r="I241" s="1132" t="s">
        <v>1195</v>
      </c>
      <c r="J241" s="1132" t="s">
        <v>2546</v>
      </c>
      <c r="K241" s="1133" t="s">
        <v>398</v>
      </c>
      <c r="L241" s="1134" t="s">
        <v>416</v>
      </c>
      <c r="M241" s="1296" t="s">
        <v>1170</v>
      </c>
      <c r="N241" s="1296" t="s">
        <v>1179</v>
      </c>
      <c r="O241" s="1525" t="s">
        <v>4004</v>
      </c>
      <c r="P241" s="626" t="s">
        <v>615</v>
      </c>
      <c r="Q241" s="321"/>
      <c r="R241" s="189"/>
      <c r="S241" s="445"/>
      <c r="T241" s="560" t="s">
        <v>44</v>
      </c>
      <c r="U241" s="560" t="s">
        <v>318</v>
      </c>
      <c r="W241" s="490" t="s">
        <v>376</v>
      </c>
      <c r="X241" s="490" t="s">
        <v>3279</v>
      </c>
      <c r="Z241" s="490"/>
      <c r="AA241" s="162"/>
      <c r="AB241" s="162"/>
      <c r="AC241" s="1038"/>
      <c r="AD241" s="573"/>
      <c r="AE241" s="162"/>
      <c r="AF241" s="162"/>
      <c r="AG241" s="162"/>
      <c r="AH241" s="162"/>
      <c r="AI241" s="162"/>
      <c r="AJ241" s="162"/>
      <c r="AK241" s="162"/>
    </row>
    <row r="242" spans="2:37" ht="10.5" customHeight="1">
      <c r="B242" s="312"/>
      <c r="C242" s="434" t="s">
        <v>1070</v>
      </c>
      <c r="D242" s="502">
        <v>56600</v>
      </c>
      <c r="E242" s="312"/>
      <c r="F242" s="628"/>
      <c r="G242" s="1136" t="s">
        <v>307</v>
      </c>
      <c r="H242" s="1131" t="s">
        <v>1284</v>
      </c>
      <c r="I242" s="1132" t="s">
        <v>308</v>
      </c>
      <c r="J242" s="1132" t="s">
        <v>2545</v>
      </c>
      <c r="K242" s="1133" t="s">
        <v>399</v>
      </c>
      <c r="L242" s="1134" t="s">
        <v>415</v>
      </c>
      <c r="M242" s="1296" t="s">
        <v>2532</v>
      </c>
      <c r="N242" s="1296" t="s">
        <v>1293</v>
      </c>
      <c r="O242" s="1525" t="s">
        <v>4005</v>
      </c>
      <c r="P242" s="626" t="s">
        <v>299</v>
      </c>
      <c r="Q242" s="321"/>
      <c r="R242" s="189"/>
      <c r="S242" s="445"/>
      <c r="T242" s="560" t="s">
        <v>616</v>
      </c>
      <c r="U242" s="560" t="s">
        <v>2525</v>
      </c>
      <c r="W242" s="490" t="s">
        <v>852</v>
      </c>
      <c r="X242" s="490" t="s">
        <v>3279</v>
      </c>
      <c r="Z242" s="490"/>
      <c r="AA242" s="162"/>
      <c r="AB242" s="162"/>
      <c r="AC242" s="1038"/>
      <c r="AD242" s="573"/>
      <c r="AE242" s="162"/>
      <c r="AF242" s="162"/>
      <c r="AG242" s="162"/>
      <c r="AH242" s="162"/>
      <c r="AI242" s="162"/>
      <c r="AJ242" s="162"/>
      <c r="AK242" s="162"/>
    </row>
    <row r="243" spans="2:37" ht="10.5" customHeight="1">
      <c r="B243" s="312"/>
      <c r="C243" s="434" t="s">
        <v>1073</v>
      </c>
      <c r="D243" s="502">
        <v>53900</v>
      </c>
      <c r="E243" s="312"/>
      <c r="F243" s="628"/>
      <c r="G243" s="1131" t="s">
        <v>309</v>
      </c>
      <c r="H243" s="1131" t="s">
        <v>1284</v>
      </c>
      <c r="I243" s="1135" t="s">
        <v>748</v>
      </c>
      <c r="J243" s="1135" t="s">
        <v>2546</v>
      </c>
      <c r="K243" s="1133" t="s">
        <v>400</v>
      </c>
      <c r="L243" s="1134" t="s">
        <v>416</v>
      </c>
      <c r="M243" s="1295" t="s">
        <v>2532</v>
      </c>
      <c r="N243" s="1295" t="s">
        <v>1179</v>
      </c>
      <c r="O243" s="1525" t="s">
        <v>4006</v>
      </c>
      <c r="P243" s="626" t="s">
        <v>2309</v>
      </c>
      <c r="Q243" s="321"/>
      <c r="R243" s="189"/>
      <c r="S243" s="445"/>
      <c r="T243" s="560" t="s">
        <v>300</v>
      </c>
      <c r="U243" s="560" t="s">
        <v>309</v>
      </c>
      <c r="W243" s="490" t="s">
        <v>1877</v>
      </c>
      <c r="X243" s="490" t="s">
        <v>3279</v>
      </c>
      <c r="Z243" s="490"/>
      <c r="AA243" s="162"/>
      <c r="AB243" s="162"/>
      <c r="AC243" s="1038"/>
      <c r="AD243" s="573"/>
      <c r="AE243" s="162"/>
      <c r="AF243" s="162"/>
      <c r="AG243" s="162"/>
      <c r="AH243" s="162"/>
      <c r="AI243" s="162"/>
      <c r="AJ243" s="162"/>
      <c r="AK243" s="162"/>
    </row>
    <row r="244" spans="2:37" ht="10.5" customHeight="1">
      <c r="B244" s="312"/>
      <c r="C244" s="434" t="s">
        <v>1076</v>
      </c>
      <c r="D244" s="502">
        <v>51100</v>
      </c>
      <c r="E244" s="312"/>
      <c r="F244" s="628"/>
      <c r="G244" s="1131" t="s">
        <v>310</v>
      </c>
      <c r="H244" s="1131" t="s">
        <v>1185</v>
      </c>
      <c r="I244" s="1135" t="s">
        <v>157</v>
      </c>
      <c r="J244" s="1135" t="s">
        <v>2546</v>
      </c>
      <c r="K244" s="1133" t="s">
        <v>1640</v>
      </c>
      <c r="L244" s="1134" t="s">
        <v>416</v>
      </c>
      <c r="M244" s="1295" t="s">
        <v>2532</v>
      </c>
      <c r="N244" s="1295" t="s">
        <v>157</v>
      </c>
      <c r="O244" s="1525" t="s">
        <v>4007</v>
      </c>
      <c r="P244" s="626" t="s">
        <v>2330</v>
      </c>
      <c r="Q244" s="321"/>
      <c r="R244" s="189"/>
      <c r="S244" s="445"/>
      <c r="T244" s="560" t="s">
        <v>2310</v>
      </c>
      <c r="U244" s="560" t="s">
        <v>192</v>
      </c>
      <c r="W244" s="490" t="s">
        <v>1881</v>
      </c>
      <c r="X244" s="490" t="s">
        <v>3279</v>
      </c>
      <c r="Z244" s="490"/>
      <c r="AA244" s="162"/>
      <c r="AB244" s="162"/>
      <c r="AC244" s="1038"/>
      <c r="AD244" s="573"/>
      <c r="AE244" s="162"/>
      <c r="AF244" s="162"/>
      <c r="AG244" s="162"/>
      <c r="AH244" s="162"/>
      <c r="AI244" s="162"/>
      <c r="AJ244" s="162"/>
      <c r="AK244" s="162"/>
    </row>
    <row r="245" spans="2:37" ht="10.5" customHeight="1">
      <c r="B245" s="312"/>
      <c r="C245" s="433" t="s">
        <v>1078</v>
      </c>
      <c r="D245" s="502">
        <v>49800</v>
      </c>
      <c r="E245" s="312"/>
      <c r="F245" s="628"/>
      <c r="G245" s="1131" t="s">
        <v>311</v>
      </c>
      <c r="H245" s="1131" t="s">
        <v>1284</v>
      </c>
      <c r="I245" s="1132" t="s">
        <v>312</v>
      </c>
      <c r="J245" s="1132" t="s">
        <v>2545</v>
      </c>
      <c r="K245" s="1133" t="s">
        <v>401</v>
      </c>
      <c r="L245" s="1134" t="s">
        <v>415</v>
      </c>
      <c r="M245" s="1296" t="s">
        <v>2532</v>
      </c>
      <c r="N245" s="1296" t="s">
        <v>162</v>
      </c>
      <c r="O245" s="1525" t="s">
        <v>4008</v>
      </c>
      <c r="P245" s="626" t="s">
        <v>2332</v>
      </c>
      <c r="Q245" s="321"/>
      <c r="R245" s="189"/>
      <c r="S245" s="445"/>
      <c r="T245" s="560" t="s">
        <v>2331</v>
      </c>
      <c r="U245" s="560" t="s">
        <v>1626</v>
      </c>
      <c r="W245" s="490" t="s">
        <v>699</v>
      </c>
      <c r="X245" s="490" t="s">
        <v>3279</v>
      </c>
      <c r="Z245" s="490"/>
      <c r="AA245" s="162"/>
      <c r="AB245" s="162"/>
      <c r="AC245" s="1038"/>
      <c r="AD245" s="573"/>
      <c r="AE245" s="162"/>
      <c r="AF245" s="162"/>
      <c r="AG245" s="162"/>
      <c r="AH245" s="162"/>
      <c r="AI245" s="162"/>
      <c r="AJ245" s="162"/>
      <c r="AK245" s="162"/>
    </row>
    <row r="246" spans="2:37" ht="10.5" customHeight="1">
      <c r="B246" s="312"/>
      <c r="C246" s="434" t="s">
        <v>1080</v>
      </c>
      <c r="D246" s="502">
        <v>60100</v>
      </c>
      <c r="E246" s="312"/>
      <c r="F246" s="628"/>
      <c r="G246" s="1131" t="s">
        <v>313</v>
      </c>
      <c r="H246" s="1131" t="s">
        <v>1185</v>
      </c>
      <c r="I246" s="1135" t="s">
        <v>746</v>
      </c>
      <c r="J246" s="1135" t="s">
        <v>2546</v>
      </c>
      <c r="K246" s="1133" t="s">
        <v>2510</v>
      </c>
      <c r="L246" s="1134" t="s">
        <v>416</v>
      </c>
      <c r="M246" s="1295" t="s">
        <v>1170</v>
      </c>
      <c r="N246" s="1295" t="s">
        <v>1179</v>
      </c>
      <c r="O246" s="1525" t="s">
        <v>4009</v>
      </c>
      <c r="P246" s="626" t="s">
        <v>2333</v>
      </c>
      <c r="Q246" s="321"/>
      <c r="R246" s="189"/>
      <c r="S246" s="445"/>
      <c r="T246" s="560" t="s">
        <v>2748</v>
      </c>
      <c r="U246" s="560" t="s">
        <v>610</v>
      </c>
      <c r="W246" s="490" t="s">
        <v>1118</v>
      </c>
      <c r="X246" s="490" t="s">
        <v>3279</v>
      </c>
      <c r="Z246" s="490"/>
      <c r="AA246" s="162"/>
      <c r="AB246" s="162"/>
      <c r="AC246" s="1038"/>
      <c r="AD246" s="573"/>
      <c r="AE246" s="162"/>
      <c r="AF246" s="162"/>
      <c r="AG246" s="162"/>
      <c r="AH246" s="162"/>
      <c r="AI246" s="162"/>
      <c r="AJ246" s="162"/>
      <c r="AK246" s="162"/>
    </row>
    <row r="247" spans="2:37" ht="10.5" customHeight="1">
      <c r="B247" s="312"/>
      <c r="C247" s="434" t="s">
        <v>1082</v>
      </c>
      <c r="D247" s="502">
        <v>38300</v>
      </c>
      <c r="E247" s="312"/>
      <c r="F247" s="628"/>
      <c r="G247" s="1131" t="s">
        <v>314</v>
      </c>
      <c r="H247" s="1131" t="s">
        <v>1284</v>
      </c>
      <c r="I247" s="1135" t="s">
        <v>746</v>
      </c>
      <c r="J247" s="1135" t="s">
        <v>2546</v>
      </c>
      <c r="K247" s="1133" t="s">
        <v>2510</v>
      </c>
      <c r="L247" s="1134" t="s">
        <v>416</v>
      </c>
      <c r="M247" s="1295" t="s">
        <v>1170</v>
      </c>
      <c r="N247" s="1295" t="s">
        <v>1179</v>
      </c>
      <c r="O247" s="1525" t="s">
        <v>4010</v>
      </c>
      <c r="P247" s="626" t="s">
        <v>2301</v>
      </c>
      <c r="Q247" s="321"/>
      <c r="R247" s="189"/>
      <c r="S247" s="445"/>
      <c r="T247" s="560" t="s">
        <v>611</v>
      </c>
      <c r="U247" s="560" t="s">
        <v>1300</v>
      </c>
      <c r="W247" s="490" t="s">
        <v>1120</v>
      </c>
      <c r="X247" s="490" t="s">
        <v>3279</v>
      </c>
      <c r="Z247" s="490"/>
      <c r="AA247" s="162"/>
      <c r="AB247" s="162"/>
      <c r="AC247" s="1038"/>
      <c r="AD247" s="573"/>
      <c r="AE247" s="162"/>
      <c r="AF247" s="162"/>
      <c r="AG247" s="162"/>
      <c r="AH247" s="162"/>
      <c r="AI247" s="162"/>
      <c r="AJ247" s="162"/>
      <c r="AK247" s="162"/>
    </row>
    <row r="248" spans="2:37" ht="10.5" customHeight="1">
      <c r="B248" s="312"/>
      <c r="C248" s="434" t="s">
        <v>1084</v>
      </c>
      <c r="D248" s="502">
        <v>56800</v>
      </c>
      <c r="E248" s="312"/>
      <c r="F248" s="628"/>
      <c r="G248" s="1131" t="s">
        <v>315</v>
      </c>
      <c r="H248" s="1131" t="s">
        <v>1284</v>
      </c>
      <c r="I248" s="1135" t="s">
        <v>1667</v>
      </c>
      <c r="J248" s="1135" t="s">
        <v>2546</v>
      </c>
      <c r="K248" s="1133" t="s">
        <v>402</v>
      </c>
      <c r="L248" s="1134" t="s">
        <v>416</v>
      </c>
      <c r="M248" s="1296" t="s">
        <v>1170</v>
      </c>
      <c r="N248" s="1296" t="s">
        <v>1293</v>
      </c>
      <c r="O248" s="1525" t="s">
        <v>4011</v>
      </c>
      <c r="P248" s="626" t="s">
        <v>8</v>
      </c>
      <c r="Q248" s="321"/>
      <c r="R248" s="189"/>
      <c r="S248" s="445"/>
      <c r="T248" s="560" t="s">
        <v>1297</v>
      </c>
      <c r="U248" s="560" t="s">
        <v>639</v>
      </c>
      <c r="W248" s="490" t="s">
        <v>1122</v>
      </c>
      <c r="X248" s="490" t="s">
        <v>3279</v>
      </c>
      <c r="Z248" s="490"/>
      <c r="AA248" s="162"/>
      <c r="AB248" s="162"/>
      <c r="AC248" s="1038"/>
      <c r="AD248" s="573"/>
      <c r="AE248" s="162"/>
      <c r="AF248" s="162"/>
      <c r="AG248" s="162"/>
      <c r="AH248" s="162"/>
      <c r="AI248" s="162"/>
      <c r="AJ248" s="162"/>
      <c r="AK248" s="162"/>
    </row>
    <row r="249" spans="2:37" ht="10.5" customHeight="1">
      <c r="B249" s="312"/>
      <c r="C249" s="433" t="s">
        <v>1086</v>
      </c>
      <c r="D249" s="502">
        <v>37800</v>
      </c>
      <c r="E249" s="312"/>
      <c r="F249" s="628"/>
      <c r="G249" s="1131" t="s">
        <v>316</v>
      </c>
      <c r="H249" s="1131" t="s">
        <v>1185</v>
      </c>
      <c r="I249" s="1132" t="s">
        <v>317</v>
      </c>
      <c r="J249" s="1132" t="s">
        <v>2545</v>
      </c>
      <c r="K249" s="1133" t="s">
        <v>630</v>
      </c>
      <c r="L249" s="1134" t="s">
        <v>415</v>
      </c>
      <c r="M249" s="1296" t="s">
        <v>2532</v>
      </c>
      <c r="N249" s="1296" t="s">
        <v>1738</v>
      </c>
      <c r="O249" s="1525" t="s">
        <v>4012</v>
      </c>
      <c r="P249" s="626" t="s">
        <v>10</v>
      </c>
      <c r="Q249" s="321"/>
      <c r="R249" s="189"/>
      <c r="S249" s="445"/>
      <c r="T249" s="560" t="s">
        <v>2302</v>
      </c>
      <c r="U249" s="560" t="s">
        <v>2423</v>
      </c>
      <c r="W249" s="490" t="s">
        <v>2448</v>
      </c>
      <c r="X249" s="490" t="s">
        <v>3279</v>
      </c>
      <c r="Z249" s="490"/>
      <c r="AA249" s="162"/>
      <c r="AB249" s="162"/>
      <c r="AC249" s="1038"/>
      <c r="AD249" s="573"/>
      <c r="AE249" s="162"/>
      <c r="AF249" s="162"/>
      <c r="AG249" s="162"/>
      <c r="AH249" s="162"/>
      <c r="AI249" s="162"/>
      <c r="AJ249" s="162"/>
      <c r="AK249" s="162"/>
    </row>
    <row r="250" spans="2:37" ht="10.5" customHeight="1">
      <c r="B250" s="312"/>
      <c r="C250" s="433" t="s">
        <v>2210</v>
      </c>
      <c r="D250" s="502">
        <v>65100</v>
      </c>
      <c r="E250" s="312"/>
      <c r="F250" s="628"/>
      <c r="G250" s="1131" t="s">
        <v>318</v>
      </c>
      <c r="H250" s="1131" t="s">
        <v>1284</v>
      </c>
      <c r="I250" s="1132" t="s">
        <v>319</v>
      </c>
      <c r="J250" s="1132" t="s">
        <v>2545</v>
      </c>
      <c r="K250" s="1133" t="s">
        <v>631</v>
      </c>
      <c r="L250" s="1134" t="s">
        <v>415</v>
      </c>
      <c r="M250" s="1296" t="s">
        <v>2532</v>
      </c>
      <c r="N250" s="1296" t="s">
        <v>1179</v>
      </c>
      <c r="O250" s="1525" t="s">
        <v>4013</v>
      </c>
      <c r="P250" s="626" t="s">
        <v>54</v>
      </c>
      <c r="Q250" s="321"/>
      <c r="R250" s="189"/>
      <c r="S250" s="445"/>
      <c r="T250" s="560" t="s">
        <v>9</v>
      </c>
      <c r="U250" s="560" t="s">
        <v>648</v>
      </c>
      <c r="W250" s="490" t="s">
        <v>446</v>
      </c>
      <c r="X250" s="490" t="s">
        <v>3279</v>
      </c>
      <c r="Z250" s="490"/>
      <c r="AA250" s="162"/>
      <c r="AB250" s="162"/>
      <c r="AC250" s="1038"/>
      <c r="AD250" s="573"/>
      <c r="AE250" s="162"/>
      <c r="AF250" s="162"/>
      <c r="AG250" s="162"/>
      <c r="AH250" s="162"/>
      <c r="AI250" s="162"/>
      <c r="AJ250" s="162"/>
      <c r="AK250" s="162"/>
    </row>
    <row r="251" spans="2:37" ht="10.5" customHeight="1">
      <c r="B251" s="312"/>
      <c r="C251" s="434" t="s">
        <v>1299</v>
      </c>
      <c r="D251" s="502">
        <v>75400</v>
      </c>
      <c r="E251" s="312"/>
      <c r="F251" s="628"/>
      <c r="G251" s="1131" t="s">
        <v>320</v>
      </c>
      <c r="H251" s="1131" t="s">
        <v>1284</v>
      </c>
      <c r="I251" s="1135" t="s">
        <v>746</v>
      </c>
      <c r="J251" s="1135" t="s">
        <v>2546</v>
      </c>
      <c r="K251" s="1133" t="s">
        <v>2510</v>
      </c>
      <c r="L251" s="1134" t="s">
        <v>416</v>
      </c>
      <c r="M251" s="1295" t="s">
        <v>1170</v>
      </c>
      <c r="N251" s="1295" t="s">
        <v>1179</v>
      </c>
      <c r="O251" s="1525" t="s">
        <v>4014</v>
      </c>
      <c r="P251" s="626" t="s">
        <v>56</v>
      </c>
      <c r="Q251" s="321"/>
      <c r="R251" s="189"/>
      <c r="S251" s="445"/>
      <c r="T251" s="560" t="s">
        <v>11</v>
      </c>
      <c r="U251" s="560" t="s">
        <v>309</v>
      </c>
      <c r="W251" s="490" t="s">
        <v>296</v>
      </c>
      <c r="X251" s="490" t="s">
        <v>3279</v>
      </c>
      <c r="Z251" s="490"/>
      <c r="AA251" s="162"/>
      <c r="AB251" s="162"/>
      <c r="AC251" s="1038"/>
      <c r="AD251" s="573"/>
      <c r="AE251" s="162"/>
      <c r="AF251" s="162"/>
      <c r="AG251" s="162"/>
      <c r="AH251" s="162"/>
      <c r="AI251" s="162"/>
      <c r="AJ251" s="162"/>
      <c r="AK251" s="162"/>
    </row>
    <row r="252" spans="2:37" ht="10.5" customHeight="1">
      <c r="B252" s="312"/>
      <c r="C252" s="434" t="s">
        <v>2117</v>
      </c>
      <c r="D252" s="502">
        <v>50800</v>
      </c>
      <c r="E252" s="312"/>
      <c r="F252" s="628"/>
      <c r="G252" s="1131" t="s">
        <v>321</v>
      </c>
      <c r="H252" s="1131" t="s">
        <v>1185</v>
      </c>
      <c r="I252" s="1132" t="s">
        <v>322</v>
      </c>
      <c r="J252" s="1132" t="s">
        <v>2545</v>
      </c>
      <c r="K252" s="1133" t="s">
        <v>632</v>
      </c>
      <c r="L252" s="1134" t="s">
        <v>415</v>
      </c>
      <c r="M252" s="1296" t="s">
        <v>2532</v>
      </c>
      <c r="N252" s="1296" t="s">
        <v>1654</v>
      </c>
      <c r="O252" s="1525" t="s">
        <v>4015</v>
      </c>
      <c r="P252" s="626" t="s">
        <v>58</v>
      </c>
      <c r="Q252" s="321"/>
      <c r="R252" s="189"/>
      <c r="S252" s="445"/>
      <c r="T252" s="560" t="s">
        <v>55</v>
      </c>
      <c r="U252" s="560" t="s">
        <v>2517</v>
      </c>
      <c r="W252" s="490" t="s">
        <v>1778</v>
      </c>
      <c r="X252" s="490" t="s">
        <v>3279</v>
      </c>
      <c r="Z252" s="490"/>
      <c r="AA252" s="162"/>
      <c r="AB252" s="162"/>
      <c r="AC252" s="1038"/>
      <c r="AD252" s="573"/>
      <c r="AE252" s="162"/>
      <c r="AF252" s="162"/>
      <c r="AG252" s="162"/>
      <c r="AH252" s="162"/>
      <c r="AI252" s="162"/>
      <c r="AJ252" s="162"/>
      <c r="AK252" s="162"/>
    </row>
    <row r="253" spans="2:37" ht="10.5" customHeight="1">
      <c r="B253" s="312"/>
      <c r="C253" s="434" t="s">
        <v>2119</v>
      </c>
      <c r="D253" s="502">
        <v>45100</v>
      </c>
      <c r="E253" s="312"/>
      <c r="F253" s="628"/>
      <c r="G253" s="1131" t="s">
        <v>323</v>
      </c>
      <c r="H253" s="1131" t="s">
        <v>1185</v>
      </c>
      <c r="I253" s="1132" t="s">
        <v>324</v>
      </c>
      <c r="J253" s="1132" t="s">
        <v>2545</v>
      </c>
      <c r="K253" s="1133" t="s">
        <v>259</v>
      </c>
      <c r="L253" s="1134" t="s">
        <v>415</v>
      </c>
      <c r="M253" s="1296" t="s">
        <v>2532</v>
      </c>
      <c r="N253" s="1296" t="s">
        <v>1303</v>
      </c>
      <c r="O253" s="1525" t="s">
        <v>4016</v>
      </c>
      <c r="P253" s="626" t="s">
        <v>345</v>
      </c>
      <c r="Q253" s="321"/>
      <c r="R253" s="189"/>
      <c r="S253" s="445"/>
      <c r="T253" s="560" t="s">
        <v>57</v>
      </c>
      <c r="U253" s="560" t="s">
        <v>351</v>
      </c>
      <c r="W253" s="490" t="s">
        <v>1780</v>
      </c>
      <c r="X253" s="490" t="s">
        <v>3279</v>
      </c>
      <c r="Z253" s="490"/>
      <c r="AA253" s="162"/>
      <c r="AB253" s="162"/>
      <c r="AC253" s="1038"/>
      <c r="AD253" s="573"/>
      <c r="AE253" s="162"/>
      <c r="AF253" s="162"/>
      <c r="AG253" s="162"/>
      <c r="AH253" s="162"/>
      <c r="AI253" s="162"/>
      <c r="AJ253" s="162"/>
      <c r="AK253" s="162"/>
    </row>
    <row r="254" spans="2:37" ht="10.5" customHeight="1">
      <c r="B254" s="312"/>
      <c r="C254" s="434" t="s">
        <v>2121</v>
      </c>
      <c r="D254" s="502">
        <v>46300</v>
      </c>
      <c r="E254" s="312"/>
      <c r="F254" s="628"/>
      <c r="G254" s="1131" t="s">
        <v>325</v>
      </c>
      <c r="H254" s="1131" t="s">
        <v>1185</v>
      </c>
      <c r="I254" s="1132" t="s">
        <v>326</v>
      </c>
      <c r="J254" s="1132" t="s">
        <v>2545</v>
      </c>
      <c r="K254" s="1133" t="s">
        <v>260</v>
      </c>
      <c r="L254" s="1134" t="s">
        <v>415</v>
      </c>
      <c r="M254" s="1296" t="s">
        <v>2532</v>
      </c>
      <c r="N254" s="1296" t="s">
        <v>1303</v>
      </c>
      <c r="O254" s="1525" t="s">
        <v>4017</v>
      </c>
      <c r="P254" s="626" t="s">
        <v>347</v>
      </c>
      <c r="Q254" s="321"/>
      <c r="R254" s="189"/>
      <c r="S254" s="445"/>
      <c r="T254" s="560" t="s">
        <v>59</v>
      </c>
      <c r="U254" s="560" t="s">
        <v>118</v>
      </c>
      <c r="W254" s="490" t="s">
        <v>1848</v>
      </c>
      <c r="X254" s="490" t="s">
        <v>3279</v>
      </c>
      <c r="Z254" s="490"/>
      <c r="AA254" s="162"/>
      <c r="AB254" s="162"/>
      <c r="AC254" s="1038"/>
      <c r="AD254" s="573"/>
      <c r="AE254" s="162"/>
      <c r="AF254" s="162"/>
      <c r="AG254" s="162"/>
      <c r="AH254" s="162"/>
      <c r="AI254" s="162"/>
      <c r="AJ254" s="162"/>
      <c r="AK254" s="162"/>
    </row>
    <row r="255" spans="2:37" ht="10.5" customHeight="1">
      <c r="B255" s="312"/>
      <c r="C255" s="434" t="s">
        <v>2124</v>
      </c>
      <c r="D255" s="502">
        <v>54100</v>
      </c>
      <c r="E255" s="312"/>
      <c r="F255" s="628"/>
      <c r="G255" s="1131" t="s">
        <v>327</v>
      </c>
      <c r="H255" s="1131" t="s">
        <v>1185</v>
      </c>
      <c r="I255" s="1132" t="s">
        <v>328</v>
      </c>
      <c r="J255" s="1132" t="s">
        <v>2545</v>
      </c>
      <c r="K255" s="1133" t="s">
        <v>261</v>
      </c>
      <c r="L255" s="1134" t="s">
        <v>415</v>
      </c>
      <c r="M255" s="1296" t="s">
        <v>2532</v>
      </c>
      <c r="N255" s="1296" t="s">
        <v>1293</v>
      </c>
      <c r="O255" s="1525" t="s">
        <v>4018</v>
      </c>
      <c r="P255" s="626" t="s">
        <v>349</v>
      </c>
      <c r="Q255" s="321"/>
      <c r="R255" s="189"/>
      <c r="S255" s="445"/>
      <c r="T255" s="560" t="s">
        <v>346</v>
      </c>
      <c r="U255" s="560" t="s">
        <v>2135</v>
      </c>
      <c r="W255" s="490" t="s">
        <v>2187</v>
      </c>
      <c r="X255" s="490" t="s">
        <v>3279</v>
      </c>
      <c r="Z255" s="490"/>
      <c r="AA255" s="162"/>
      <c r="AB255" s="162"/>
      <c r="AC255" s="1038"/>
      <c r="AD255" s="573"/>
      <c r="AE255" s="162"/>
      <c r="AF255" s="162"/>
      <c r="AG255" s="162"/>
      <c r="AH255" s="162"/>
      <c r="AI255" s="162"/>
      <c r="AJ255" s="162"/>
      <c r="AK255" s="162"/>
    </row>
    <row r="256" spans="2:37" ht="10.5" customHeight="1">
      <c r="B256" s="312"/>
      <c r="C256" s="433" t="s">
        <v>2126</v>
      </c>
      <c r="D256" s="502">
        <v>23900</v>
      </c>
      <c r="E256" s="312"/>
      <c r="F256" s="628"/>
      <c r="G256" s="1131" t="s">
        <v>420</v>
      </c>
      <c r="H256" s="1131" t="s">
        <v>1185</v>
      </c>
      <c r="I256" s="1135" t="s">
        <v>1293</v>
      </c>
      <c r="J256" s="1135" t="s">
        <v>2546</v>
      </c>
      <c r="K256" s="1133" t="s">
        <v>2513</v>
      </c>
      <c r="L256" s="1134" t="s">
        <v>416</v>
      </c>
      <c r="M256" s="1295" t="s">
        <v>2532</v>
      </c>
      <c r="N256" s="1295" t="s">
        <v>1293</v>
      </c>
      <c r="O256" s="1525" t="s">
        <v>4019</v>
      </c>
      <c r="P256" s="626" t="s">
        <v>2231</v>
      </c>
      <c r="Q256" s="321"/>
      <c r="R256" s="189"/>
      <c r="S256" s="445"/>
      <c r="T256" s="560" t="s">
        <v>348</v>
      </c>
      <c r="U256" s="560" t="s">
        <v>931</v>
      </c>
      <c r="W256" s="490" t="s">
        <v>412</v>
      </c>
      <c r="X256" s="490" t="s">
        <v>3279</v>
      </c>
      <c r="Z256" s="490"/>
      <c r="AA256" s="162"/>
      <c r="AB256" s="162"/>
      <c r="AC256" s="1038"/>
      <c r="AD256" s="573"/>
      <c r="AE256" s="162"/>
      <c r="AF256" s="162"/>
      <c r="AG256" s="162"/>
      <c r="AH256" s="162"/>
      <c r="AI256" s="162"/>
      <c r="AJ256" s="162"/>
      <c r="AK256" s="162"/>
    </row>
    <row r="257" spans="2:37" ht="10.5" customHeight="1">
      <c r="B257" s="312"/>
      <c r="C257" s="433" t="s">
        <v>2128</v>
      </c>
      <c r="D257" s="502">
        <v>44700</v>
      </c>
      <c r="E257" s="312"/>
      <c r="F257" s="628"/>
      <c r="G257" s="1131" t="s">
        <v>421</v>
      </c>
      <c r="H257" s="1131" t="s">
        <v>1284</v>
      </c>
      <c r="I257" s="1135" t="s">
        <v>749</v>
      </c>
      <c r="J257" s="1135" t="s">
        <v>2546</v>
      </c>
      <c r="K257" s="1133" t="s">
        <v>262</v>
      </c>
      <c r="L257" s="1134" t="s">
        <v>416</v>
      </c>
      <c r="M257" s="1295" t="s">
        <v>2532</v>
      </c>
      <c r="N257" s="1295" t="s">
        <v>1179</v>
      </c>
      <c r="O257" s="1525" t="s">
        <v>4020</v>
      </c>
      <c r="P257" s="626" t="s">
        <v>2233</v>
      </c>
      <c r="Q257" s="321"/>
      <c r="R257" s="189"/>
      <c r="S257" s="445"/>
      <c r="T257" s="560" t="s">
        <v>350</v>
      </c>
      <c r="U257" s="560" t="s">
        <v>1069</v>
      </c>
      <c r="W257" s="490" t="s">
        <v>2223</v>
      </c>
      <c r="X257" s="490" t="s">
        <v>3279</v>
      </c>
      <c r="Z257" s="490"/>
      <c r="AA257" s="162"/>
      <c r="AB257" s="162"/>
      <c r="AC257" s="1038"/>
      <c r="AD257" s="573"/>
      <c r="AE257" s="162"/>
      <c r="AF257" s="162"/>
      <c r="AG257" s="162"/>
      <c r="AH257" s="162"/>
      <c r="AI257" s="162"/>
      <c r="AJ257" s="162"/>
      <c r="AK257" s="162"/>
    </row>
    <row r="258" spans="2:37" ht="10.5" customHeight="1">
      <c r="B258" s="312"/>
      <c r="C258" s="434" t="s">
        <v>2130</v>
      </c>
      <c r="D258" s="502">
        <v>47500</v>
      </c>
      <c r="E258" s="312"/>
      <c r="F258" s="628"/>
      <c r="G258" s="1131" t="s">
        <v>1423</v>
      </c>
      <c r="H258" s="1131" t="s">
        <v>1185</v>
      </c>
      <c r="I258" s="1132" t="s">
        <v>1654</v>
      </c>
      <c r="J258" s="1132" t="s">
        <v>2546</v>
      </c>
      <c r="K258" s="1133" t="s">
        <v>2516</v>
      </c>
      <c r="L258" s="1134" t="s">
        <v>416</v>
      </c>
      <c r="M258" s="1295" t="s">
        <v>2532</v>
      </c>
      <c r="N258" s="1295" t="s">
        <v>1654</v>
      </c>
      <c r="O258" s="1525" t="s">
        <v>4021</v>
      </c>
      <c r="P258" s="626" t="s">
        <v>2234</v>
      </c>
      <c r="Q258" s="321"/>
      <c r="R258" s="189"/>
      <c r="S258" s="445"/>
      <c r="T258" s="560" t="s">
        <v>612</v>
      </c>
      <c r="U258" s="560" t="s">
        <v>1424</v>
      </c>
      <c r="W258" s="490" t="s">
        <v>3269</v>
      </c>
      <c r="X258" s="490" t="s">
        <v>3279</v>
      </c>
      <c r="Z258" s="490"/>
      <c r="AA258" s="162"/>
      <c r="AB258" s="162"/>
      <c r="AC258" s="1038"/>
      <c r="AD258" s="573"/>
      <c r="AE258" s="162"/>
      <c r="AF258" s="162"/>
      <c r="AG258" s="162"/>
      <c r="AH258" s="162"/>
      <c r="AI258" s="162"/>
      <c r="AJ258" s="162"/>
      <c r="AK258" s="162"/>
    </row>
    <row r="259" spans="2:37" ht="10.5" customHeight="1">
      <c r="B259" s="312"/>
      <c r="C259" s="434" t="s">
        <v>2132</v>
      </c>
      <c r="D259" s="502">
        <v>44200</v>
      </c>
      <c r="E259" s="312"/>
      <c r="F259" s="628"/>
      <c r="G259" s="1131" t="s">
        <v>1424</v>
      </c>
      <c r="H259" s="1131" t="s">
        <v>1284</v>
      </c>
      <c r="I259" s="1132" t="s">
        <v>1425</v>
      </c>
      <c r="J259" s="1132" t="s">
        <v>2545</v>
      </c>
      <c r="K259" s="1133" t="s">
        <v>263</v>
      </c>
      <c r="L259" s="1134" t="s">
        <v>415</v>
      </c>
      <c r="M259" s="1296" t="s">
        <v>2532</v>
      </c>
      <c r="N259" s="1296" t="s">
        <v>1293</v>
      </c>
      <c r="O259" s="1525" t="s">
        <v>4022</v>
      </c>
      <c r="P259" s="626" t="s">
        <v>2235</v>
      </c>
      <c r="Q259" s="321"/>
      <c r="R259" s="189"/>
      <c r="S259" s="445"/>
      <c r="T259" s="560" t="s">
        <v>2232</v>
      </c>
      <c r="U259" s="560" t="s">
        <v>651</v>
      </c>
      <c r="W259" s="490" t="s">
        <v>656</v>
      </c>
      <c r="X259" s="490" t="s">
        <v>3279</v>
      </c>
      <c r="Z259" s="490"/>
      <c r="AA259" s="162"/>
      <c r="AB259" s="162"/>
      <c r="AC259" s="1038"/>
      <c r="AD259" s="573"/>
      <c r="AE259" s="162"/>
      <c r="AF259" s="162"/>
      <c r="AG259" s="162"/>
      <c r="AH259" s="162"/>
      <c r="AI259" s="162"/>
      <c r="AJ259" s="162"/>
      <c r="AK259" s="162"/>
    </row>
    <row r="260" spans="2:37" ht="10.5" customHeight="1">
      <c r="B260" s="312"/>
      <c r="C260" s="434" t="s">
        <v>2134</v>
      </c>
      <c r="D260" s="502">
        <v>49500</v>
      </c>
      <c r="E260" s="312"/>
      <c r="F260" s="628"/>
      <c r="G260" s="1131" t="s">
        <v>1426</v>
      </c>
      <c r="H260" s="1131" t="s">
        <v>1185</v>
      </c>
      <c r="I260" s="1135" t="s">
        <v>1738</v>
      </c>
      <c r="J260" s="1135" t="s">
        <v>2546</v>
      </c>
      <c r="K260" s="1133" t="s">
        <v>1139</v>
      </c>
      <c r="L260" s="1134" t="s">
        <v>416</v>
      </c>
      <c r="M260" s="1295" t="s">
        <v>2532</v>
      </c>
      <c r="N260" s="1295" t="s">
        <v>1738</v>
      </c>
      <c r="O260" s="1525" t="s">
        <v>4023</v>
      </c>
      <c r="P260" s="626" t="s">
        <v>1526</v>
      </c>
      <c r="Q260" s="321"/>
      <c r="R260" s="189"/>
      <c r="S260" s="445"/>
      <c r="T260" s="560" t="s">
        <v>1305</v>
      </c>
      <c r="U260" s="560" t="s">
        <v>649</v>
      </c>
      <c r="W260" s="490" t="s">
        <v>2326</v>
      </c>
      <c r="X260" s="490" t="s">
        <v>3279</v>
      </c>
      <c r="Z260" s="490"/>
      <c r="AA260" s="162"/>
      <c r="AB260" s="162"/>
      <c r="AC260" s="1038"/>
      <c r="AD260" s="573"/>
      <c r="AE260" s="162"/>
      <c r="AF260" s="162"/>
      <c r="AG260" s="162"/>
      <c r="AH260" s="162"/>
      <c r="AI260" s="162"/>
      <c r="AJ260" s="162"/>
      <c r="AK260" s="162"/>
    </row>
    <row r="261" spans="2:37" ht="10.5" customHeight="1">
      <c r="B261" s="312"/>
      <c r="C261" s="434" t="s">
        <v>849</v>
      </c>
      <c r="D261" s="502">
        <v>33900</v>
      </c>
      <c r="E261" s="312"/>
      <c r="F261" s="628"/>
      <c r="G261" s="1131" t="s">
        <v>1427</v>
      </c>
      <c r="H261" s="1131" t="s">
        <v>1185</v>
      </c>
      <c r="I261" s="1132" t="s">
        <v>750</v>
      </c>
      <c r="J261" s="1132" t="s">
        <v>2546</v>
      </c>
      <c r="K261" s="1133" t="s">
        <v>264</v>
      </c>
      <c r="L261" s="1134" t="s">
        <v>416</v>
      </c>
      <c r="M261" s="1296" t="s">
        <v>1170</v>
      </c>
      <c r="N261" s="1296" t="s">
        <v>1299</v>
      </c>
      <c r="O261" s="1525" t="s">
        <v>4024</v>
      </c>
      <c r="P261" s="626" t="s">
        <v>1528</v>
      </c>
      <c r="Q261" s="321"/>
      <c r="R261" s="189"/>
      <c r="S261" s="445"/>
      <c r="T261" s="560" t="s">
        <v>2749</v>
      </c>
      <c r="U261" s="560" t="s">
        <v>651</v>
      </c>
      <c r="W261" s="490" t="s">
        <v>215</v>
      </c>
      <c r="X261" s="490" t="s">
        <v>3279</v>
      </c>
      <c r="Z261" s="490"/>
      <c r="AA261" s="162"/>
      <c r="AB261" s="162"/>
      <c r="AC261" s="1038"/>
      <c r="AD261" s="573"/>
      <c r="AE261" s="162"/>
      <c r="AF261" s="162"/>
      <c r="AG261" s="162"/>
      <c r="AH261" s="162"/>
      <c r="AI261" s="162"/>
      <c r="AJ261" s="162"/>
      <c r="AK261" s="162"/>
    </row>
    <row r="262" spans="2:37" ht="10.5" customHeight="1">
      <c r="B262" s="312"/>
      <c r="C262" s="434" t="s">
        <v>851</v>
      </c>
      <c r="D262" s="502">
        <v>32400</v>
      </c>
      <c r="E262" s="312"/>
      <c r="F262" s="628"/>
      <c r="G262" s="1131" t="s">
        <v>1428</v>
      </c>
      <c r="H262" s="1131" t="s">
        <v>1284</v>
      </c>
      <c r="I262" s="1132" t="s">
        <v>1429</v>
      </c>
      <c r="J262" s="1132" t="s">
        <v>2546</v>
      </c>
      <c r="K262" s="1133" t="s">
        <v>3559</v>
      </c>
      <c r="L262" s="1134" t="s">
        <v>416</v>
      </c>
      <c r="M262" s="1296" t="s">
        <v>2532</v>
      </c>
      <c r="N262" s="1296" t="s">
        <v>1303</v>
      </c>
      <c r="O262" s="1525" t="s">
        <v>4025</v>
      </c>
      <c r="P262" s="626" t="s">
        <v>1530</v>
      </c>
      <c r="Q262" s="321"/>
      <c r="R262" s="189"/>
      <c r="S262" s="445"/>
      <c r="T262" s="560" t="s">
        <v>2236</v>
      </c>
      <c r="U262" s="560" t="s">
        <v>101</v>
      </c>
      <c r="W262" s="490" t="s">
        <v>641</v>
      </c>
      <c r="X262" s="490" t="s">
        <v>3279</v>
      </c>
      <c r="Z262" s="490"/>
      <c r="AA262" s="162"/>
      <c r="AB262" s="162"/>
      <c r="AC262" s="1038"/>
      <c r="AD262" s="573"/>
      <c r="AE262" s="162"/>
      <c r="AF262" s="162"/>
      <c r="AG262" s="162"/>
      <c r="AH262" s="162"/>
      <c r="AI262" s="162"/>
      <c r="AJ262" s="162"/>
      <c r="AK262" s="162"/>
    </row>
    <row r="263" spans="2:37" ht="10.5" customHeight="1">
      <c r="B263" s="312"/>
      <c r="C263" s="434" t="s">
        <v>1628</v>
      </c>
      <c r="D263" s="502">
        <v>49200</v>
      </c>
      <c r="E263" s="312"/>
      <c r="F263" s="628"/>
      <c r="G263" s="1131" t="s">
        <v>1430</v>
      </c>
      <c r="H263" s="1131" t="s">
        <v>1185</v>
      </c>
      <c r="I263" s="1132" t="s">
        <v>1431</v>
      </c>
      <c r="J263" s="1132" t="s">
        <v>2546</v>
      </c>
      <c r="K263" s="1133" t="s">
        <v>675</v>
      </c>
      <c r="L263" s="1134" t="s">
        <v>416</v>
      </c>
      <c r="M263" s="1295" t="s">
        <v>2532</v>
      </c>
      <c r="N263" s="1295" t="s">
        <v>1299</v>
      </c>
      <c r="O263" s="1525" t="s">
        <v>4026</v>
      </c>
      <c r="P263" s="626" t="s">
        <v>1532</v>
      </c>
      <c r="Q263" s="321"/>
      <c r="R263" s="189"/>
      <c r="S263" s="445"/>
      <c r="T263" s="560" t="s">
        <v>1527</v>
      </c>
      <c r="U263" s="560" t="s">
        <v>1600</v>
      </c>
      <c r="W263" s="490" t="s">
        <v>229</v>
      </c>
      <c r="X263" s="490" t="s">
        <v>3279</v>
      </c>
      <c r="Z263" s="490"/>
      <c r="AA263" s="162"/>
      <c r="AB263" s="162"/>
      <c r="AC263" s="1038"/>
      <c r="AD263" s="573"/>
      <c r="AE263" s="162"/>
      <c r="AF263" s="162"/>
      <c r="AG263" s="162"/>
      <c r="AH263" s="162"/>
      <c r="AI263" s="162"/>
      <c r="AJ263" s="162"/>
      <c r="AK263" s="162"/>
    </row>
    <row r="264" spans="2:37" ht="10.5" customHeight="1">
      <c r="B264" s="312"/>
      <c r="C264" s="434" t="s">
        <v>1861</v>
      </c>
      <c r="D264" s="502">
        <v>48500</v>
      </c>
      <c r="E264" s="312"/>
      <c r="F264" s="628"/>
      <c r="G264" s="1131" t="s">
        <v>171</v>
      </c>
      <c r="H264" s="1131" t="s">
        <v>1185</v>
      </c>
      <c r="I264" s="1132" t="s">
        <v>1654</v>
      </c>
      <c r="J264" s="1132" t="s">
        <v>2546</v>
      </c>
      <c r="K264" s="1133" t="s">
        <v>2516</v>
      </c>
      <c r="L264" s="1134" t="s">
        <v>416</v>
      </c>
      <c r="M264" s="1296" t="s">
        <v>1170</v>
      </c>
      <c r="N264" s="1296" t="s">
        <v>1654</v>
      </c>
      <c r="O264" s="1525" t="s">
        <v>4027</v>
      </c>
      <c r="P264" s="626" t="s">
        <v>1534</v>
      </c>
      <c r="Q264" s="321"/>
      <c r="R264" s="189"/>
      <c r="S264" s="445"/>
      <c r="T264" s="560" t="s">
        <v>2498</v>
      </c>
      <c r="U264" s="560" t="s">
        <v>610</v>
      </c>
      <c r="W264" s="490" t="s">
        <v>642</v>
      </c>
      <c r="X264" s="490" t="s">
        <v>3279</v>
      </c>
      <c r="Z264" s="490"/>
      <c r="AA264" s="162"/>
      <c r="AB264" s="162"/>
      <c r="AC264" s="1038"/>
      <c r="AD264" s="573"/>
      <c r="AE264" s="162"/>
      <c r="AF264" s="162"/>
      <c r="AG264" s="162"/>
      <c r="AH264" s="162"/>
      <c r="AI264" s="162"/>
      <c r="AJ264" s="162"/>
      <c r="AK264" s="162"/>
    </row>
    <row r="265" spans="2:37" ht="10.5" customHeight="1">
      <c r="B265" s="312"/>
      <c r="C265" s="433" t="s">
        <v>1863</v>
      </c>
      <c r="D265" s="502">
        <v>47500</v>
      </c>
      <c r="E265" s="312"/>
      <c r="F265" s="628"/>
      <c r="G265" s="1131" t="s">
        <v>172</v>
      </c>
      <c r="H265" s="1131" t="s">
        <v>1284</v>
      </c>
      <c r="I265" s="1135" t="s">
        <v>173</v>
      </c>
      <c r="J265" s="1135" t="s">
        <v>2545</v>
      </c>
      <c r="K265" s="1133" t="s">
        <v>676</v>
      </c>
      <c r="L265" s="1134" t="s">
        <v>415</v>
      </c>
      <c r="M265" s="1296" t="s">
        <v>2532</v>
      </c>
      <c r="N265" s="1296" t="s">
        <v>1179</v>
      </c>
      <c r="O265" s="1525" t="s">
        <v>4028</v>
      </c>
      <c r="P265" s="626" t="s">
        <v>1699</v>
      </c>
      <c r="Q265" s="321"/>
      <c r="R265" s="189"/>
      <c r="S265" s="445"/>
      <c r="T265" s="560" t="s">
        <v>1529</v>
      </c>
      <c r="U265" s="560" t="s">
        <v>642</v>
      </c>
      <c r="W265" s="490" t="s">
        <v>767</v>
      </c>
      <c r="X265" s="490" t="s">
        <v>3279</v>
      </c>
      <c r="Z265" s="490"/>
      <c r="AA265" s="162"/>
      <c r="AB265" s="162"/>
      <c r="AC265" s="1038"/>
      <c r="AD265" s="573"/>
      <c r="AE265" s="162"/>
      <c r="AF265" s="162"/>
      <c r="AG265" s="162"/>
      <c r="AH265" s="162"/>
      <c r="AI265" s="162"/>
      <c r="AJ265" s="162"/>
      <c r="AK265" s="162"/>
    </row>
    <row r="266" spans="2:37" ht="10.5" customHeight="1">
      <c r="B266" s="312"/>
      <c r="C266" s="433" t="s">
        <v>1865</v>
      </c>
      <c r="D266" s="502">
        <v>51800</v>
      </c>
      <c r="E266" s="312"/>
      <c r="F266" s="628"/>
      <c r="G266" s="1131" t="s">
        <v>1293</v>
      </c>
      <c r="H266" s="1131" t="s">
        <v>1185</v>
      </c>
      <c r="I266" s="1132" t="s">
        <v>174</v>
      </c>
      <c r="J266" s="1132" t="s">
        <v>2545</v>
      </c>
      <c r="K266" s="1133" t="s">
        <v>677</v>
      </c>
      <c r="L266" s="1134" t="s">
        <v>415</v>
      </c>
      <c r="M266" s="1296" t="s">
        <v>2532</v>
      </c>
      <c r="N266" s="1296" t="s">
        <v>1293</v>
      </c>
      <c r="O266" s="1525" t="s">
        <v>4029</v>
      </c>
      <c r="P266" s="626" t="s">
        <v>1701</v>
      </c>
      <c r="Q266" s="321"/>
      <c r="R266" s="189"/>
      <c r="S266" s="445"/>
      <c r="T266" s="560" t="s">
        <v>2750</v>
      </c>
      <c r="U266" s="560" t="s">
        <v>2185</v>
      </c>
      <c r="W266" s="490" t="s">
        <v>3270</v>
      </c>
      <c r="X266" s="490" t="s">
        <v>3279</v>
      </c>
      <c r="Z266" s="490"/>
      <c r="AA266" s="162"/>
      <c r="AB266" s="162"/>
      <c r="AC266" s="1038"/>
      <c r="AD266" s="573"/>
      <c r="AE266" s="162"/>
      <c r="AF266" s="162"/>
      <c r="AG266" s="162"/>
      <c r="AH266" s="162"/>
      <c r="AI266" s="162"/>
      <c r="AJ266" s="162"/>
      <c r="AK266" s="162"/>
    </row>
    <row r="267" spans="2:37" ht="10.5" customHeight="1">
      <c r="B267" s="312"/>
      <c r="C267" s="433" t="s">
        <v>1867</v>
      </c>
      <c r="D267" s="502">
        <v>58900</v>
      </c>
      <c r="E267" s="312"/>
      <c r="F267" s="628"/>
      <c r="G267" s="1131" t="s">
        <v>175</v>
      </c>
      <c r="H267" s="1131" t="s">
        <v>1284</v>
      </c>
      <c r="I267" s="1132" t="s">
        <v>1995</v>
      </c>
      <c r="J267" s="1132" t="s">
        <v>2546</v>
      </c>
      <c r="K267" s="1133" t="s">
        <v>602</v>
      </c>
      <c r="L267" s="1134" t="s">
        <v>416</v>
      </c>
      <c r="M267" s="1295" t="s">
        <v>2532</v>
      </c>
      <c r="N267" s="1295" t="s">
        <v>162</v>
      </c>
      <c r="O267" s="1525" t="s">
        <v>4030</v>
      </c>
      <c r="P267" s="626" t="s">
        <v>1703</v>
      </c>
      <c r="Q267" s="321"/>
      <c r="R267" s="189"/>
      <c r="S267" s="445"/>
      <c r="T267" s="560" t="s">
        <v>1531</v>
      </c>
      <c r="U267" s="560" t="s">
        <v>160</v>
      </c>
      <c r="W267" s="490" t="s">
        <v>3271</v>
      </c>
      <c r="X267" s="490" t="s">
        <v>3279</v>
      </c>
      <c r="Z267" s="490"/>
      <c r="AA267" s="162"/>
      <c r="AB267" s="162"/>
      <c r="AC267" s="1038"/>
      <c r="AD267" s="573"/>
      <c r="AE267" s="162"/>
      <c r="AF267" s="162"/>
      <c r="AG267" s="162"/>
      <c r="AH267" s="162"/>
      <c r="AI267" s="162"/>
      <c r="AJ267" s="162"/>
      <c r="AK267" s="162"/>
    </row>
    <row r="268" spans="2:37" ht="10.5" customHeight="1">
      <c r="B268" s="312"/>
      <c r="C268" s="433" t="s">
        <v>1869</v>
      </c>
      <c r="D268" s="502">
        <v>54800</v>
      </c>
      <c r="E268" s="312"/>
      <c r="F268" s="628"/>
      <c r="G268" s="1131" t="s">
        <v>351</v>
      </c>
      <c r="H268" s="1131" t="s">
        <v>1185</v>
      </c>
      <c r="I268" s="1135" t="s">
        <v>157</v>
      </c>
      <c r="J268" s="1135" t="s">
        <v>2546</v>
      </c>
      <c r="K268" s="1133" t="s">
        <v>1640</v>
      </c>
      <c r="L268" s="1134" t="s">
        <v>416</v>
      </c>
      <c r="M268" s="1295" t="s">
        <v>2532</v>
      </c>
      <c r="N268" s="1295" t="s">
        <v>157</v>
      </c>
      <c r="O268" s="1525" t="s">
        <v>4031</v>
      </c>
      <c r="P268" s="626" t="s">
        <v>1001</v>
      </c>
      <c r="Q268" s="321"/>
      <c r="R268" s="189"/>
      <c r="S268" s="445"/>
      <c r="T268" s="560" t="s">
        <v>1533</v>
      </c>
      <c r="U268" s="560" t="s">
        <v>1286</v>
      </c>
      <c r="W268" s="490" t="s">
        <v>1195</v>
      </c>
      <c r="X268" s="490" t="s">
        <v>3279</v>
      </c>
      <c r="Z268" s="490"/>
      <c r="AA268" s="162"/>
      <c r="AB268" s="162"/>
      <c r="AC268" s="1038"/>
      <c r="AD268" s="573"/>
      <c r="AE268" s="162"/>
      <c r="AF268" s="162"/>
      <c r="AG268" s="162"/>
      <c r="AH268" s="162"/>
      <c r="AI268" s="162"/>
      <c r="AJ268" s="162"/>
      <c r="AK268" s="162"/>
    </row>
    <row r="269" spans="2:37" ht="10.5" customHeight="1">
      <c r="B269" s="312"/>
      <c r="C269" s="433" t="s">
        <v>1871</v>
      </c>
      <c r="D269" s="502">
        <v>45300</v>
      </c>
      <c r="E269" s="312"/>
      <c r="F269" s="628"/>
      <c r="G269" s="1131" t="s">
        <v>1829</v>
      </c>
      <c r="H269" s="1131" t="s">
        <v>1284</v>
      </c>
      <c r="I269" s="1135" t="s">
        <v>747</v>
      </c>
      <c r="J269" s="1135" t="s">
        <v>2546</v>
      </c>
      <c r="K269" s="1133" t="s">
        <v>2531</v>
      </c>
      <c r="L269" s="1134" t="s">
        <v>416</v>
      </c>
      <c r="M269" s="1295" t="s">
        <v>2532</v>
      </c>
      <c r="N269" s="1295" t="s">
        <v>1303</v>
      </c>
      <c r="O269" s="1525" t="s">
        <v>4032</v>
      </c>
      <c r="P269" s="626" t="s">
        <v>1002</v>
      </c>
      <c r="Q269" s="321"/>
      <c r="R269" s="189"/>
      <c r="S269" s="445"/>
      <c r="T269" s="560" t="s">
        <v>1535</v>
      </c>
      <c r="U269" s="560" t="s">
        <v>175</v>
      </c>
      <c r="W269" s="490" t="s">
        <v>662</v>
      </c>
      <c r="X269" s="490" t="s">
        <v>3279</v>
      </c>
      <c r="Z269" s="490"/>
      <c r="AA269" s="162"/>
      <c r="AB269" s="162"/>
      <c r="AC269" s="1038"/>
      <c r="AD269" s="573"/>
      <c r="AE269" s="162"/>
      <c r="AF269" s="162"/>
      <c r="AG269" s="162"/>
      <c r="AH269" s="162"/>
      <c r="AI269" s="162"/>
      <c r="AJ269" s="162"/>
      <c r="AK269" s="162"/>
    </row>
    <row r="270" spans="2:37" ht="10.5" customHeight="1">
      <c r="B270" s="312"/>
      <c r="C270" s="434" t="s">
        <v>1874</v>
      </c>
      <c r="D270" s="502">
        <v>57100</v>
      </c>
      <c r="E270" s="312"/>
      <c r="F270" s="628"/>
      <c r="G270" s="1131" t="s">
        <v>1830</v>
      </c>
      <c r="H270" s="1131" t="s">
        <v>1185</v>
      </c>
      <c r="I270" s="1132" t="s">
        <v>9</v>
      </c>
      <c r="J270" s="1132" t="s">
        <v>2546</v>
      </c>
      <c r="K270" s="1133" t="s">
        <v>2515</v>
      </c>
      <c r="L270" s="1134" t="s">
        <v>416</v>
      </c>
      <c r="M270" s="1295" t="s">
        <v>2532</v>
      </c>
      <c r="N270" s="1295" t="s">
        <v>1299</v>
      </c>
      <c r="O270" s="1525" t="s">
        <v>4033</v>
      </c>
      <c r="P270" s="626" t="s">
        <v>231</v>
      </c>
      <c r="Q270" s="321"/>
      <c r="R270" s="189"/>
      <c r="S270" s="445"/>
      <c r="T270" s="560" t="s">
        <v>1700</v>
      </c>
      <c r="U270" s="560" t="s">
        <v>642</v>
      </c>
      <c r="W270" s="490" t="s">
        <v>649</v>
      </c>
      <c r="X270" s="490" t="s">
        <v>3279</v>
      </c>
      <c r="Z270" s="490"/>
      <c r="AA270" s="162"/>
      <c r="AB270" s="162"/>
      <c r="AC270" s="1038"/>
      <c r="AD270" s="573"/>
      <c r="AE270" s="162"/>
      <c r="AF270" s="162"/>
      <c r="AG270" s="162"/>
      <c r="AH270" s="162"/>
      <c r="AI270" s="162"/>
      <c r="AJ270" s="162"/>
      <c r="AK270" s="162"/>
    </row>
    <row r="271" spans="2:37" ht="10.5" customHeight="1">
      <c r="B271" s="312"/>
      <c r="C271" s="433" t="s">
        <v>1959</v>
      </c>
      <c r="D271" s="502">
        <v>50500</v>
      </c>
      <c r="E271" s="312"/>
      <c r="F271" s="628"/>
      <c r="G271" s="1131" t="s">
        <v>1831</v>
      </c>
      <c r="H271" s="1131" t="s">
        <v>1185</v>
      </c>
      <c r="I271" s="1135" t="s">
        <v>751</v>
      </c>
      <c r="J271" s="1135" t="s">
        <v>2546</v>
      </c>
      <c r="K271" s="1133" t="s">
        <v>678</v>
      </c>
      <c r="L271" s="1134" t="s">
        <v>416</v>
      </c>
      <c r="M271" s="1295" t="s">
        <v>2532</v>
      </c>
      <c r="N271" s="1295" t="s">
        <v>1179</v>
      </c>
      <c r="O271" s="1525" t="s">
        <v>4034</v>
      </c>
      <c r="P271" s="626" t="s">
        <v>233</v>
      </c>
      <c r="Q271" s="321"/>
      <c r="R271" s="189"/>
      <c r="S271" s="445"/>
      <c r="T271" s="560" t="s">
        <v>1702</v>
      </c>
      <c r="U271" s="560" t="s">
        <v>715</v>
      </c>
      <c r="W271" s="490" t="s">
        <v>959</v>
      </c>
      <c r="X271" s="490" t="s">
        <v>3279</v>
      </c>
      <c r="Z271" s="490"/>
      <c r="AA271" s="162"/>
      <c r="AB271" s="162"/>
      <c r="AC271" s="1038"/>
      <c r="AD271" s="573"/>
      <c r="AE271" s="162"/>
      <c r="AF271" s="162"/>
      <c r="AG271" s="162"/>
      <c r="AH271" s="162"/>
      <c r="AI271" s="162"/>
      <c r="AJ271" s="162"/>
      <c r="AK271" s="162"/>
    </row>
    <row r="272" spans="2:37" ht="10.5" customHeight="1">
      <c r="B272" s="312"/>
      <c r="C272" s="433" t="s">
        <v>1654</v>
      </c>
      <c r="D272" s="502">
        <v>54200</v>
      </c>
      <c r="E272" s="312"/>
      <c r="F272" s="628"/>
      <c r="G272" s="1131" t="s">
        <v>1598</v>
      </c>
      <c r="H272" s="1131" t="s">
        <v>1185</v>
      </c>
      <c r="I272" s="1132" t="s">
        <v>1599</v>
      </c>
      <c r="J272" s="1132" t="s">
        <v>2545</v>
      </c>
      <c r="K272" s="1133" t="s">
        <v>679</v>
      </c>
      <c r="L272" s="1134" t="s">
        <v>415</v>
      </c>
      <c r="M272" s="1296" t="s">
        <v>2532</v>
      </c>
      <c r="N272" s="1296" t="s">
        <v>1738</v>
      </c>
      <c r="O272" s="1525" t="s">
        <v>4035</v>
      </c>
      <c r="P272" s="626" t="s">
        <v>1237</v>
      </c>
      <c r="Q272" s="321"/>
      <c r="R272" s="189"/>
      <c r="S272" s="445"/>
      <c r="T272" s="560" t="s">
        <v>1000</v>
      </c>
      <c r="U272" s="560" t="s">
        <v>1287</v>
      </c>
      <c r="W272" s="490" t="s">
        <v>963</v>
      </c>
      <c r="X272" s="490" t="s">
        <v>3279</v>
      </c>
      <c r="Z272" s="490"/>
      <c r="AA272" s="162"/>
      <c r="AB272" s="162"/>
      <c r="AC272" s="1038"/>
      <c r="AD272" s="573"/>
      <c r="AE272" s="162"/>
      <c r="AF272" s="162"/>
      <c r="AG272" s="162"/>
      <c r="AH272" s="162"/>
      <c r="AI272" s="162"/>
      <c r="AJ272" s="162"/>
      <c r="AK272" s="162"/>
    </row>
    <row r="273" spans="2:37" ht="10.5" customHeight="1">
      <c r="B273" s="312"/>
      <c r="C273" s="434" t="s">
        <v>100</v>
      </c>
      <c r="D273" s="502">
        <v>44800</v>
      </c>
      <c r="E273" s="312"/>
      <c r="F273" s="628"/>
      <c r="G273" s="1131" t="s">
        <v>1600</v>
      </c>
      <c r="H273" s="1131" t="s">
        <v>1185</v>
      </c>
      <c r="I273" s="1132" t="s">
        <v>1601</v>
      </c>
      <c r="J273" s="1132" t="s">
        <v>2545</v>
      </c>
      <c r="K273" s="1133" t="s">
        <v>680</v>
      </c>
      <c r="L273" s="1134" t="s">
        <v>415</v>
      </c>
      <c r="M273" s="1296" t="s">
        <v>2532</v>
      </c>
      <c r="N273" s="1296" t="s">
        <v>1738</v>
      </c>
      <c r="O273" s="1525" t="s">
        <v>4036</v>
      </c>
      <c r="P273" s="626" t="s">
        <v>2011</v>
      </c>
      <c r="Q273" s="321"/>
      <c r="R273" s="189"/>
      <c r="S273" s="445"/>
      <c r="T273" s="560" t="s">
        <v>1003</v>
      </c>
      <c r="U273" s="560" t="s">
        <v>640</v>
      </c>
      <c r="W273" s="490" t="s">
        <v>965</v>
      </c>
      <c r="X273" s="490" t="s">
        <v>3279</v>
      </c>
      <c r="Z273" s="490"/>
      <c r="AA273" s="162"/>
      <c r="AB273" s="162"/>
      <c r="AC273" s="1038"/>
      <c r="AD273" s="573"/>
      <c r="AE273" s="162"/>
      <c r="AF273" s="162"/>
      <c r="AG273" s="162"/>
      <c r="AH273" s="162"/>
      <c r="AI273" s="162"/>
      <c r="AJ273" s="162"/>
      <c r="AK273" s="162"/>
    </row>
    <row r="274" spans="2:37" ht="10.5" customHeight="1">
      <c r="B274" s="312"/>
      <c r="C274" s="433" t="s">
        <v>1667</v>
      </c>
      <c r="D274" s="502">
        <v>75300</v>
      </c>
      <c r="E274" s="312"/>
      <c r="F274" s="628"/>
      <c r="G274" s="1131" t="s">
        <v>1602</v>
      </c>
      <c r="H274" s="1131" t="s">
        <v>1284</v>
      </c>
      <c r="I274" s="1135" t="s">
        <v>1994</v>
      </c>
      <c r="J274" s="1135" t="s">
        <v>2546</v>
      </c>
      <c r="K274" s="1133" t="s">
        <v>681</v>
      </c>
      <c r="L274" s="1134" t="s">
        <v>416</v>
      </c>
      <c r="M274" s="1295" t="s">
        <v>2532</v>
      </c>
      <c r="N274" s="1295" t="s">
        <v>1179</v>
      </c>
      <c r="O274" s="1525" t="s">
        <v>4037</v>
      </c>
      <c r="P274" s="626" t="s">
        <v>2013</v>
      </c>
      <c r="Q274" s="321"/>
      <c r="R274" s="189"/>
      <c r="S274" s="445"/>
      <c r="T274" s="560" t="s">
        <v>232</v>
      </c>
      <c r="U274" s="560" t="s">
        <v>2463</v>
      </c>
      <c r="W274" s="490" t="s">
        <v>557</v>
      </c>
      <c r="X274" s="490" t="s">
        <v>3279</v>
      </c>
      <c r="Z274" s="490"/>
      <c r="AA274" s="162"/>
      <c r="AB274" s="162"/>
      <c r="AC274" s="1038"/>
      <c r="AD274" s="573"/>
      <c r="AE274" s="162"/>
      <c r="AF274" s="162"/>
      <c r="AG274" s="162"/>
      <c r="AH274" s="162"/>
      <c r="AI274" s="162"/>
      <c r="AJ274" s="162"/>
      <c r="AK274" s="162"/>
    </row>
    <row r="275" spans="2:37" ht="10.5" customHeight="1">
      <c r="B275" s="312"/>
      <c r="C275" s="433" t="s">
        <v>102</v>
      </c>
      <c r="D275" s="502">
        <v>42400</v>
      </c>
      <c r="F275" s="628"/>
      <c r="G275" s="1131" t="s">
        <v>180</v>
      </c>
      <c r="H275" s="1131" t="s">
        <v>1185</v>
      </c>
      <c r="I275" s="1132" t="s">
        <v>181</v>
      </c>
      <c r="J275" s="1132" t="s">
        <v>2545</v>
      </c>
      <c r="K275" s="1133" t="s">
        <v>682</v>
      </c>
      <c r="L275" s="1134" t="s">
        <v>415</v>
      </c>
      <c r="M275" s="1296" t="s">
        <v>2532</v>
      </c>
      <c r="N275" s="1296" t="s">
        <v>1299</v>
      </c>
      <c r="O275" s="1525" t="s">
        <v>4038</v>
      </c>
      <c r="P275" s="626" t="s">
        <v>2015</v>
      </c>
      <c r="Q275" s="321"/>
      <c r="R275" s="189"/>
      <c r="S275" s="445"/>
      <c r="T275" s="627" t="s">
        <v>2751</v>
      </c>
      <c r="U275" s="627" t="s">
        <v>853</v>
      </c>
      <c r="W275" s="490" t="s">
        <v>366</v>
      </c>
      <c r="X275" s="490" t="s">
        <v>3279</v>
      </c>
      <c r="Z275" s="490"/>
      <c r="AA275" s="162"/>
      <c r="AB275" s="162"/>
      <c r="AC275" s="1038"/>
      <c r="AD275" s="573"/>
      <c r="AE275" s="162"/>
      <c r="AF275" s="162"/>
      <c r="AG275" s="162"/>
      <c r="AH275" s="162"/>
      <c r="AI275" s="162"/>
      <c r="AJ275" s="162"/>
      <c r="AK275" s="162"/>
    </row>
    <row r="276" spans="2:37" ht="10.5" customHeight="1">
      <c r="B276" s="312"/>
      <c r="C276" s="433" t="s">
        <v>104</v>
      </c>
      <c r="D276" s="502">
        <v>49600</v>
      </c>
      <c r="F276" s="628"/>
      <c r="G276" s="1131" t="s">
        <v>2517</v>
      </c>
      <c r="H276" s="1131" t="s">
        <v>1284</v>
      </c>
      <c r="I276" s="1135" t="s">
        <v>2518</v>
      </c>
      <c r="J276" s="1132" t="s">
        <v>2546</v>
      </c>
      <c r="K276" s="1133" t="s">
        <v>3558</v>
      </c>
      <c r="L276" s="1134" t="s">
        <v>416</v>
      </c>
      <c r="M276" s="1296" t="s">
        <v>2532</v>
      </c>
      <c r="N276" s="1296" t="s">
        <v>1179</v>
      </c>
      <c r="O276" s="1525" t="s">
        <v>4039</v>
      </c>
      <c r="P276" s="626" t="s">
        <v>2017</v>
      </c>
      <c r="Q276" s="321"/>
      <c r="R276" s="189"/>
      <c r="S276" s="445"/>
      <c r="T276" s="560" t="s">
        <v>1714</v>
      </c>
      <c r="U276" s="560" t="s">
        <v>1075</v>
      </c>
      <c r="W276" s="490" t="s">
        <v>1562</v>
      </c>
      <c r="X276" s="490" t="s">
        <v>3279</v>
      </c>
      <c r="Z276" s="490"/>
      <c r="AA276" s="162"/>
      <c r="AB276" s="162"/>
      <c r="AC276" s="1039"/>
      <c r="AD276" s="573"/>
      <c r="AE276" s="162"/>
      <c r="AF276" s="162"/>
      <c r="AG276" s="162"/>
      <c r="AH276" s="162"/>
      <c r="AI276" s="162"/>
      <c r="AJ276" s="162"/>
      <c r="AK276" s="162"/>
    </row>
    <row r="277" spans="2:37" ht="10.5" customHeight="1">
      <c r="B277" s="312"/>
      <c r="C277" s="433" t="s">
        <v>106</v>
      </c>
      <c r="D277" s="502">
        <v>53900</v>
      </c>
      <c r="F277" s="628"/>
      <c r="G277" s="1131" t="s">
        <v>2519</v>
      </c>
      <c r="H277" s="1131" t="s">
        <v>1284</v>
      </c>
      <c r="I277" s="1132" t="s">
        <v>2520</v>
      </c>
      <c r="J277" s="1132" t="s">
        <v>2546</v>
      </c>
      <c r="K277" s="1133" t="s">
        <v>1905</v>
      </c>
      <c r="L277" s="1134" t="s">
        <v>416</v>
      </c>
      <c r="M277" s="1295" t="s">
        <v>2532</v>
      </c>
      <c r="N277" s="1295" t="s">
        <v>1179</v>
      </c>
      <c r="O277" s="1525" t="s">
        <v>4040</v>
      </c>
      <c r="P277" s="626" t="s">
        <v>2019</v>
      </c>
      <c r="Q277" s="321"/>
      <c r="R277" s="189"/>
      <c r="S277" s="445"/>
      <c r="T277" s="560" t="s">
        <v>2012</v>
      </c>
      <c r="U277" s="560" t="s">
        <v>315</v>
      </c>
      <c r="W277" s="490" t="s">
        <v>987</v>
      </c>
      <c r="X277" s="490" t="s">
        <v>3279</v>
      </c>
      <c r="Z277" s="490"/>
      <c r="AA277" s="162"/>
      <c r="AB277" s="162"/>
      <c r="AC277" s="1038"/>
      <c r="AD277" s="573"/>
      <c r="AE277" s="162"/>
      <c r="AF277" s="162"/>
      <c r="AG277" s="162"/>
      <c r="AH277" s="162"/>
      <c r="AI277" s="162"/>
      <c r="AJ277" s="162"/>
      <c r="AK277" s="162"/>
    </row>
    <row r="278" spans="2:37" ht="10.5" customHeight="1">
      <c r="B278" s="312"/>
      <c r="C278" s="433" t="s">
        <v>108</v>
      </c>
      <c r="D278" s="502">
        <v>52800</v>
      </c>
      <c r="F278" s="628"/>
      <c r="G278" s="1131" t="s">
        <v>2521</v>
      </c>
      <c r="H278" s="1131" t="s">
        <v>1752</v>
      </c>
      <c r="I278" s="1135" t="s">
        <v>157</v>
      </c>
      <c r="J278" s="1135" t="s">
        <v>2546</v>
      </c>
      <c r="K278" s="1133" t="s">
        <v>1640</v>
      </c>
      <c r="L278" s="1134" t="s">
        <v>416</v>
      </c>
      <c r="M278" s="1296" t="s">
        <v>1170</v>
      </c>
      <c r="N278" s="1296" t="s">
        <v>157</v>
      </c>
      <c r="O278" s="1525" t="s">
        <v>4041</v>
      </c>
      <c r="P278" s="626" t="s">
        <v>2021</v>
      </c>
      <c r="Q278" s="321"/>
      <c r="R278" s="189"/>
      <c r="S278" s="445"/>
      <c r="T278" s="560" t="s">
        <v>2014</v>
      </c>
      <c r="U278" s="560" t="s">
        <v>313</v>
      </c>
      <c r="W278" s="490" t="s">
        <v>989</v>
      </c>
      <c r="X278" s="490" t="s">
        <v>3279</v>
      </c>
      <c r="Z278" s="490"/>
      <c r="AA278" s="162"/>
      <c r="AB278" s="162"/>
      <c r="AC278" s="1038"/>
      <c r="AD278" s="573"/>
      <c r="AE278" s="162"/>
      <c r="AF278" s="162"/>
      <c r="AG278" s="162"/>
      <c r="AH278" s="162"/>
      <c r="AI278" s="162"/>
      <c r="AJ278" s="162"/>
      <c r="AK278" s="162"/>
    </row>
    <row r="279" spans="2:37" ht="10.5" customHeight="1">
      <c r="B279" s="312"/>
      <c r="C279" s="433" t="s">
        <v>110</v>
      </c>
      <c r="D279" s="502">
        <v>38500</v>
      </c>
      <c r="F279" s="628"/>
      <c r="G279" s="1131" t="s">
        <v>2522</v>
      </c>
      <c r="H279" s="1131" t="s">
        <v>1284</v>
      </c>
      <c r="I279" s="1135" t="s">
        <v>746</v>
      </c>
      <c r="J279" s="1135" t="s">
        <v>2546</v>
      </c>
      <c r="K279" s="1133" t="s">
        <v>2510</v>
      </c>
      <c r="L279" s="1134" t="s">
        <v>416</v>
      </c>
      <c r="M279" s="1295" t="s">
        <v>1170</v>
      </c>
      <c r="N279" s="1295" t="s">
        <v>1179</v>
      </c>
      <c r="O279" s="1525" t="s">
        <v>4042</v>
      </c>
      <c r="P279" s="626" t="s">
        <v>657</v>
      </c>
      <c r="Q279" s="321"/>
      <c r="R279" s="189"/>
      <c r="S279" s="445"/>
      <c r="T279" s="560" t="s">
        <v>2016</v>
      </c>
      <c r="U279" s="560" t="s">
        <v>610</v>
      </c>
      <c r="W279" s="490" t="s">
        <v>1637</v>
      </c>
      <c r="X279" s="490" t="s">
        <v>3279</v>
      </c>
      <c r="Z279" s="490"/>
      <c r="AA279" s="162"/>
      <c r="AB279" s="162"/>
      <c r="AC279" s="1038"/>
      <c r="AD279" s="573"/>
      <c r="AE279" s="162"/>
      <c r="AF279" s="162"/>
      <c r="AG279" s="162"/>
      <c r="AH279" s="162"/>
      <c r="AI279" s="162"/>
      <c r="AJ279" s="162"/>
      <c r="AK279" s="162"/>
    </row>
    <row r="280" spans="2:37" ht="10.5" customHeight="1">
      <c r="B280" s="312"/>
      <c r="C280" s="433" t="s">
        <v>112</v>
      </c>
      <c r="D280" s="502">
        <v>53300</v>
      </c>
      <c r="F280" s="628"/>
      <c r="G280" s="1131" t="s">
        <v>2523</v>
      </c>
      <c r="H280" s="1131" t="s">
        <v>1284</v>
      </c>
      <c r="I280" s="1132" t="s">
        <v>1995</v>
      </c>
      <c r="J280" s="1132" t="s">
        <v>2546</v>
      </c>
      <c r="K280" s="1133" t="s">
        <v>602</v>
      </c>
      <c r="L280" s="1134" t="s">
        <v>416</v>
      </c>
      <c r="M280" s="1295" t="s">
        <v>2532</v>
      </c>
      <c r="N280" s="1295" t="s">
        <v>162</v>
      </c>
      <c r="O280" s="1525" t="s">
        <v>4043</v>
      </c>
      <c r="P280" s="626" t="s">
        <v>2269</v>
      </c>
      <c r="Q280" s="321"/>
      <c r="R280" s="189"/>
      <c r="S280" s="445"/>
      <c r="T280" s="560" t="s">
        <v>2018</v>
      </c>
      <c r="U280" s="560" t="s">
        <v>2519</v>
      </c>
      <c r="W280" s="490" t="s">
        <v>846</v>
      </c>
      <c r="X280" s="490" t="s">
        <v>3279</v>
      </c>
      <c r="Z280" s="490"/>
      <c r="AA280" s="162"/>
      <c r="AB280" s="162"/>
      <c r="AC280" s="1038"/>
      <c r="AD280" s="573"/>
      <c r="AE280" s="162"/>
      <c r="AF280" s="162"/>
      <c r="AG280" s="162"/>
      <c r="AH280" s="162"/>
      <c r="AI280" s="162"/>
      <c r="AJ280" s="162"/>
      <c r="AK280" s="162"/>
    </row>
    <row r="281" spans="2:37" ht="10.5" customHeight="1">
      <c r="B281" s="312"/>
      <c r="C281" s="433" t="s">
        <v>2334</v>
      </c>
      <c r="D281" s="502">
        <v>48200</v>
      </c>
      <c r="F281" s="628"/>
      <c r="G281" s="1131" t="s">
        <v>2524</v>
      </c>
      <c r="H281" s="1131" t="s">
        <v>1284</v>
      </c>
      <c r="I281" s="1132" t="s">
        <v>1995</v>
      </c>
      <c r="J281" s="1132" t="s">
        <v>2546</v>
      </c>
      <c r="K281" s="1133" t="s">
        <v>602</v>
      </c>
      <c r="L281" s="1134" t="s">
        <v>416</v>
      </c>
      <c r="M281" s="1295" t="s">
        <v>2532</v>
      </c>
      <c r="N281" s="1295" t="s">
        <v>162</v>
      </c>
      <c r="O281" s="1525" t="s">
        <v>4044</v>
      </c>
      <c r="P281" s="626" t="s">
        <v>2270</v>
      </c>
      <c r="Q281" s="321"/>
      <c r="R281" s="189"/>
      <c r="S281" s="445"/>
      <c r="T281" s="560" t="s">
        <v>4245</v>
      </c>
      <c r="U281" s="560" t="s">
        <v>1180</v>
      </c>
      <c r="W281" s="490" t="s">
        <v>1697</v>
      </c>
      <c r="X281" s="490" t="s">
        <v>3279</v>
      </c>
      <c r="Z281" s="490"/>
      <c r="AA281" s="162"/>
      <c r="AB281" s="162"/>
      <c r="AC281" s="1038"/>
      <c r="AD281" s="573"/>
      <c r="AE281" s="162"/>
      <c r="AF281" s="162"/>
      <c r="AG281" s="162"/>
      <c r="AH281" s="162"/>
      <c r="AI281" s="162"/>
      <c r="AJ281" s="162"/>
      <c r="AK281" s="162"/>
    </row>
    <row r="282" spans="2:37" ht="10.5" customHeight="1">
      <c r="B282" s="312"/>
      <c r="C282" s="433" t="s">
        <v>2336</v>
      </c>
      <c r="D282" s="502">
        <v>50500</v>
      </c>
      <c r="F282" s="628"/>
      <c r="G282" s="1131" t="s">
        <v>2525</v>
      </c>
      <c r="H282" s="1131" t="s">
        <v>1284</v>
      </c>
      <c r="I282" s="1135" t="s">
        <v>746</v>
      </c>
      <c r="J282" s="1135" t="s">
        <v>2546</v>
      </c>
      <c r="K282" s="1133" t="s">
        <v>2510</v>
      </c>
      <c r="L282" s="1134" t="s">
        <v>416</v>
      </c>
      <c r="M282" s="1295" t="s">
        <v>1170</v>
      </c>
      <c r="N282" s="1295" t="s">
        <v>1179</v>
      </c>
      <c r="O282" s="1525" t="s">
        <v>4045</v>
      </c>
      <c r="P282" s="626" t="s">
        <v>1220</v>
      </c>
      <c r="Q282" s="321"/>
      <c r="R282" s="189"/>
      <c r="S282" s="445"/>
      <c r="T282" s="560" t="s">
        <v>2499</v>
      </c>
      <c r="U282" s="560" t="s">
        <v>1960</v>
      </c>
      <c r="W282" s="490" t="s">
        <v>613</v>
      </c>
      <c r="X282" s="490" t="s">
        <v>3279</v>
      </c>
      <c r="Z282" s="490"/>
      <c r="AA282" s="162"/>
      <c r="AB282" s="162"/>
      <c r="AC282" s="1038"/>
      <c r="AD282" s="573"/>
      <c r="AE282" s="162"/>
      <c r="AF282" s="162"/>
      <c r="AG282" s="162"/>
      <c r="AH282" s="162"/>
      <c r="AI282" s="162"/>
      <c r="AJ282" s="162"/>
      <c r="AK282" s="162"/>
    </row>
    <row r="283" spans="2:37" ht="10.5" customHeight="1">
      <c r="B283" s="312"/>
      <c r="C283" s="433" t="s">
        <v>2338</v>
      </c>
      <c r="D283" s="502">
        <v>53300</v>
      </c>
      <c r="F283" s="628"/>
      <c r="G283" s="1131" t="s">
        <v>1069</v>
      </c>
      <c r="H283" s="1131" t="s">
        <v>1284</v>
      </c>
      <c r="I283" s="1135" t="s">
        <v>1070</v>
      </c>
      <c r="J283" s="1135" t="s">
        <v>2546</v>
      </c>
      <c r="K283" s="1133" t="s">
        <v>1906</v>
      </c>
      <c r="L283" s="1134" t="s">
        <v>416</v>
      </c>
      <c r="M283" s="1296" t="s">
        <v>2532</v>
      </c>
      <c r="N283" s="1296" t="s">
        <v>1293</v>
      </c>
      <c r="O283" s="1525" t="s">
        <v>4046</v>
      </c>
      <c r="P283" s="626" t="s">
        <v>1222</v>
      </c>
      <c r="Q283" s="321"/>
      <c r="R283" s="189"/>
      <c r="S283" s="445"/>
      <c r="T283" s="560" t="s">
        <v>2020</v>
      </c>
      <c r="U283" s="560" t="s">
        <v>195</v>
      </c>
      <c r="W283" s="490" t="s">
        <v>2230</v>
      </c>
      <c r="X283" s="490" t="s">
        <v>3279</v>
      </c>
      <c r="Z283" s="490"/>
      <c r="AA283" s="162"/>
      <c r="AB283" s="162"/>
      <c r="AC283" s="1038"/>
      <c r="AD283" s="573"/>
      <c r="AE283" s="162"/>
      <c r="AF283" s="162"/>
      <c r="AG283" s="162"/>
      <c r="AH283" s="162"/>
      <c r="AI283" s="162"/>
      <c r="AJ283" s="162"/>
      <c r="AK283" s="162"/>
    </row>
    <row r="284" spans="2:37" ht="10.5" customHeight="1">
      <c r="F284" s="628"/>
      <c r="G284" s="1131" t="s">
        <v>1071</v>
      </c>
      <c r="H284" s="1131" t="s">
        <v>1284</v>
      </c>
      <c r="I284" s="1135" t="s">
        <v>746</v>
      </c>
      <c r="J284" s="1135" t="s">
        <v>2546</v>
      </c>
      <c r="K284" s="1133" t="s">
        <v>2510</v>
      </c>
      <c r="L284" s="1134" t="s">
        <v>416</v>
      </c>
      <c r="M284" s="1295" t="s">
        <v>1170</v>
      </c>
      <c r="N284" s="1295" t="s">
        <v>1179</v>
      </c>
      <c r="O284" s="1525" t="s">
        <v>4047</v>
      </c>
      <c r="P284" s="626" t="s">
        <v>1224</v>
      </c>
      <c r="Q284" s="321"/>
      <c r="R284" s="189"/>
      <c r="S284" s="445"/>
      <c r="T284" s="560" t="s">
        <v>2752</v>
      </c>
      <c r="U284" s="560" t="s">
        <v>644</v>
      </c>
      <c r="W284" s="490" t="s">
        <v>1011</v>
      </c>
      <c r="X284" s="490" t="s">
        <v>3279</v>
      </c>
      <c r="Z284" s="162"/>
      <c r="AA284" s="162"/>
      <c r="AB284" s="162"/>
      <c r="AC284" s="1038"/>
      <c r="AD284" s="573"/>
      <c r="AE284" s="162"/>
      <c r="AF284" s="162"/>
      <c r="AG284" s="162"/>
      <c r="AH284" s="162"/>
      <c r="AI284" s="162"/>
      <c r="AJ284" s="162"/>
      <c r="AK284" s="162"/>
    </row>
    <row r="285" spans="2:37" ht="10.5" customHeight="1">
      <c r="F285" s="628"/>
      <c r="G285" s="1131" t="s">
        <v>1072</v>
      </c>
      <c r="H285" s="1131" t="s">
        <v>1185</v>
      </c>
      <c r="I285" s="1132" t="s">
        <v>1073</v>
      </c>
      <c r="J285" s="1132" t="s">
        <v>2545</v>
      </c>
      <c r="K285" s="1133" t="s">
        <v>1907</v>
      </c>
      <c r="L285" s="1134" t="s">
        <v>415</v>
      </c>
      <c r="M285" s="1296" t="s">
        <v>2532</v>
      </c>
      <c r="N285" s="1296" t="s">
        <v>1654</v>
      </c>
      <c r="O285" s="1525" t="s">
        <v>4048</v>
      </c>
      <c r="P285" s="626" t="s">
        <v>1225</v>
      </c>
      <c r="Q285" s="321"/>
      <c r="R285" s="189"/>
      <c r="S285" s="445"/>
      <c r="T285" s="560" t="s">
        <v>2022</v>
      </c>
      <c r="U285" s="560" t="s">
        <v>195</v>
      </c>
      <c r="W285" s="490" t="s">
        <v>1897</v>
      </c>
      <c r="X285" s="490" t="s">
        <v>3279</v>
      </c>
      <c r="Z285" s="162"/>
      <c r="AA285" s="162"/>
      <c r="AB285" s="162"/>
      <c r="AC285" s="1038"/>
      <c r="AD285" s="573"/>
      <c r="AE285" s="162"/>
      <c r="AF285" s="162"/>
      <c r="AG285" s="162"/>
      <c r="AH285" s="162"/>
      <c r="AI285" s="162"/>
      <c r="AJ285" s="162"/>
      <c r="AK285" s="162"/>
    </row>
    <row r="286" spans="2:37" ht="10.5" customHeight="1">
      <c r="F286" s="628"/>
      <c r="G286" s="1131" t="s">
        <v>1074</v>
      </c>
      <c r="H286" s="1131" t="s">
        <v>1284</v>
      </c>
      <c r="I286" s="1135" t="s">
        <v>746</v>
      </c>
      <c r="J286" s="1135" t="s">
        <v>2546</v>
      </c>
      <c r="K286" s="1133" t="s">
        <v>2510</v>
      </c>
      <c r="L286" s="1134" t="s">
        <v>416</v>
      </c>
      <c r="M286" s="1295" t="s">
        <v>1170</v>
      </c>
      <c r="N286" s="1295" t="s">
        <v>1179</v>
      </c>
      <c r="O286" s="1525" t="s">
        <v>4049</v>
      </c>
      <c r="P286" s="626" t="s">
        <v>1227</v>
      </c>
      <c r="Q286" s="321"/>
      <c r="R286" s="189"/>
      <c r="S286" s="445"/>
      <c r="T286" s="560" t="s">
        <v>658</v>
      </c>
      <c r="U286" s="560" t="s">
        <v>1960</v>
      </c>
      <c r="W286" s="490" t="s">
        <v>482</v>
      </c>
      <c r="X286" s="490" t="s">
        <v>3279</v>
      </c>
      <c r="Z286" s="162"/>
      <c r="AA286" s="162"/>
      <c r="AB286" s="162"/>
      <c r="AC286" s="1038"/>
      <c r="AD286" s="573"/>
      <c r="AE286" s="162"/>
      <c r="AF286" s="162"/>
      <c r="AG286" s="162"/>
      <c r="AH286" s="162"/>
      <c r="AI286" s="162"/>
      <c r="AJ286" s="162"/>
      <c r="AK286" s="162"/>
    </row>
    <row r="287" spans="2:37" ht="10.5" customHeight="1">
      <c r="F287" s="628"/>
      <c r="G287" s="1131" t="s">
        <v>1075</v>
      </c>
      <c r="H287" s="1131" t="s">
        <v>1284</v>
      </c>
      <c r="I287" s="1132" t="s">
        <v>1076</v>
      </c>
      <c r="J287" s="1132" t="s">
        <v>2545</v>
      </c>
      <c r="K287" s="1133" t="s">
        <v>1908</v>
      </c>
      <c r="L287" s="1134" t="s">
        <v>415</v>
      </c>
      <c r="M287" s="1296" t="s">
        <v>2532</v>
      </c>
      <c r="N287" s="1296" t="s">
        <v>1179</v>
      </c>
      <c r="O287" s="1525" t="s">
        <v>4050</v>
      </c>
      <c r="P287" s="626" t="s">
        <v>2429</v>
      </c>
      <c r="Q287" s="321"/>
      <c r="R287" s="189"/>
      <c r="S287" s="445"/>
      <c r="T287" s="560" t="s">
        <v>2271</v>
      </c>
      <c r="U287" s="560" t="s">
        <v>119</v>
      </c>
      <c r="W287" s="490" t="s">
        <v>1608</v>
      </c>
      <c r="X287" s="490" t="s">
        <v>3279</v>
      </c>
      <c r="Z287" s="162"/>
      <c r="AA287" s="162"/>
      <c r="AB287" s="162"/>
      <c r="AC287" s="1038"/>
      <c r="AD287" s="573"/>
      <c r="AE287" s="162"/>
      <c r="AF287" s="162"/>
      <c r="AG287" s="162"/>
      <c r="AH287" s="162"/>
      <c r="AI287" s="162"/>
      <c r="AJ287" s="162"/>
      <c r="AK287" s="162"/>
    </row>
    <row r="288" spans="2:37" ht="10.5" customHeight="1">
      <c r="F288" s="628"/>
      <c r="G288" s="1131" t="s">
        <v>1077</v>
      </c>
      <c r="H288" s="1131" t="s">
        <v>1185</v>
      </c>
      <c r="I288" s="1135" t="s">
        <v>1078</v>
      </c>
      <c r="J288" s="1135" t="s">
        <v>2546</v>
      </c>
      <c r="K288" s="1133" t="s">
        <v>1909</v>
      </c>
      <c r="L288" s="1134" t="s">
        <v>416</v>
      </c>
      <c r="M288" s="1296" t="s">
        <v>2532</v>
      </c>
      <c r="N288" s="1296" t="s">
        <v>1293</v>
      </c>
      <c r="O288" s="1525" t="s">
        <v>4051</v>
      </c>
      <c r="P288" s="626" t="s">
        <v>80</v>
      </c>
      <c r="Q288" s="321"/>
      <c r="R288" s="189"/>
      <c r="S288" s="445"/>
      <c r="T288" s="560" t="s">
        <v>1221</v>
      </c>
      <c r="U288" s="560" t="s">
        <v>610</v>
      </c>
      <c r="W288" s="490" t="s">
        <v>921</v>
      </c>
      <c r="X288" s="490" t="s">
        <v>3279</v>
      </c>
      <c r="Z288" s="162"/>
      <c r="AA288" s="162"/>
      <c r="AB288" s="162"/>
      <c r="AC288" s="1038"/>
      <c r="AD288" s="573"/>
      <c r="AE288" s="162"/>
      <c r="AF288" s="162"/>
      <c r="AG288" s="162"/>
      <c r="AH288" s="162"/>
      <c r="AI288" s="162"/>
      <c r="AJ288" s="162"/>
      <c r="AK288" s="162"/>
    </row>
    <row r="289" spans="6:37" ht="10.5" customHeight="1">
      <c r="F289" s="628"/>
      <c r="G289" s="1131" t="s">
        <v>1079</v>
      </c>
      <c r="H289" s="1131" t="s">
        <v>1284</v>
      </c>
      <c r="I289" s="1135" t="s">
        <v>1080</v>
      </c>
      <c r="J289" s="1135" t="s">
        <v>2545</v>
      </c>
      <c r="K289" s="1133" t="s">
        <v>1910</v>
      </c>
      <c r="L289" s="1134" t="s">
        <v>415</v>
      </c>
      <c r="M289" s="1296" t="s">
        <v>2532</v>
      </c>
      <c r="N289" s="1296" t="s">
        <v>1179</v>
      </c>
      <c r="O289" s="1525" t="s">
        <v>4052</v>
      </c>
      <c r="P289" s="626" t="s">
        <v>81</v>
      </c>
      <c r="Q289" s="321"/>
      <c r="R289" s="189"/>
      <c r="S289" s="445"/>
      <c r="T289" s="560" t="s">
        <v>1223</v>
      </c>
      <c r="U289" s="560" t="s">
        <v>2187</v>
      </c>
      <c r="W289" s="490" t="s">
        <v>2248</v>
      </c>
      <c r="X289" s="490" t="s">
        <v>3279</v>
      </c>
      <c r="Z289" s="162"/>
      <c r="AA289" s="162"/>
      <c r="AB289" s="162"/>
      <c r="AC289" s="1038"/>
      <c r="AD289" s="573"/>
      <c r="AE289" s="162"/>
      <c r="AF289" s="162"/>
      <c r="AG289" s="162"/>
      <c r="AH289" s="162"/>
      <c r="AI289" s="162"/>
      <c r="AJ289" s="162"/>
      <c r="AK289" s="162"/>
    </row>
    <row r="290" spans="6:37" ht="10.5" customHeight="1">
      <c r="F290" s="628"/>
      <c r="G290" s="1131" t="s">
        <v>1081</v>
      </c>
      <c r="H290" s="1131" t="s">
        <v>1185</v>
      </c>
      <c r="I290" s="1132" t="s">
        <v>1082</v>
      </c>
      <c r="J290" s="1132" t="s">
        <v>2545</v>
      </c>
      <c r="K290" s="1133" t="s">
        <v>1740</v>
      </c>
      <c r="L290" s="1134" t="s">
        <v>415</v>
      </c>
      <c r="M290" s="1296" t="s">
        <v>2532</v>
      </c>
      <c r="N290" s="1296" t="s">
        <v>157</v>
      </c>
      <c r="O290" s="1525" t="s">
        <v>4053</v>
      </c>
      <c r="P290" s="626" t="s">
        <v>82</v>
      </c>
      <c r="Q290" s="321"/>
      <c r="R290" s="189"/>
      <c r="S290" s="445"/>
      <c r="T290" s="560" t="s">
        <v>2419</v>
      </c>
      <c r="U290" s="560" t="s">
        <v>1083</v>
      </c>
      <c r="W290" s="490" t="s">
        <v>318</v>
      </c>
      <c r="X290" s="490" t="s">
        <v>3279</v>
      </c>
      <c r="Z290" s="162"/>
      <c r="AA290" s="162"/>
      <c r="AB290" s="162"/>
      <c r="AC290" s="1038"/>
      <c r="AD290" s="573"/>
      <c r="AE290" s="162"/>
      <c r="AF290" s="162"/>
      <c r="AG290" s="162"/>
      <c r="AH290" s="162"/>
      <c r="AI290" s="162"/>
      <c r="AJ290" s="162"/>
      <c r="AK290" s="162"/>
    </row>
    <row r="291" spans="6:37" ht="10.5" customHeight="1">
      <c r="F291" s="628"/>
      <c r="G291" s="1131" t="s">
        <v>1083</v>
      </c>
      <c r="H291" s="1131" t="s">
        <v>1284</v>
      </c>
      <c r="I291" s="1132" t="s">
        <v>1084</v>
      </c>
      <c r="J291" s="1132" t="s">
        <v>2545</v>
      </c>
      <c r="K291" s="1133" t="s">
        <v>1741</v>
      </c>
      <c r="L291" s="1134" t="s">
        <v>415</v>
      </c>
      <c r="M291" s="1296" t="s">
        <v>2532</v>
      </c>
      <c r="N291" s="1296" t="s">
        <v>162</v>
      </c>
      <c r="O291" s="1525" t="s">
        <v>4054</v>
      </c>
      <c r="P291" s="626" t="s">
        <v>84</v>
      </c>
      <c r="Q291" s="321"/>
      <c r="R291" s="189"/>
      <c r="S291" s="445"/>
      <c r="T291" s="560" t="s">
        <v>1226</v>
      </c>
      <c r="U291" s="560" t="s">
        <v>306</v>
      </c>
      <c r="W291" s="490" t="s">
        <v>320</v>
      </c>
      <c r="X291" s="490" t="s">
        <v>3279</v>
      </c>
      <c r="Z291" s="162"/>
      <c r="AA291" s="162"/>
      <c r="AB291" s="162"/>
      <c r="AC291" s="1038"/>
      <c r="AD291" s="573"/>
      <c r="AE291" s="162"/>
      <c r="AF291" s="162"/>
      <c r="AG291" s="162"/>
      <c r="AH291" s="162"/>
      <c r="AI291" s="162"/>
      <c r="AJ291" s="162"/>
      <c r="AK291" s="162"/>
    </row>
    <row r="292" spans="6:37" ht="10.5" customHeight="1">
      <c r="F292" s="628"/>
      <c r="G292" s="1131" t="s">
        <v>1085</v>
      </c>
      <c r="H292" s="1131" t="s">
        <v>1185</v>
      </c>
      <c r="I292" s="1132" t="s">
        <v>1086</v>
      </c>
      <c r="J292" s="1132" t="s">
        <v>2545</v>
      </c>
      <c r="K292" s="1133" t="s">
        <v>1742</v>
      </c>
      <c r="L292" s="1134" t="s">
        <v>415</v>
      </c>
      <c r="M292" s="1296" t="s">
        <v>2532</v>
      </c>
      <c r="N292" s="1296" t="s">
        <v>1738</v>
      </c>
      <c r="O292" s="1525" t="s">
        <v>4055</v>
      </c>
      <c r="P292" s="626" t="s">
        <v>1201</v>
      </c>
      <c r="Q292" s="321"/>
      <c r="R292" s="189"/>
      <c r="S292" s="445"/>
      <c r="T292" s="560" t="s">
        <v>2428</v>
      </c>
      <c r="U292" s="560" t="s">
        <v>111</v>
      </c>
      <c r="W292" s="490" t="s">
        <v>323</v>
      </c>
      <c r="X292" s="490" t="s">
        <v>3279</v>
      </c>
      <c r="Z292" s="162"/>
      <c r="AA292" s="162"/>
      <c r="AB292" s="162"/>
      <c r="AC292" s="1038"/>
      <c r="AD292" s="573"/>
      <c r="AE292" s="162"/>
      <c r="AF292" s="162"/>
      <c r="AG292" s="162"/>
      <c r="AH292" s="162"/>
      <c r="AI292" s="162"/>
      <c r="AJ292" s="162"/>
      <c r="AK292" s="162"/>
    </row>
    <row r="293" spans="6:37" ht="10.5" customHeight="1">
      <c r="F293" s="628"/>
      <c r="G293" s="1131" t="s">
        <v>1087</v>
      </c>
      <c r="H293" s="1131" t="s">
        <v>1752</v>
      </c>
      <c r="I293" s="1135" t="s">
        <v>747</v>
      </c>
      <c r="J293" s="1135" t="s">
        <v>2546</v>
      </c>
      <c r="K293" s="1133" t="s">
        <v>2531</v>
      </c>
      <c r="L293" s="1134" t="s">
        <v>416</v>
      </c>
      <c r="M293" s="1296" t="s">
        <v>1170</v>
      </c>
      <c r="N293" s="1296" t="s">
        <v>1303</v>
      </c>
      <c r="O293" s="1525" t="s">
        <v>4056</v>
      </c>
      <c r="P293" s="626" t="s">
        <v>1203</v>
      </c>
      <c r="Q293" s="321"/>
      <c r="R293" s="189"/>
      <c r="S293" s="445"/>
      <c r="T293" s="560" t="s">
        <v>79</v>
      </c>
      <c r="U293" s="560" t="s">
        <v>192</v>
      </c>
      <c r="W293" s="490" t="s">
        <v>1712</v>
      </c>
      <c r="X293" s="490" t="s">
        <v>3279</v>
      </c>
      <c r="AA293" s="27"/>
      <c r="AB293" s="27"/>
      <c r="AC293" s="1038"/>
      <c r="AD293" s="573"/>
    </row>
    <row r="294" spans="6:37" ht="10.5" customHeight="1">
      <c r="F294" s="628"/>
      <c r="G294" s="1131" t="s">
        <v>1088</v>
      </c>
      <c r="H294" s="1131" t="s">
        <v>1284</v>
      </c>
      <c r="I294" s="1135" t="s">
        <v>746</v>
      </c>
      <c r="J294" s="1135" t="s">
        <v>2546</v>
      </c>
      <c r="K294" s="1133" t="s">
        <v>2510</v>
      </c>
      <c r="L294" s="1134" t="s">
        <v>416</v>
      </c>
      <c r="M294" s="1295" t="s">
        <v>1170</v>
      </c>
      <c r="N294" s="1295" t="s">
        <v>1179</v>
      </c>
      <c r="O294" s="1525" t="s">
        <v>4057</v>
      </c>
      <c r="P294" s="626" t="s">
        <v>1205</v>
      </c>
      <c r="Q294" s="321"/>
      <c r="R294" s="189"/>
      <c r="S294" s="445"/>
      <c r="T294" s="560" t="s">
        <v>83</v>
      </c>
      <c r="U294" s="560" t="s">
        <v>2133</v>
      </c>
      <c r="W294" s="490" t="s">
        <v>673</v>
      </c>
      <c r="X294" s="490" t="s">
        <v>3279</v>
      </c>
      <c r="AA294" s="27"/>
      <c r="AB294" s="27"/>
      <c r="AC294" s="1038"/>
      <c r="AD294" s="573"/>
    </row>
    <row r="295" spans="6:37" ht="10.5" customHeight="1">
      <c r="F295" s="628"/>
      <c r="G295" s="1131" t="s">
        <v>1089</v>
      </c>
      <c r="H295" s="1131" t="s">
        <v>1185</v>
      </c>
      <c r="I295" s="1132" t="s">
        <v>2117</v>
      </c>
      <c r="J295" s="1132" t="s">
        <v>2545</v>
      </c>
      <c r="K295" s="1133" t="s">
        <v>1743</v>
      </c>
      <c r="L295" s="1134" t="s">
        <v>415</v>
      </c>
      <c r="M295" s="1296" t="s">
        <v>2532</v>
      </c>
      <c r="N295" s="1296" t="s">
        <v>157</v>
      </c>
      <c r="O295" s="1525" t="s">
        <v>4058</v>
      </c>
      <c r="P295" s="626" t="s">
        <v>1207</v>
      </c>
      <c r="Q295" s="321"/>
      <c r="R295" s="189"/>
      <c r="S295" s="445"/>
      <c r="T295" s="560" t="s">
        <v>85</v>
      </c>
      <c r="U295" s="560" t="s">
        <v>1294</v>
      </c>
      <c r="W295" s="490" t="s">
        <v>2293</v>
      </c>
      <c r="X295" s="490" t="s">
        <v>3279</v>
      </c>
      <c r="AA295" s="27"/>
      <c r="AB295" s="27"/>
      <c r="AC295" s="1038"/>
      <c r="AD295" s="573"/>
    </row>
    <row r="296" spans="6:37" ht="10.5" customHeight="1">
      <c r="F296" s="628"/>
      <c r="G296" s="1131" t="s">
        <v>2118</v>
      </c>
      <c r="H296" s="1131" t="s">
        <v>1185</v>
      </c>
      <c r="I296" s="1132" t="s">
        <v>2119</v>
      </c>
      <c r="J296" s="1132" t="s">
        <v>2545</v>
      </c>
      <c r="K296" s="1133" t="s">
        <v>1744</v>
      </c>
      <c r="L296" s="1134" t="s">
        <v>415</v>
      </c>
      <c r="M296" s="1296" t="s">
        <v>2532</v>
      </c>
      <c r="N296" s="1296" t="s">
        <v>1299</v>
      </c>
      <c r="O296" s="1525" t="s">
        <v>4059</v>
      </c>
      <c r="P296" s="626" t="s">
        <v>1209</v>
      </c>
      <c r="Q296" s="321"/>
      <c r="R296" s="189"/>
      <c r="S296" s="445"/>
      <c r="T296" s="560" t="s">
        <v>1202</v>
      </c>
      <c r="U296" s="560" t="s">
        <v>1903</v>
      </c>
      <c r="W296" s="490" t="s">
        <v>466</v>
      </c>
      <c r="X296" s="490" t="s">
        <v>3279</v>
      </c>
      <c r="AA296" s="27"/>
      <c r="AB296" s="27"/>
      <c r="AC296" s="1038"/>
      <c r="AD296" s="573"/>
    </row>
    <row r="297" spans="6:37" ht="10.5" customHeight="1">
      <c r="F297" s="628"/>
      <c r="G297" s="1131" t="s">
        <v>1575</v>
      </c>
      <c r="H297" s="1131" t="s">
        <v>1575</v>
      </c>
      <c r="I297" s="1131" t="s">
        <v>1575</v>
      </c>
      <c r="J297" s="1132"/>
      <c r="K297" s="1133"/>
      <c r="L297" s="1134"/>
      <c r="M297" s="1131" t="s">
        <v>1575</v>
      </c>
      <c r="N297" s="1131" t="s">
        <v>1575</v>
      </c>
      <c r="O297" s="1525" t="s">
        <v>4060</v>
      </c>
      <c r="P297" s="626" t="s">
        <v>1211</v>
      </c>
      <c r="Q297" s="321"/>
      <c r="R297" s="189"/>
      <c r="S297" s="445"/>
      <c r="T297" s="560" t="s">
        <v>1204</v>
      </c>
      <c r="U297" s="560" t="s">
        <v>175</v>
      </c>
      <c r="W297" s="490" t="s">
        <v>3272</v>
      </c>
      <c r="X297" s="490" t="s">
        <v>3279</v>
      </c>
      <c r="AA297" s="27"/>
      <c r="AB297" s="27"/>
      <c r="AC297" s="1038"/>
      <c r="AD297" s="573"/>
    </row>
    <row r="298" spans="6:37" ht="10.5" customHeight="1">
      <c r="F298" s="628"/>
      <c r="G298" s="1131" t="s">
        <v>2120</v>
      </c>
      <c r="H298" s="1131" t="s">
        <v>1185</v>
      </c>
      <c r="I298" s="1135" t="s">
        <v>2121</v>
      </c>
      <c r="J298" s="1132" t="s">
        <v>2545</v>
      </c>
      <c r="K298" s="1133" t="s">
        <v>447</v>
      </c>
      <c r="L298" s="1134" t="s">
        <v>415</v>
      </c>
      <c r="M298" s="1296" t="s">
        <v>2532</v>
      </c>
      <c r="N298" s="1296" t="s">
        <v>1738</v>
      </c>
      <c r="O298" s="1525" t="s">
        <v>4061</v>
      </c>
      <c r="P298" s="626" t="s">
        <v>870</v>
      </c>
      <c r="Q298" s="321"/>
      <c r="R298" s="189"/>
      <c r="S298" s="445"/>
      <c r="T298" s="627" t="s">
        <v>1206</v>
      </c>
      <c r="U298" s="627" t="s">
        <v>1085</v>
      </c>
      <c r="W298" s="490" t="s">
        <v>3273</v>
      </c>
      <c r="X298" s="490" t="s">
        <v>3279</v>
      </c>
      <c r="AA298" s="27"/>
      <c r="AB298" s="27"/>
      <c r="AC298" s="1038"/>
      <c r="AD298" s="573"/>
    </row>
    <row r="299" spans="6:37" ht="10.5" customHeight="1">
      <c r="F299" s="628"/>
      <c r="G299" s="1131" t="s">
        <v>2122</v>
      </c>
      <c r="H299" s="1131" t="s">
        <v>1185</v>
      </c>
      <c r="I299" s="1135" t="s">
        <v>746</v>
      </c>
      <c r="J299" s="1135" t="s">
        <v>2546</v>
      </c>
      <c r="K299" s="1133" t="s">
        <v>2510</v>
      </c>
      <c r="L299" s="1134" t="s">
        <v>416</v>
      </c>
      <c r="M299" s="1295" t="s">
        <v>1170</v>
      </c>
      <c r="N299" s="1296" t="s">
        <v>1179</v>
      </c>
      <c r="O299" s="1525" t="s">
        <v>4062</v>
      </c>
      <c r="P299" s="626" t="s">
        <v>871</v>
      </c>
      <c r="Q299" s="321"/>
      <c r="R299" s="189"/>
      <c r="S299" s="445"/>
      <c r="T299" s="560" t="s">
        <v>1208</v>
      </c>
      <c r="U299" s="560" t="s">
        <v>1180</v>
      </c>
      <c r="W299" s="490" t="s">
        <v>76</v>
      </c>
      <c r="X299" s="490" t="s">
        <v>3279</v>
      </c>
      <c r="AA299" s="27"/>
      <c r="AB299" s="27"/>
      <c r="AC299" s="1039"/>
      <c r="AD299" s="573"/>
    </row>
    <row r="300" spans="6:37" ht="10.5" customHeight="1">
      <c r="F300" s="628"/>
      <c r="G300" s="1131" t="s">
        <v>2123</v>
      </c>
      <c r="H300" s="1131" t="s">
        <v>1284</v>
      </c>
      <c r="I300" s="1135" t="s">
        <v>2124</v>
      </c>
      <c r="J300" s="1135" t="s">
        <v>2545</v>
      </c>
      <c r="K300" s="1133" t="s">
        <v>216</v>
      </c>
      <c r="L300" s="1134" t="s">
        <v>415</v>
      </c>
      <c r="M300" s="1296" t="s">
        <v>2532</v>
      </c>
      <c r="N300" s="1295" t="s">
        <v>162</v>
      </c>
      <c r="O300" s="1525" t="s">
        <v>4063</v>
      </c>
      <c r="P300" s="626" t="s">
        <v>873</v>
      </c>
      <c r="Q300" s="321"/>
      <c r="R300" s="189"/>
      <c r="S300" s="445"/>
      <c r="T300" s="560" t="s">
        <v>1210</v>
      </c>
      <c r="U300" s="560" t="s">
        <v>2133</v>
      </c>
      <c r="W300" s="490" t="s">
        <v>2351</v>
      </c>
      <c r="X300" s="490" t="s">
        <v>3279</v>
      </c>
      <c r="AA300" s="27"/>
      <c r="AB300" s="27"/>
      <c r="AC300" s="1038"/>
      <c r="AD300" s="573"/>
    </row>
    <row r="301" spans="6:37" ht="10.5" customHeight="1">
      <c r="F301" s="628"/>
      <c r="G301" s="1131" t="s">
        <v>2125</v>
      </c>
      <c r="H301" s="1131" t="s">
        <v>1185</v>
      </c>
      <c r="I301" s="1132" t="s">
        <v>2126</v>
      </c>
      <c r="J301" s="1135" t="s">
        <v>2545</v>
      </c>
      <c r="K301" s="1133" t="s">
        <v>1393</v>
      </c>
      <c r="L301" s="1134" t="s">
        <v>415</v>
      </c>
      <c r="M301" s="1296" t="s">
        <v>2532</v>
      </c>
      <c r="N301" s="1296" t="s">
        <v>157</v>
      </c>
      <c r="O301" s="1525" t="s">
        <v>4064</v>
      </c>
      <c r="P301" s="626" t="s">
        <v>875</v>
      </c>
      <c r="Q301" s="321"/>
      <c r="R301" s="189"/>
      <c r="S301" s="445"/>
      <c r="T301" s="560" t="s">
        <v>2425</v>
      </c>
      <c r="U301" s="560" t="s">
        <v>1598</v>
      </c>
      <c r="W301" s="490" t="s">
        <v>596</v>
      </c>
      <c r="X301" s="490" t="s">
        <v>3279</v>
      </c>
      <c r="AA301" s="27"/>
      <c r="AB301" s="27"/>
      <c r="AC301" s="1038"/>
      <c r="AD301" s="573"/>
    </row>
    <row r="302" spans="6:37" ht="10.5" customHeight="1">
      <c r="F302" s="628"/>
      <c r="G302" s="1131" t="s">
        <v>2127</v>
      </c>
      <c r="H302" s="1131" t="s">
        <v>1752</v>
      </c>
      <c r="I302" s="1132" t="s">
        <v>2128</v>
      </c>
      <c r="J302" s="1132" t="s">
        <v>2545</v>
      </c>
      <c r="K302" s="1133" t="s">
        <v>1394</v>
      </c>
      <c r="L302" s="1134" t="s">
        <v>415</v>
      </c>
      <c r="M302" s="1296" t="s">
        <v>2532</v>
      </c>
      <c r="N302" s="1296" t="s">
        <v>1738</v>
      </c>
      <c r="O302" s="1525" t="s">
        <v>4065</v>
      </c>
      <c r="P302" s="626" t="s">
        <v>2088</v>
      </c>
      <c r="Q302" s="321"/>
      <c r="R302" s="189"/>
      <c r="S302" s="445"/>
      <c r="T302" s="560" t="s">
        <v>157</v>
      </c>
      <c r="U302" s="560" t="s">
        <v>2521</v>
      </c>
      <c r="W302" s="490" t="s">
        <v>945</v>
      </c>
      <c r="X302" s="490" t="s">
        <v>3279</v>
      </c>
      <c r="AA302" s="27"/>
      <c r="AB302" s="27"/>
      <c r="AC302" s="1038"/>
      <c r="AD302" s="573"/>
    </row>
    <row r="303" spans="6:37" ht="10.5" customHeight="1">
      <c r="F303" s="628"/>
      <c r="G303" s="1131" t="s">
        <v>2129</v>
      </c>
      <c r="H303" s="1131" t="s">
        <v>1185</v>
      </c>
      <c r="I303" s="1132" t="s">
        <v>2130</v>
      </c>
      <c r="J303" s="1132" t="s">
        <v>2545</v>
      </c>
      <c r="K303" s="1133" t="s">
        <v>1395</v>
      </c>
      <c r="L303" s="1134" t="s">
        <v>415</v>
      </c>
      <c r="M303" s="1296" t="s">
        <v>2532</v>
      </c>
      <c r="N303" s="1296" t="s">
        <v>157</v>
      </c>
      <c r="O303" s="1525" t="s">
        <v>4066</v>
      </c>
      <c r="P303" s="626" t="s">
        <v>2089</v>
      </c>
      <c r="Q303" s="321"/>
      <c r="R303" s="189"/>
      <c r="S303" s="445"/>
      <c r="T303" s="560" t="s">
        <v>872</v>
      </c>
      <c r="U303" s="560" t="s">
        <v>175</v>
      </c>
      <c r="W303" s="490" t="s">
        <v>1461</v>
      </c>
      <c r="X303" s="490" t="s">
        <v>3279</v>
      </c>
      <c r="AA303" s="27"/>
      <c r="AB303" s="27"/>
      <c r="AC303" s="1038"/>
      <c r="AD303" s="573"/>
    </row>
    <row r="304" spans="6:37" ht="10.5" customHeight="1">
      <c r="F304" s="628"/>
      <c r="G304" s="1131" t="s">
        <v>2131</v>
      </c>
      <c r="H304" s="1131" t="s">
        <v>1284</v>
      </c>
      <c r="I304" s="1132" t="s">
        <v>2132</v>
      </c>
      <c r="J304" s="1132" t="s">
        <v>2545</v>
      </c>
      <c r="K304" s="1133" t="s">
        <v>1965</v>
      </c>
      <c r="L304" s="1134" t="s">
        <v>415</v>
      </c>
      <c r="M304" s="1296" t="s">
        <v>2532</v>
      </c>
      <c r="N304" s="1296" t="s">
        <v>162</v>
      </c>
      <c r="O304" s="1525" t="s">
        <v>4067</v>
      </c>
      <c r="P304" s="626" t="s">
        <v>2007</v>
      </c>
      <c r="Q304" s="321"/>
      <c r="R304" s="189"/>
      <c r="S304" s="445"/>
      <c r="T304" s="627" t="s">
        <v>874</v>
      </c>
      <c r="U304" s="627" t="s">
        <v>318</v>
      </c>
      <c r="W304" s="490" t="s">
        <v>2278</v>
      </c>
      <c r="X304" s="490" t="s">
        <v>3279</v>
      </c>
      <c r="AA304" s="27"/>
      <c r="AB304" s="27"/>
      <c r="AC304" s="1038"/>
      <c r="AD304" s="573"/>
    </row>
    <row r="305" spans="6:30" ht="10.5" customHeight="1">
      <c r="F305" s="628"/>
      <c r="G305" s="1131" t="s">
        <v>2133</v>
      </c>
      <c r="H305" s="1131" t="s">
        <v>1185</v>
      </c>
      <c r="I305" s="1132" t="s">
        <v>2134</v>
      </c>
      <c r="J305" s="1132" t="s">
        <v>2545</v>
      </c>
      <c r="K305" s="1133" t="s">
        <v>1966</v>
      </c>
      <c r="L305" s="1134" t="s">
        <v>415</v>
      </c>
      <c r="M305" s="1296" t="s">
        <v>2532</v>
      </c>
      <c r="N305" s="1296" t="s">
        <v>1299</v>
      </c>
      <c r="O305" s="1525" t="s">
        <v>4068</v>
      </c>
      <c r="P305" s="626" t="s">
        <v>2009</v>
      </c>
      <c r="Q305" s="321"/>
      <c r="R305" s="189"/>
      <c r="S305" s="445"/>
      <c r="T305" s="560" t="s">
        <v>876</v>
      </c>
      <c r="U305" s="560" t="s">
        <v>1074</v>
      </c>
      <c r="W305" s="490" t="s">
        <v>801</v>
      </c>
      <c r="X305" s="490" t="s">
        <v>3279</v>
      </c>
      <c r="AA305" s="27"/>
      <c r="AB305" s="27"/>
      <c r="AC305" s="1039"/>
      <c r="AD305" s="573"/>
    </row>
    <row r="306" spans="6:30" ht="10.5" customHeight="1">
      <c r="F306" s="628"/>
      <c r="G306" s="1131" t="s">
        <v>2135</v>
      </c>
      <c r="H306" s="1131" t="s">
        <v>1185</v>
      </c>
      <c r="I306" s="1132" t="s">
        <v>849</v>
      </c>
      <c r="J306" s="1132" t="s">
        <v>2545</v>
      </c>
      <c r="K306" s="1133" t="s">
        <v>1967</v>
      </c>
      <c r="L306" s="1134" t="s">
        <v>415</v>
      </c>
      <c r="M306" s="1296" t="s">
        <v>2532</v>
      </c>
      <c r="N306" s="1296" t="s">
        <v>157</v>
      </c>
      <c r="O306" s="1525" t="s">
        <v>4069</v>
      </c>
      <c r="P306" s="626" t="s">
        <v>580</v>
      </c>
      <c r="Q306" s="321"/>
      <c r="R306" s="189"/>
      <c r="S306" s="445"/>
      <c r="T306" s="560" t="s">
        <v>2500</v>
      </c>
      <c r="U306" s="560" t="s">
        <v>2419</v>
      </c>
      <c r="W306" s="490" t="s">
        <v>804</v>
      </c>
      <c r="X306" s="490" t="s">
        <v>3279</v>
      </c>
      <c r="AA306" s="27"/>
      <c r="AB306" s="27"/>
      <c r="AC306" s="1038"/>
      <c r="AD306" s="573"/>
    </row>
    <row r="307" spans="6:30" ht="10.5" customHeight="1">
      <c r="F307" s="628"/>
      <c r="G307" s="1131" t="s">
        <v>850</v>
      </c>
      <c r="H307" s="1131" t="s">
        <v>1185</v>
      </c>
      <c r="I307" s="1132" t="s">
        <v>851</v>
      </c>
      <c r="J307" s="1132" t="s">
        <v>2545</v>
      </c>
      <c r="K307" s="1133" t="s">
        <v>1968</v>
      </c>
      <c r="L307" s="1134" t="s">
        <v>415</v>
      </c>
      <c r="M307" s="1296" t="s">
        <v>2532</v>
      </c>
      <c r="N307" s="1296" t="s">
        <v>1738</v>
      </c>
      <c r="O307" s="1525" t="s">
        <v>4070</v>
      </c>
      <c r="P307" s="626" t="s">
        <v>581</v>
      </c>
      <c r="Q307" s="321"/>
      <c r="R307" s="189"/>
      <c r="S307" s="445"/>
      <c r="T307" s="560" t="s">
        <v>2090</v>
      </c>
      <c r="U307" s="560" t="s">
        <v>1088</v>
      </c>
      <c r="W307" s="490" t="s">
        <v>1477</v>
      </c>
      <c r="X307" s="490" t="s">
        <v>3279</v>
      </c>
      <c r="AA307" s="27"/>
      <c r="AB307" s="27"/>
      <c r="AC307" s="1038"/>
      <c r="AD307" s="573"/>
    </row>
    <row r="308" spans="6:30" ht="10.5" customHeight="1">
      <c r="F308" s="628"/>
      <c r="G308" s="1131" t="s">
        <v>1626</v>
      </c>
      <c r="H308" s="1131" t="s">
        <v>1185</v>
      </c>
      <c r="I308" s="1135" t="s">
        <v>1738</v>
      </c>
      <c r="J308" s="1132" t="s">
        <v>2546</v>
      </c>
      <c r="K308" s="1133" t="s">
        <v>1139</v>
      </c>
      <c r="L308" s="1134" t="s">
        <v>416</v>
      </c>
      <c r="M308" s="1295" t="s">
        <v>2532</v>
      </c>
      <c r="N308" s="1296" t="s">
        <v>1738</v>
      </c>
      <c r="O308" s="1525" t="s">
        <v>4071</v>
      </c>
      <c r="P308" s="626" t="s">
        <v>583</v>
      </c>
      <c r="Q308" s="321"/>
      <c r="R308" s="189"/>
      <c r="S308" s="445"/>
      <c r="T308" s="560" t="s">
        <v>2008</v>
      </c>
      <c r="U308" s="560" t="s">
        <v>1627</v>
      </c>
      <c r="W308" s="490" t="s">
        <v>474</v>
      </c>
      <c r="X308" s="490" t="s">
        <v>3279</v>
      </c>
      <c r="AA308" s="27"/>
      <c r="AB308" s="27"/>
      <c r="AC308" s="1038"/>
      <c r="AD308" s="573"/>
    </row>
    <row r="309" spans="6:30" ht="10.5" customHeight="1">
      <c r="F309" s="628"/>
      <c r="G309" s="1131" t="s">
        <v>1627</v>
      </c>
      <c r="H309" s="1131" t="s">
        <v>1185</v>
      </c>
      <c r="I309" s="1135" t="s">
        <v>1628</v>
      </c>
      <c r="J309" s="1135" t="s">
        <v>2545</v>
      </c>
      <c r="K309" s="1133" t="s">
        <v>1969</v>
      </c>
      <c r="L309" s="1134" t="s">
        <v>415</v>
      </c>
      <c r="M309" s="1296" t="s">
        <v>2532</v>
      </c>
      <c r="N309" s="1295" t="s">
        <v>1654</v>
      </c>
      <c r="O309" s="1525" t="s">
        <v>4072</v>
      </c>
      <c r="P309" s="626" t="s">
        <v>585</v>
      </c>
      <c r="Q309" s="321"/>
      <c r="R309" s="189"/>
      <c r="S309" s="445"/>
      <c r="T309" s="560" t="s">
        <v>2010</v>
      </c>
      <c r="U309" s="560" t="s">
        <v>2467</v>
      </c>
      <c r="W309" s="490" t="s">
        <v>1366</v>
      </c>
      <c r="X309" s="490" t="s">
        <v>3279</v>
      </c>
      <c r="AA309" s="27"/>
      <c r="AB309" s="27"/>
      <c r="AC309" s="1038"/>
      <c r="AD309" s="573"/>
    </row>
    <row r="310" spans="6:30" ht="10.5" customHeight="1">
      <c r="F310" s="628"/>
      <c r="G310" s="1131" t="s">
        <v>1629</v>
      </c>
      <c r="H310" s="1131" t="s">
        <v>1185</v>
      </c>
      <c r="I310" s="1135" t="s">
        <v>1861</v>
      </c>
      <c r="J310" s="1135" t="s">
        <v>2545</v>
      </c>
      <c r="K310" s="1133" t="s">
        <v>1143</v>
      </c>
      <c r="L310" s="1134" t="s">
        <v>415</v>
      </c>
      <c r="M310" s="1296" t="s">
        <v>2532</v>
      </c>
      <c r="N310" s="1296" t="s">
        <v>1738</v>
      </c>
      <c r="O310" s="1525" t="s">
        <v>4073</v>
      </c>
      <c r="P310" s="626" t="s">
        <v>586</v>
      </c>
      <c r="Q310" s="321"/>
      <c r="R310" s="189"/>
      <c r="S310" s="445"/>
      <c r="T310" s="560" t="s">
        <v>806</v>
      </c>
      <c r="U310" s="560" t="s">
        <v>313</v>
      </c>
      <c r="W310" s="490" t="s">
        <v>1368</v>
      </c>
      <c r="X310" s="490" t="s">
        <v>3279</v>
      </c>
      <c r="AA310" s="27"/>
      <c r="AB310" s="27"/>
      <c r="AC310" s="1038"/>
      <c r="AD310" s="1042"/>
    </row>
    <row r="311" spans="6:30" ht="10.5" customHeight="1">
      <c r="F311" s="628"/>
      <c r="G311" s="1131" t="s">
        <v>1862</v>
      </c>
      <c r="H311" s="1131" t="s">
        <v>1185</v>
      </c>
      <c r="I311" s="1135" t="s">
        <v>1863</v>
      </c>
      <c r="J311" s="1135" t="s">
        <v>2545</v>
      </c>
      <c r="K311" s="1133" t="s">
        <v>1144</v>
      </c>
      <c r="L311" s="1134" t="s">
        <v>415</v>
      </c>
      <c r="M311" s="1296" t="s">
        <v>2532</v>
      </c>
      <c r="N311" s="1296" t="s">
        <v>1299</v>
      </c>
      <c r="O311" s="1525" t="s">
        <v>4074</v>
      </c>
      <c r="P311" s="626" t="s">
        <v>587</v>
      </c>
      <c r="Q311" s="321"/>
      <c r="R311" s="189"/>
      <c r="S311" s="445"/>
      <c r="T311" s="560" t="s">
        <v>582</v>
      </c>
      <c r="U311" s="560" t="s">
        <v>119</v>
      </c>
      <c r="W311" s="490" t="s">
        <v>2427</v>
      </c>
      <c r="X311" s="490" t="s">
        <v>3279</v>
      </c>
      <c r="AA311" s="27"/>
      <c r="AB311" s="27"/>
      <c r="AC311" s="1038"/>
      <c r="AD311" s="573"/>
    </row>
    <row r="312" spans="6:30" ht="10.5" customHeight="1">
      <c r="F312" s="628"/>
      <c r="G312" s="1131" t="s">
        <v>1864</v>
      </c>
      <c r="H312" s="1131" t="s">
        <v>1284</v>
      </c>
      <c r="I312" s="1135" t="s">
        <v>1865</v>
      </c>
      <c r="J312" s="1135" t="s">
        <v>2545</v>
      </c>
      <c r="K312" s="1133" t="s">
        <v>1145</v>
      </c>
      <c r="L312" s="1134" t="s">
        <v>415</v>
      </c>
      <c r="M312" s="1296" t="s">
        <v>2532</v>
      </c>
      <c r="N312" s="1296" t="s">
        <v>162</v>
      </c>
      <c r="O312" s="1525" t="s">
        <v>4075</v>
      </c>
      <c r="P312" s="626" t="s">
        <v>589</v>
      </c>
      <c r="Q312" s="321"/>
      <c r="R312" s="189"/>
      <c r="S312" s="445"/>
      <c r="T312" s="560" t="s">
        <v>2501</v>
      </c>
      <c r="U312" s="560" t="s">
        <v>1300</v>
      </c>
      <c r="W312" s="490" t="s">
        <v>1035</v>
      </c>
      <c r="X312" s="490" t="s">
        <v>3279</v>
      </c>
      <c r="AA312" s="27"/>
      <c r="AB312" s="27"/>
      <c r="AC312" s="1038"/>
      <c r="AD312" s="573"/>
    </row>
    <row r="313" spans="6:30" ht="10.5" customHeight="1">
      <c r="F313" s="628"/>
      <c r="G313" s="1131" t="s">
        <v>1866</v>
      </c>
      <c r="H313" s="1131" t="s">
        <v>1185</v>
      </c>
      <c r="I313" s="1135" t="s">
        <v>1867</v>
      </c>
      <c r="J313" s="1135" t="s">
        <v>2545</v>
      </c>
      <c r="K313" s="1133" t="s">
        <v>1146</v>
      </c>
      <c r="L313" s="1134" t="s">
        <v>415</v>
      </c>
      <c r="M313" s="1296" t="s">
        <v>2532</v>
      </c>
      <c r="N313" s="1296" t="s">
        <v>1293</v>
      </c>
      <c r="O313" s="1525" t="s">
        <v>4076</v>
      </c>
      <c r="P313" s="626" t="s">
        <v>591</v>
      </c>
      <c r="Q313" s="321"/>
      <c r="R313" s="189"/>
      <c r="S313" s="445"/>
      <c r="T313" s="560" t="s">
        <v>584</v>
      </c>
      <c r="U313" s="560" t="s">
        <v>2522</v>
      </c>
      <c r="W313" s="490" t="s">
        <v>1293</v>
      </c>
      <c r="X313" s="490" t="s">
        <v>3279</v>
      </c>
      <c r="AA313" s="27"/>
      <c r="AB313" s="27"/>
      <c r="AC313" s="1038"/>
      <c r="AD313" s="573"/>
    </row>
    <row r="314" spans="6:30" ht="10.5" customHeight="1">
      <c r="F314" s="628"/>
      <c r="G314" s="1131" t="s">
        <v>1868</v>
      </c>
      <c r="H314" s="1131" t="s">
        <v>1185</v>
      </c>
      <c r="I314" s="1132" t="s">
        <v>1869</v>
      </c>
      <c r="J314" s="1135" t="s">
        <v>2545</v>
      </c>
      <c r="K314" s="1133" t="s">
        <v>1147</v>
      </c>
      <c r="L314" s="1134" t="s">
        <v>415</v>
      </c>
      <c r="M314" s="1296" t="s">
        <v>2532</v>
      </c>
      <c r="N314" s="1296" t="s">
        <v>1179</v>
      </c>
      <c r="O314" s="1525" t="s">
        <v>4077</v>
      </c>
      <c r="P314" s="626" t="s">
        <v>532</v>
      </c>
      <c r="Q314" s="321"/>
      <c r="R314" s="189"/>
      <c r="S314" s="445"/>
      <c r="T314" s="560" t="s">
        <v>2466</v>
      </c>
      <c r="U314" s="560" t="s">
        <v>2524</v>
      </c>
      <c r="W314" s="490" t="s">
        <v>175</v>
      </c>
      <c r="X314" s="490" t="s">
        <v>3279</v>
      </c>
      <c r="AA314" s="27"/>
      <c r="AB314" s="27"/>
      <c r="AC314" s="1038"/>
      <c r="AD314" s="573"/>
    </row>
    <row r="315" spans="6:30" ht="10.5" customHeight="1">
      <c r="F315" s="628"/>
      <c r="G315" s="1131" t="s">
        <v>1870</v>
      </c>
      <c r="H315" s="1131" t="s">
        <v>1185</v>
      </c>
      <c r="I315" s="1135" t="s">
        <v>1871</v>
      </c>
      <c r="J315" s="1132" t="s">
        <v>2545</v>
      </c>
      <c r="K315" s="1133" t="s">
        <v>1148</v>
      </c>
      <c r="L315" s="1134" t="s">
        <v>415</v>
      </c>
      <c r="M315" s="1296" t="s">
        <v>2532</v>
      </c>
      <c r="N315" s="1296" t="s">
        <v>1738</v>
      </c>
      <c r="O315" s="1525" t="s">
        <v>4078</v>
      </c>
      <c r="P315" s="626" t="s">
        <v>1134</v>
      </c>
      <c r="Q315" s="321"/>
      <c r="R315" s="189"/>
      <c r="S315" s="445"/>
      <c r="T315" s="560" t="s">
        <v>588</v>
      </c>
      <c r="U315" s="560" t="s">
        <v>2131</v>
      </c>
      <c r="W315" s="490" t="s">
        <v>1542</v>
      </c>
      <c r="X315" s="490" t="s">
        <v>3279</v>
      </c>
      <c r="AA315" s="27"/>
      <c r="AB315" s="27"/>
      <c r="AC315" s="1038"/>
      <c r="AD315" s="573"/>
    </row>
    <row r="316" spans="6:30" ht="10.5" customHeight="1">
      <c r="F316" s="628"/>
      <c r="G316" s="1131" t="s">
        <v>1872</v>
      </c>
      <c r="H316" s="1131" t="s">
        <v>1185</v>
      </c>
      <c r="I316" s="1135" t="s">
        <v>1293</v>
      </c>
      <c r="J316" s="1135" t="s">
        <v>2546</v>
      </c>
      <c r="K316" s="1133" t="s">
        <v>2513</v>
      </c>
      <c r="L316" s="1134" t="s">
        <v>416</v>
      </c>
      <c r="M316" s="1295" t="s">
        <v>2532</v>
      </c>
      <c r="N316" s="1296" t="s">
        <v>1293</v>
      </c>
      <c r="O316" s="1525" t="s">
        <v>4079</v>
      </c>
      <c r="P316" s="626" t="s">
        <v>729</v>
      </c>
      <c r="Q316" s="321"/>
      <c r="R316" s="189"/>
      <c r="S316" s="445"/>
      <c r="T316" s="560" t="s">
        <v>2753</v>
      </c>
      <c r="U316" s="560" t="s">
        <v>1079</v>
      </c>
      <c r="W316" s="490" t="s">
        <v>371</v>
      </c>
      <c r="X316" s="490" t="s">
        <v>3279</v>
      </c>
      <c r="AA316" s="27"/>
      <c r="AB316" s="27"/>
      <c r="AC316" s="1038"/>
      <c r="AD316" s="573"/>
    </row>
    <row r="317" spans="6:30" ht="10.5" customHeight="1">
      <c r="F317" s="628"/>
      <c r="G317" s="1131" t="s">
        <v>1873</v>
      </c>
      <c r="H317" s="1131" t="s">
        <v>1284</v>
      </c>
      <c r="I317" s="1135" t="s">
        <v>1874</v>
      </c>
      <c r="J317" s="1135" t="s">
        <v>2545</v>
      </c>
      <c r="K317" s="1133" t="s">
        <v>1149</v>
      </c>
      <c r="L317" s="1134" t="s">
        <v>415</v>
      </c>
      <c r="M317" s="1296" t="s">
        <v>2532</v>
      </c>
      <c r="N317" s="1295" t="s">
        <v>162</v>
      </c>
      <c r="O317" s="1525" t="s">
        <v>4080</v>
      </c>
      <c r="P317" s="626" t="s">
        <v>34</v>
      </c>
      <c r="Q317" s="321"/>
      <c r="R317" s="189"/>
      <c r="S317" s="445"/>
      <c r="T317" s="560" t="s">
        <v>590</v>
      </c>
      <c r="U317" s="560" t="s">
        <v>1602</v>
      </c>
      <c r="W317" s="490" t="s">
        <v>373</v>
      </c>
      <c r="X317" s="490" t="s">
        <v>3279</v>
      </c>
      <c r="AA317" s="27"/>
      <c r="AB317" s="27"/>
      <c r="AC317" s="1038"/>
      <c r="AD317" s="573"/>
    </row>
    <row r="318" spans="6:30" ht="10.5" customHeight="1">
      <c r="F318" s="628"/>
      <c r="G318" s="1131" t="s">
        <v>1958</v>
      </c>
      <c r="H318" s="1131" t="s">
        <v>1185</v>
      </c>
      <c r="I318" s="1132" t="s">
        <v>1959</v>
      </c>
      <c r="J318" s="1135" t="s">
        <v>2545</v>
      </c>
      <c r="K318" s="1133" t="s">
        <v>1150</v>
      </c>
      <c r="L318" s="1134" t="s">
        <v>415</v>
      </c>
      <c r="M318" s="1296" t="s">
        <v>2532</v>
      </c>
      <c r="N318" s="1296" t="s">
        <v>1179</v>
      </c>
      <c r="O318" s="1525" t="s">
        <v>4081</v>
      </c>
      <c r="P318" s="626" t="s">
        <v>1917</v>
      </c>
      <c r="Q318" s="321"/>
      <c r="R318" s="189"/>
      <c r="S318" s="445"/>
      <c r="T318" s="560" t="s">
        <v>531</v>
      </c>
      <c r="U318" s="560" t="s">
        <v>641</v>
      </c>
      <c r="W318" s="490" t="s">
        <v>1574</v>
      </c>
      <c r="X318" s="490" t="s">
        <v>3279</v>
      </c>
      <c r="AA318" s="27"/>
      <c r="AB318" s="27"/>
      <c r="AC318" s="1038"/>
      <c r="AD318" s="573"/>
    </row>
    <row r="319" spans="6:30" ht="10.5" customHeight="1">
      <c r="F319" s="628"/>
      <c r="G319" s="1131" t="s">
        <v>1960</v>
      </c>
      <c r="H319" s="1131" t="s">
        <v>1284</v>
      </c>
      <c r="I319" s="1135" t="s">
        <v>1489</v>
      </c>
      <c r="J319" s="1132" t="s">
        <v>2546</v>
      </c>
      <c r="K319" s="1133" t="s">
        <v>1638</v>
      </c>
      <c r="L319" s="1134" t="s">
        <v>416</v>
      </c>
      <c r="M319" s="1295" t="s">
        <v>2532</v>
      </c>
      <c r="N319" s="1296" t="s">
        <v>1489</v>
      </c>
      <c r="O319" s="1525" t="s">
        <v>4082</v>
      </c>
      <c r="P319" s="626" t="s">
        <v>1919</v>
      </c>
      <c r="Q319" s="321"/>
      <c r="R319" s="189"/>
      <c r="S319" s="445"/>
      <c r="T319" s="560" t="s">
        <v>533</v>
      </c>
      <c r="U319" s="560" t="s">
        <v>156</v>
      </c>
      <c r="W319" s="490" t="s">
        <v>1066</v>
      </c>
      <c r="X319" s="490" t="s">
        <v>3279</v>
      </c>
      <c r="AA319" s="27"/>
      <c r="AB319" s="27"/>
      <c r="AC319" s="1038"/>
      <c r="AD319" s="573"/>
    </row>
    <row r="320" spans="6:30" ht="10.5" customHeight="1">
      <c r="F320" s="628"/>
      <c r="G320" s="1131" t="s">
        <v>1961</v>
      </c>
      <c r="H320" s="1131" t="s">
        <v>1284</v>
      </c>
      <c r="I320" s="1135" t="s">
        <v>746</v>
      </c>
      <c r="J320" s="1135" t="s">
        <v>2546</v>
      </c>
      <c r="K320" s="1133" t="s">
        <v>2510</v>
      </c>
      <c r="L320" s="1134" t="s">
        <v>416</v>
      </c>
      <c r="M320" s="1295" t="s">
        <v>1170</v>
      </c>
      <c r="N320" s="1295" t="s">
        <v>1179</v>
      </c>
      <c r="O320" s="1525" t="s">
        <v>4083</v>
      </c>
      <c r="P320" s="626" t="s">
        <v>329</v>
      </c>
      <c r="Q320" s="321"/>
      <c r="R320" s="189"/>
      <c r="S320" s="445"/>
      <c r="T320" s="560" t="s">
        <v>728</v>
      </c>
      <c r="U320" s="560" t="s">
        <v>1085</v>
      </c>
      <c r="W320" s="490" t="s">
        <v>3274</v>
      </c>
      <c r="X320" s="490" t="s">
        <v>3279</v>
      </c>
      <c r="AA320" s="27"/>
      <c r="AB320" s="27"/>
      <c r="AC320" s="1038"/>
      <c r="AD320" s="573"/>
    </row>
    <row r="321" spans="3:30" ht="10.5" customHeight="1">
      <c r="F321" s="628"/>
      <c r="G321" s="1131" t="s">
        <v>1962</v>
      </c>
      <c r="H321" s="1131" t="s">
        <v>1185</v>
      </c>
      <c r="I321" s="1135" t="s">
        <v>100</v>
      </c>
      <c r="J321" s="1135" t="s">
        <v>2545</v>
      </c>
      <c r="K321" s="1133" t="s">
        <v>1151</v>
      </c>
      <c r="L321" s="1134" t="s">
        <v>415</v>
      </c>
      <c r="M321" s="1296" t="s">
        <v>2532</v>
      </c>
      <c r="N321" s="1295" t="s">
        <v>1654</v>
      </c>
      <c r="O321" s="1525" t="s">
        <v>4084</v>
      </c>
      <c r="P321" s="626" t="s">
        <v>331</v>
      </c>
      <c r="Q321" s="321"/>
      <c r="R321" s="189"/>
      <c r="S321" s="445"/>
      <c r="T321" s="560" t="s">
        <v>730</v>
      </c>
      <c r="U321" s="560" t="s">
        <v>118</v>
      </c>
      <c r="W321" s="490" t="s">
        <v>3275</v>
      </c>
      <c r="X321" s="490" t="s">
        <v>3279</v>
      </c>
      <c r="AA321" s="27"/>
      <c r="AB321" s="27"/>
      <c r="AC321" s="1038"/>
      <c r="AD321" s="573"/>
    </row>
    <row r="322" spans="3:30" ht="10.5" customHeight="1">
      <c r="F322" s="628"/>
      <c r="G322" s="1131" t="s">
        <v>101</v>
      </c>
      <c r="H322" s="1131" t="s">
        <v>1284</v>
      </c>
      <c r="I322" s="1135" t="s">
        <v>102</v>
      </c>
      <c r="J322" s="1135" t="s">
        <v>2545</v>
      </c>
      <c r="K322" s="1133" t="s">
        <v>1152</v>
      </c>
      <c r="L322" s="1134" t="s">
        <v>415</v>
      </c>
      <c r="M322" s="1296" t="s">
        <v>2532</v>
      </c>
      <c r="N322" s="1296" t="s">
        <v>1303</v>
      </c>
      <c r="O322" s="1525" t="s">
        <v>4085</v>
      </c>
      <c r="P322" s="626" t="s">
        <v>333</v>
      </c>
      <c r="Q322" s="321"/>
      <c r="R322" s="189"/>
      <c r="S322" s="445"/>
      <c r="T322" s="560" t="s">
        <v>35</v>
      </c>
      <c r="U322" s="560" t="s">
        <v>172</v>
      </c>
      <c r="W322" s="490" t="s">
        <v>507</v>
      </c>
      <c r="X322" s="490" t="s">
        <v>3279</v>
      </c>
      <c r="AA322" s="27"/>
      <c r="AB322" s="27"/>
      <c r="AC322" s="1038"/>
      <c r="AD322" s="573"/>
    </row>
    <row r="323" spans="3:30" ht="10.5" customHeight="1">
      <c r="F323" s="628"/>
      <c r="G323" s="1131" t="s">
        <v>103</v>
      </c>
      <c r="H323" s="1131" t="s">
        <v>1185</v>
      </c>
      <c r="I323" s="1135" t="s">
        <v>104</v>
      </c>
      <c r="J323" s="1135" t="s">
        <v>2545</v>
      </c>
      <c r="K323" s="1133" t="s">
        <v>1153</v>
      </c>
      <c r="L323" s="1134" t="s">
        <v>415</v>
      </c>
      <c r="M323" s="1296" t="s">
        <v>2532</v>
      </c>
      <c r="N323" s="1296" t="s">
        <v>1293</v>
      </c>
      <c r="O323" s="1525" t="s">
        <v>4086</v>
      </c>
      <c r="P323" s="626" t="s">
        <v>335</v>
      </c>
      <c r="Q323" s="321"/>
      <c r="R323" s="189"/>
      <c r="S323" s="445"/>
      <c r="T323" s="560" t="s">
        <v>1918</v>
      </c>
      <c r="U323" s="560" t="s">
        <v>2187</v>
      </c>
      <c r="W323" s="490" t="s">
        <v>509</v>
      </c>
      <c r="X323" s="490" t="s">
        <v>3279</v>
      </c>
      <c r="AA323" s="27"/>
      <c r="AB323" s="27"/>
      <c r="AC323" s="1038"/>
      <c r="AD323" s="573"/>
    </row>
    <row r="324" spans="3:30" ht="10.5" customHeight="1">
      <c r="F324" s="628"/>
      <c r="G324" s="1131" t="s">
        <v>105</v>
      </c>
      <c r="H324" s="1131" t="s">
        <v>1185</v>
      </c>
      <c r="I324" s="1135" t="s">
        <v>106</v>
      </c>
      <c r="J324" s="1135" t="s">
        <v>2545</v>
      </c>
      <c r="K324" s="1133" t="s">
        <v>1154</v>
      </c>
      <c r="L324" s="1134" t="s">
        <v>415</v>
      </c>
      <c r="M324" s="1296" t="s">
        <v>2532</v>
      </c>
      <c r="N324" s="1296" t="s">
        <v>1299</v>
      </c>
      <c r="O324" s="1525" t="s">
        <v>4087</v>
      </c>
      <c r="P324" s="626" t="s">
        <v>337</v>
      </c>
      <c r="Q324" s="321"/>
      <c r="R324" s="189"/>
      <c r="S324" s="445"/>
      <c r="T324" s="560" t="s">
        <v>1920</v>
      </c>
      <c r="U324" s="560" t="s">
        <v>2525</v>
      </c>
      <c r="W324" s="490" t="s">
        <v>515</v>
      </c>
      <c r="X324" s="490" t="s">
        <v>3279</v>
      </c>
      <c r="AA324" s="27"/>
      <c r="AB324" s="27"/>
      <c r="AC324" s="1038"/>
      <c r="AD324" s="573"/>
    </row>
    <row r="325" spans="3:30" ht="10.5" customHeight="1">
      <c r="F325" s="628"/>
      <c r="G325" s="1131" t="s">
        <v>107</v>
      </c>
      <c r="H325" s="1131" t="s">
        <v>1185</v>
      </c>
      <c r="I325" s="1135" t="s">
        <v>108</v>
      </c>
      <c r="J325" s="1135" t="s">
        <v>2545</v>
      </c>
      <c r="K325" s="1133" t="s">
        <v>1155</v>
      </c>
      <c r="L325" s="1134" t="s">
        <v>415</v>
      </c>
      <c r="M325" s="1296" t="s">
        <v>2532</v>
      </c>
      <c r="N325" s="1296" t="s">
        <v>157</v>
      </c>
      <c r="O325" s="1525" t="s">
        <v>4088</v>
      </c>
      <c r="P325" s="626" t="s">
        <v>339</v>
      </c>
      <c r="Q325" s="321"/>
      <c r="R325" s="189"/>
      <c r="S325" s="445"/>
      <c r="T325" s="560" t="s">
        <v>330</v>
      </c>
      <c r="U325" s="560" t="s">
        <v>1903</v>
      </c>
      <c r="W325" s="490" t="s">
        <v>527</v>
      </c>
      <c r="X325" s="490" t="s">
        <v>3279</v>
      </c>
      <c r="AA325" s="27"/>
      <c r="AB325" s="27"/>
      <c r="AC325" s="1038"/>
      <c r="AD325" s="573"/>
    </row>
    <row r="326" spans="3:30" ht="10.5" customHeight="1">
      <c r="F326" s="628"/>
      <c r="G326" s="1131" t="s">
        <v>109</v>
      </c>
      <c r="H326" s="1131" t="s">
        <v>1185</v>
      </c>
      <c r="I326" s="1135" t="s">
        <v>110</v>
      </c>
      <c r="J326" s="1135" t="s">
        <v>2545</v>
      </c>
      <c r="K326" s="1133" t="s">
        <v>2297</v>
      </c>
      <c r="L326" s="1134" t="s">
        <v>415</v>
      </c>
      <c r="M326" s="1296" t="s">
        <v>2532</v>
      </c>
      <c r="N326" s="1296" t="s">
        <v>1293</v>
      </c>
      <c r="O326" s="1525" t="s">
        <v>4089</v>
      </c>
      <c r="P326" s="626" t="s">
        <v>1893</v>
      </c>
      <c r="Q326" s="321"/>
      <c r="R326" s="189"/>
      <c r="S326" s="445"/>
      <c r="T326" s="560" t="s">
        <v>332</v>
      </c>
      <c r="U326" s="560" t="s">
        <v>853</v>
      </c>
      <c r="W326" s="490" t="s">
        <v>1602</v>
      </c>
      <c r="X326" s="490" t="s">
        <v>3279</v>
      </c>
      <c r="AA326" s="27"/>
      <c r="AB326" s="27"/>
      <c r="AC326" s="1038"/>
      <c r="AD326" s="573"/>
    </row>
    <row r="327" spans="3:30" ht="10.5" customHeight="1">
      <c r="F327" s="628"/>
      <c r="G327" s="1131" t="s">
        <v>111</v>
      </c>
      <c r="H327" s="1131" t="s">
        <v>1284</v>
      </c>
      <c r="I327" s="1135" t="s">
        <v>112</v>
      </c>
      <c r="J327" s="1135" t="s">
        <v>2545</v>
      </c>
      <c r="K327" s="1133" t="s">
        <v>2298</v>
      </c>
      <c r="L327" s="1134" t="s">
        <v>415</v>
      </c>
      <c r="M327" s="1296" t="s">
        <v>2532</v>
      </c>
      <c r="N327" s="1296" t="s">
        <v>162</v>
      </c>
      <c r="O327" s="1525" t="s">
        <v>4090</v>
      </c>
      <c r="P327" s="626" t="s">
        <v>1895</v>
      </c>
      <c r="Q327" s="321"/>
      <c r="R327" s="189"/>
      <c r="S327" s="445"/>
      <c r="T327" s="560" t="s">
        <v>334</v>
      </c>
      <c r="U327" s="560" t="s">
        <v>175</v>
      </c>
      <c r="W327" s="490" t="s">
        <v>2047</v>
      </c>
      <c r="X327" s="490" t="s">
        <v>3279</v>
      </c>
      <c r="AA327" s="27"/>
      <c r="AB327" s="27"/>
      <c r="AC327" s="1038"/>
      <c r="AD327" s="573"/>
    </row>
    <row r="328" spans="3:30" ht="10.5" customHeight="1">
      <c r="F328" s="628"/>
      <c r="G328" s="1131" t="s">
        <v>1903</v>
      </c>
      <c r="H328" s="1131" t="s">
        <v>1284</v>
      </c>
      <c r="I328" s="1132" t="s">
        <v>330</v>
      </c>
      <c r="J328" s="1135" t="s">
        <v>2546</v>
      </c>
      <c r="K328" s="1133" t="s">
        <v>2299</v>
      </c>
      <c r="L328" s="1134" t="s">
        <v>416</v>
      </c>
      <c r="M328" s="1296" t="s">
        <v>1170</v>
      </c>
      <c r="N328" s="1296" t="s">
        <v>1489</v>
      </c>
      <c r="O328" s="1525" t="s">
        <v>4091</v>
      </c>
      <c r="P328" s="626" t="s">
        <v>2104</v>
      </c>
      <c r="Q328" s="321"/>
      <c r="R328" s="189"/>
      <c r="S328" s="445"/>
      <c r="T328" s="627" t="s">
        <v>336</v>
      </c>
      <c r="U328" s="627" t="s">
        <v>2337</v>
      </c>
      <c r="W328" s="490" t="s">
        <v>3276</v>
      </c>
      <c r="X328" s="490" t="s">
        <v>3279</v>
      </c>
      <c r="AA328" s="27"/>
      <c r="AB328" s="27"/>
      <c r="AC328" s="1038"/>
      <c r="AD328" s="573"/>
    </row>
    <row r="329" spans="3:30" ht="10.5" customHeight="1">
      <c r="F329" s="628"/>
      <c r="G329" s="1131" t="s">
        <v>1904</v>
      </c>
      <c r="H329" s="1131" t="s">
        <v>1185</v>
      </c>
      <c r="I329" s="1135" t="s">
        <v>2334</v>
      </c>
      <c r="J329" s="1132" t="s">
        <v>2545</v>
      </c>
      <c r="K329" s="1133" t="s">
        <v>2300</v>
      </c>
      <c r="L329" s="1134" t="s">
        <v>415</v>
      </c>
      <c r="M329" s="1296" t="s">
        <v>2532</v>
      </c>
      <c r="N329" s="1296" t="s">
        <v>1738</v>
      </c>
      <c r="O329" s="1525" t="s">
        <v>4092</v>
      </c>
      <c r="P329" s="626" t="s">
        <v>149</v>
      </c>
      <c r="Q329" s="321"/>
      <c r="R329" s="189"/>
      <c r="S329" s="445"/>
      <c r="T329" s="560" t="s">
        <v>338</v>
      </c>
      <c r="U329" s="560" t="s">
        <v>1830</v>
      </c>
      <c r="W329" s="490" t="s">
        <v>2191</v>
      </c>
      <c r="X329" s="490" t="s">
        <v>3279</v>
      </c>
      <c r="AA329" s="27"/>
      <c r="AB329" s="27"/>
      <c r="AC329" s="1039"/>
      <c r="AD329" s="573"/>
    </row>
    <row r="330" spans="3:30" ht="10.5" customHeight="1">
      <c r="F330" s="628"/>
      <c r="G330" s="1131" t="s">
        <v>2335</v>
      </c>
      <c r="H330" s="1131" t="s">
        <v>1284</v>
      </c>
      <c r="I330" s="1135" t="s">
        <v>2336</v>
      </c>
      <c r="J330" s="1135" t="s">
        <v>2545</v>
      </c>
      <c r="K330" s="1133" t="s">
        <v>413</v>
      </c>
      <c r="L330" s="1134" t="s">
        <v>415</v>
      </c>
      <c r="M330" s="1296" t="s">
        <v>2532</v>
      </c>
      <c r="N330" s="1296" t="s">
        <v>1303</v>
      </c>
      <c r="O330" s="1525" t="s">
        <v>4093</v>
      </c>
      <c r="P330" s="626" t="s">
        <v>150</v>
      </c>
      <c r="Q330" s="321"/>
      <c r="R330" s="189"/>
      <c r="S330" s="445"/>
      <c r="T330" s="560" t="s">
        <v>340</v>
      </c>
      <c r="U330" s="560" t="s">
        <v>171</v>
      </c>
      <c r="W330" s="490" t="s">
        <v>391</v>
      </c>
      <c r="X330" s="490" t="s">
        <v>3279</v>
      </c>
      <c r="AA330" s="27"/>
      <c r="AB330" s="27"/>
      <c r="AC330" s="1038"/>
      <c r="AD330" s="573"/>
    </row>
    <row r="331" spans="3:30" ht="10.5" customHeight="1">
      <c r="F331" s="628"/>
      <c r="G331" s="1131" t="s">
        <v>2337</v>
      </c>
      <c r="H331" s="1131" t="s">
        <v>1185</v>
      </c>
      <c r="I331" s="1135" t="s">
        <v>2338</v>
      </c>
      <c r="J331" s="1135" t="s">
        <v>2545</v>
      </c>
      <c r="K331" s="1133" t="s">
        <v>414</v>
      </c>
      <c r="L331" s="1134" t="s">
        <v>415</v>
      </c>
      <c r="M331" s="1296" t="s">
        <v>2532</v>
      </c>
      <c r="N331" s="1296" t="s">
        <v>1293</v>
      </c>
      <c r="O331" s="1525" t="s">
        <v>4094</v>
      </c>
      <c r="P331" s="626" t="s">
        <v>1547</v>
      </c>
      <c r="Q331" s="321"/>
      <c r="R331" s="189"/>
      <c r="S331" s="445"/>
      <c r="T331" s="560" t="s">
        <v>1894</v>
      </c>
      <c r="U331" s="560" t="s">
        <v>103</v>
      </c>
      <c r="W331" s="490" t="s">
        <v>1793</v>
      </c>
      <c r="X331" s="490" t="s">
        <v>3279</v>
      </c>
      <c r="AA331" s="27"/>
      <c r="AB331" s="27"/>
      <c r="AC331" s="1038"/>
      <c r="AD331" s="573"/>
    </row>
    <row r="332" spans="3:30" ht="10.5" customHeight="1">
      <c r="F332" s="368"/>
      <c r="G332" s="1131" t="s">
        <v>2339</v>
      </c>
      <c r="H332" s="1131" t="s">
        <v>1185</v>
      </c>
      <c r="I332" s="1135" t="s">
        <v>1738</v>
      </c>
      <c r="J332" s="1135" t="s">
        <v>2546</v>
      </c>
      <c r="K332" s="1133" t="s">
        <v>1139</v>
      </c>
      <c r="L332" s="1134" t="s">
        <v>416</v>
      </c>
      <c r="M332" s="1295" t="s">
        <v>2532</v>
      </c>
      <c r="N332" s="1296" t="s">
        <v>1738</v>
      </c>
      <c r="O332" s="1525" t="s">
        <v>4095</v>
      </c>
      <c r="P332" s="626" t="s">
        <v>770</v>
      </c>
      <c r="Q332" s="321"/>
      <c r="R332" s="189"/>
      <c r="S332" s="445"/>
      <c r="T332" s="560" t="s">
        <v>191</v>
      </c>
      <c r="U332" s="560" t="s">
        <v>1626</v>
      </c>
      <c r="W332" s="490" t="s">
        <v>2214</v>
      </c>
      <c r="X332" s="490" t="s">
        <v>3279</v>
      </c>
      <c r="AA332" s="27"/>
      <c r="AB332" s="27"/>
      <c r="AC332" s="1038"/>
      <c r="AD332" s="573"/>
    </row>
    <row r="333" spans="3:30" ht="10.5" customHeight="1">
      <c r="F333" s="368"/>
      <c r="G333" s="344"/>
      <c r="H333" s="344"/>
      <c r="I333" s="2260"/>
      <c r="J333" s="2260"/>
      <c r="K333" s="2261"/>
      <c r="L333" s="2262"/>
      <c r="M333" s="420"/>
      <c r="N333" s="420"/>
      <c r="O333" s="420"/>
      <c r="P333" s="626" t="s">
        <v>772</v>
      </c>
      <c r="Q333" s="321"/>
      <c r="R333" s="189"/>
      <c r="S333" s="445"/>
      <c r="T333" s="560" t="s">
        <v>2105</v>
      </c>
      <c r="U333" s="560" t="s">
        <v>191</v>
      </c>
      <c r="W333" s="490" t="s">
        <v>545</v>
      </c>
      <c r="X333" s="490" t="s">
        <v>3279</v>
      </c>
      <c r="AA333" s="27"/>
      <c r="AB333" s="27"/>
      <c r="AC333" s="1038"/>
      <c r="AD333" s="573"/>
    </row>
    <row r="334" spans="3:30" ht="10.5" customHeight="1">
      <c r="C334" s="4417">
        <v>2019</v>
      </c>
      <c r="D334" s="4418"/>
      <c r="E334" s="4418"/>
      <c r="F334" s="4418"/>
      <c r="G334" s="4417">
        <v>2020</v>
      </c>
      <c r="H334" s="4417"/>
      <c r="I334" s="4417"/>
      <c r="J334" s="4417"/>
      <c r="K334"/>
      <c r="L334" s="4419" t="s">
        <v>4772</v>
      </c>
      <c r="M334" s="4420"/>
      <c r="N334" s="4420"/>
      <c r="O334" s="4421"/>
      <c r="P334" s="626" t="s">
        <v>774</v>
      </c>
      <c r="Q334" s="321"/>
      <c r="R334" s="189"/>
      <c r="S334" s="445"/>
      <c r="T334" s="627" t="s">
        <v>671</v>
      </c>
      <c r="U334" s="627" t="s">
        <v>2127</v>
      </c>
      <c r="W334" s="490" t="s">
        <v>1422</v>
      </c>
      <c r="X334" s="490" t="s">
        <v>3279</v>
      </c>
      <c r="AA334" s="27"/>
      <c r="AB334" s="27"/>
      <c r="AC334" s="1038"/>
      <c r="AD334" s="573"/>
    </row>
    <row r="335" spans="3:30" ht="10.5" customHeight="1">
      <c r="C335" s="4422" t="s">
        <v>4615</v>
      </c>
      <c r="D335" s="4423" t="s">
        <v>4616</v>
      </c>
      <c r="E335" s="4423" t="s">
        <v>4617</v>
      </c>
      <c r="F335" s="4423" t="s">
        <v>4618</v>
      </c>
      <c r="G335" s="4422" t="s">
        <v>4615</v>
      </c>
      <c r="H335" s="4423" t="s">
        <v>4616</v>
      </c>
      <c r="I335" s="4423" t="s">
        <v>4617</v>
      </c>
      <c r="J335" s="4423" t="s">
        <v>4618</v>
      </c>
      <c r="K335"/>
      <c r="L335" s="4422" t="s">
        <v>4615</v>
      </c>
      <c r="M335" s="4423" t="s">
        <v>4616</v>
      </c>
      <c r="N335" s="4423" t="s">
        <v>4617</v>
      </c>
      <c r="O335" s="4423" t="s">
        <v>4618</v>
      </c>
      <c r="P335" s="626" t="s">
        <v>2359</v>
      </c>
      <c r="Q335" s="321"/>
      <c r="R335" s="189"/>
      <c r="S335" s="445"/>
      <c r="T335" s="560" t="s">
        <v>151</v>
      </c>
      <c r="U335" s="560" t="s">
        <v>1829</v>
      </c>
      <c r="W335" s="490" t="s">
        <v>1549</v>
      </c>
      <c r="X335" s="490" t="s">
        <v>3279</v>
      </c>
      <c r="AA335" s="27"/>
      <c r="AB335" s="27"/>
      <c r="AC335" s="1039"/>
      <c r="AD335" s="573"/>
    </row>
    <row r="336" spans="3:30" ht="10.5" customHeight="1">
      <c r="C336" s="4422"/>
      <c r="D336" s="4423"/>
      <c r="E336" s="4423"/>
      <c r="F336" s="4423"/>
      <c r="G336" s="4422"/>
      <c r="H336" s="4423"/>
      <c r="I336" s="4423"/>
      <c r="J336" s="4423"/>
      <c r="K336"/>
      <c r="L336" s="4422"/>
      <c r="M336" s="4423"/>
      <c r="N336" s="4423"/>
      <c r="O336" s="4423"/>
      <c r="P336" s="626" t="s">
        <v>2360</v>
      </c>
      <c r="Q336" s="321"/>
      <c r="R336" s="189"/>
      <c r="S336" s="445"/>
      <c r="T336" s="560" t="s">
        <v>192</v>
      </c>
      <c r="U336" s="560" t="s">
        <v>610</v>
      </c>
      <c r="W336" s="490" t="s">
        <v>2070</v>
      </c>
      <c r="X336" s="490" t="s">
        <v>3279</v>
      </c>
      <c r="AA336" s="27"/>
      <c r="AB336" s="27"/>
      <c r="AC336" s="1038"/>
      <c r="AD336" s="573"/>
    </row>
    <row r="337" spans="3:30" ht="10.5" customHeight="1">
      <c r="C337" s="4422"/>
      <c r="D337" s="4423"/>
      <c r="E337" s="4423"/>
      <c r="F337" s="4423"/>
      <c r="G337" s="4422"/>
      <c r="H337" s="4423"/>
      <c r="I337" s="4423"/>
      <c r="J337" s="4423"/>
      <c r="K337"/>
      <c r="L337" s="4422"/>
      <c r="M337" s="4423"/>
      <c r="N337" s="4423"/>
      <c r="O337" s="4423"/>
      <c r="P337" s="626" t="s">
        <v>2362</v>
      </c>
      <c r="Q337" s="321"/>
      <c r="R337" s="189"/>
      <c r="S337" s="445"/>
      <c r="T337" s="560" t="s">
        <v>2502</v>
      </c>
      <c r="U337" s="560" t="s">
        <v>1962</v>
      </c>
      <c r="W337" s="490" t="s">
        <v>2072</v>
      </c>
      <c r="X337" s="490" t="s">
        <v>3279</v>
      </c>
      <c r="AA337" s="27"/>
      <c r="AB337" s="27"/>
      <c r="AC337" s="1038"/>
      <c r="AD337" s="573"/>
    </row>
    <row r="338" spans="3:30" ht="10.5" customHeight="1">
      <c r="C338" s="4422"/>
      <c r="D338" s="4423"/>
      <c r="E338" s="4423"/>
      <c r="F338" s="4423"/>
      <c r="G338" s="4422"/>
      <c r="H338" s="4423"/>
      <c r="I338" s="4423"/>
      <c r="J338" s="4423"/>
      <c r="K338"/>
      <c r="L338" s="4422"/>
      <c r="M338" s="4423"/>
      <c r="N338" s="4423"/>
      <c r="O338" s="4423"/>
      <c r="P338" s="626" t="s">
        <v>2364</v>
      </c>
      <c r="Q338" s="321"/>
      <c r="R338" s="189"/>
      <c r="S338" s="445"/>
      <c r="T338" s="560" t="s">
        <v>771</v>
      </c>
      <c r="U338" s="560" t="s">
        <v>103</v>
      </c>
      <c r="W338" s="490" t="s">
        <v>1413</v>
      </c>
      <c r="X338" s="490" t="s">
        <v>3279</v>
      </c>
      <c r="AA338" s="27"/>
      <c r="AB338" s="27"/>
      <c r="AC338" s="1038"/>
      <c r="AD338" s="573"/>
    </row>
    <row r="339" spans="3:30" ht="10.5" customHeight="1">
      <c r="C339" s="4422"/>
      <c r="D339" s="4423"/>
      <c r="E339" s="4423"/>
      <c r="F339" s="4423"/>
      <c r="G339" s="4422"/>
      <c r="H339" s="4423"/>
      <c r="I339" s="4423"/>
      <c r="J339" s="4423"/>
      <c r="K339"/>
      <c r="L339" s="4422"/>
      <c r="M339" s="4423"/>
      <c r="N339" s="4423"/>
      <c r="O339" s="4423"/>
      <c r="P339" s="626" t="s">
        <v>2365</v>
      </c>
      <c r="Q339" s="321"/>
      <c r="R339" s="189"/>
      <c r="S339" s="445"/>
      <c r="T339" s="560" t="s">
        <v>773</v>
      </c>
      <c r="U339" s="560" t="s">
        <v>119</v>
      </c>
      <c r="W339" s="490" t="s">
        <v>1523</v>
      </c>
      <c r="X339" s="490" t="s">
        <v>3279</v>
      </c>
      <c r="AA339" s="27"/>
      <c r="AB339" s="27"/>
      <c r="AC339" s="1038"/>
      <c r="AD339" s="573"/>
    </row>
    <row r="340" spans="3:30" ht="10.5" customHeight="1">
      <c r="C340" s="4422"/>
      <c r="D340" s="4423"/>
      <c r="E340" s="4423"/>
      <c r="F340" s="4423"/>
      <c r="G340" s="4422"/>
      <c r="H340" s="4423"/>
      <c r="I340" s="4423"/>
      <c r="J340" s="4423"/>
      <c r="K340"/>
      <c r="L340" s="4422"/>
      <c r="M340" s="4423"/>
      <c r="N340" s="4423"/>
      <c r="O340" s="4423"/>
      <c r="P340" s="626" t="s">
        <v>375</v>
      </c>
      <c r="Q340" s="321"/>
      <c r="R340" s="189"/>
      <c r="S340" s="445"/>
      <c r="T340" s="560" t="s">
        <v>775</v>
      </c>
      <c r="U340" s="560" t="s">
        <v>321</v>
      </c>
      <c r="W340" s="490" t="s">
        <v>1159</v>
      </c>
      <c r="X340" s="490" t="s">
        <v>3279</v>
      </c>
      <c r="AA340" s="27"/>
      <c r="AB340" s="27"/>
      <c r="AC340" s="1038"/>
      <c r="AD340" s="573"/>
    </row>
    <row r="341" spans="3:30" ht="10.5" customHeight="1">
      <c r="C341" s="2384">
        <v>13001950100</v>
      </c>
      <c r="D341" s="2385">
        <v>0</v>
      </c>
      <c r="E341" s="2385">
        <v>1</v>
      </c>
      <c r="F341" s="2386">
        <v>1</v>
      </c>
      <c r="G341" s="2409" t="s">
        <v>4739</v>
      </c>
      <c r="H341" s="2410">
        <v>0</v>
      </c>
      <c r="I341" s="2410">
        <v>0</v>
      </c>
      <c r="J341" s="2411">
        <v>0</v>
      </c>
      <c r="K341" s="2387"/>
      <c r="L341" s="2379" t="s">
        <v>4739</v>
      </c>
      <c r="M341" s="2380">
        <v>0</v>
      </c>
      <c r="N341" s="2380">
        <v>1</v>
      </c>
      <c r="O341" s="2380">
        <v>1</v>
      </c>
      <c r="P341" s="626" t="s">
        <v>45</v>
      </c>
      <c r="Q341" s="321"/>
      <c r="R341" s="189"/>
      <c r="S341" s="445"/>
      <c r="T341" s="627" t="s">
        <v>2754</v>
      </c>
      <c r="U341" s="627" t="s">
        <v>857</v>
      </c>
      <c r="W341" s="490" t="s">
        <v>1707</v>
      </c>
      <c r="X341" s="490" t="s">
        <v>3279</v>
      </c>
      <c r="AA341" s="27"/>
      <c r="AB341" s="27"/>
      <c r="AC341" s="1038"/>
      <c r="AD341" s="573"/>
    </row>
    <row r="342" spans="3:30" ht="10.5" customHeight="1">
      <c r="C342" s="2388" t="s">
        <v>4840</v>
      </c>
      <c r="D342" s="2385">
        <v>0</v>
      </c>
      <c r="E342" s="2385">
        <v>0</v>
      </c>
      <c r="F342" s="2386">
        <v>0</v>
      </c>
      <c r="G342" s="2412" t="s">
        <v>4840</v>
      </c>
      <c r="H342" s="2383">
        <v>0</v>
      </c>
      <c r="I342" s="2383">
        <v>0</v>
      </c>
      <c r="J342" s="2413">
        <v>0</v>
      </c>
      <c r="K342" s="2387"/>
      <c r="L342" s="2381">
        <v>13001950200</v>
      </c>
      <c r="M342" s="2382">
        <v>0</v>
      </c>
      <c r="N342" s="2382">
        <v>0</v>
      </c>
      <c r="O342" s="2382">
        <v>0</v>
      </c>
      <c r="P342" s="626" t="s">
        <v>47</v>
      </c>
      <c r="Q342" s="321"/>
      <c r="R342" s="189"/>
      <c r="S342" s="445"/>
      <c r="T342" s="560" t="s">
        <v>2361</v>
      </c>
      <c r="U342" s="560" t="s">
        <v>1424</v>
      </c>
      <c r="W342" s="490" t="s">
        <v>1769</v>
      </c>
      <c r="X342" s="490" t="s">
        <v>3279</v>
      </c>
      <c r="AA342" s="27"/>
      <c r="AB342" s="27"/>
      <c r="AC342" s="1039"/>
      <c r="AD342" s="573"/>
    </row>
    <row r="343" spans="3:30" ht="10.5" customHeight="1">
      <c r="C343" s="2388" t="s">
        <v>4841</v>
      </c>
      <c r="D343" s="2385">
        <v>0</v>
      </c>
      <c r="E343" s="2385">
        <v>0</v>
      </c>
      <c r="F343" s="2386">
        <v>0</v>
      </c>
      <c r="G343" s="2412" t="s">
        <v>4841</v>
      </c>
      <c r="H343" s="2383">
        <v>0</v>
      </c>
      <c r="I343" s="2383">
        <v>0</v>
      </c>
      <c r="J343" s="2413">
        <v>0</v>
      </c>
      <c r="K343" s="2387"/>
      <c r="L343" s="2381">
        <v>13001950300</v>
      </c>
      <c r="M343" s="2382">
        <v>0</v>
      </c>
      <c r="N343" s="2382">
        <v>0</v>
      </c>
      <c r="O343" s="2382">
        <v>0</v>
      </c>
      <c r="P343" s="626" t="s">
        <v>1875</v>
      </c>
      <c r="Q343" s="321"/>
      <c r="R343" s="189"/>
      <c r="S343" s="445"/>
      <c r="T343" s="560" t="s">
        <v>2363</v>
      </c>
      <c r="U343" s="560" t="s">
        <v>1083</v>
      </c>
      <c r="W343" s="490" t="s">
        <v>1081</v>
      </c>
      <c r="X343" s="490" t="s">
        <v>3279</v>
      </c>
      <c r="AA343" s="27"/>
      <c r="AB343" s="27"/>
      <c r="AC343" s="1038"/>
      <c r="AD343" s="573"/>
    </row>
    <row r="344" spans="3:30" ht="10.5" customHeight="1">
      <c r="C344" s="2388" t="s">
        <v>4842</v>
      </c>
      <c r="D344" s="2385">
        <v>0</v>
      </c>
      <c r="E344" s="2385">
        <v>0</v>
      </c>
      <c r="F344" s="2386">
        <v>0</v>
      </c>
      <c r="G344" s="2412" t="s">
        <v>4842</v>
      </c>
      <c r="H344" s="2383">
        <v>0</v>
      </c>
      <c r="I344" s="2383">
        <v>0</v>
      </c>
      <c r="J344" s="2413">
        <v>0</v>
      </c>
      <c r="K344" s="2387"/>
      <c r="L344" s="2381">
        <v>13001950400</v>
      </c>
      <c r="M344" s="2382">
        <v>0</v>
      </c>
      <c r="N344" s="2382">
        <v>0</v>
      </c>
      <c r="O344" s="2382">
        <v>0</v>
      </c>
      <c r="P344" s="626" t="s">
        <v>1876</v>
      </c>
      <c r="Q344" s="321"/>
      <c r="R344" s="189"/>
      <c r="S344" s="445"/>
      <c r="T344" s="560" t="s">
        <v>2503</v>
      </c>
      <c r="U344" s="560" t="s">
        <v>648</v>
      </c>
      <c r="W344" s="490" t="s">
        <v>3277</v>
      </c>
      <c r="X344" s="490" t="s">
        <v>3279</v>
      </c>
      <c r="AA344" s="27"/>
      <c r="AB344" s="27"/>
      <c r="AC344" s="1038"/>
      <c r="AD344" s="573"/>
    </row>
    <row r="345" spans="3:30" ht="10.5" customHeight="1">
      <c r="C345" s="2388" t="s">
        <v>4843</v>
      </c>
      <c r="D345" s="2385">
        <v>0</v>
      </c>
      <c r="E345" s="2385">
        <v>0</v>
      </c>
      <c r="F345" s="2386">
        <v>0</v>
      </c>
      <c r="G345" s="2412" t="s">
        <v>4843</v>
      </c>
      <c r="H345" s="2383">
        <v>0</v>
      </c>
      <c r="I345" s="2383">
        <v>0</v>
      </c>
      <c r="J345" s="2413">
        <v>0</v>
      </c>
      <c r="K345" s="2387"/>
      <c r="L345" s="2381">
        <v>13001950500</v>
      </c>
      <c r="M345" s="2382">
        <v>0</v>
      </c>
      <c r="N345" s="2382">
        <v>0</v>
      </c>
      <c r="O345" s="2382">
        <v>0</v>
      </c>
      <c r="P345" s="626" t="s">
        <v>1878</v>
      </c>
      <c r="Q345" s="321"/>
      <c r="R345" s="189"/>
      <c r="S345" s="445"/>
      <c r="T345" s="629" t="s">
        <v>374</v>
      </c>
      <c r="U345" s="560" t="s">
        <v>2425</v>
      </c>
      <c r="W345" s="490" t="s">
        <v>2094</v>
      </c>
      <c r="X345" s="490" t="s">
        <v>3279</v>
      </c>
      <c r="AA345" s="27"/>
      <c r="AB345" s="27"/>
      <c r="AC345" s="1038"/>
      <c r="AD345" s="573"/>
    </row>
    <row r="346" spans="3:30" ht="10.5" customHeight="1">
      <c r="C346" s="2388" t="s">
        <v>4844</v>
      </c>
      <c r="D346" s="2385">
        <v>0</v>
      </c>
      <c r="E346" s="2385">
        <v>0</v>
      </c>
      <c r="F346" s="2386">
        <v>0</v>
      </c>
      <c r="G346" s="2412" t="s">
        <v>4844</v>
      </c>
      <c r="H346" s="2383">
        <v>0</v>
      </c>
      <c r="I346" s="2383">
        <v>0</v>
      </c>
      <c r="J346" s="2413">
        <v>0</v>
      </c>
      <c r="K346" s="2387"/>
      <c r="L346" s="2381">
        <v>13003960100</v>
      </c>
      <c r="M346" s="2382">
        <v>0</v>
      </c>
      <c r="N346" s="2382">
        <v>0</v>
      </c>
      <c r="O346" s="2382">
        <v>0</v>
      </c>
      <c r="P346" s="626" t="s">
        <v>1879</v>
      </c>
      <c r="Q346" s="321"/>
      <c r="R346" s="189"/>
      <c r="S346" s="445"/>
      <c r="T346" s="560" t="s">
        <v>376</v>
      </c>
      <c r="U346" s="560" t="s">
        <v>2120</v>
      </c>
      <c r="W346" s="490" t="s">
        <v>1487</v>
      </c>
      <c r="X346" s="490" t="s">
        <v>3279</v>
      </c>
      <c r="AA346" s="27"/>
      <c r="AB346" s="27"/>
      <c r="AC346" s="1040"/>
      <c r="AD346" s="573"/>
    </row>
    <row r="347" spans="3:30" ht="10.5" customHeight="1">
      <c r="C347" s="2388" t="s">
        <v>4845</v>
      </c>
      <c r="D347" s="2385">
        <v>0</v>
      </c>
      <c r="E347" s="2385">
        <v>0</v>
      </c>
      <c r="F347" s="2386">
        <v>0</v>
      </c>
      <c r="G347" s="2412" t="s">
        <v>4845</v>
      </c>
      <c r="H347" s="2383">
        <v>0</v>
      </c>
      <c r="I347" s="2383">
        <v>0</v>
      </c>
      <c r="J347" s="2413">
        <v>0</v>
      </c>
      <c r="K347" s="2387"/>
      <c r="L347" s="2381">
        <v>13003960200</v>
      </c>
      <c r="M347" s="2382">
        <v>0</v>
      </c>
      <c r="N347" s="2382">
        <v>0</v>
      </c>
      <c r="O347" s="2382">
        <v>0</v>
      </c>
      <c r="P347" s="626" t="s">
        <v>1880</v>
      </c>
      <c r="Q347" s="321"/>
      <c r="R347" s="189"/>
      <c r="S347" s="445"/>
      <c r="T347" s="560" t="s">
        <v>46</v>
      </c>
      <c r="U347" s="560" t="s">
        <v>931</v>
      </c>
      <c r="W347" s="490" t="s">
        <v>61</v>
      </c>
      <c r="X347" s="490" t="s">
        <v>3279</v>
      </c>
      <c r="AA347" s="27"/>
      <c r="AB347" s="27"/>
      <c r="AC347" s="1038"/>
      <c r="AD347" s="573"/>
    </row>
    <row r="348" spans="3:30" ht="10.5" customHeight="1">
      <c r="C348" s="2388" t="s">
        <v>4846</v>
      </c>
      <c r="D348" s="2385">
        <v>0</v>
      </c>
      <c r="E348" s="2385">
        <v>0</v>
      </c>
      <c r="F348" s="2386">
        <v>0</v>
      </c>
      <c r="G348" s="2412" t="s">
        <v>4846</v>
      </c>
      <c r="H348" s="2383">
        <v>0</v>
      </c>
      <c r="I348" s="2383">
        <v>0</v>
      </c>
      <c r="J348" s="2413">
        <v>0</v>
      </c>
      <c r="K348" s="2387"/>
      <c r="L348" s="2381">
        <v>13003960300</v>
      </c>
      <c r="M348" s="2382">
        <v>0</v>
      </c>
      <c r="N348" s="2382">
        <v>0</v>
      </c>
      <c r="O348" s="2382">
        <v>0</v>
      </c>
      <c r="P348" s="626" t="s">
        <v>1882</v>
      </c>
      <c r="Q348" s="321"/>
      <c r="R348" s="189"/>
      <c r="S348" s="445"/>
      <c r="T348" s="560" t="s">
        <v>48</v>
      </c>
      <c r="U348" s="560" t="s">
        <v>610</v>
      </c>
      <c r="W348" s="490" t="s">
        <v>65</v>
      </c>
      <c r="X348" s="490" t="s">
        <v>3279</v>
      </c>
      <c r="AA348" s="27"/>
      <c r="AB348" s="27"/>
      <c r="AC348" s="1038"/>
      <c r="AD348" s="573"/>
    </row>
    <row r="349" spans="3:30" ht="10.5" customHeight="1">
      <c r="C349" s="2388" t="s">
        <v>4847</v>
      </c>
      <c r="D349" s="2385">
        <v>1</v>
      </c>
      <c r="E349" s="2385">
        <v>0</v>
      </c>
      <c r="F349" s="2386">
        <v>1</v>
      </c>
      <c r="G349" s="2412" t="s">
        <v>4847</v>
      </c>
      <c r="H349" s="2383">
        <v>0</v>
      </c>
      <c r="I349" s="2383">
        <v>0</v>
      </c>
      <c r="J349" s="2413">
        <v>0</v>
      </c>
      <c r="K349" s="2387"/>
      <c r="L349" s="2381">
        <v>13005970100</v>
      </c>
      <c r="M349" s="2382">
        <v>1</v>
      </c>
      <c r="N349" s="2382">
        <v>0</v>
      </c>
      <c r="O349" s="2382">
        <v>1</v>
      </c>
      <c r="P349" s="626" t="s">
        <v>698</v>
      </c>
      <c r="Q349" s="321"/>
      <c r="R349" s="189"/>
      <c r="S349" s="445"/>
      <c r="T349" s="627" t="s">
        <v>852</v>
      </c>
      <c r="U349" s="627" t="s">
        <v>2423</v>
      </c>
      <c r="W349" s="490" t="s">
        <v>67</v>
      </c>
      <c r="X349" s="490" t="s">
        <v>3279</v>
      </c>
      <c r="AA349" s="27"/>
      <c r="AB349" s="27"/>
      <c r="AC349" s="1038"/>
      <c r="AD349" s="573"/>
    </row>
    <row r="350" spans="3:30" ht="10.5" customHeight="1">
      <c r="C350" s="2388" t="s">
        <v>4848</v>
      </c>
      <c r="D350" s="2385">
        <v>0</v>
      </c>
      <c r="E350" s="2385">
        <v>0</v>
      </c>
      <c r="F350" s="2386">
        <v>0</v>
      </c>
      <c r="G350" s="2412" t="s">
        <v>4848</v>
      </c>
      <c r="H350" s="2383">
        <v>0</v>
      </c>
      <c r="I350" s="2383">
        <v>0</v>
      </c>
      <c r="J350" s="2413">
        <v>0</v>
      </c>
      <c r="K350" s="2387"/>
      <c r="L350" s="2381">
        <v>13005970201</v>
      </c>
      <c r="M350" s="2382">
        <v>0</v>
      </c>
      <c r="N350" s="2382">
        <v>0</v>
      </c>
      <c r="O350" s="2382">
        <v>0</v>
      </c>
      <c r="P350" s="626" t="s">
        <v>1117</v>
      </c>
      <c r="Q350" s="321"/>
      <c r="R350" s="189"/>
      <c r="S350" s="445"/>
      <c r="T350" s="627" t="s">
        <v>1877</v>
      </c>
      <c r="U350" s="627" t="s">
        <v>852</v>
      </c>
      <c r="W350" s="490" t="s">
        <v>757</v>
      </c>
      <c r="X350" s="490" t="s">
        <v>3279</v>
      </c>
      <c r="AA350" s="27"/>
      <c r="AB350" s="27"/>
      <c r="AC350" s="1039"/>
      <c r="AD350" s="573"/>
    </row>
    <row r="351" spans="3:30" ht="10.5" customHeight="1">
      <c r="C351" s="2388" t="s">
        <v>4849</v>
      </c>
      <c r="D351" s="2385">
        <v>0</v>
      </c>
      <c r="E351" s="2385">
        <v>0</v>
      </c>
      <c r="F351" s="2386">
        <v>0</v>
      </c>
      <c r="G351" s="2412" t="s">
        <v>4849</v>
      </c>
      <c r="H351" s="2383">
        <v>0</v>
      </c>
      <c r="I351" s="2383">
        <v>0</v>
      </c>
      <c r="J351" s="2413">
        <v>0</v>
      </c>
      <c r="K351" s="2387"/>
      <c r="L351" s="2381">
        <v>13005970202</v>
      </c>
      <c r="M351" s="2382">
        <v>0</v>
      </c>
      <c r="N351" s="2382">
        <v>0</v>
      </c>
      <c r="O351" s="2382">
        <v>0</v>
      </c>
      <c r="P351" s="626" t="s">
        <v>1119</v>
      </c>
      <c r="Q351" s="321"/>
      <c r="R351" s="189"/>
      <c r="S351" s="445"/>
      <c r="T351" s="560" t="s">
        <v>2504</v>
      </c>
      <c r="U351" s="560" t="s">
        <v>610</v>
      </c>
      <c r="W351" s="490" t="s">
        <v>919</v>
      </c>
      <c r="X351" s="490" t="s">
        <v>3279</v>
      </c>
      <c r="AA351" s="27"/>
      <c r="AB351" s="27"/>
      <c r="AC351" s="1039"/>
      <c r="AD351" s="573"/>
    </row>
    <row r="352" spans="3:30" ht="10.5" customHeight="1">
      <c r="C352" s="2388" t="s">
        <v>4850</v>
      </c>
      <c r="D352" s="2385">
        <v>0</v>
      </c>
      <c r="E352" s="2385">
        <v>0</v>
      </c>
      <c r="F352" s="2386">
        <v>0</v>
      </c>
      <c r="G352" s="2412" t="s">
        <v>4850</v>
      </c>
      <c r="H352" s="2383">
        <v>0</v>
      </c>
      <c r="I352" s="2383">
        <v>1</v>
      </c>
      <c r="J352" s="2413">
        <v>1</v>
      </c>
      <c r="K352" s="2387"/>
      <c r="L352" s="2381">
        <v>13007960100</v>
      </c>
      <c r="M352" s="2382">
        <v>0</v>
      </c>
      <c r="N352" s="2382">
        <v>1</v>
      </c>
      <c r="O352" s="2382">
        <v>1</v>
      </c>
      <c r="P352" s="626" t="s">
        <v>1121</v>
      </c>
      <c r="Q352" s="321"/>
      <c r="R352" s="189"/>
      <c r="S352" s="445"/>
      <c r="T352" s="560" t="s">
        <v>2755</v>
      </c>
      <c r="U352" s="560" t="s">
        <v>2420</v>
      </c>
      <c r="W352" s="490" t="s">
        <v>1021</v>
      </c>
      <c r="X352" s="490" t="s">
        <v>3279</v>
      </c>
      <c r="AA352" s="27"/>
      <c r="AB352" s="27"/>
      <c r="AC352" s="1038"/>
      <c r="AD352" s="573"/>
    </row>
    <row r="353" spans="3:30" ht="10.5" customHeight="1">
      <c r="C353" s="2388" t="s">
        <v>4851</v>
      </c>
      <c r="D353" s="2385">
        <v>1</v>
      </c>
      <c r="E353" s="2385">
        <v>0</v>
      </c>
      <c r="F353" s="2386">
        <v>1</v>
      </c>
      <c r="G353" s="2412" t="s">
        <v>4851</v>
      </c>
      <c r="H353" s="2383">
        <v>0</v>
      </c>
      <c r="I353" s="2383">
        <v>0</v>
      </c>
      <c r="J353" s="2413">
        <v>0</v>
      </c>
      <c r="K353" s="2387"/>
      <c r="L353" s="2381">
        <v>13007960200</v>
      </c>
      <c r="M353" s="2382">
        <v>1</v>
      </c>
      <c r="N353" s="2382">
        <v>0</v>
      </c>
      <c r="O353" s="2382">
        <v>1</v>
      </c>
      <c r="P353" s="626" t="s">
        <v>2447</v>
      </c>
      <c r="Q353" s="321"/>
      <c r="R353" s="189"/>
      <c r="S353" s="445"/>
      <c r="T353" s="560" t="s">
        <v>1881</v>
      </c>
      <c r="U353" s="560" t="s">
        <v>1424</v>
      </c>
      <c r="W353" s="490" t="s">
        <v>2210</v>
      </c>
      <c r="X353" s="490" t="s">
        <v>3279</v>
      </c>
      <c r="AA353" s="27"/>
      <c r="AB353" s="27"/>
      <c r="AC353" s="1038"/>
      <c r="AD353" s="573"/>
    </row>
    <row r="354" spans="3:30" ht="10.5" customHeight="1">
      <c r="C354" s="2388" t="s">
        <v>4852</v>
      </c>
      <c r="D354" s="2385">
        <v>0</v>
      </c>
      <c r="E354" s="2385">
        <v>0</v>
      </c>
      <c r="F354" s="2386">
        <v>0</v>
      </c>
      <c r="G354" s="2412" t="s">
        <v>4852</v>
      </c>
      <c r="H354" s="2383">
        <v>1</v>
      </c>
      <c r="I354" s="2383">
        <v>0</v>
      </c>
      <c r="J354" s="2413">
        <v>1</v>
      </c>
      <c r="K354" s="2387"/>
      <c r="L354" s="2381">
        <v>13009970100</v>
      </c>
      <c r="M354" s="2382">
        <v>1</v>
      </c>
      <c r="N354" s="2382">
        <v>0</v>
      </c>
      <c r="O354" s="2382">
        <v>1</v>
      </c>
      <c r="P354" s="626" t="s">
        <v>2449</v>
      </c>
      <c r="Q354" s="321"/>
      <c r="R354" s="189"/>
      <c r="S354" s="445"/>
      <c r="T354" s="560" t="s">
        <v>1883</v>
      </c>
      <c r="U354" s="560" t="s">
        <v>1424</v>
      </c>
      <c r="W354" s="490" t="s">
        <v>2455</v>
      </c>
      <c r="X354" s="490" t="s">
        <v>3279</v>
      </c>
      <c r="AA354" s="27"/>
      <c r="AB354" s="27"/>
      <c r="AC354" s="1038"/>
      <c r="AD354" s="573"/>
    </row>
    <row r="355" spans="3:30" ht="10.5" customHeight="1">
      <c r="C355" s="2388" t="s">
        <v>4853</v>
      </c>
      <c r="D355" s="2385">
        <v>0</v>
      </c>
      <c r="E355" s="2385">
        <v>0</v>
      </c>
      <c r="F355" s="2386">
        <v>0</v>
      </c>
      <c r="G355" s="2412" t="s">
        <v>4853</v>
      </c>
      <c r="H355" s="2383">
        <v>0</v>
      </c>
      <c r="I355" s="2383">
        <v>1</v>
      </c>
      <c r="J355" s="2413">
        <v>1</v>
      </c>
      <c r="K355" s="2387"/>
      <c r="L355" s="2381">
        <v>13009970200</v>
      </c>
      <c r="M355" s="2382">
        <v>0</v>
      </c>
      <c r="N355" s="2382">
        <v>1</v>
      </c>
      <c r="O355" s="2382">
        <v>1</v>
      </c>
      <c r="P355" s="626" t="s">
        <v>184</v>
      </c>
      <c r="Q355" s="321"/>
      <c r="R355" s="189"/>
      <c r="S355" s="445"/>
      <c r="T355" s="560" t="s">
        <v>699</v>
      </c>
      <c r="U355" s="560" t="s">
        <v>118</v>
      </c>
      <c r="W355" s="490" t="s">
        <v>2114</v>
      </c>
      <c r="X355" s="490" t="s">
        <v>3279</v>
      </c>
      <c r="AA355" s="27"/>
      <c r="AB355" s="27"/>
      <c r="AC355" s="1038"/>
      <c r="AD355" s="573"/>
    </row>
    <row r="356" spans="3:30" ht="10.5" customHeight="1">
      <c r="C356" s="2388" t="s">
        <v>4854</v>
      </c>
      <c r="D356" s="2385">
        <v>1</v>
      </c>
      <c r="E356" s="2385">
        <v>1</v>
      </c>
      <c r="F356" s="2386">
        <v>2</v>
      </c>
      <c r="G356" s="2412" t="s">
        <v>4854</v>
      </c>
      <c r="H356" s="2383">
        <v>0</v>
      </c>
      <c r="I356" s="2383">
        <v>1</v>
      </c>
      <c r="J356" s="2413">
        <v>1</v>
      </c>
      <c r="K356" s="2387"/>
      <c r="L356" s="2381">
        <v>13009970300</v>
      </c>
      <c r="M356" s="2382">
        <v>1</v>
      </c>
      <c r="N356" s="2382">
        <v>1</v>
      </c>
      <c r="O356" s="2382">
        <v>2</v>
      </c>
      <c r="P356" s="626" t="s">
        <v>185</v>
      </c>
      <c r="Q356" s="321"/>
      <c r="R356" s="189"/>
      <c r="S356" s="445"/>
      <c r="T356" s="560" t="s">
        <v>672</v>
      </c>
      <c r="U356" s="560" t="s">
        <v>610</v>
      </c>
      <c r="W356" s="490" t="s">
        <v>1581</v>
      </c>
      <c r="X356" s="490" t="s">
        <v>3279</v>
      </c>
      <c r="AA356" s="27"/>
      <c r="AB356" s="27"/>
      <c r="AC356" s="1038"/>
      <c r="AD356" s="573"/>
    </row>
    <row r="357" spans="3:30" ht="10.5" customHeight="1">
      <c r="C357" s="2388" t="s">
        <v>4855</v>
      </c>
      <c r="D357" s="2385">
        <v>0</v>
      </c>
      <c r="E357" s="2385">
        <v>0</v>
      </c>
      <c r="F357" s="2386">
        <v>0</v>
      </c>
      <c r="G357" s="2412" t="s">
        <v>4855</v>
      </c>
      <c r="H357" s="2383">
        <v>0</v>
      </c>
      <c r="I357" s="2383">
        <v>1</v>
      </c>
      <c r="J357" s="2413">
        <v>1</v>
      </c>
      <c r="K357" s="2387"/>
      <c r="L357" s="2381">
        <v>13009970400</v>
      </c>
      <c r="M357" s="2382">
        <v>0</v>
      </c>
      <c r="N357" s="2382">
        <v>1</v>
      </c>
      <c r="O357" s="2382">
        <v>1</v>
      </c>
      <c r="P357" s="626" t="s">
        <v>1777</v>
      </c>
      <c r="Q357" s="321"/>
      <c r="R357" s="189"/>
      <c r="S357" s="445"/>
      <c r="T357" s="560" t="s">
        <v>2756</v>
      </c>
      <c r="U357" s="560" t="s">
        <v>155</v>
      </c>
      <c r="W357" s="490" t="s">
        <v>2354</v>
      </c>
      <c r="X357" s="490" t="s">
        <v>3279</v>
      </c>
      <c r="AA357" s="27"/>
      <c r="AB357" s="27"/>
      <c r="AC357" s="1038"/>
      <c r="AD357" s="573"/>
    </row>
    <row r="358" spans="3:30" ht="10.5" customHeight="1">
      <c r="C358" s="2388" t="s">
        <v>4856</v>
      </c>
      <c r="D358" s="2385">
        <v>0</v>
      </c>
      <c r="E358" s="2385">
        <v>0</v>
      </c>
      <c r="F358" s="2386">
        <v>0</v>
      </c>
      <c r="G358" s="2412" t="s">
        <v>4856</v>
      </c>
      <c r="H358" s="2383">
        <v>0</v>
      </c>
      <c r="I358" s="2383">
        <v>0</v>
      </c>
      <c r="J358" s="2413">
        <v>0</v>
      </c>
      <c r="K358" s="2387"/>
      <c r="L358" s="2381">
        <v>13009970500</v>
      </c>
      <c r="M358" s="2382">
        <v>0</v>
      </c>
      <c r="N358" s="2382">
        <v>0</v>
      </c>
      <c r="O358" s="2382">
        <v>0</v>
      </c>
      <c r="P358" s="626" t="s">
        <v>1779</v>
      </c>
      <c r="Q358" s="321"/>
      <c r="R358" s="189"/>
      <c r="S358" s="445"/>
      <c r="T358" s="560" t="s">
        <v>2757</v>
      </c>
      <c r="U358" s="560" t="s">
        <v>311</v>
      </c>
      <c r="W358" s="490" t="s">
        <v>795</v>
      </c>
      <c r="X358" s="490" t="s">
        <v>3279</v>
      </c>
      <c r="AA358" s="27"/>
      <c r="AB358" s="27"/>
      <c r="AC358" s="1038"/>
      <c r="AD358" s="573"/>
    </row>
    <row r="359" spans="3:30" ht="10.5" customHeight="1">
      <c r="C359" s="2388" t="s">
        <v>4857</v>
      </c>
      <c r="D359" s="2385">
        <v>0</v>
      </c>
      <c r="E359" s="2385">
        <v>0</v>
      </c>
      <c r="F359" s="2386">
        <v>0</v>
      </c>
      <c r="G359" s="2412" t="s">
        <v>4857</v>
      </c>
      <c r="H359" s="2383">
        <v>0</v>
      </c>
      <c r="I359" s="2383">
        <v>0</v>
      </c>
      <c r="J359" s="2413">
        <v>0</v>
      </c>
      <c r="K359" s="2387"/>
      <c r="L359" s="2381">
        <v>13009970600</v>
      </c>
      <c r="M359" s="2382">
        <v>0</v>
      </c>
      <c r="N359" s="2382">
        <v>0</v>
      </c>
      <c r="O359" s="2382">
        <v>0</v>
      </c>
      <c r="P359" s="626" t="s">
        <v>1844</v>
      </c>
      <c r="Q359" s="321"/>
      <c r="R359" s="189"/>
      <c r="S359" s="445"/>
      <c r="T359" s="560" t="s">
        <v>1118</v>
      </c>
      <c r="U359" s="560" t="s">
        <v>1424</v>
      </c>
      <c r="W359" s="490" t="s">
        <v>164</v>
      </c>
      <c r="X359" s="490" t="s">
        <v>3279</v>
      </c>
      <c r="AA359" s="27"/>
      <c r="AB359" s="27"/>
      <c r="AC359" s="1038"/>
      <c r="AD359" s="573"/>
    </row>
    <row r="360" spans="3:30" ht="10.5" customHeight="1">
      <c r="C360" s="2388" t="s">
        <v>4858</v>
      </c>
      <c r="D360" s="2385">
        <v>0</v>
      </c>
      <c r="E360" s="2385">
        <v>0</v>
      </c>
      <c r="F360" s="2386">
        <v>0</v>
      </c>
      <c r="G360" s="2412" t="s">
        <v>4858</v>
      </c>
      <c r="H360" s="2383">
        <v>0</v>
      </c>
      <c r="I360" s="2383">
        <v>0</v>
      </c>
      <c r="J360" s="2413">
        <v>0</v>
      </c>
      <c r="K360" s="2387"/>
      <c r="L360" s="2381">
        <v>13009970701</v>
      </c>
      <c r="M360" s="2382">
        <v>0</v>
      </c>
      <c r="N360" s="2382">
        <v>0</v>
      </c>
      <c r="O360" s="2382">
        <v>0</v>
      </c>
      <c r="P360" s="626" t="s">
        <v>1846</v>
      </c>
      <c r="Q360" s="321"/>
      <c r="R360" s="189"/>
      <c r="S360" s="445"/>
      <c r="T360" s="560" t="s">
        <v>1120</v>
      </c>
      <c r="U360" s="560" t="s">
        <v>644</v>
      </c>
      <c r="W360" s="490" t="s">
        <v>1299</v>
      </c>
      <c r="X360" s="490" t="s">
        <v>3279</v>
      </c>
      <c r="AA360" s="27"/>
      <c r="AB360" s="27"/>
      <c r="AC360" s="1038"/>
      <c r="AD360" s="573"/>
    </row>
    <row r="361" spans="3:30" ht="10.5" customHeight="1">
      <c r="C361" s="2388" t="s">
        <v>4859</v>
      </c>
      <c r="D361" s="2385">
        <v>0</v>
      </c>
      <c r="E361" s="2385">
        <v>0</v>
      </c>
      <c r="F361" s="2386">
        <v>0</v>
      </c>
      <c r="G361" s="2412" t="s">
        <v>4859</v>
      </c>
      <c r="H361" s="2383">
        <v>0</v>
      </c>
      <c r="I361" s="2383">
        <v>0</v>
      </c>
      <c r="J361" s="2413">
        <v>0</v>
      </c>
      <c r="K361" s="2387"/>
      <c r="L361" s="2381">
        <v>13009970702</v>
      </c>
      <c r="M361" s="2382">
        <v>0</v>
      </c>
      <c r="N361" s="2382">
        <v>0</v>
      </c>
      <c r="O361" s="2382">
        <v>0</v>
      </c>
      <c r="P361" s="626" t="s">
        <v>1847</v>
      </c>
      <c r="Q361" s="321"/>
      <c r="R361" s="189"/>
      <c r="S361" s="445"/>
      <c r="T361" s="560" t="s">
        <v>2505</v>
      </c>
      <c r="U361" s="560" t="s">
        <v>2122</v>
      </c>
      <c r="W361" s="490" t="s">
        <v>1050</v>
      </c>
      <c r="X361" s="490" t="s">
        <v>3279</v>
      </c>
      <c r="AA361" s="27"/>
      <c r="AB361" s="27"/>
      <c r="AC361" s="1038"/>
      <c r="AD361" s="573"/>
    </row>
    <row r="362" spans="3:30" ht="10.5" customHeight="1">
      <c r="C362" s="2388" t="s">
        <v>4860</v>
      </c>
      <c r="D362" s="2385">
        <v>0</v>
      </c>
      <c r="E362" s="2385">
        <v>0</v>
      </c>
      <c r="F362" s="2386">
        <v>0</v>
      </c>
      <c r="G362" s="2412" t="s">
        <v>4860</v>
      </c>
      <c r="H362" s="2383">
        <v>0</v>
      </c>
      <c r="I362" s="2383">
        <v>0</v>
      </c>
      <c r="J362" s="2413">
        <v>0</v>
      </c>
      <c r="K362" s="2387"/>
      <c r="L362" s="2381">
        <v>13009970800</v>
      </c>
      <c r="M362" s="2382">
        <v>0</v>
      </c>
      <c r="N362" s="2382">
        <v>0</v>
      </c>
      <c r="O362" s="2382">
        <v>0</v>
      </c>
      <c r="P362" s="626" t="s">
        <v>1849</v>
      </c>
      <c r="Q362" s="321"/>
      <c r="R362" s="189"/>
      <c r="S362" s="445"/>
      <c r="T362" s="560" t="s">
        <v>2506</v>
      </c>
      <c r="U362" s="560" t="s">
        <v>2465</v>
      </c>
      <c r="W362" s="490" t="s">
        <v>1945</v>
      </c>
      <c r="X362" s="490" t="s">
        <v>3279</v>
      </c>
      <c r="AA362" s="27"/>
      <c r="AB362" s="27"/>
      <c r="AC362" s="1038"/>
      <c r="AD362" s="573"/>
    </row>
    <row r="363" spans="3:30" ht="10.5" customHeight="1">
      <c r="C363" s="2388" t="s">
        <v>4861</v>
      </c>
      <c r="D363" s="2385">
        <v>0</v>
      </c>
      <c r="E363" s="2385">
        <v>0</v>
      </c>
      <c r="F363" s="2386">
        <v>0</v>
      </c>
      <c r="G363" s="2412" t="s">
        <v>4861</v>
      </c>
      <c r="H363" s="2383">
        <v>0</v>
      </c>
      <c r="I363" s="2383">
        <v>0</v>
      </c>
      <c r="J363" s="2413">
        <v>0</v>
      </c>
      <c r="K363" s="2387"/>
      <c r="L363" s="2381">
        <v>13011970100</v>
      </c>
      <c r="M363" s="2382">
        <v>0</v>
      </c>
      <c r="N363" s="2382">
        <v>0</v>
      </c>
      <c r="O363" s="2382">
        <v>0</v>
      </c>
      <c r="P363" s="626" t="s">
        <v>1851</v>
      </c>
      <c r="Q363" s="321"/>
      <c r="R363" s="189"/>
      <c r="S363" s="445"/>
      <c r="T363" s="560" t="s">
        <v>1122</v>
      </c>
      <c r="U363" s="560" t="s">
        <v>1180</v>
      </c>
      <c r="W363" s="490" t="s">
        <v>1841</v>
      </c>
      <c r="X363" s="490" t="s">
        <v>3279</v>
      </c>
      <c r="AA363" s="27"/>
      <c r="AB363" s="27"/>
      <c r="AC363" s="1038"/>
      <c r="AD363" s="573"/>
    </row>
    <row r="364" spans="3:30" ht="10.5" customHeight="1">
      <c r="C364" s="2388" t="s">
        <v>4862</v>
      </c>
      <c r="D364" s="2385">
        <v>0</v>
      </c>
      <c r="E364" s="2385">
        <v>0</v>
      </c>
      <c r="F364" s="2386">
        <v>0</v>
      </c>
      <c r="G364" s="2412" t="s">
        <v>4862</v>
      </c>
      <c r="H364" s="2383">
        <v>0</v>
      </c>
      <c r="I364" s="2383">
        <v>0</v>
      </c>
      <c r="J364" s="2413">
        <v>0</v>
      </c>
      <c r="K364" s="2387"/>
      <c r="L364" s="2381">
        <v>13011970200</v>
      </c>
      <c r="M364" s="2382">
        <v>0</v>
      </c>
      <c r="N364" s="2382">
        <v>0</v>
      </c>
      <c r="O364" s="2382">
        <v>0</v>
      </c>
      <c r="P364" s="626" t="s">
        <v>1885</v>
      </c>
      <c r="Q364" s="321"/>
      <c r="R364" s="189"/>
      <c r="S364" s="445"/>
      <c r="T364" s="560" t="s">
        <v>2448</v>
      </c>
      <c r="U364" s="560" t="s">
        <v>195</v>
      </c>
      <c r="W364" s="490" t="s">
        <v>2470</v>
      </c>
      <c r="X364" s="490" t="s">
        <v>3279</v>
      </c>
      <c r="AA364" s="27"/>
      <c r="AB364" s="27"/>
      <c r="AC364" s="1038"/>
      <c r="AD364" s="573"/>
    </row>
    <row r="365" spans="3:30" ht="10.5" customHeight="1">
      <c r="C365" s="2388" t="s">
        <v>4863</v>
      </c>
      <c r="D365" s="2385">
        <v>1</v>
      </c>
      <c r="E365" s="2385">
        <v>1</v>
      </c>
      <c r="F365" s="2386">
        <v>2</v>
      </c>
      <c r="G365" s="2412" t="s">
        <v>4863</v>
      </c>
      <c r="H365" s="2383">
        <v>0</v>
      </c>
      <c r="I365" s="2383">
        <v>0</v>
      </c>
      <c r="J365" s="2413">
        <v>0</v>
      </c>
      <c r="K365" s="2387"/>
      <c r="L365" s="2381">
        <v>13011970300</v>
      </c>
      <c r="M365" s="2382">
        <v>1</v>
      </c>
      <c r="N365" s="2382">
        <v>1</v>
      </c>
      <c r="O365" s="2382">
        <v>2</v>
      </c>
      <c r="P365" s="626" t="s">
        <v>1887</v>
      </c>
      <c r="Q365" s="321"/>
      <c r="R365" s="189"/>
      <c r="S365" s="445"/>
      <c r="T365" s="627" t="s">
        <v>446</v>
      </c>
      <c r="U365" s="627" t="s">
        <v>1079</v>
      </c>
      <c r="W365" s="490" t="s">
        <v>1133</v>
      </c>
      <c r="X365" s="490" t="s">
        <v>3279</v>
      </c>
      <c r="AA365" s="27"/>
      <c r="AB365" s="27"/>
      <c r="AC365" s="1038"/>
      <c r="AD365" s="573"/>
    </row>
    <row r="366" spans="3:30" ht="10.5" customHeight="1">
      <c r="C366" s="2388" t="s">
        <v>4864</v>
      </c>
      <c r="D366" s="2385">
        <v>0</v>
      </c>
      <c r="E366" s="2385">
        <v>0</v>
      </c>
      <c r="F366" s="2386">
        <v>0</v>
      </c>
      <c r="G366" s="2412" t="s">
        <v>4864</v>
      </c>
      <c r="H366" s="2383">
        <v>0</v>
      </c>
      <c r="I366" s="2383">
        <v>0</v>
      </c>
      <c r="J366" s="2413">
        <v>0</v>
      </c>
      <c r="K366" s="2387"/>
      <c r="L366" s="2381">
        <v>13011970400</v>
      </c>
      <c r="M366" s="2382">
        <v>0</v>
      </c>
      <c r="N366" s="2382">
        <v>0</v>
      </c>
      <c r="O366" s="2382">
        <v>0</v>
      </c>
      <c r="P366" s="626" t="s">
        <v>1888</v>
      </c>
      <c r="Q366" s="321"/>
      <c r="R366" s="189"/>
      <c r="S366" s="445"/>
      <c r="T366" s="627" t="s">
        <v>4246</v>
      </c>
      <c r="U366" s="627" t="s">
        <v>646</v>
      </c>
      <c r="W366" s="490" t="s">
        <v>2451</v>
      </c>
      <c r="X366" s="490" t="s">
        <v>3279</v>
      </c>
      <c r="AA366" s="27"/>
      <c r="AB366" s="27"/>
      <c r="AC366" s="1039"/>
      <c r="AD366" s="573"/>
    </row>
    <row r="367" spans="3:30" ht="10.5" customHeight="1">
      <c r="C367" s="2388" t="s">
        <v>4865</v>
      </c>
      <c r="D367" s="2385">
        <v>1</v>
      </c>
      <c r="E367" s="2385">
        <v>1</v>
      </c>
      <c r="F367" s="2386">
        <v>2</v>
      </c>
      <c r="G367" s="2412" t="s">
        <v>4865</v>
      </c>
      <c r="H367" s="2383">
        <v>1</v>
      </c>
      <c r="I367" s="2383">
        <v>1</v>
      </c>
      <c r="J367" s="2413">
        <v>2</v>
      </c>
      <c r="K367" s="2387"/>
      <c r="L367" s="2381">
        <v>13013180103</v>
      </c>
      <c r="M367" s="2382">
        <v>1</v>
      </c>
      <c r="N367" s="2382">
        <v>1</v>
      </c>
      <c r="O367" s="2382">
        <v>2</v>
      </c>
      <c r="P367" s="626" t="s">
        <v>1890</v>
      </c>
      <c r="Q367" s="321"/>
      <c r="R367" s="189"/>
      <c r="S367" s="445"/>
      <c r="T367" s="627" t="s">
        <v>296</v>
      </c>
      <c r="U367" s="627" t="s">
        <v>1305</v>
      </c>
      <c r="W367" s="490" t="s">
        <v>796</v>
      </c>
      <c r="X367" s="490" t="s">
        <v>3279</v>
      </c>
      <c r="AA367" s="27"/>
      <c r="AB367" s="27"/>
      <c r="AC367" s="1039"/>
      <c r="AD367" s="573"/>
    </row>
    <row r="368" spans="3:30" ht="10.5" customHeight="1">
      <c r="C368" s="2388" t="s">
        <v>4866</v>
      </c>
      <c r="D368" s="2385">
        <v>0</v>
      </c>
      <c r="E368" s="2385">
        <v>1</v>
      </c>
      <c r="F368" s="2386">
        <v>1</v>
      </c>
      <c r="G368" s="2412" t="s">
        <v>4866</v>
      </c>
      <c r="H368" s="2383">
        <v>0</v>
      </c>
      <c r="I368" s="2383">
        <v>0</v>
      </c>
      <c r="J368" s="2413">
        <v>0</v>
      </c>
      <c r="K368" s="2387"/>
      <c r="L368" s="2381">
        <v>13013180104</v>
      </c>
      <c r="M368" s="2382">
        <v>0</v>
      </c>
      <c r="N368" s="2382">
        <v>1</v>
      </c>
      <c r="O368" s="2382">
        <v>1</v>
      </c>
      <c r="P368" s="626" t="s">
        <v>1892</v>
      </c>
      <c r="Q368" s="321"/>
      <c r="R368" s="189"/>
      <c r="S368" s="445"/>
      <c r="T368" s="560" t="s">
        <v>1778</v>
      </c>
      <c r="U368" s="560" t="s">
        <v>857</v>
      </c>
      <c r="W368" s="490" t="s">
        <v>2054</v>
      </c>
      <c r="X368" s="490" t="s">
        <v>3279</v>
      </c>
      <c r="AA368" s="27"/>
      <c r="AB368" s="27"/>
      <c r="AC368" s="1039"/>
      <c r="AD368" s="573"/>
    </row>
    <row r="369" spans="3:30" ht="10.5" customHeight="1">
      <c r="C369" s="2388" t="s">
        <v>4867</v>
      </c>
      <c r="D369" s="2385">
        <v>0</v>
      </c>
      <c r="E369" s="2385">
        <v>1</v>
      </c>
      <c r="F369" s="2386">
        <v>1</v>
      </c>
      <c r="G369" s="2412" t="s">
        <v>4867</v>
      </c>
      <c r="H369" s="2383">
        <v>1</v>
      </c>
      <c r="I369" s="2383">
        <v>0</v>
      </c>
      <c r="J369" s="2413">
        <v>1</v>
      </c>
      <c r="K369" s="2387"/>
      <c r="L369" s="2381">
        <v>13013180105</v>
      </c>
      <c r="M369" s="2382">
        <v>1</v>
      </c>
      <c r="N369" s="2382">
        <v>1</v>
      </c>
      <c r="O369" s="2382">
        <v>1</v>
      </c>
      <c r="P369" s="626" t="s">
        <v>411</v>
      </c>
      <c r="Q369" s="321"/>
      <c r="R369" s="189"/>
      <c r="S369" s="445"/>
      <c r="T369" s="560" t="s">
        <v>1780</v>
      </c>
      <c r="U369" s="560" t="s">
        <v>1089</v>
      </c>
      <c r="W369" s="490" t="s">
        <v>917</v>
      </c>
      <c r="X369" s="490" t="s">
        <v>3279</v>
      </c>
      <c r="AA369" s="27"/>
      <c r="AB369" s="27"/>
      <c r="AC369" s="1038"/>
      <c r="AD369" s="573"/>
    </row>
    <row r="370" spans="3:30" ht="10.5" customHeight="1">
      <c r="C370" s="2388" t="s">
        <v>4868</v>
      </c>
      <c r="D370" s="2385">
        <v>0</v>
      </c>
      <c r="E370" s="2385">
        <v>1</v>
      </c>
      <c r="F370" s="2386">
        <v>1</v>
      </c>
      <c r="G370" s="2412" t="s">
        <v>4868</v>
      </c>
      <c r="H370" s="2383">
        <v>1</v>
      </c>
      <c r="I370" s="2383">
        <v>0</v>
      </c>
      <c r="J370" s="2413">
        <v>1</v>
      </c>
      <c r="K370" s="2387"/>
      <c r="L370" s="2381">
        <v>13013180106</v>
      </c>
      <c r="M370" s="2382">
        <v>1</v>
      </c>
      <c r="N370" s="2382">
        <v>1</v>
      </c>
      <c r="O370" s="2382">
        <v>1</v>
      </c>
      <c r="P370" s="626" t="s">
        <v>130</v>
      </c>
      <c r="Q370" s="321"/>
      <c r="R370" s="189"/>
      <c r="S370" s="445"/>
      <c r="T370" s="627" t="s">
        <v>1845</v>
      </c>
      <c r="U370" s="627" t="s">
        <v>2425</v>
      </c>
      <c r="W370" s="490" t="s">
        <v>2437</v>
      </c>
      <c r="X370" s="490" t="s">
        <v>3279</v>
      </c>
      <c r="AA370" s="27"/>
      <c r="AB370" s="27"/>
      <c r="AC370" s="1038"/>
      <c r="AD370" s="573"/>
    </row>
    <row r="371" spans="3:30" ht="10.5" customHeight="1">
      <c r="C371" s="2388" t="s">
        <v>4869</v>
      </c>
      <c r="D371" s="2385">
        <v>0</v>
      </c>
      <c r="E371" s="2385">
        <v>0</v>
      </c>
      <c r="F371" s="2386">
        <v>0</v>
      </c>
      <c r="G371" s="2412" t="s">
        <v>4869</v>
      </c>
      <c r="H371" s="2383">
        <v>0</v>
      </c>
      <c r="I371" s="2383">
        <v>0</v>
      </c>
      <c r="J371" s="2413">
        <v>0</v>
      </c>
      <c r="K371" s="2387"/>
      <c r="L371" s="2381">
        <v>13013180107</v>
      </c>
      <c r="M371" s="2382">
        <v>0</v>
      </c>
      <c r="N371" s="2382">
        <v>0</v>
      </c>
      <c r="O371" s="2382">
        <v>0</v>
      </c>
      <c r="P371" s="626" t="s">
        <v>1632</v>
      </c>
      <c r="Q371" s="321"/>
      <c r="R371" s="189"/>
      <c r="S371" s="445"/>
      <c r="T371" s="560" t="s">
        <v>1848</v>
      </c>
      <c r="U371" s="560" t="s">
        <v>644</v>
      </c>
      <c r="W371" s="490" t="s">
        <v>1858</v>
      </c>
      <c r="X371" s="490" t="s">
        <v>3279</v>
      </c>
      <c r="AA371" s="27"/>
      <c r="AB371" s="27"/>
      <c r="AC371" s="1039"/>
      <c r="AD371" s="573"/>
    </row>
    <row r="372" spans="3:30" ht="10.5" customHeight="1">
      <c r="C372" s="2388" t="s">
        <v>4870</v>
      </c>
      <c r="D372" s="2385">
        <v>0</v>
      </c>
      <c r="E372" s="2385">
        <v>1</v>
      </c>
      <c r="F372" s="2386">
        <v>1</v>
      </c>
      <c r="G372" s="2412" t="s">
        <v>4870</v>
      </c>
      <c r="H372" s="2383">
        <v>0</v>
      </c>
      <c r="I372" s="2383">
        <v>0</v>
      </c>
      <c r="J372" s="2413">
        <v>0</v>
      </c>
      <c r="K372" s="2387"/>
      <c r="L372" s="2381">
        <v>13013180108</v>
      </c>
      <c r="M372" s="2382">
        <v>0</v>
      </c>
      <c r="N372" s="2382">
        <v>1</v>
      </c>
      <c r="O372" s="2382">
        <v>1</v>
      </c>
      <c r="P372" s="626" t="s">
        <v>1705</v>
      </c>
      <c r="Q372" s="321"/>
      <c r="R372" s="189"/>
      <c r="S372" s="445"/>
      <c r="T372" s="560" t="s">
        <v>1850</v>
      </c>
      <c r="U372" s="560" t="s">
        <v>1287</v>
      </c>
      <c r="W372" s="490" t="s">
        <v>1386</v>
      </c>
      <c r="X372" s="490" t="s">
        <v>3279</v>
      </c>
      <c r="AA372" s="27"/>
      <c r="AB372" s="27"/>
      <c r="AC372" s="1038"/>
      <c r="AD372" s="573"/>
    </row>
    <row r="373" spans="3:30" ht="10.5" customHeight="1">
      <c r="C373" s="2388" t="s">
        <v>4871</v>
      </c>
      <c r="D373" s="2385">
        <v>0</v>
      </c>
      <c r="E373" s="2385">
        <v>0</v>
      </c>
      <c r="F373" s="2386">
        <v>0</v>
      </c>
      <c r="G373" s="2412" t="s">
        <v>4871</v>
      </c>
      <c r="H373" s="2383">
        <v>0</v>
      </c>
      <c r="I373" s="2383">
        <v>0</v>
      </c>
      <c r="J373" s="2413">
        <v>0</v>
      </c>
      <c r="K373" s="2387"/>
      <c r="L373" s="2381">
        <v>13013180203</v>
      </c>
      <c r="M373" s="2382">
        <v>0</v>
      </c>
      <c r="N373" s="2382">
        <v>0</v>
      </c>
      <c r="O373" s="2382">
        <v>0</v>
      </c>
      <c r="P373" s="626" t="s">
        <v>2220</v>
      </c>
      <c r="Q373" s="321"/>
      <c r="R373" s="189"/>
      <c r="S373" s="445"/>
      <c r="T373" s="560" t="s">
        <v>2758</v>
      </c>
      <c r="U373" s="560" t="s">
        <v>195</v>
      </c>
      <c r="W373" s="490" t="s">
        <v>2200</v>
      </c>
      <c r="X373" s="490" t="s">
        <v>3279</v>
      </c>
      <c r="AA373" s="27"/>
      <c r="AB373" s="27"/>
      <c r="AC373" s="1038"/>
      <c r="AD373" s="573"/>
    </row>
    <row r="374" spans="3:30" ht="10.5" customHeight="1">
      <c r="C374" s="2388" t="s">
        <v>4872</v>
      </c>
      <c r="D374" s="2385">
        <v>0</v>
      </c>
      <c r="E374" s="2385">
        <v>0</v>
      </c>
      <c r="F374" s="2386">
        <v>0</v>
      </c>
      <c r="G374" s="2412" t="s">
        <v>4872</v>
      </c>
      <c r="H374" s="2383">
        <v>0</v>
      </c>
      <c r="I374" s="2383">
        <v>0</v>
      </c>
      <c r="J374" s="2413">
        <v>0</v>
      </c>
      <c r="K374" s="2387"/>
      <c r="L374" s="2381">
        <v>13013180204</v>
      </c>
      <c r="M374" s="2382">
        <v>0</v>
      </c>
      <c r="N374" s="2382">
        <v>0</v>
      </c>
      <c r="O374" s="2382">
        <v>0</v>
      </c>
      <c r="P374" s="626" t="s">
        <v>2222</v>
      </c>
      <c r="Q374" s="321"/>
      <c r="R374" s="189"/>
      <c r="S374" s="445"/>
      <c r="T374" s="560" t="s">
        <v>1852</v>
      </c>
      <c r="U374" s="560" t="s">
        <v>1290</v>
      </c>
      <c r="W374" s="490" t="s">
        <v>2202</v>
      </c>
      <c r="X374" s="490" t="s">
        <v>3279</v>
      </c>
      <c r="AA374" s="27"/>
      <c r="AB374" s="27"/>
      <c r="AC374" s="1038"/>
      <c r="AD374" s="573"/>
    </row>
    <row r="375" spans="3:30" ht="10.5" customHeight="1">
      <c r="C375" s="2388" t="s">
        <v>4873</v>
      </c>
      <c r="D375" s="2385">
        <v>0</v>
      </c>
      <c r="E375" s="2385">
        <v>0</v>
      </c>
      <c r="F375" s="2386">
        <v>0</v>
      </c>
      <c r="G375" s="2412" t="s">
        <v>4873</v>
      </c>
      <c r="H375" s="2383">
        <v>0</v>
      </c>
      <c r="I375" s="2383">
        <v>0</v>
      </c>
      <c r="J375" s="2413">
        <v>0</v>
      </c>
      <c r="K375" s="2387"/>
      <c r="L375" s="2381">
        <v>13013180205</v>
      </c>
      <c r="M375" s="2382">
        <v>0</v>
      </c>
      <c r="N375" s="2382">
        <v>0</v>
      </c>
      <c r="O375" s="2382">
        <v>0</v>
      </c>
      <c r="P375" s="626" t="s">
        <v>970</v>
      </c>
      <c r="Q375" s="321"/>
      <c r="R375" s="189"/>
      <c r="S375" s="445"/>
      <c r="T375" s="560" t="s">
        <v>1886</v>
      </c>
      <c r="U375" s="560" t="s">
        <v>313</v>
      </c>
      <c r="W375" s="490" t="s">
        <v>1094</v>
      </c>
      <c r="X375" s="490" t="s">
        <v>3279</v>
      </c>
      <c r="AA375" s="27"/>
      <c r="AB375" s="27"/>
      <c r="AC375" s="1038"/>
      <c r="AD375" s="573"/>
    </row>
    <row r="376" spans="3:30" ht="10.5" customHeight="1">
      <c r="C376" s="2388" t="s">
        <v>4874</v>
      </c>
      <c r="D376" s="2385">
        <v>1</v>
      </c>
      <c r="E376" s="2385">
        <v>1</v>
      </c>
      <c r="F376" s="2386">
        <v>2</v>
      </c>
      <c r="G376" s="2412" t="s">
        <v>4874</v>
      </c>
      <c r="H376" s="2383">
        <v>1</v>
      </c>
      <c r="I376" s="2383">
        <v>0</v>
      </c>
      <c r="J376" s="2413">
        <v>1</v>
      </c>
      <c r="K376" s="2387"/>
      <c r="L376" s="2381">
        <v>13013180206</v>
      </c>
      <c r="M376" s="2382">
        <v>1</v>
      </c>
      <c r="N376" s="2382">
        <v>1</v>
      </c>
      <c r="O376" s="2382">
        <v>2</v>
      </c>
      <c r="P376" s="626" t="s">
        <v>659</v>
      </c>
      <c r="Q376" s="321"/>
      <c r="R376" s="189"/>
      <c r="S376" s="445"/>
      <c r="T376" s="560" t="s">
        <v>2759</v>
      </c>
      <c r="U376" s="560" t="s">
        <v>637</v>
      </c>
      <c r="W376" s="490" t="s">
        <v>2075</v>
      </c>
      <c r="X376" s="490" t="s">
        <v>3279</v>
      </c>
      <c r="AA376" s="27"/>
      <c r="AB376" s="27"/>
      <c r="AC376" s="1038"/>
      <c r="AD376" s="573"/>
    </row>
    <row r="377" spans="3:30" ht="10.5" customHeight="1">
      <c r="C377" s="2388" t="s">
        <v>4875</v>
      </c>
      <c r="D377" s="2385">
        <v>1</v>
      </c>
      <c r="E377" s="2385">
        <v>1</v>
      </c>
      <c r="F377" s="2386">
        <v>2</v>
      </c>
      <c r="G377" s="2412" t="s">
        <v>4875</v>
      </c>
      <c r="H377" s="2383">
        <v>1</v>
      </c>
      <c r="I377" s="2383">
        <v>0</v>
      </c>
      <c r="J377" s="2413">
        <v>1</v>
      </c>
      <c r="K377" s="2387"/>
      <c r="L377" s="2381">
        <v>13013180301</v>
      </c>
      <c r="M377" s="2382">
        <v>1</v>
      </c>
      <c r="N377" s="2382">
        <v>1</v>
      </c>
      <c r="O377" s="2382">
        <v>2</v>
      </c>
      <c r="P377" s="626" t="s">
        <v>552</v>
      </c>
      <c r="Q377" s="321"/>
      <c r="R377" s="189"/>
      <c r="S377" s="445"/>
      <c r="T377" s="560" t="s">
        <v>1889</v>
      </c>
      <c r="U377" s="560" t="s">
        <v>2519</v>
      </c>
      <c r="W377" s="490" t="s">
        <v>2076</v>
      </c>
      <c r="X377" s="490" t="s">
        <v>3279</v>
      </c>
      <c r="AA377" s="27"/>
      <c r="AB377" s="27"/>
      <c r="AC377" s="1038"/>
      <c r="AD377" s="573"/>
    </row>
    <row r="378" spans="3:30" ht="10.5" customHeight="1">
      <c r="C378" s="2388" t="s">
        <v>4876</v>
      </c>
      <c r="D378" s="2385">
        <v>1</v>
      </c>
      <c r="E378" s="2385">
        <v>1</v>
      </c>
      <c r="F378" s="2386">
        <v>2</v>
      </c>
      <c r="G378" s="2412" t="s">
        <v>4876</v>
      </c>
      <c r="H378" s="2383">
        <v>1</v>
      </c>
      <c r="I378" s="2383">
        <v>1</v>
      </c>
      <c r="J378" s="2413">
        <v>2</v>
      </c>
      <c r="K378" s="2387"/>
      <c r="L378" s="2381">
        <v>13013180302</v>
      </c>
      <c r="M378" s="2382">
        <v>1</v>
      </c>
      <c r="N378" s="2382">
        <v>1</v>
      </c>
      <c r="O378" s="2382">
        <v>2</v>
      </c>
      <c r="P378" s="626" t="s">
        <v>655</v>
      </c>
      <c r="Q378" s="321"/>
      <c r="R378" s="189"/>
      <c r="S378" s="445"/>
      <c r="T378" s="560" t="s">
        <v>1891</v>
      </c>
      <c r="U378" s="560" t="s">
        <v>1287</v>
      </c>
      <c r="W378" s="490" t="s">
        <v>2077</v>
      </c>
      <c r="X378" s="490" t="s">
        <v>3279</v>
      </c>
      <c r="AA378" s="27"/>
      <c r="AB378" s="27"/>
      <c r="AC378" s="1038"/>
      <c r="AD378" s="573"/>
    </row>
    <row r="379" spans="3:30" ht="10.5" customHeight="1">
      <c r="C379" s="2388" t="s">
        <v>4877</v>
      </c>
      <c r="D379" s="2385">
        <v>1</v>
      </c>
      <c r="E379" s="2385">
        <v>1</v>
      </c>
      <c r="F379" s="2386">
        <v>2</v>
      </c>
      <c r="G379" s="2412" t="s">
        <v>4877</v>
      </c>
      <c r="H379" s="2383">
        <v>0</v>
      </c>
      <c r="I379" s="2383">
        <v>0</v>
      </c>
      <c r="J379" s="2413">
        <v>0</v>
      </c>
      <c r="K379" s="2387"/>
      <c r="L379" s="2381">
        <v>13013180303</v>
      </c>
      <c r="M379" s="2382">
        <v>1</v>
      </c>
      <c r="N379" s="2382">
        <v>1</v>
      </c>
      <c r="O379" s="2382">
        <v>2</v>
      </c>
      <c r="P379" s="626" t="s">
        <v>2325</v>
      </c>
      <c r="Q379" s="321"/>
      <c r="R379" s="189"/>
      <c r="S379" s="445"/>
      <c r="T379" s="560" t="s">
        <v>2187</v>
      </c>
      <c r="U379" s="560" t="s">
        <v>2462</v>
      </c>
      <c r="W379" s="490" t="s">
        <v>2273</v>
      </c>
      <c r="X379" s="490" t="s">
        <v>3279</v>
      </c>
      <c r="AA379" s="27"/>
      <c r="AB379" s="27"/>
      <c r="AC379" s="1038"/>
      <c r="AD379" s="573"/>
    </row>
    <row r="380" spans="3:30" ht="10.5" customHeight="1">
      <c r="C380" s="2388" t="s">
        <v>4878</v>
      </c>
      <c r="D380" s="2385">
        <v>1</v>
      </c>
      <c r="E380" s="2385">
        <v>1</v>
      </c>
      <c r="F380" s="2386">
        <v>2</v>
      </c>
      <c r="G380" s="2412" t="s">
        <v>4878</v>
      </c>
      <c r="H380" s="2383">
        <v>0</v>
      </c>
      <c r="I380" s="2383">
        <v>1</v>
      </c>
      <c r="J380" s="2413">
        <v>1</v>
      </c>
      <c r="K380" s="2387"/>
      <c r="L380" s="2381">
        <v>13013180401</v>
      </c>
      <c r="M380" s="2382">
        <v>1</v>
      </c>
      <c r="N380" s="2382">
        <v>1</v>
      </c>
      <c r="O380" s="2382">
        <v>2</v>
      </c>
      <c r="P380" s="626" t="s">
        <v>214</v>
      </c>
      <c r="Q380" s="321"/>
      <c r="R380" s="189"/>
      <c r="S380" s="445"/>
      <c r="T380" s="560" t="s">
        <v>2507</v>
      </c>
      <c r="U380" s="560" t="s">
        <v>2122</v>
      </c>
      <c r="W380" s="490" t="s">
        <v>2275</v>
      </c>
      <c r="X380" s="490" t="s">
        <v>3279</v>
      </c>
      <c r="AA380" s="27"/>
      <c r="AB380" s="27"/>
      <c r="AC380" s="1038"/>
      <c r="AD380" s="573"/>
    </row>
    <row r="381" spans="3:30" ht="10.5" customHeight="1">
      <c r="C381" s="2388" t="s">
        <v>4879</v>
      </c>
      <c r="D381" s="2385">
        <v>0</v>
      </c>
      <c r="E381" s="2385">
        <v>0</v>
      </c>
      <c r="F381" s="2386">
        <v>0</v>
      </c>
      <c r="G381" s="2412" t="s">
        <v>4879</v>
      </c>
      <c r="H381" s="2383">
        <v>0</v>
      </c>
      <c r="I381" s="2383">
        <v>0</v>
      </c>
      <c r="J381" s="2413">
        <v>0</v>
      </c>
      <c r="K381" s="2387"/>
      <c r="L381" s="2381">
        <v>13013180402</v>
      </c>
      <c r="M381" s="2382">
        <v>0</v>
      </c>
      <c r="N381" s="2382">
        <v>0</v>
      </c>
      <c r="O381" s="2382">
        <v>0</v>
      </c>
      <c r="P381" s="626" t="s">
        <v>761</v>
      </c>
      <c r="Q381" s="321"/>
      <c r="R381" s="189"/>
      <c r="S381" s="445"/>
      <c r="T381" s="560" t="s">
        <v>2508</v>
      </c>
      <c r="U381" s="560" t="s">
        <v>2422</v>
      </c>
      <c r="W381" s="490" t="s">
        <v>2203</v>
      </c>
      <c r="X381" s="490" t="s">
        <v>3279</v>
      </c>
      <c r="AA381" s="27"/>
      <c r="AB381" s="27"/>
      <c r="AC381" s="1038"/>
      <c r="AD381" s="573"/>
    </row>
    <row r="382" spans="3:30" ht="10.5" customHeight="1">
      <c r="C382" s="2388" t="s">
        <v>4880</v>
      </c>
      <c r="D382" s="2385">
        <v>1</v>
      </c>
      <c r="E382" s="2385">
        <v>1</v>
      </c>
      <c r="F382" s="2386">
        <v>2</v>
      </c>
      <c r="G382" s="2412" t="s">
        <v>4880</v>
      </c>
      <c r="H382" s="2383">
        <v>1</v>
      </c>
      <c r="I382" s="2383" t="s">
        <v>4493</v>
      </c>
      <c r="J382" s="2413">
        <v>1</v>
      </c>
      <c r="K382" s="2387"/>
      <c r="L382" s="2381">
        <v>13013180501</v>
      </c>
      <c r="M382" s="2382">
        <v>1</v>
      </c>
      <c r="N382" s="2382">
        <v>1</v>
      </c>
      <c r="O382" s="2382">
        <v>2</v>
      </c>
      <c r="P382" s="626" t="s">
        <v>762</v>
      </c>
      <c r="Q382" s="321"/>
      <c r="R382" s="189"/>
      <c r="S382" s="445"/>
      <c r="T382" s="627" t="s">
        <v>412</v>
      </c>
      <c r="U382" s="627" t="s">
        <v>1180</v>
      </c>
      <c r="W382" s="490" t="s">
        <v>1594</v>
      </c>
      <c r="X382" s="490" t="s">
        <v>3279</v>
      </c>
      <c r="AA382" s="27"/>
      <c r="AB382" s="27"/>
      <c r="AC382" s="1038"/>
      <c r="AD382" s="573"/>
    </row>
    <row r="383" spans="3:30" ht="10.5" customHeight="1">
      <c r="C383" s="2388" t="s">
        <v>4881</v>
      </c>
      <c r="D383" s="2385">
        <v>1</v>
      </c>
      <c r="E383" s="2385">
        <v>1</v>
      </c>
      <c r="F383" s="2386">
        <v>2</v>
      </c>
      <c r="G383" s="2412" t="s">
        <v>4881</v>
      </c>
      <c r="H383" s="2383">
        <v>1</v>
      </c>
      <c r="I383" s="2383">
        <v>0</v>
      </c>
      <c r="J383" s="2413">
        <v>1</v>
      </c>
      <c r="K383" s="2387"/>
      <c r="L383" s="2381">
        <v>13013180502</v>
      </c>
      <c r="M383" s="2382">
        <v>1</v>
      </c>
      <c r="N383" s="2382">
        <v>1</v>
      </c>
      <c r="O383" s="2382">
        <v>2</v>
      </c>
      <c r="P383" s="626" t="s">
        <v>226</v>
      </c>
      <c r="Q383" s="321"/>
      <c r="R383" s="189"/>
      <c r="S383" s="445"/>
      <c r="T383" s="560" t="s">
        <v>222</v>
      </c>
      <c r="U383" s="560" t="s">
        <v>649</v>
      </c>
      <c r="W383" s="490" t="s">
        <v>1644</v>
      </c>
      <c r="X383" s="490" t="s">
        <v>3279</v>
      </c>
      <c r="AA383" s="27"/>
      <c r="AB383" s="27"/>
      <c r="AC383" s="1039"/>
      <c r="AD383" s="573"/>
    </row>
    <row r="384" spans="3:30" ht="10.5" customHeight="1">
      <c r="C384" s="2388" t="s">
        <v>4882</v>
      </c>
      <c r="D384" s="2385">
        <v>1</v>
      </c>
      <c r="E384" s="2385">
        <v>1</v>
      </c>
      <c r="F384" s="2386">
        <v>2</v>
      </c>
      <c r="G384" s="2412" t="s">
        <v>4882</v>
      </c>
      <c r="H384" s="2383">
        <v>1</v>
      </c>
      <c r="I384" s="2383">
        <v>1</v>
      </c>
      <c r="J384" s="2413">
        <v>2</v>
      </c>
      <c r="K384" s="2387"/>
      <c r="L384" s="2381">
        <v>13013180503</v>
      </c>
      <c r="M384" s="2382">
        <v>1</v>
      </c>
      <c r="N384" s="2382">
        <v>1</v>
      </c>
      <c r="O384" s="2382">
        <v>2</v>
      </c>
      <c r="P384" s="626" t="s">
        <v>228</v>
      </c>
      <c r="Q384" s="321"/>
      <c r="R384" s="189"/>
      <c r="S384" s="445"/>
      <c r="T384" s="560" t="s">
        <v>2509</v>
      </c>
      <c r="U384" s="560" t="s">
        <v>1960</v>
      </c>
      <c r="W384" s="490" t="s">
        <v>1055</v>
      </c>
      <c r="X384" s="490" t="s">
        <v>3279</v>
      </c>
      <c r="AA384" s="27"/>
      <c r="AB384" s="27"/>
      <c r="AC384" s="1038"/>
      <c r="AD384" s="573"/>
    </row>
    <row r="385" spans="3:30" ht="10.5" customHeight="1">
      <c r="C385" s="2388" t="s">
        <v>4883</v>
      </c>
      <c r="D385" s="2385">
        <v>1</v>
      </c>
      <c r="E385" s="2385">
        <v>1</v>
      </c>
      <c r="F385" s="2386">
        <v>2</v>
      </c>
      <c r="G385" s="2412" t="s">
        <v>4883</v>
      </c>
      <c r="H385" s="2383">
        <v>1</v>
      </c>
      <c r="I385" s="2383">
        <v>1</v>
      </c>
      <c r="J385" s="2413">
        <v>2</v>
      </c>
      <c r="K385" s="2387"/>
      <c r="L385" s="2381">
        <v>13015960101</v>
      </c>
      <c r="M385" s="2382">
        <v>1</v>
      </c>
      <c r="N385" s="2382">
        <v>1</v>
      </c>
      <c r="O385" s="2382">
        <v>2</v>
      </c>
      <c r="P385" s="626" t="s">
        <v>230</v>
      </c>
      <c r="Q385" s="321"/>
      <c r="R385" s="189"/>
      <c r="S385" s="445"/>
      <c r="T385" s="560" t="s">
        <v>1633</v>
      </c>
      <c r="U385" s="560" t="s">
        <v>2420</v>
      </c>
      <c r="W385" s="490" t="s">
        <v>1651</v>
      </c>
      <c r="X385" s="490" t="s">
        <v>3279</v>
      </c>
      <c r="AA385" s="27"/>
      <c r="AB385" s="27"/>
      <c r="AC385" s="1038"/>
      <c r="AD385" s="573"/>
    </row>
    <row r="386" spans="3:30" ht="10.5" customHeight="1">
      <c r="C386" s="2388" t="s">
        <v>4884</v>
      </c>
      <c r="D386" s="2385">
        <v>1</v>
      </c>
      <c r="E386" s="2385">
        <v>1</v>
      </c>
      <c r="F386" s="2386">
        <v>2</v>
      </c>
      <c r="G386" s="2412" t="s">
        <v>4884</v>
      </c>
      <c r="H386" s="2383">
        <v>1</v>
      </c>
      <c r="I386" s="2383">
        <v>1</v>
      </c>
      <c r="J386" s="2413">
        <v>2</v>
      </c>
      <c r="K386" s="2387"/>
      <c r="L386" s="2381">
        <v>13015960102</v>
      </c>
      <c r="M386" s="2382">
        <v>1</v>
      </c>
      <c r="N386" s="2382">
        <v>1</v>
      </c>
      <c r="O386" s="2382">
        <v>2</v>
      </c>
      <c r="P386" s="626" t="s">
        <v>765</v>
      </c>
      <c r="Q386" s="321"/>
      <c r="R386" s="189"/>
      <c r="S386" s="445"/>
      <c r="T386" s="560" t="s">
        <v>2221</v>
      </c>
      <c r="U386" s="560" t="s">
        <v>639</v>
      </c>
      <c r="W386" s="490" t="s">
        <v>1652</v>
      </c>
      <c r="X386" s="490" t="s">
        <v>3279</v>
      </c>
      <c r="AA386" s="27"/>
      <c r="AB386" s="27"/>
      <c r="AC386" s="1038"/>
      <c r="AD386" s="573"/>
    </row>
    <row r="387" spans="3:30" ht="10.5" customHeight="1">
      <c r="C387" s="2388" t="s">
        <v>4885</v>
      </c>
      <c r="D387" s="2385">
        <v>0</v>
      </c>
      <c r="E387" s="2385">
        <v>1</v>
      </c>
      <c r="F387" s="2386">
        <v>1</v>
      </c>
      <c r="G387" s="2412" t="s">
        <v>4885</v>
      </c>
      <c r="H387" s="2383">
        <v>1</v>
      </c>
      <c r="I387" s="2383">
        <v>0</v>
      </c>
      <c r="J387" s="2413">
        <v>1</v>
      </c>
      <c r="K387" s="2387"/>
      <c r="L387" s="2381">
        <v>13015960200</v>
      </c>
      <c r="M387" s="2382">
        <v>1</v>
      </c>
      <c r="N387" s="2382">
        <v>1</v>
      </c>
      <c r="O387" s="2382">
        <v>1</v>
      </c>
      <c r="P387" s="626" t="s">
        <v>766</v>
      </c>
      <c r="Q387" s="321"/>
      <c r="R387" s="189"/>
      <c r="S387" s="445"/>
      <c r="T387" s="560" t="s">
        <v>2223</v>
      </c>
      <c r="U387" s="560" t="s">
        <v>1288</v>
      </c>
      <c r="W387" s="490" t="s">
        <v>1654</v>
      </c>
      <c r="X387" s="490" t="s">
        <v>3279</v>
      </c>
      <c r="AA387" s="27"/>
      <c r="AB387" s="27"/>
      <c r="AC387" s="1038"/>
      <c r="AD387" s="573"/>
    </row>
    <row r="388" spans="3:30" ht="10.5" customHeight="1">
      <c r="C388" s="2388" t="s">
        <v>4886</v>
      </c>
      <c r="D388" s="2385">
        <v>1</v>
      </c>
      <c r="E388" s="2385">
        <v>1</v>
      </c>
      <c r="F388" s="2386">
        <v>2</v>
      </c>
      <c r="G388" s="2412" t="s">
        <v>4886</v>
      </c>
      <c r="H388" s="2383">
        <v>1</v>
      </c>
      <c r="I388" s="2383">
        <v>1</v>
      </c>
      <c r="J388" s="2413">
        <v>2</v>
      </c>
      <c r="K388" s="2387"/>
      <c r="L388" s="2381">
        <v>13015960300</v>
      </c>
      <c r="M388" s="2382">
        <v>1</v>
      </c>
      <c r="N388" s="2382">
        <v>1</v>
      </c>
      <c r="O388" s="2382">
        <v>2</v>
      </c>
      <c r="P388" s="626" t="s">
        <v>768</v>
      </c>
      <c r="Q388" s="321"/>
      <c r="R388" s="189"/>
      <c r="S388" s="445"/>
      <c r="T388" s="560" t="s">
        <v>971</v>
      </c>
      <c r="U388" s="560" t="s">
        <v>1427</v>
      </c>
      <c r="W388" s="490" t="s">
        <v>1657</v>
      </c>
      <c r="X388" s="490" t="s">
        <v>3279</v>
      </c>
      <c r="AA388" s="27"/>
      <c r="AB388" s="27"/>
      <c r="AC388" s="1038"/>
      <c r="AD388" s="573"/>
    </row>
    <row r="389" spans="3:30" ht="10.5" customHeight="1">
      <c r="C389" s="2388" t="s">
        <v>4887</v>
      </c>
      <c r="D389" s="2385">
        <v>1</v>
      </c>
      <c r="E389" s="2385">
        <v>1</v>
      </c>
      <c r="F389" s="2386">
        <v>2</v>
      </c>
      <c r="G389" s="2412" t="s">
        <v>4887</v>
      </c>
      <c r="H389" s="2383">
        <v>1</v>
      </c>
      <c r="I389" s="2383">
        <v>0</v>
      </c>
      <c r="J389" s="2413">
        <v>1</v>
      </c>
      <c r="K389" s="2387"/>
      <c r="L389" s="2381">
        <v>13015960401</v>
      </c>
      <c r="M389" s="2382">
        <v>1</v>
      </c>
      <c r="N389" s="2382">
        <v>1</v>
      </c>
      <c r="O389" s="2382">
        <v>2</v>
      </c>
      <c r="P389" s="626" t="s">
        <v>1521</v>
      </c>
      <c r="Q389" s="321"/>
      <c r="R389" s="189"/>
      <c r="S389" s="445"/>
      <c r="T389" s="560" t="s">
        <v>553</v>
      </c>
      <c r="U389" s="560" t="s">
        <v>1304</v>
      </c>
      <c r="W389" s="490" t="s">
        <v>1659</v>
      </c>
      <c r="X389" s="490" t="s">
        <v>3279</v>
      </c>
      <c r="AA389" s="27"/>
      <c r="AB389" s="27"/>
      <c r="AC389" s="1038"/>
      <c r="AD389" s="573"/>
    </row>
    <row r="390" spans="3:30" ht="10.5" customHeight="1">
      <c r="C390" s="2388" t="s">
        <v>4888</v>
      </c>
      <c r="D390" s="2385">
        <v>0</v>
      </c>
      <c r="E390" s="2385">
        <v>1</v>
      </c>
      <c r="F390" s="2386">
        <v>1</v>
      </c>
      <c r="G390" s="2412" t="s">
        <v>4888</v>
      </c>
      <c r="H390" s="2383">
        <v>0</v>
      </c>
      <c r="I390" s="2383">
        <v>0</v>
      </c>
      <c r="J390" s="2413">
        <v>0</v>
      </c>
      <c r="K390" s="2387"/>
      <c r="L390" s="2381">
        <v>13015960402</v>
      </c>
      <c r="M390" s="2382">
        <v>0</v>
      </c>
      <c r="N390" s="2382">
        <v>1</v>
      </c>
      <c r="O390" s="2382">
        <v>1</v>
      </c>
      <c r="P390" s="626" t="s">
        <v>1194</v>
      </c>
      <c r="Q390" s="321"/>
      <c r="R390" s="189"/>
      <c r="S390" s="445"/>
      <c r="T390" s="560" t="s">
        <v>656</v>
      </c>
      <c r="U390" s="560" t="s">
        <v>306</v>
      </c>
      <c r="W390" s="490" t="s">
        <v>1660</v>
      </c>
      <c r="X390" s="490" t="s">
        <v>3279</v>
      </c>
      <c r="AA390" s="27"/>
      <c r="AB390" s="27"/>
      <c r="AC390" s="1038"/>
      <c r="AD390" s="573"/>
    </row>
    <row r="391" spans="3:30" ht="10.5" customHeight="1">
      <c r="C391" s="2388" t="s">
        <v>4889</v>
      </c>
      <c r="D391" s="2385">
        <v>0</v>
      </c>
      <c r="E391" s="2385">
        <v>0</v>
      </c>
      <c r="F391" s="2386">
        <v>0</v>
      </c>
      <c r="G391" s="2412" t="s">
        <v>4889</v>
      </c>
      <c r="H391" s="2383">
        <v>0</v>
      </c>
      <c r="I391" s="2383">
        <v>0</v>
      </c>
      <c r="J391" s="2413">
        <v>0</v>
      </c>
      <c r="K391" s="2387"/>
      <c r="L391" s="2381">
        <v>13015960500</v>
      </c>
      <c r="M391" s="2382">
        <v>0</v>
      </c>
      <c r="N391" s="2382">
        <v>0</v>
      </c>
      <c r="O391" s="2382">
        <v>0</v>
      </c>
      <c r="P391" s="626" t="s">
        <v>1196</v>
      </c>
      <c r="Q391" s="321"/>
      <c r="R391" s="189"/>
      <c r="S391" s="445"/>
      <c r="T391" s="560" t="s">
        <v>2326</v>
      </c>
      <c r="U391" s="560" t="s">
        <v>153</v>
      </c>
      <c r="W391" s="490" t="s">
        <v>1662</v>
      </c>
      <c r="X391" s="490" t="s">
        <v>3279</v>
      </c>
      <c r="AA391" s="27"/>
      <c r="AB391" s="27"/>
      <c r="AC391" s="1038"/>
      <c r="AD391" s="573"/>
    </row>
    <row r="392" spans="3:30" ht="10.5" customHeight="1">
      <c r="C392" s="2388" t="s">
        <v>4890</v>
      </c>
      <c r="D392" s="2385">
        <v>0</v>
      </c>
      <c r="E392" s="2385">
        <v>0</v>
      </c>
      <c r="F392" s="2386">
        <v>0</v>
      </c>
      <c r="G392" s="2412" t="s">
        <v>4890</v>
      </c>
      <c r="H392" s="2383">
        <v>1</v>
      </c>
      <c r="I392" s="2383">
        <v>0</v>
      </c>
      <c r="J392" s="2413">
        <v>0</v>
      </c>
      <c r="K392" s="2387"/>
      <c r="L392" s="2381">
        <v>13015960600</v>
      </c>
      <c r="M392" s="2382">
        <v>1</v>
      </c>
      <c r="N392" s="2382">
        <v>0</v>
      </c>
      <c r="O392" s="2382">
        <v>0</v>
      </c>
      <c r="P392" s="626" t="s">
        <v>877</v>
      </c>
      <c r="Q392" s="321"/>
      <c r="R392" s="189"/>
      <c r="S392" s="445"/>
      <c r="T392" s="560" t="s">
        <v>215</v>
      </c>
      <c r="U392" s="560" t="s">
        <v>2419</v>
      </c>
      <c r="W392" s="490" t="s">
        <v>1666</v>
      </c>
      <c r="X392" s="490" t="s">
        <v>3279</v>
      </c>
      <c r="AA392" s="27"/>
      <c r="AB392" s="27"/>
      <c r="AC392" s="1038"/>
      <c r="AD392" s="573"/>
    </row>
    <row r="393" spans="3:30" ht="10.5" customHeight="1">
      <c r="C393" s="2388" t="s">
        <v>4891</v>
      </c>
      <c r="D393" s="2385">
        <v>0</v>
      </c>
      <c r="E393" s="2385">
        <v>0</v>
      </c>
      <c r="F393" s="2386">
        <v>0</v>
      </c>
      <c r="G393" s="2412" t="s">
        <v>4891</v>
      </c>
      <c r="H393" s="2383">
        <v>0</v>
      </c>
      <c r="I393" s="2383">
        <v>0</v>
      </c>
      <c r="J393" s="2413">
        <v>0</v>
      </c>
      <c r="K393" s="2387"/>
      <c r="L393" s="2381">
        <v>13015960700</v>
      </c>
      <c r="M393" s="2382">
        <v>0</v>
      </c>
      <c r="N393" s="2382">
        <v>0</v>
      </c>
      <c r="O393" s="2382">
        <v>0</v>
      </c>
      <c r="P393" s="626" t="s">
        <v>2397</v>
      </c>
      <c r="Q393" s="321"/>
      <c r="R393" s="189"/>
      <c r="S393" s="445"/>
      <c r="T393" s="560" t="s">
        <v>641</v>
      </c>
      <c r="U393" s="560" t="s">
        <v>1602</v>
      </c>
      <c r="W393" s="490" t="s">
        <v>1667</v>
      </c>
      <c r="X393" s="490" t="s">
        <v>3279</v>
      </c>
      <c r="AA393" s="27"/>
      <c r="AB393" s="27"/>
      <c r="AC393" s="1038"/>
      <c r="AD393" s="573"/>
    </row>
    <row r="394" spans="3:30" ht="10.5" customHeight="1">
      <c r="C394" s="2388" t="s">
        <v>4892</v>
      </c>
      <c r="D394" s="2385">
        <v>0</v>
      </c>
      <c r="E394" s="2385">
        <v>0</v>
      </c>
      <c r="F394" s="2386">
        <v>0</v>
      </c>
      <c r="G394" s="2412" t="s">
        <v>4892</v>
      </c>
      <c r="H394" s="2383">
        <v>0</v>
      </c>
      <c r="I394" s="2383">
        <v>0</v>
      </c>
      <c r="J394" s="2413">
        <v>0</v>
      </c>
      <c r="K394" s="2387"/>
      <c r="L394" s="2381">
        <v>13015960801</v>
      </c>
      <c r="M394" s="2382">
        <v>0</v>
      </c>
      <c r="N394" s="2382">
        <v>0</v>
      </c>
      <c r="O394" s="2382">
        <v>0</v>
      </c>
      <c r="P394" s="626" t="s">
        <v>3548</v>
      </c>
      <c r="Q394" s="321"/>
      <c r="R394" s="189"/>
      <c r="S394" s="445"/>
      <c r="T394" s="560" t="s">
        <v>2303</v>
      </c>
      <c r="U394" s="560" t="s">
        <v>2417</v>
      </c>
      <c r="W394" s="490" t="s">
        <v>1668</v>
      </c>
      <c r="X394" s="490" t="s">
        <v>3279</v>
      </c>
      <c r="AA394" s="27"/>
      <c r="AB394" s="27"/>
      <c r="AC394" s="1038"/>
      <c r="AD394" s="573"/>
    </row>
    <row r="395" spans="3:30" ht="10.5" customHeight="1">
      <c r="C395" s="2388" t="s">
        <v>4893</v>
      </c>
      <c r="D395" s="2385">
        <v>0</v>
      </c>
      <c r="E395" s="2385">
        <v>0</v>
      </c>
      <c r="F395" s="2386">
        <v>0</v>
      </c>
      <c r="G395" s="2412" t="s">
        <v>4893</v>
      </c>
      <c r="H395" s="2383">
        <v>0</v>
      </c>
      <c r="I395" s="2383">
        <v>0</v>
      </c>
      <c r="J395" s="2413">
        <v>0</v>
      </c>
      <c r="K395" s="2387"/>
      <c r="L395" s="2381">
        <v>13015960802</v>
      </c>
      <c r="M395" s="2382">
        <v>0</v>
      </c>
      <c r="N395" s="2382">
        <v>0</v>
      </c>
      <c r="O395" s="2382">
        <v>0</v>
      </c>
      <c r="P395" s="626" t="s">
        <v>880</v>
      </c>
      <c r="Q395" s="321"/>
      <c r="R395" s="189"/>
      <c r="S395" s="445"/>
      <c r="T395" s="560" t="s">
        <v>227</v>
      </c>
      <c r="U395" s="560" t="s">
        <v>1488</v>
      </c>
      <c r="W395" s="490" t="s">
        <v>103</v>
      </c>
      <c r="X395" s="490" t="s">
        <v>3279</v>
      </c>
      <c r="AA395" s="27"/>
      <c r="AB395" s="27"/>
      <c r="AC395" s="1038"/>
      <c r="AD395" s="573"/>
    </row>
    <row r="396" spans="3:30" ht="10.5" customHeight="1">
      <c r="C396" s="2388" t="s">
        <v>4894</v>
      </c>
      <c r="D396" s="2385">
        <v>0</v>
      </c>
      <c r="E396" s="2385">
        <v>0</v>
      </c>
      <c r="F396" s="2386">
        <v>0</v>
      </c>
      <c r="G396" s="2412" t="s">
        <v>4894</v>
      </c>
      <c r="H396" s="2383">
        <v>0</v>
      </c>
      <c r="I396" s="2383">
        <v>0</v>
      </c>
      <c r="J396" s="2413">
        <v>0</v>
      </c>
      <c r="K396" s="2387"/>
      <c r="L396" s="2381">
        <v>13015960803</v>
      </c>
      <c r="M396" s="2382">
        <v>0</v>
      </c>
      <c r="N396" s="2382">
        <v>0</v>
      </c>
      <c r="O396" s="2382">
        <v>0</v>
      </c>
      <c r="P396" s="626" t="s">
        <v>882</v>
      </c>
      <c r="Q396" s="321"/>
      <c r="R396" s="189"/>
      <c r="S396" s="445"/>
      <c r="T396" s="560" t="s">
        <v>1023</v>
      </c>
      <c r="U396" s="560" t="s">
        <v>1427</v>
      </c>
      <c r="W396" s="490" t="s">
        <v>291</v>
      </c>
      <c r="X396" s="490" t="s">
        <v>3279</v>
      </c>
      <c r="AA396" s="27"/>
      <c r="AB396" s="27"/>
      <c r="AC396" s="1038"/>
      <c r="AD396" s="573"/>
    </row>
    <row r="397" spans="3:30" ht="10.5" customHeight="1">
      <c r="C397" s="2388" t="s">
        <v>4895</v>
      </c>
      <c r="D397" s="2385">
        <v>0</v>
      </c>
      <c r="E397" s="2385">
        <v>1</v>
      </c>
      <c r="F397" s="2386">
        <v>1</v>
      </c>
      <c r="G397" s="2412" t="s">
        <v>4895</v>
      </c>
      <c r="H397" s="2383">
        <v>1</v>
      </c>
      <c r="I397" s="2383" t="s">
        <v>4493</v>
      </c>
      <c r="J397" s="2413">
        <v>1</v>
      </c>
      <c r="K397" s="2387"/>
      <c r="L397" s="2381">
        <v>13015960901</v>
      </c>
      <c r="M397" s="2382">
        <v>1</v>
      </c>
      <c r="N397" s="2382">
        <v>1</v>
      </c>
      <c r="O397" s="2382">
        <v>1</v>
      </c>
      <c r="P397" s="626" t="s">
        <v>884</v>
      </c>
      <c r="Q397" s="321"/>
      <c r="R397" s="189"/>
      <c r="S397" s="445"/>
      <c r="T397" s="560" t="s">
        <v>229</v>
      </c>
      <c r="U397" s="560" t="s">
        <v>1069</v>
      </c>
      <c r="W397" s="490" t="s">
        <v>292</v>
      </c>
      <c r="X397" s="490" t="s">
        <v>3279</v>
      </c>
      <c r="AA397" s="27"/>
      <c r="AB397" s="27"/>
      <c r="AC397" s="1038"/>
      <c r="AD397" s="573"/>
    </row>
    <row r="398" spans="3:30" ht="10.5" customHeight="1">
      <c r="C398" s="2388" t="s">
        <v>4896</v>
      </c>
      <c r="D398" s="2385">
        <v>1</v>
      </c>
      <c r="E398" s="2385">
        <v>1</v>
      </c>
      <c r="F398" s="2386">
        <v>2</v>
      </c>
      <c r="G398" s="2412" t="s">
        <v>4896</v>
      </c>
      <c r="H398" s="2383">
        <v>0</v>
      </c>
      <c r="I398" s="2383">
        <v>1</v>
      </c>
      <c r="J398" s="2413">
        <v>1</v>
      </c>
      <c r="K398" s="2387"/>
      <c r="L398" s="2381">
        <v>13015960902</v>
      </c>
      <c r="M398" s="2382">
        <v>1</v>
      </c>
      <c r="N398" s="2382">
        <v>1</v>
      </c>
      <c r="O398" s="2382">
        <v>2</v>
      </c>
      <c r="P398" s="626" t="s">
        <v>886</v>
      </c>
      <c r="Q398" s="321"/>
      <c r="R398" s="189"/>
      <c r="S398" s="445"/>
      <c r="T398" s="560" t="s">
        <v>642</v>
      </c>
      <c r="U398" s="560" t="s">
        <v>313</v>
      </c>
      <c r="W398" s="490" t="s">
        <v>293</v>
      </c>
      <c r="X398" s="490" t="s">
        <v>3279</v>
      </c>
      <c r="AA398" s="27"/>
      <c r="AB398" s="27"/>
      <c r="AC398" s="1038"/>
      <c r="AD398" s="573"/>
    </row>
    <row r="399" spans="3:30" ht="10.5" customHeight="1">
      <c r="C399" s="2388" t="s">
        <v>4897</v>
      </c>
      <c r="D399" s="2385">
        <v>1</v>
      </c>
      <c r="E399" s="2385">
        <v>1</v>
      </c>
      <c r="F399" s="2386">
        <v>2</v>
      </c>
      <c r="G399" s="2412" t="s">
        <v>4897</v>
      </c>
      <c r="H399" s="2383">
        <v>1</v>
      </c>
      <c r="I399" s="2383">
        <v>0</v>
      </c>
      <c r="J399" s="2413">
        <v>1</v>
      </c>
      <c r="K399" s="2387"/>
      <c r="L399" s="2381">
        <v>13015961000</v>
      </c>
      <c r="M399" s="2382">
        <v>1</v>
      </c>
      <c r="N399" s="2382">
        <v>1</v>
      </c>
      <c r="O399" s="2382">
        <v>2</v>
      </c>
      <c r="P399" s="626" t="s">
        <v>888</v>
      </c>
      <c r="Q399" s="321"/>
      <c r="R399" s="189"/>
      <c r="S399" s="445"/>
      <c r="T399" s="560" t="s">
        <v>767</v>
      </c>
      <c r="U399" s="560" t="s">
        <v>642</v>
      </c>
      <c r="W399" s="490" t="s">
        <v>1508</v>
      </c>
      <c r="X399" s="490" t="s">
        <v>3279</v>
      </c>
      <c r="AA399" s="27"/>
      <c r="AB399" s="27"/>
      <c r="AC399" s="1038"/>
      <c r="AD399" s="573"/>
    </row>
    <row r="400" spans="3:30" ht="10.5" customHeight="1">
      <c r="C400" s="2388" t="s">
        <v>4898</v>
      </c>
      <c r="D400" s="2385">
        <v>0</v>
      </c>
      <c r="E400" s="2385">
        <v>0</v>
      </c>
      <c r="F400" s="2386">
        <v>0</v>
      </c>
      <c r="G400" s="2412" t="s">
        <v>4898</v>
      </c>
      <c r="H400" s="2383">
        <v>0</v>
      </c>
      <c r="I400" s="2383">
        <v>0</v>
      </c>
      <c r="J400" s="2413">
        <v>0</v>
      </c>
      <c r="K400" s="2387"/>
      <c r="L400" s="2381">
        <v>13017960100</v>
      </c>
      <c r="M400" s="2382">
        <v>0</v>
      </c>
      <c r="N400" s="2382">
        <v>0</v>
      </c>
      <c r="O400" s="2382">
        <v>0</v>
      </c>
      <c r="P400" s="626" t="s">
        <v>661</v>
      </c>
      <c r="Q400" s="321"/>
      <c r="R400" s="189"/>
      <c r="S400" s="445"/>
      <c r="T400" s="560" t="s">
        <v>1193</v>
      </c>
      <c r="U400" s="560" t="s">
        <v>2425</v>
      </c>
      <c r="W400" s="490" t="s">
        <v>1509</v>
      </c>
      <c r="X400" s="490" t="s">
        <v>3279</v>
      </c>
      <c r="AA400" s="27"/>
      <c r="AB400" s="27"/>
      <c r="AC400" s="1038"/>
      <c r="AD400" s="573"/>
    </row>
    <row r="401" spans="3:30" ht="10.5" customHeight="1">
      <c r="C401" s="2388" t="s">
        <v>4899</v>
      </c>
      <c r="D401" s="2385">
        <v>0</v>
      </c>
      <c r="E401" s="2385">
        <v>0</v>
      </c>
      <c r="F401" s="2386">
        <v>0</v>
      </c>
      <c r="G401" s="2412" t="s">
        <v>4899</v>
      </c>
      <c r="H401" s="2383">
        <v>0</v>
      </c>
      <c r="I401" s="2383">
        <v>0</v>
      </c>
      <c r="J401" s="2413">
        <v>0</v>
      </c>
      <c r="K401" s="2387"/>
      <c r="L401" s="2381">
        <v>13017960200</v>
      </c>
      <c r="M401" s="2382">
        <v>0</v>
      </c>
      <c r="N401" s="2382">
        <v>0</v>
      </c>
      <c r="O401" s="2382">
        <v>0</v>
      </c>
      <c r="P401" s="626" t="s">
        <v>52</v>
      </c>
      <c r="Q401" s="321"/>
      <c r="R401" s="189"/>
      <c r="S401" s="445"/>
      <c r="T401" s="560" t="s">
        <v>1195</v>
      </c>
      <c r="U401" s="560" t="s">
        <v>306</v>
      </c>
      <c r="W401" s="490" t="s">
        <v>1510</v>
      </c>
      <c r="X401" s="490" t="s">
        <v>3279</v>
      </c>
      <c r="AA401" s="27"/>
      <c r="AB401" s="27"/>
      <c r="AC401" s="1038"/>
      <c r="AD401" s="573"/>
    </row>
    <row r="402" spans="3:30" ht="10.5" customHeight="1">
      <c r="C402" s="2388" t="s">
        <v>4900</v>
      </c>
      <c r="D402" s="2385">
        <v>0</v>
      </c>
      <c r="E402" s="2385">
        <v>0</v>
      </c>
      <c r="F402" s="2386">
        <v>0</v>
      </c>
      <c r="G402" s="2412" t="s">
        <v>4900</v>
      </c>
      <c r="H402" s="2383">
        <v>0</v>
      </c>
      <c r="I402" s="2383">
        <v>0</v>
      </c>
      <c r="J402" s="2413">
        <v>0</v>
      </c>
      <c r="K402" s="2387"/>
      <c r="L402" s="2381">
        <v>13017960300</v>
      </c>
      <c r="M402" s="2382">
        <v>0</v>
      </c>
      <c r="N402" s="2382">
        <v>0</v>
      </c>
      <c r="O402" s="2382">
        <v>0</v>
      </c>
      <c r="P402" s="626" t="s">
        <v>939</v>
      </c>
      <c r="Q402" s="321"/>
      <c r="R402" s="189"/>
      <c r="S402" s="445"/>
      <c r="T402" s="560" t="s">
        <v>1197</v>
      </c>
      <c r="U402" s="560" t="s">
        <v>155</v>
      </c>
      <c r="W402" s="490" t="s">
        <v>1515</v>
      </c>
      <c r="X402" s="490" t="s">
        <v>3279</v>
      </c>
      <c r="AA402" s="27"/>
      <c r="AB402" s="27"/>
      <c r="AC402" s="1038"/>
      <c r="AD402" s="573"/>
    </row>
    <row r="403" spans="3:30" ht="10.5" customHeight="1">
      <c r="C403" s="2388" t="s">
        <v>4901</v>
      </c>
      <c r="D403" s="2385">
        <v>0</v>
      </c>
      <c r="E403" s="2385">
        <v>0</v>
      </c>
      <c r="F403" s="2386">
        <v>0</v>
      </c>
      <c r="G403" s="2412" t="s">
        <v>4901</v>
      </c>
      <c r="H403" s="2383">
        <v>0</v>
      </c>
      <c r="I403" s="2383">
        <v>0</v>
      </c>
      <c r="J403" s="2413">
        <v>0</v>
      </c>
      <c r="K403" s="2387"/>
      <c r="L403" s="2381">
        <v>13017960400</v>
      </c>
      <c r="M403" s="2382">
        <v>0</v>
      </c>
      <c r="N403" s="2382">
        <v>0</v>
      </c>
      <c r="O403" s="2382">
        <v>0</v>
      </c>
      <c r="P403" s="626" t="s">
        <v>1698</v>
      </c>
      <c r="Q403" s="321"/>
      <c r="R403" s="189"/>
      <c r="S403" s="445"/>
      <c r="T403" s="560" t="s">
        <v>878</v>
      </c>
      <c r="U403" s="560" t="s">
        <v>2185</v>
      </c>
      <c r="W403" s="490" t="s">
        <v>2322</v>
      </c>
      <c r="X403" s="490" t="s">
        <v>3279</v>
      </c>
      <c r="AA403" s="27"/>
      <c r="AB403" s="27"/>
      <c r="AC403" s="1038"/>
      <c r="AD403" s="573"/>
    </row>
    <row r="404" spans="3:30" ht="10.5" customHeight="1">
      <c r="C404" s="2388" t="s">
        <v>4902</v>
      </c>
      <c r="D404" s="2385">
        <v>0</v>
      </c>
      <c r="E404" s="2385">
        <v>0</v>
      </c>
      <c r="F404" s="2386">
        <v>0</v>
      </c>
      <c r="G404" s="2412" t="s">
        <v>4902</v>
      </c>
      <c r="H404" s="2383">
        <v>0</v>
      </c>
      <c r="I404" s="2383">
        <v>1</v>
      </c>
      <c r="J404" s="2413">
        <v>1</v>
      </c>
      <c r="K404" s="2387"/>
      <c r="L404" s="2381">
        <v>13017960500</v>
      </c>
      <c r="M404" s="2382">
        <v>0</v>
      </c>
      <c r="N404" s="2382">
        <v>1</v>
      </c>
      <c r="O404" s="2382">
        <v>1</v>
      </c>
      <c r="P404" s="626" t="s">
        <v>976</v>
      </c>
      <c r="Q404" s="321"/>
      <c r="R404" s="189"/>
      <c r="S404" s="445"/>
      <c r="T404" s="560" t="s">
        <v>2398</v>
      </c>
      <c r="U404" s="560" t="s">
        <v>1831</v>
      </c>
      <c r="W404" s="490" t="s">
        <v>814</v>
      </c>
      <c r="X404" s="490" t="s">
        <v>3279</v>
      </c>
      <c r="AA404" s="27"/>
      <c r="AB404" s="27"/>
      <c r="AC404" s="1038"/>
      <c r="AD404" s="573"/>
    </row>
    <row r="405" spans="3:30" ht="10.5" customHeight="1">
      <c r="C405" s="2388" t="s">
        <v>4903</v>
      </c>
      <c r="D405" s="2385">
        <v>0</v>
      </c>
      <c r="E405" s="2385">
        <v>0</v>
      </c>
      <c r="F405" s="2386">
        <v>0</v>
      </c>
      <c r="G405" s="2412" t="s">
        <v>4903</v>
      </c>
      <c r="H405" s="2383">
        <v>0</v>
      </c>
      <c r="I405" s="2383" t="s">
        <v>4493</v>
      </c>
      <c r="J405" s="2413">
        <v>0</v>
      </c>
      <c r="K405" s="2387"/>
      <c r="L405" s="2381">
        <v>13019970100</v>
      </c>
      <c r="M405" s="2382">
        <v>0</v>
      </c>
      <c r="N405" s="2382">
        <v>0</v>
      </c>
      <c r="O405" s="2382">
        <v>0</v>
      </c>
      <c r="P405" s="626" t="s">
        <v>977</v>
      </c>
      <c r="Q405" s="321"/>
      <c r="R405" s="189"/>
      <c r="S405" s="445"/>
      <c r="T405" s="627" t="s">
        <v>881</v>
      </c>
      <c r="U405" s="627" t="s">
        <v>2129</v>
      </c>
      <c r="W405" s="490" t="s">
        <v>816</v>
      </c>
      <c r="X405" s="490" t="s">
        <v>3279</v>
      </c>
      <c r="AA405" s="27"/>
      <c r="AB405" s="27"/>
      <c r="AC405" s="1038"/>
      <c r="AD405" s="573"/>
    </row>
    <row r="406" spans="3:30" ht="10.5" customHeight="1">
      <c r="C406" s="2388" t="s">
        <v>4904</v>
      </c>
      <c r="D406" s="2385">
        <v>0</v>
      </c>
      <c r="E406" s="2385">
        <v>0</v>
      </c>
      <c r="F406" s="2386">
        <v>0</v>
      </c>
      <c r="G406" s="2412" t="s">
        <v>4904</v>
      </c>
      <c r="H406" s="2383">
        <v>0</v>
      </c>
      <c r="I406" s="2383">
        <v>0</v>
      </c>
      <c r="J406" s="2413">
        <v>0</v>
      </c>
      <c r="K406" s="2387"/>
      <c r="L406" s="2381">
        <v>13019970200</v>
      </c>
      <c r="M406" s="2382">
        <v>0</v>
      </c>
      <c r="N406" s="2382">
        <v>0</v>
      </c>
      <c r="O406" s="2382">
        <v>0</v>
      </c>
      <c r="P406" s="626" t="s">
        <v>979</v>
      </c>
      <c r="Q406" s="321"/>
      <c r="R406" s="189"/>
      <c r="S406" s="445"/>
      <c r="T406" s="560" t="s">
        <v>883</v>
      </c>
      <c r="U406" s="560" t="s">
        <v>1081</v>
      </c>
      <c r="AA406" s="27"/>
      <c r="AB406" s="27"/>
      <c r="AC406" s="1039"/>
      <c r="AD406" s="573"/>
    </row>
    <row r="407" spans="3:30" ht="10.5" customHeight="1">
      <c r="C407" s="2388" t="s">
        <v>4905</v>
      </c>
      <c r="D407" s="2385">
        <v>0</v>
      </c>
      <c r="E407" s="2385">
        <v>0</v>
      </c>
      <c r="F407" s="2386">
        <v>0</v>
      </c>
      <c r="G407" s="2412" t="s">
        <v>4905</v>
      </c>
      <c r="H407" s="2383">
        <v>0</v>
      </c>
      <c r="I407" s="2383">
        <v>0</v>
      </c>
      <c r="J407" s="2413">
        <v>0</v>
      </c>
      <c r="K407" s="2387"/>
      <c r="L407" s="2381">
        <v>13019970300</v>
      </c>
      <c r="M407" s="2382">
        <v>0</v>
      </c>
      <c r="N407" s="2382">
        <v>0</v>
      </c>
      <c r="O407" s="2382">
        <v>0</v>
      </c>
      <c r="P407" s="626" t="s">
        <v>958</v>
      </c>
      <c r="Q407" s="321"/>
      <c r="R407" s="189"/>
      <c r="S407" s="445"/>
      <c r="T407" s="560" t="s">
        <v>885</v>
      </c>
      <c r="U407" s="560" t="s">
        <v>646</v>
      </c>
      <c r="AA407" s="27"/>
      <c r="AB407" s="27"/>
      <c r="AC407" s="1038"/>
      <c r="AD407" s="573"/>
    </row>
    <row r="408" spans="3:30" ht="10.5" customHeight="1">
      <c r="C408" s="2388" t="s">
        <v>4906</v>
      </c>
      <c r="D408" s="2385">
        <v>0</v>
      </c>
      <c r="E408" s="2385">
        <v>0</v>
      </c>
      <c r="F408" s="2386">
        <v>0</v>
      </c>
      <c r="G408" s="2412" t="s">
        <v>4906</v>
      </c>
      <c r="H408" s="2383">
        <v>0</v>
      </c>
      <c r="I408" s="2383">
        <v>0</v>
      </c>
      <c r="J408" s="2413">
        <v>0</v>
      </c>
      <c r="K408" s="2387"/>
      <c r="L408" s="2381">
        <v>13019970400</v>
      </c>
      <c r="M408" s="2382">
        <v>0</v>
      </c>
      <c r="N408" s="2382">
        <v>0</v>
      </c>
      <c r="O408" s="2382">
        <v>0</v>
      </c>
      <c r="P408" s="626" t="s">
        <v>960</v>
      </c>
      <c r="Q408" s="321"/>
      <c r="R408" s="189"/>
      <c r="S408" s="445"/>
      <c r="T408" s="560" t="s">
        <v>887</v>
      </c>
      <c r="U408" s="560" t="s">
        <v>306</v>
      </c>
      <c r="AA408" s="27"/>
      <c r="AB408" s="27"/>
      <c r="AC408" s="1038"/>
      <c r="AD408" s="573"/>
    </row>
    <row r="409" spans="3:30" ht="10.5" customHeight="1">
      <c r="C409" s="2388" t="s">
        <v>4907</v>
      </c>
      <c r="D409" s="2385">
        <v>0</v>
      </c>
      <c r="E409" s="2385">
        <v>0</v>
      </c>
      <c r="F409" s="2386">
        <v>0</v>
      </c>
      <c r="G409" s="2412" t="s">
        <v>4907</v>
      </c>
      <c r="H409" s="2383">
        <v>0</v>
      </c>
      <c r="I409" s="2383">
        <v>1</v>
      </c>
      <c r="J409" s="2413">
        <v>1</v>
      </c>
      <c r="K409" s="2387"/>
      <c r="L409" s="2381">
        <v>13019970500</v>
      </c>
      <c r="M409" s="2382">
        <v>0</v>
      </c>
      <c r="N409" s="2382">
        <v>1</v>
      </c>
      <c r="O409" s="2382">
        <v>1</v>
      </c>
      <c r="P409" s="626" t="s">
        <v>962</v>
      </c>
      <c r="Q409" s="321"/>
      <c r="R409" s="189"/>
      <c r="S409" s="445"/>
      <c r="T409" s="627" t="s">
        <v>889</v>
      </c>
      <c r="U409" s="627" t="s">
        <v>1302</v>
      </c>
      <c r="AA409" s="27"/>
      <c r="AB409" s="27"/>
      <c r="AC409" s="1038"/>
      <c r="AD409" s="573"/>
    </row>
    <row r="410" spans="3:30" ht="10.5" customHeight="1">
      <c r="C410" s="2388" t="s">
        <v>4908</v>
      </c>
      <c r="D410" s="2385">
        <v>0</v>
      </c>
      <c r="E410" s="2385">
        <v>0</v>
      </c>
      <c r="F410" s="2386">
        <v>0</v>
      </c>
      <c r="G410" s="2412" t="s">
        <v>4908</v>
      </c>
      <c r="H410" s="2383">
        <v>0</v>
      </c>
      <c r="I410" s="2383">
        <v>0</v>
      </c>
      <c r="J410" s="2413">
        <v>0</v>
      </c>
      <c r="K410" s="2387"/>
      <c r="L410" s="2381">
        <v>13019970600</v>
      </c>
      <c r="M410" s="2382">
        <v>0</v>
      </c>
      <c r="N410" s="2382">
        <v>0</v>
      </c>
      <c r="O410" s="2382">
        <v>0</v>
      </c>
      <c r="P410" s="626" t="s">
        <v>964</v>
      </c>
      <c r="Q410" s="321"/>
      <c r="R410" s="189"/>
      <c r="S410" s="445"/>
      <c r="T410" s="560" t="s">
        <v>662</v>
      </c>
      <c r="U410" s="560" t="s">
        <v>2133</v>
      </c>
      <c r="AA410" s="27"/>
      <c r="AB410" s="27"/>
      <c r="AC410" s="1039"/>
      <c r="AD410" s="573"/>
    </row>
    <row r="411" spans="3:30" ht="10.5" customHeight="1">
      <c r="C411" s="2388" t="s">
        <v>4909</v>
      </c>
      <c r="D411" s="2385">
        <v>0</v>
      </c>
      <c r="E411" s="2385">
        <v>0</v>
      </c>
      <c r="F411" s="2386">
        <v>0</v>
      </c>
      <c r="G411" s="2412" t="s">
        <v>4909</v>
      </c>
      <c r="H411" s="2383">
        <v>0</v>
      </c>
      <c r="I411" s="2383">
        <v>0</v>
      </c>
      <c r="J411" s="2413">
        <v>0</v>
      </c>
      <c r="K411" s="2387"/>
      <c r="L411" s="2381">
        <v>13021010100</v>
      </c>
      <c r="M411" s="2382">
        <v>0</v>
      </c>
      <c r="N411" s="2382">
        <v>0</v>
      </c>
      <c r="O411" s="2382">
        <v>0</v>
      </c>
      <c r="P411" s="626" t="s">
        <v>556</v>
      </c>
      <c r="Q411" s="321"/>
      <c r="R411" s="189"/>
      <c r="S411" s="445"/>
      <c r="T411" s="560" t="s">
        <v>53</v>
      </c>
      <c r="U411" s="560" t="s">
        <v>109</v>
      </c>
      <c r="AA411" s="27"/>
      <c r="AB411" s="27"/>
      <c r="AC411" s="1038"/>
      <c r="AD411" s="573"/>
    </row>
    <row r="412" spans="3:30" ht="10.5" customHeight="1">
      <c r="C412" s="2388" t="s">
        <v>4910</v>
      </c>
      <c r="D412" s="2385">
        <v>0</v>
      </c>
      <c r="E412" s="2385">
        <v>0</v>
      </c>
      <c r="F412" s="2386">
        <v>0</v>
      </c>
      <c r="G412" s="2412" t="s">
        <v>4910</v>
      </c>
      <c r="H412" s="2383">
        <v>0</v>
      </c>
      <c r="I412" s="2383">
        <v>1</v>
      </c>
      <c r="J412" s="2413">
        <v>1</v>
      </c>
      <c r="K412" s="2387"/>
      <c r="L412" s="2381">
        <v>13021010200</v>
      </c>
      <c r="M412" s="2382">
        <v>0</v>
      </c>
      <c r="N412" s="2382">
        <v>1</v>
      </c>
      <c r="O412" s="2382">
        <v>1</v>
      </c>
      <c r="P412" s="626" t="s">
        <v>365</v>
      </c>
      <c r="Q412" s="321"/>
      <c r="R412" s="189"/>
      <c r="S412" s="445"/>
      <c r="T412" s="560" t="s">
        <v>940</v>
      </c>
      <c r="U412" s="560" t="s">
        <v>1961</v>
      </c>
      <c r="AA412" s="27"/>
      <c r="AB412" s="27"/>
      <c r="AC412" s="1038"/>
      <c r="AD412" s="573"/>
    </row>
    <row r="413" spans="3:30" ht="10.5" customHeight="1">
      <c r="C413" s="2388" t="s">
        <v>4911</v>
      </c>
      <c r="D413" s="2385">
        <v>0</v>
      </c>
      <c r="E413" s="2385">
        <v>0</v>
      </c>
      <c r="F413" s="2386">
        <v>0</v>
      </c>
      <c r="G413" s="2412" t="s">
        <v>4911</v>
      </c>
      <c r="H413" s="2383">
        <v>0</v>
      </c>
      <c r="I413" s="2383" t="s">
        <v>4493</v>
      </c>
      <c r="J413" s="2413">
        <v>0</v>
      </c>
      <c r="K413" s="2387"/>
      <c r="L413" s="2381">
        <v>13021010300</v>
      </c>
      <c r="M413" s="2382">
        <v>0</v>
      </c>
      <c r="N413" s="2382">
        <v>0</v>
      </c>
      <c r="O413" s="2382">
        <v>0</v>
      </c>
      <c r="P413" s="626" t="s">
        <v>367</v>
      </c>
      <c r="Q413" s="321"/>
      <c r="R413" s="189"/>
      <c r="S413" s="445"/>
      <c r="T413" s="560" t="s">
        <v>649</v>
      </c>
      <c r="U413" s="560" t="s">
        <v>2337</v>
      </c>
      <c r="AA413" s="27"/>
      <c r="AB413" s="27"/>
      <c r="AC413" s="1038"/>
      <c r="AD413" s="573"/>
    </row>
    <row r="414" spans="3:30" ht="10.5" customHeight="1">
      <c r="C414" s="2388" t="s">
        <v>4912</v>
      </c>
      <c r="D414" s="2385">
        <v>0</v>
      </c>
      <c r="E414" s="2385">
        <v>0</v>
      </c>
      <c r="F414" s="2386">
        <v>0</v>
      </c>
      <c r="G414" s="2412" t="s">
        <v>4912</v>
      </c>
      <c r="H414" s="2383">
        <v>0</v>
      </c>
      <c r="I414" s="2383">
        <v>0</v>
      </c>
      <c r="J414" s="2413">
        <v>0</v>
      </c>
      <c r="K414" s="2387"/>
      <c r="L414" s="2381">
        <v>13021010400</v>
      </c>
      <c r="M414" s="2382">
        <v>0</v>
      </c>
      <c r="N414" s="2382">
        <v>0</v>
      </c>
      <c r="O414" s="2382">
        <v>0</v>
      </c>
      <c r="P414" s="626" t="s">
        <v>369</v>
      </c>
      <c r="Q414" s="321"/>
      <c r="R414" s="189"/>
      <c r="S414" s="445"/>
      <c r="T414" s="560" t="s">
        <v>978</v>
      </c>
      <c r="U414" s="560" t="s">
        <v>1184</v>
      </c>
      <c r="AA414" s="27"/>
      <c r="AB414" s="27"/>
      <c r="AC414" s="1038"/>
      <c r="AD414" s="573"/>
    </row>
    <row r="415" spans="3:30" ht="10.5" customHeight="1">
      <c r="C415" s="2388" t="s">
        <v>4913</v>
      </c>
      <c r="D415" s="2385">
        <v>0</v>
      </c>
      <c r="E415" s="2385">
        <v>0</v>
      </c>
      <c r="F415" s="2386">
        <v>0</v>
      </c>
      <c r="G415" s="2412" t="s">
        <v>4913</v>
      </c>
      <c r="H415" s="2383">
        <v>0</v>
      </c>
      <c r="I415" s="2383">
        <v>0</v>
      </c>
      <c r="J415" s="2413">
        <v>0</v>
      </c>
      <c r="K415" s="2387"/>
      <c r="L415" s="2381">
        <v>13021010500</v>
      </c>
      <c r="M415" s="2382">
        <v>0</v>
      </c>
      <c r="N415" s="2382">
        <v>0</v>
      </c>
      <c r="O415" s="2382">
        <v>0</v>
      </c>
      <c r="P415" s="626" t="s">
        <v>579</v>
      </c>
      <c r="Q415" s="321"/>
      <c r="R415" s="189"/>
      <c r="S415" s="445"/>
      <c r="T415" s="627" t="s">
        <v>980</v>
      </c>
      <c r="U415" s="627" t="s">
        <v>2465</v>
      </c>
      <c r="AA415" s="27"/>
      <c r="AB415" s="27"/>
      <c r="AC415" s="1038"/>
      <c r="AD415" s="573"/>
    </row>
    <row r="416" spans="3:30" ht="10.5" customHeight="1">
      <c r="C416" s="2388" t="s">
        <v>4914</v>
      </c>
      <c r="D416" s="2385">
        <v>1</v>
      </c>
      <c r="E416" s="2385">
        <v>1</v>
      </c>
      <c r="F416" s="2386">
        <v>2</v>
      </c>
      <c r="G416" s="2412" t="s">
        <v>4914</v>
      </c>
      <c r="H416" s="2383">
        <v>0</v>
      </c>
      <c r="I416" s="2383" t="s">
        <v>4493</v>
      </c>
      <c r="J416" s="2413">
        <v>0</v>
      </c>
      <c r="K416" s="2387"/>
      <c r="L416" s="2381">
        <v>13021010800</v>
      </c>
      <c r="M416" s="2382">
        <v>1</v>
      </c>
      <c r="N416" s="2382">
        <v>1</v>
      </c>
      <c r="O416" s="2382">
        <v>2</v>
      </c>
      <c r="P416" s="626" t="s">
        <v>1388</v>
      </c>
      <c r="Q416" s="321"/>
      <c r="R416" s="189"/>
      <c r="S416" s="445"/>
      <c r="T416" s="560" t="s">
        <v>959</v>
      </c>
      <c r="U416" s="560" t="s">
        <v>420</v>
      </c>
      <c r="AA416" s="27"/>
      <c r="AB416" s="27"/>
      <c r="AC416" s="1039"/>
      <c r="AD416" s="573"/>
    </row>
    <row r="417" spans="3:30" ht="10.5" customHeight="1">
      <c r="C417" s="2388" t="s">
        <v>4915</v>
      </c>
      <c r="D417" s="2385">
        <v>0</v>
      </c>
      <c r="E417" s="2385">
        <v>0</v>
      </c>
      <c r="F417" s="2386">
        <v>0</v>
      </c>
      <c r="G417" s="2412" t="s">
        <v>4915</v>
      </c>
      <c r="H417" s="2383">
        <v>0</v>
      </c>
      <c r="I417" s="2383">
        <v>0</v>
      </c>
      <c r="J417" s="2413">
        <v>0</v>
      </c>
      <c r="K417" s="2387"/>
      <c r="L417" s="2381">
        <v>13021011000</v>
      </c>
      <c r="M417" s="2382">
        <v>0</v>
      </c>
      <c r="N417" s="2382">
        <v>0</v>
      </c>
      <c r="O417" s="2382">
        <v>0</v>
      </c>
      <c r="P417" s="626" t="s">
        <v>1561</v>
      </c>
      <c r="Q417" s="321"/>
      <c r="R417" s="189"/>
      <c r="S417" s="445"/>
      <c r="T417" s="560" t="s">
        <v>961</v>
      </c>
      <c r="U417" s="560" t="s">
        <v>118</v>
      </c>
      <c r="AA417" s="27"/>
      <c r="AB417" s="27"/>
      <c r="AC417" s="1038"/>
      <c r="AD417" s="573"/>
    </row>
    <row r="418" spans="3:30" ht="10.5" customHeight="1">
      <c r="C418" s="2388" t="s">
        <v>4916</v>
      </c>
      <c r="D418" s="2385">
        <v>0</v>
      </c>
      <c r="E418" s="2385">
        <v>0</v>
      </c>
      <c r="F418" s="2386">
        <v>0</v>
      </c>
      <c r="G418" s="2412" t="s">
        <v>4916</v>
      </c>
      <c r="H418" s="2383">
        <v>0</v>
      </c>
      <c r="I418" s="2383">
        <v>0</v>
      </c>
      <c r="J418" s="2413">
        <v>0</v>
      </c>
      <c r="K418" s="2387"/>
      <c r="L418" s="2381">
        <v>13021011100</v>
      </c>
      <c r="M418" s="2382">
        <v>0</v>
      </c>
      <c r="N418" s="2382">
        <v>0</v>
      </c>
      <c r="O418" s="2382">
        <v>0</v>
      </c>
      <c r="P418" s="626" t="s">
        <v>986</v>
      </c>
      <c r="Q418" s="321"/>
      <c r="R418" s="189"/>
      <c r="S418" s="445"/>
      <c r="T418" s="560" t="s">
        <v>963</v>
      </c>
      <c r="U418" s="560" t="s">
        <v>653</v>
      </c>
      <c r="AA418" s="27"/>
      <c r="AB418" s="27"/>
      <c r="AC418" s="1038"/>
      <c r="AD418" s="573"/>
    </row>
    <row r="419" spans="3:30" ht="10.5" customHeight="1">
      <c r="C419" s="2388" t="s">
        <v>4917</v>
      </c>
      <c r="D419" s="2385">
        <v>0</v>
      </c>
      <c r="E419" s="2385">
        <v>0</v>
      </c>
      <c r="F419" s="2386">
        <v>0</v>
      </c>
      <c r="G419" s="2412" t="s">
        <v>4917</v>
      </c>
      <c r="H419" s="2383">
        <v>0</v>
      </c>
      <c r="I419" s="2383">
        <v>0</v>
      </c>
      <c r="J419" s="2413">
        <v>0</v>
      </c>
      <c r="K419" s="2387"/>
      <c r="L419" s="2381">
        <v>13021011500</v>
      </c>
      <c r="M419" s="2382">
        <v>0</v>
      </c>
      <c r="N419" s="2382">
        <v>0</v>
      </c>
      <c r="O419" s="2382">
        <v>0</v>
      </c>
      <c r="P419" s="626" t="s">
        <v>988</v>
      </c>
      <c r="Q419" s="321"/>
      <c r="R419" s="189"/>
      <c r="S419" s="445"/>
      <c r="T419" s="560" t="s">
        <v>965</v>
      </c>
      <c r="U419" s="560" t="s">
        <v>1831</v>
      </c>
      <c r="AA419" s="27"/>
      <c r="AB419" s="27"/>
      <c r="AC419" s="1038"/>
      <c r="AD419" s="573"/>
    </row>
    <row r="420" spans="3:30" ht="10.5" customHeight="1">
      <c r="C420" s="2388" t="s">
        <v>4918</v>
      </c>
      <c r="D420" s="2385">
        <v>0</v>
      </c>
      <c r="E420" s="2385">
        <v>0</v>
      </c>
      <c r="F420" s="2386">
        <v>0</v>
      </c>
      <c r="G420" s="2412" t="s">
        <v>4918</v>
      </c>
      <c r="H420" s="2383">
        <v>0</v>
      </c>
      <c r="I420" s="2383">
        <v>1</v>
      </c>
      <c r="J420" s="2413">
        <v>1</v>
      </c>
      <c r="K420" s="2387"/>
      <c r="L420" s="2381">
        <v>13021011701</v>
      </c>
      <c r="M420" s="2382">
        <v>0</v>
      </c>
      <c r="N420" s="2382">
        <v>1</v>
      </c>
      <c r="O420" s="2382">
        <v>1</v>
      </c>
      <c r="P420" s="626" t="s">
        <v>990</v>
      </c>
      <c r="Q420" s="321"/>
      <c r="R420" s="189"/>
      <c r="S420" s="445"/>
      <c r="T420" s="560" t="s">
        <v>1024</v>
      </c>
      <c r="U420" s="560" t="s">
        <v>610</v>
      </c>
      <c r="AA420" s="27"/>
      <c r="AB420" s="27"/>
      <c r="AC420" s="1038"/>
      <c r="AD420" s="573"/>
    </row>
    <row r="421" spans="3:30" ht="10.5" customHeight="1">
      <c r="C421" s="2388" t="s">
        <v>4919</v>
      </c>
      <c r="D421" s="2385">
        <v>0</v>
      </c>
      <c r="E421" s="2385">
        <v>0</v>
      </c>
      <c r="F421" s="2386">
        <v>0</v>
      </c>
      <c r="G421" s="2412" t="s">
        <v>4919</v>
      </c>
      <c r="H421" s="2383">
        <v>0</v>
      </c>
      <c r="I421" s="2383">
        <v>0</v>
      </c>
      <c r="J421" s="2413">
        <v>0</v>
      </c>
      <c r="K421" s="2387"/>
      <c r="L421" s="2381">
        <v>13021011702</v>
      </c>
      <c r="M421" s="2382">
        <v>0</v>
      </c>
      <c r="N421" s="2382">
        <v>0</v>
      </c>
      <c r="O421" s="2382">
        <v>0</v>
      </c>
      <c r="P421" s="626" t="s">
        <v>1634</v>
      </c>
      <c r="Q421" s="321"/>
      <c r="R421" s="189"/>
      <c r="S421" s="445"/>
      <c r="T421" s="560" t="s">
        <v>557</v>
      </c>
      <c r="U421" s="560" t="s">
        <v>2122</v>
      </c>
      <c r="AA421" s="27"/>
      <c r="AB421" s="27"/>
      <c r="AC421" s="1038"/>
      <c r="AD421" s="573"/>
    </row>
    <row r="422" spans="3:30" ht="10.5" customHeight="1">
      <c r="C422" s="2388" t="s">
        <v>4920</v>
      </c>
      <c r="D422" s="2385">
        <v>1</v>
      </c>
      <c r="E422" s="2385">
        <v>0</v>
      </c>
      <c r="F422" s="2386">
        <v>1</v>
      </c>
      <c r="G422" s="2412" t="s">
        <v>4920</v>
      </c>
      <c r="H422" s="2383">
        <v>1</v>
      </c>
      <c r="I422" s="2383">
        <v>1</v>
      </c>
      <c r="J422" s="2413">
        <v>2</v>
      </c>
      <c r="K422" s="2387"/>
      <c r="L422" s="2381">
        <v>13021011800</v>
      </c>
      <c r="M422" s="2382">
        <v>1</v>
      </c>
      <c r="N422" s="2382">
        <v>1</v>
      </c>
      <c r="O422" s="2382">
        <v>2</v>
      </c>
      <c r="P422" s="626" t="s">
        <v>1635</v>
      </c>
      <c r="Q422" s="321"/>
      <c r="R422" s="189"/>
      <c r="S422" s="445"/>
      <c r="T422" s="560" t="s">
        <v>366</v>
      </c>
      <c r="U422" s="560" t="s">
        <v>2462</v>
      </c>
      <c r="AA422" s="27"/>
      <c r="AB422" s="27"/>
      <c r="AC422" s="1038"/>
      <c r="AD422" s="573"/>
    </row>
    <row r="423" spans="3:30" ht="10.5" customHeight="1">
      <c r="C423" s="2388" t="s">
        <v>4921</v>
      </c>
      <c r="D423" s="2385">
        <v>0</v>
      </c>
      <c r="E423" s="2385">
        <v>0</v>
      </c>
      <c r="F423" s="2386">
        <v>0</v>
      </c>
      <c r="G423" s="2412" t="s">
        <v>4921</v>
      </c>
      <c r="H423" s="2383">
        <v>0</v>
      </c>
      <c r="I423" s="2383">
        <v>0</v>
      </c>
      <c r="J423" s="2413">
        <v>0</v>
      </c>
      <c r="K423" s="2387"/>
      <c r="L423" s="2381">
        <v>13021011900</v>
      </c>
      <c r="M423" s="2382">
        <v>0</v>
      </c>
      <c r="N423" s="2382">
        <v>0</v>
      </c>
      <c r="O423" s="2382">
        <v>0</v>
      </c>
      <c r="P423" s="626" t="s">
        <v>1636</v>
      </c>
      <c r="Q423" s="321"/>
      <c r="R423" s="189"/>
      <c r="S423" s="445"/>
      <c r="T423" s="560" t="s">
        <v>368</v>
      </c>
      <c r="U423" s="560" t="s">
        <v>1427</v>
      </c>
      <c r="AA423" s="27"/>
      <c r="AB423" s="27"/>
      <c r="AC423" s="1038"/>
      <c r="AD423" s="573"/>
    </row>
    <row r="424" spans="3:30" ht="10.5" customHeight="1">
      <c r="C424" s="2388" t="s">
        <v>4922</v>
      </c>
      <c r="D424" s="2385">
        <v>1</v>
      </c>
      <c r="E424" s="2385">
        <v>1</v>
      </c>
      <c r="F424" s="2386">
        <v>2</v>
      </c>
      <c r="G424" s="2412" t="s">
        <v>4922</v>
      </c>
      <c r="H424" s="2383">
        <v>1</v>
      </c>
      <c r="I424" s="2383">
        <v>1</v>
      </c>
      <c r="J424" s="2413">
        <v>2</v>
      </c>
      <c r="K424" s="2387"/>
      <c r="L424" s="2381">
        <v>13021012000</v>
      </c>
      <c r="M424" s="2382">
        <v>1</v>
      </c>
      <c r="N424" s="2382">
        <v>1</v>
      </c>
      <c r="O424" s="2382">
        <v>2</v>
      </c>
      <c r="P424" s="626" t="s">
        <v>843</v>
      </c>
      <c r="Q424" s="321"/>
      <c r="R424" s="189"/>
      <c r="S424" s="445"/>
      <c r="T424" s="560" t="s">
        <v>1025</v>
      </c>
      <c r="U424" s="560" t="s">
        <v>1864</v>
      </c>
      <c r="AA424" s="27"/>
      <c r="AB424" s="27"/>
      <c r="AC424" s="1038"/>
      <c r="AD424" s="573"/>
    </row>
    <row r="425" spans="3:30" ht="10.5" customHeight="1">
      <c r="C425" s="2388" t="s">
        <v>4923</v>
      </c>
      <c r="D425" s="2385">
        <v>1</v>
      </c>
      <c r="E425" s="2385">
        <v>1</v>
      </c>
      <c r="F425" s="2386">
        <v>2</v>
      </c>
      <c r="G425" s="2412" t="s">
        <v>4923</v>
      </c>
      <c r="H425" s="2383">
        <v>1</v>
      </c>
      <c r="I425" s="2383">
        <v>1</v>
      </c>
      <c r="J425" s="2413">
        <v>2</v>
      </c>
      <c r="K425" s="2387"/>
      <c r="L425" s="2381">
        <v>13021012101</v>
      </c>
      <c r="M425" s="2382">
        <v>1</v>
      </c>
      <c r="N425" s="2382">
        <v>1</v>
      </c>
      <c r="O425" s="2382">
        <v>2</v>
      </c>
      <c r="P425" s="626" t="s">
        <v>845</v>
      </c>
      <c r="Q425" s="321"/>
      <c r="R425" s="189"/>
      <c r="S425" s="445"/>
      <c r="T425" s="560" t="s">
        <v>370</v>
      </c>
      <c r="U425" s="560" t="s">
        <v>856</v>
      </c>
      <c r="AA425" s="27"/>
      <c r="AB425" s="27"/>
      <c r="AC425" s="1038"/>
      <c r="AD425" s="573"/>
    </row>
    <row r="426" spans="3:30" ht="10.5" customHeight="1">
      <c r="C426" s="2388" t="s">
        <v>4924</v>
      </c>
      <c r="D426" s="2385">
        <v>0</v>
      </c>
      <c r="E426" s="2385">
        <v>1</v>
      </c>
      <c r="F426" s="2386">
        <v>1</v>
      </c>
      <c r="G426" s="2412" t="s">
        <v>4924</v>
      </c>
      <c r="H426" s="2383">
        <v>0</v>
      </c>
      <c r="I426" s="2383">
        <v>1</v>
      </c>
      <c r="J426" s="2413">
        <v>1</v>
      </c>
      <c r="K426" s="2387"/>
      <c r="L426" s="2381">
        <v>13021012102</v>
      </c>
      <c r="M426" s="2382">
        <v>0</v>
      </c>
      <c r="N426" s="2382">
        <v>1</v>
      </c>
      <c r="O426" s="2382">
        <v>1</v>
      </c>
      <c r="P426" s="626" t="s">
        <v>847</v>
      </c>
      <c r="Q426" s="321"/>
      <c r="R426" s="189"/>
      <c r="S426" s="445"/>
      <c r="T426" s="560" t="s">
        <v>1389</v>
      </c>
      <c r="U426" s="560" t="s">
        <v>2187</v>
      </c>
      <c r="AA426" s="27"/>
      <c r="AB426" s="27"/>
      <c r="AC426" s="1038"/>
      <c r="AD426" s="573"/>
    </row>
    <row r="427" spans="3:30" ht="10.5" customHeight="1">
      <c r="C427" s="2388" t="s">
        <v>4925</v>
      </c>
      <c r="D427" s="2385">
        <v>0</v>
      </c>
      <c r="E427" s="2385">
        <v>0</v>
      </c>
      <c r="F427" s="2386">
        <v>0</v>
      </c>
      <c r="G427" s="2412" t="s">
        <v>4925</v>
      </c>
      <c r="H427" s="2383">
        <v>0</v>
      </c>
      <c r="I427" s="2383">
        <v>0</v>
      </c>
      <c r="J427" s="2413">
        <v>0</v>
      </c>
      <c r="K427" s="2387"/>
      <c r="L427" s="2381">
        <v>13021012200</v>
      </c>
      <c r="M427" s="2382">
        <v>0</v>
      </c>
      <c r="N427" s="2382">
        <v>0</v>
      </c>
      <c r="O427" s="2382">
        <v>0</v>
      </c>
      <c r="P427" s="626" t="s">
        <v>423</v>
      </c>
      <c r="Q427" s="321"/>
      <c r="R427" s="189"/>
      <c r="S427" s="445"/>
      <c r="T427" s="560" t="s">
        <v>1562</v>
      </c>
      <c r="U427" s="560" t="s">
        <v>171</v>
      </c>
      <c r="AA427" s="27"/>
      <c r="AB427" s="27"/>
      <c r="AC427" s="1038"/>
      <c r="AD427" s="573"/>
    </row>
    <row r="428" spans="3:30" ht="10.5" customHeight="1">
      <c r="C428" s="2388" t="s">
        <v>4926</v>
      </c>
      <c r="D428" s="2385">
        <v>0</v>
      </c>
      <c r="E428" s="2385">
        <v>0</v>
      </c>
      <c r="F428" s="2386">
        <v>0</v>
      </c>
      <c r="G428" s="2412" t="s">
        <v>4926</v>
      </c>
      <c r="H428" s="2383">
        <v>0</v>
      </c>
      <c r="I428" s="2383">
        <v>0</v>
      </c>
      <c r="J428" s="2413">
        <v>0</v>
      </c>
      <c r="K428" s="2387"/>
      <c r="L428" s="2381">
        <v>13021012300</v>
      </c>
      <c r="M428" s="2382">
        <v>0</v>
      </c>
      <c r="N428" s="2382">
        <v>0</v>
      </c>
      <c r="O428" s="2382">
        <v>0</v>
      </c>
      <c r="P428" s="626" t="s">
        <v>1680</v>
      </c>
      <c r="Q428" s="321"/>
      <c r="R428" s="189"/>
      <c r="S428" s="445"/>
      <c r="T428" s="627" t="s">
        <v>987</v>
      </c>
      <c r="U428" s="627" t="s">
        <v>310</v>
      </c>
      <c r="AA428" s="27"/>
      <c r="AB428" s="27"/>
      <c r="AC428" s="1038"/>
      <c r="AD428" s="573"/>
    </row>
    <row r="429" spans="3:30" ht="10.5" customHeight="1">
      <c r="C429" s="2388" t="s">
        <v>4927</v>
      </c>
      <c r="D429" s="2385">
        <v>0</v>
      </c>
      <c r="E429" s="2385">
        <v>0</v>
      </c>
      <c r="F429" s="2386">
        <v>0</v>
      </c>
      <c r="G429" s="2412" t="s">
        <v>4927</v>
      </c>
      <c r="H429" s="2383">
        <v>0</v>
      </c>
      <c r="I429" s="2383">
        <v>0</v>
      </c>
      <c r="J429" s="2413">
        <v>0</v>
      </c>
      <c r="K429" s="2387"/>
      <c r="L429" s="2381">
        <v>13021012400</v>
      </c>
      <c r="M429" s="2382">
        <v>0</v>
      </c>
      <c r="N429" s="2382">
        <v>0</v>
      </c>
      <c r="O429" s="2382">
        <v>0</v>
      </c>
      <c r="P429" s="626" t="s">
        <v>2229</v>
      </c>
      <c r="Q429" s="321"/>
      <c r="R429" s="189"/>
      <c r="S429" s="445"/>
      <c r="T429" s="560" t="s">
        <v>989</v>
      </c>
      <c r="U429" s="560" t="s">
        <v>314</v>
      </c>
      <c r="AA429" s="27"/>
      <c r="AB429" s="27"/>
      <c r="AC429" s="1039"/>
      <c r="AD429" s="573"/>
    </row>
    <row r="430" spans="3:30" ht="10.5" customHeight="1">
      <c r="C430" s="2388" t="s">
        <v>4928</v>
      </c>
      <c r="D430" s="2385">
        <v>0</v>
      </c>
      <c r="E430" s="2385">
        <v>0</v>
      </c>
      <c r="F430" s="2386">
        <v>0</v>
      </c>
      <c r="G430" s="2412" t="s">
        <v>4928</v>
      </c>
      <c r="H430" s="2383">
        <v>0</v>
      </c>
      <c r="I430" s="2383">
        <v>0</v>
      </c>
      <c r="J430" s="2413">
        <v>0</v>
      </c>
      <c r="K430" s="2387"/>
      <c r="L430" s="2381">
        <v>13021012500</v>
      </c>
      <c r="M430" s="2382">
        <v>0</v>
      </c>
      <c r="N430" s="2382">
        <v>0</v>
      </c>
      <c r="O430" s="2382">
        <v>0</v>
      </c>
      <c r="P430" s="626" t="s">
        <v>1956</v>
      </c>
      <c r="Q430" s="321"/>
      <c r="R430" s="189"/>
      <c r="S430" s="445"/>
      <c r="T430" s="560" t="s">
        <v>1026</v>
      </c>
      <c r="U430" s="560" t="s">
        <v>1958</v>
      </c>
      <c r="AA430" s="27"/>
      <c r="AB430" s="27"/>
      <c r="AC430" s="1038"/>
      <c r="AD430" s="573"/>
    </row>
    <row r="431" spans="3:30" ht="10.5" customHeight="1">
      <c r="C431" s="2388" t="s">
        <v>4929</v>
      </c>
      <c r="D431" s="2385">
        <v>0</v>
      </c>
      <c r="E431" s="2385">
        <v>0</v>
      </c>
      <c r="F431" s="2386">
        <v>0</v>
      </c>
      <c r="G431" s="2412" t="s">
        <v>4929</v>
      </c>
      <c r="H431" s="2383">
        <v>0</v>
      </c>
      <c r="I431" s="2383">
        <v>0</v>
      </c>
      <c r="J431" s="2413">
        <v>0</v>
      </c>
      <c r="K431" s="2387"/>
      <c r="L431" s="2381">
        <v>13021012600</v>
      </c>
      <c r="M431" s="2382">
        <v>0</v>
      </c>
      <c r="N431" s="2382">
        <v>0</v>
      </c>
      <c r="O431" s="2382">
        <v>0</v>
      </c>
      <c r="P431" s="626" t="s">
        <v>1010</v>
      </c>
      <c r="Q431" s="321"/>
      <c r="R431" s="189"/>
      <c r="S431" s="445"/>
      <c r="T431" s="560" t="s">
        <v>991</v>
      </c>
      <c r="U431" s="560" t="s">
        <v>1180</v>
      </c>
      <c r="AA431" s="27"/>
      <c r="AB431" s="27"/>
      <c r="AC431" s="1038"/>
      <c r="AD431" s="573"/>
    </row>
    <row r="432" spans="3:30" ht="10.5" customHeight="1">
      <c r="C432" s="2388" t="s">
        <v>4930</v>
      </c>
      <c r="D432" s="2385">
        <v>0</v>
      </c>
      <c r="E432" s="2385">
        <v>0</v>
      </c>
      <c r="F432" s="2386">
        <v>0</v>
      </c>
      <c r="G432" s="2412" t="s">
        <v>4930</v>
      </c>
      <c r="H432" s="2383">
        <v>0</v>
      </c>
      <c r="I432" s="2383">
        <v>0</v>
      </c>
      <c r="J432" s="2413">
        <v>0</v>
      </c>
      <c r="K432" s="2387"/>
      <c r="L432" s="2381">
        <v>13021012700</v>
      </c>
      <c r="M432" s="2382">
        <v>0</v>
      </c>
      <c r="N432" s="2382">
        <v>0</v>
      </c>
      <c r="O432" s="2382">
        <v>0</v>
      </c>
      <c r="P432" s="626" t="s">
        <v>403</v>
      </c>
      <c r="Q432" s="321"/>
      <c r="R432" s="189"/>
      <c r="S432" s="445"/>
      <c r="T432" s="560" t="s">
        <v>309</v>
      </c>
      <c r="U432" s="560" t="s">
        <v>2465</v>
      </c>
      <c r="AA432" s="27"/>
      <c r="AB432" s="27"/>
      <c r="AC432" s="1038"/>
      <c r="AD432" s="573"/>
    </row>
    <row r="433" spans="3:30" ht="10.5" customHeight="1">
      <c r="C433" s="2388" t="s">
        <v>4931</v>
      </c>
      <c r="D433" s="2385">
        <v>0</v>
      </c>
      <c r="E433" s="2385">
        <v>0</v>
      </c>
      <c r="F433" s="2386">
        <v>0</v>
      </c>
      <c r="G433" s="2412" t="s">
        <v>4931</v>
      </c>
      <c r="H433" s="2383">
        <v>0</v>
      </c>
      <c r="I433" s="2383">
        <v>0</v>
      </c>
      <c r="J433" s="2413">
        <v>0</v>
      </c>
      <c r="K433" s="2387"/>
      <c r="L433" s="2381">
        <v>13021012800</v>
      </c>
      <c r="M433" s="2382">
        <v>0</v>
      </c>
      <c r="N433" s="2382">
        <v>0</v>
      </c>
      <c r="O433" s="2382">
        <v>0</v>
      </c>
      <c r="P433" s="626" t="s">
        <v>405</v>
      </c>
      <c r="Q433" s="321"/>
      <c r="R433" s="189"/>
      <c r="S433" s="445"/>
      <c r="T433" s="560" t="s">
        <v>2760</v>
      </c>
      <c r="U433" s="560" t="s">
        <v>1739</v>
      </c>
      <c r="AA433" s="27"/>
      <c r="AB433" s="27"/>
      <c r="AC433" s="1038"/>
      <c r="AD433" s="573"/>
    </row>
    <row r="434" spans="3:30" ht="10.5" customHeight="1">
      <c r="C434" s="2388" t="s">
        <v>4932</v>
      </c>
      <c r="D434" s="2385">
        <v>0</v>
      </c>
      <c r="E434" s="2385">
        <v>0</v>
      </c>
      <c r="F434" s="2386">
        <v>0</v>
      </c>
      <c r="G434" s="2412" t="s">
        <v>4932</v>
      </c>
      <c r="H434" s="2383">
        <v>0</v>
      </c>
      <c r="I434" s="2383">
        <v>0</v>
      </c>
      <c r="J434" s="2413">
        <v>0</v>
      </c>
      <c r="K434" s="2387"/>
      <c r="L434" s="2381">
        <v>13021012900</v>
      </c>
      <c r="M434" s="2382">
        <v>0</v>
      </c>
      <c r="N434" s="2382">
        <v>0</v>
      </c>
      <c r="O434" s="2382">
        <v>0</v>
      </c>
      <c r="P434" s="626" t="s">
        <v>406</v>
      </c>
      <c r="Q434" s="321"/>
      <c r="R434" s="189"/>
      <c r="S434" s="445"/>
      <c r="T434" s="560" t="s">
        <v>1637</v>
      </c>
      <c r="U434" s="560" t="s">
        <v>2462</v>
      </c>
      <c r="AA434" s="27"/>
      <c r="AB434" s="27"/>
      <c r="AC434" s="1038"/>
      <c r="AD434" s="573"/>
    </row>
    <row r="435" spans="3:30" ht="10.5" customHeight="1">
      <c r="C435" s="2388" t="s">
        <v>4933</v>
      </c>
      <c r="D435" s="2385">
        <v>0</v>
      </c>
      <c r="E435" s="2385">
        <v>0</v>
      </c>
      <c r="F435" s="2386">
        <v>0</v>
      </c>
      <c r="G435" s="2412" t="s">
        <v>4933</v>
      </c>
      <c r="H435" s="2383">
        <v>0</v>
      </c>
      <c r="I435" s="2383">
        <v>0</v>
      </c>
      <c r="J435" s="2413">
        <v>0</v>
      </c>
      <c r="K435" s="2387"/>
      <c r="L435" s="2381">
        <v>13021013101</v>
      </c>
      <c r="M435" s="2382">
        <v>0</v>
      </c>
      <c r="N435" s="2382">
        <v>0</v>
      </c>
      <c r="O435" s="2382">
        <v>0</v>
      </c>
      <c r="P435" s="626" t="s">
        <v>1896</v>
      </c>
      <c r="Q435" s="321"/>
      <c r="R435" s="189"/>
      <c r="S435" s="445"/>
      <c r="T435" s="560" t="s">
        <v>844</v>
      </c>
      <c r="U435" s="560" t="s">
        <v>103</v>
      </c>
      <c r="AA435" s="27"/>
      <c r="AB435" s="27"/>
      <c r="AC435" s="1038"/>
      <c r="AD435" s="573"/>
    </row>
    <row r="436" spans="3:30" ht="10.5" customHeight="1">
      <c r="C436" s="2388" t="s">
        <v>4934</v>
      </c>
      <c r="D436" s="2385">
        <v>0</v>
      </c>
      <c r="E436" s="2385">
        <v>0</v>
      </c>
      <c r="F436" s="2386">
        <v>0</v>
      </c>
      <c r="G436" s="2412" t="s">
        <v>4934</v>
      </c>
      <c r="H436" s="2383">
        <v>0</v>
      </c>
      <c r="I436" s="2383">
        <v>0</v>
      </c>
      <c r="J436" s="2413">
        <v>0</v>
      </c>
      <c r="K436" s="2387"/>
      <c r="L436" s="2381">
        <v>13021013102</v>
      </c>
      <c r="M436" s="2382">
        <v>0</v>
      </c>
      <c r="N436" s="2382">
        <v>0</v>
      </c>
      <c r="O436" s="2382">
        <v>0</v>
      </c>
      <c r="P436" s="626" t="s">
        <v>481</v>
      </c>
      <c r="Q436" s="321"/>
      <c r="R436" s="189"/>
      <c r="S436" s="445"/>
      <c r="T436" s="560" t="s">
        <v>846</v>
      </c>
      <c r="U436" s="560" t="s">
        <v>311</v>
      </c>
      <c r="AA436" s="27"/>
      <c r="AB436" s="27"/>
      <c r="AC436" s="1038"/>
      <c r="AD436" s="573"/>
    </row>
    <row r="437" spans="3:30" ht="10.5" customHeight="1">
      <c r="C437" s="2388" t="s">
        <v>4935</v>
      </c>
      <c r="D437" s="2385">
        <v>0</v>
      </c>
      <c r="E437" s="2385">
        <v>0</v>
      </c>
      <c r="F437" s="2386">
        <v>0</v>
      </c>
      <c r="G437" s="2412" t="s">
        <v>4935</v>
      </c>
      <c r="H437" s="2383">
        <v>0</v>
      </c>
      <c r="I437" s="2383">
        <v>0</v>
      </c>
      <c r="J437" s="2413">
        <v>0</v>
      </c>
      <c r="K437" s="2387"/>
      <c r="L437" s="2381">
        <v>13021013201</v>
      </c>
      <c r="M437" s="2382">
        <v>0</v>
      </c>
      <c r="N437" s="2382">
        <v>0</v>
      </c>
      <c r="O437" s="2382">
        <v>0</v>
      </c>
      <c r="P437" s="626" t="s">
        <v>2111</v>
      </c>
      <c r="Q437" s="321"/>
      <c r="R437" s="189"/>
      <c r="S437" s="445"/>
      <c r="T437" s="560" t="s">
        <v>1697</v>
      </c>
      <c r="U437" s="560" t="s">
        <v>1077</v>
      </c>
      <c r="AA437" s="27"/>
      <c r="AB437" s="27"/>
      <c r="AC437" s="1038"/>
      <c r="AD437" s="573"/>
    </row>
    <row r="438" spans="3:30" ht="10.5" customHeight="1">
      <c r="C438" s="2388" t="s">
        <v>4936</v>
      </c>
      <c r="D438" s="2385">
        <v>0</v>
      </c>
      <c r="E438" s="2385">
        <v>0</v>
      </c>
      <c r="F438" s="2386">
        <v>0</v>
      </c>
      <c r="G438" s="2412" t="s">
        <v>4936</v>
      </c>
      <c r="H438" s="2383">
        <v>0</v>
      </c>
      <c r="I438" s="2383">
        <v>0</v>
      </c>
      <c r="J438" s="2413">
        <v>0</v>
      </c>
      <c r="K438" s="2387"/>
      <c r="L438" s="2381">
        <v>13021013202</v>
      </c>
      <c r="M438" s="2382">
        <v>0</v>
      </c>
      <c r="N438" s="2382">
        <v>0</v>
      </c>
      <c r="O438" s="2382">
        <v>0</v>
      </c>
      <c r="P438" s="626" t="s">
        <v>1607</v>
      </c>
      <c r="Q438" s="321"/>
      <c r="R438" s="189"/>
      <c r="S438" s="445"/>
      <c r="T438" s="560" t="s">
        <v>613</v>
      </c>
      <c r="U438" s="560" t="s">
        <v>321</v>
      </c>
      <c r="AA438" s="27"/>
      <c r="AB438" s="27"/>
      <c r="AC438" s="1038"/>
      <c r="AD438" s="573"/>
    </row>
    <row r="439" spans="3:30" ht="10.5" customHeight="1">
      <c r="C439" s="2388" t="s">
        <v>4937</v>
      </c>
      <c r="D439" s="2385">
        <v>0</v>
      </c>
      <c r="E439" s="2385">
        <v>0</v>
      </c>
      <c r="F439" s="2386">
        <v>0</v>
      </c>
      <c r="G439" s="2412" t="s">
        <v>4937</v>
      </c>
      <c r="H439" s="2383">
        <v>0</v>
      </c>
      <c r="I439" s="2383">
        <v>0</v>
      </c>
      <c r="J439" s="2413">
        <v>0</v>
      </c>
      <c r="K439" s="2387"/>
      <c r="L439" s="2381">
        <v>13021013302</v>
      </c>
      <c r="M439" s="2382">
        <v>0</v>
      </c>
      <c r="N439" s="2382">
        <v>0</v>
      </c>
      <c r="O439" s="2382">
        <v>0</v>
      </c>
      <c r="P439" s="626" t="s">
        <v>1609</v>
      </c>
      <c r="Q439" s="321"/>
      <c r="R439" s="189"/>
      <c r="S439" s="445"/>
      <c r="T439" s="560" t="s">
        <v>1681</v>
      </c>
      <c r="U439" s="560" t="s">
        <v>111</v>
      </c>
      <c r="AA439" s="27"/>
      <c r="AB439" s="27"/>
      <c r="AC439" s="1038"/>
      <c r="AD439" s="573"/>
    </row>
    <row r="440" spans="3:30" ht="10.5" customHeight="1">
      <c r="C440" s="2388" t="s">
        <v>4938</v>
      </c>
      <c r="D440" s="2385">
        <v>1</v>
      </c>
      <c r="E440" s="2385">
        <v>1</v>
      </c>
      <c r="F440" s="2386">
        <v>2</v>
      </c>
      <c r="G440" s="2412" t="s">
        <v>4938</v>
      </c>
      <c r="H440" s="2383">
        <v>0</v>
      </c>
      <c r="I440" s="2383">
        <v>1</v>
      </c>
      <c r="J440" s="2413">
        <v>1</v>
      </c>
      <c r="K440" s="2387"/>
      <c r="L440" s="2381">
        <v>13021013407</v>
      </c>
      <c r="M440" s="2382">
        <v>1</v>
      </c>
      <c r="N440" s="2382">
        <v>1</v>
      </c>
      <c r="O440" s="2382">
        <v>2</v>
      </c>
      <c r="P440" s="626" t="s">
        <v>301</v>
      </c>
      <c r="Q440" s="321"/>
      <c r="R440" s="189"/>
      <c r="S440" s="445"/>
      <c r="T440" s="560" t="s">
        <v>2761</v>
      </c>
      <c r="U440" s="560" t="s">
        <v>155</v>
      </c>
      <c r="AA440" s="27"/>
      <c r="AB440" s="27"/>
      <c r="AC440" s="1038"/>
      <c r="AD440" s="573"/>
    </row>
    <row r="441" spans="3:30" ht="10.5" customHeight="1">
      <c r="C441" s="2388" t="s">
        <v>4939</v>
      </c>
      <c r="D441" s="2385">
        <v>1</v>
      </c>
      <c r="E441" s="2385">
        <v>1</v>
      </c>
      <c r="F441" s="2386">
        <v>2</v>
      </c>
      <c r="G441" s="2412" t="s">
        <v>4939</v>
      </c>
      <c r="H441" s="2383">
        <v>1</v>
      </c>
      <c r="I441" s="2383">
        <v>1</v>
      </c>
      <c r="J441" s="2413">
        <v>2</v>
      </c>
      <c r="K441" s="2387"/>
      <c r="L441" s="2381">
        <v>13021013408</v>
      </c>
      <c r="M441" s="2382">
        <v>1</v>
      </c>
      <c r="N441" s="2382">
        <v>1</v>
      </c>
      <c r="O441" s="2382">
        <v>2</v>
      </c>
      <c r="P441" s="626" t="s">
        <v>303</v>
      </c>
      <c r="Q441" s="321"/>
      <c r="R441" s="189"/>
      <c r="S441" s="445"/>
      <c r="T441" s="560" t="s">
        <v>1957</v>
      </c>
      <c r="U441" s="560" t="s">
        <v>1087</v>
      </c>
      <c r="AA441" s="27"/>
      <c r="AB441" s="27"/>
      <c r="AC441" s="1038"/>
      <c r="AD441" s="573"/>
    </row>
    <row r="442" spans="3:30" ht="10.5" customHeight="1">
      <c r="C442" s="2388" t="s">
        <v>4940</v>
      </c>
      <c r="D442" s="2385">
        <v>1</v>
      </c>
      <c r="E442" s="2385">
        <v>1</v>
      </c>
      <c r="F442" s="2386">
        <v>2</v>
      </c>
      <c r="G442" s="2412" t="s">
        <v>4940</v>
      </c>
      <c r="H442" s="2383">
        <v>1</v>
      </c>
      <c r="I442" s="2383">
        <v>1</v>
      </c>
      <c r="J442" s="2413">
        <v>2</v>
      </c>
      <c r="K442" s="2387"/>
      <c r="L442" s="2381">
        <v>13021013409</v>
      </c>
      <c r="M442" s="2382">
        <v>1</v>
      </c>
      <c r="N442" s="2382">
        <v>1</v>
      </c>
      <c r="O442" s="2382">
        <v>2</v>
      </c>
      <c r="P442" s="626" t="s">
        <v>920</v>
      </c>
      <c r="Q442" s="321"/>
      <c r="R442" s="189"/>
      <c r="S442" s="445"/>
      <c r="T442" s="627" t="s">
        <v>2762</v>
      </c>
      <c r="U442" s="627" t="s">
        <v>314</v>
      </c>
      <c r="AA442" s="27"/>
      <c r="AB442" s="27"/>
      <c r="AC442" s="1038"/>
      <c r="AD442" s="573"/>
    </row>
    <row r="443" spans="3:30" ht="10.5" customHeight="1">
      <c r="C443" s="2388" t="s">
        <v>4941</v>
      </c>
      <c r="D443" s="2385">
        <v>1</v>
      </c>
      <c r="E443" s="2385">
        <v>1</v>
      </c>
      <c r="F443" s="2386">
        <v>2</v>
      </c>
      <c r="G443" s="2412" t="s">
        <v>4941</v>
      </c>
      <c r="H443" s="2383">
        <v>1</v>
      </c>
      <c r="I443" s="2383">
        <v>1</v>
      </c>
      <c r="J443" s="2413">
        <v>2</v>
      </c>
      <c r="K443" s="2387"/>
      <c r="L443" s="2381">
        <v>13021013410</v>
      </c>
      <c r="M443" s="2382">
        <v>1</v>
      </c>
      <c r="N443" s="2382">
        <v>1</v>
      </c>
      <c r="O443" s="2382">
        <v>2</v>
      </c>
      <c r="P443" s="626" t="s">
        <v>2262</v>
      </c>
      <c r="Q443" s="321"/>
      <c r="R443" s="189"/>
      <c r="S443" s="445"/>
      <c r="T443" s="560" t="s">
        <v>1011</v>
      </c>
      <c r="U443" s="560" t="s">
        <v>1864</v>
      </c>
      <c r="AA443" s="27"/>
      <c r="AB443" s="27"/>
      <c r="AC443" s="1039"/>
      <c r="AD443" s="573"/>
    </row>
    <row r="444" spans="3:30" ht="10.5" customHeight="1">
      <c r="C444" s="2388" t="s">
        <v>4942</v>
      </c>
      <c r="D444" s="2385">
        <v>1</v>
      </c>
      <c r="E444" s="2385">
        <v>1</v>
      </c>
      <c r="F444" s="2386">
        <v>2</v>
      </c>
      <c r="G444" s="2412" t="s">
        <v>4942</v>
      </c>
      <c r="H444" s="2383">
        <v>1</v>
      </c>
      <c r="I444" s="2383" t="s">
        <v>4493</v>
      </c>
      <c r="J444" s="2413">
        <v>1</v>
      </c>
      <c r="K444" s="2387"/>
      <c r="L444" s="2381">
        <v>13021013411</v>
      </c>
      <c r="M444" s="2382">
        <v>1</v>
      </c>
      <c r="N444" s="2382">
        <v>1</v>
      </c>
      <c r="O444" s="2382">
        <v>2</v>
      </c>
      <c r="P444" s="626" t="s">
        <v>2263</v>
      </c>
      <c r="Q444" s="321"/>
      <c r="R444" s="189"/>
      <c r="S444" s="445"/>
      <c r="T444" s="627" t="s">
        <v>404</v>
      </c>
      <c r="U444" s="627" t="s">
        <v>180</v>
      </c>
      <c r="AA444" s="27"/>
      <c r="AB444" s="27"/>
      <c r="AC444" s="1038"/>
      <c r="AD444" s="573"/>
    </row>
    <row r="445" spans="3:30" ht="10.5" customHeight="1">
      <c r="C445" s="2388" t="s">
        <v>4943</v>
      </c>
      <c r="D445" s="2385">
        <v>0</v>
      </c>
      <c r="E445" s="2385">
        <v>0</v>
      </c>
      <c r="F445" s="2386">
        <v>0</v>
      </c>
      <c r="G445" s="2412" t="s">
        <v>4943</v>
      </c>
      <c r="H445" s="2383">
        <v>0</v>
      </c>
      <c r="I445" s="2383">
        <v>0</v>
      </c>
      <c r="J445" s="2413">
        <v>0</v>
      </c>
      <c r="K445" s="2387"/>
      <c r="L445" s="2381">
        <v>13021013502</v>
      </c>
      <c r="M445" s="2382">
        <v>0</v>
      </c>
      <c r="N445" s="2382">
        <v>0</v>
      </c>
      <c r="O445" s="2382">
        <v>0</v>
      </c>
      <c r="P445" s="626" t="s">
        <v>2244</v>
      </c>
      <c r="Q445" s="321"/>
      <c r="R445" s="189"/>
      <c r="S445" s="445"/>
      <c r="T445" s="560" t="s">
        <v>1027</v>
      </c>
      <c r="U445" s="560" t="s">
        <v>1074</v>
      </c>
      <c r="AA445" s="27"/>
      <c r="AB445" s="27"/>
      <c r="AC445" s="1039"/>
      <c r="AD445" s="573"/>
    </row>
    <row r="446" spans="3:30" ht="10.5" customHeight="1">
      <c r="C446" s="2388" t="s">
        <v>4944</v>
      </c>
      <c r="D446" s="2385">
        <v>0</v>
      </c>
      <c r="E446" s="2385">
        <v>0</v>
      </c>
      <c r="F446" s="2386">
        <v>0</v>
      </c>
      <c r="G446" s="2412" t="s">
        <v>4944</v>
      </c>
      <c r="H446" s="2383">
        <v>0</v>
      </c>
      <c r="I446" s="2383">
        <v>0</v>
      </c>
      <c r="J446" s="2413">
        <v>0</v>
      </c>
      <c r="K446" s="2387"/>
      <c r="L446" s="2381">
        <v>13021013503</v>
      </c>
      <c r="M446" s="2382">
        <v>0</v>
      </c>
      <c r="N446" s="2382">
        <v>0</v>
      </c>
      <c r="O446" s="2382">
        <v>0</v>
      </c>
      <c r="P446" s="626" t="s">
        <v>2245</v>
      </c>
      <c r="Q446" s="321"/>
      <c r="R446" s="189"/>
      <c r="S446" s="445"/>
      <c r="T446" s="627" t="s">
        <v>407</v>
      </c>
      <c r="U446" s="627" t="s">
        <v>2118</v>
      </c>
      <c r="AA446" s="27"/>
      <c r="AB446" s="27"/>
      <c r="AC446" s="1038"/>
      <c r="AD446" s="573"/>
    </row>
    <row r="447" spans="3:30" ht="10.5" customHeight="1">
      <c r="C447" s="2388" t="s">
        <v>4945</v>
      </c>
      <c r="D447" s="2385">
        <v>1</v>
      </c>
      <c r="E447" s="2385">
        <v>1</v>
      </c>
      <c r="F447" s="2386">
        <v>2</v>
      </c>
      <c r="G447" s="2412" t="s">
        <v>4945</v>
      </c>
      <c r="H447" s="2383">
        <v>0</v>
      </c>
      <c r="I447" s="2383">
        <v>0</v>
      </c>
      <c r="J447" s="2413">
        <v>0</v>
      </c>
      <c r="K447" s="2387"/>
      <c r="L447" s="2381">
        <v>13021013504</v>
      </c>
      <c r="M447" s="2382">
        <v>1</v>
      </c>
      <c r="N447" s="2382">
        <v>1</v>
      </c>
      <c r="O447" s="2382">
        <v>2</v>
      </c>
      <c r="P447" s="626" t="s">
        <v>2247</v>
      </c>
      <c r="Q447" s="321"/>
      <c r="R447" s="189"/>
      <c r="S447" s="445"/>
      <c r="T447" s="560" t="s">
        <v>1897</v>
      </c>
      <c r="U447" s="560" t="s">
        <v>1427</v>
      </c>
      <c r="AA447" s="27"/>
      <c r="AB447" s="27"/>
      <c r="AC447" s="1039"/>
      <c r="AD447" s="573"/>
    </row>
    <row r="448" spans="3:30" ht="10.5" customHeight="1">
      <c r="C448" s="2388" t="s">
        <v>4946</v>
      </c>
      <c r="D448" s="2385">
        <v>0</v>
      </c>
      <c r="E448" s="2385">
        <v>1</v>
      </c>
      <c r="F448" s="2386">
        <v>1</v>
      </c>
      <c r="G448" s="2412" t="s">
        <v>4946</v>
      </c>
      <c r="H448" s="2383">
        <v>0</v>
      </c>
      <c r="I448" s="2383">
        <v>1</v>
      </c>
      <c r="J448" s="2413">
        <v>1</v>
      </c>
      <c r="K448" s="2387"/>
      <c r="L448" s="2381">
        <v>13021013603</v>
      </c>
      <c r="M448" s="2382">
        <v>0</v>
      </c>
      <c r="N448" s="2382">
        <v>1</v>
      </c>
      <c r="O448" s="2382">
        <v>1</v>
      </c>
      <c r="P448" s="626" t="s">
        <v>498</v>
      </c>
      <c r="Q448" s="321"/>
      <c r="R448" s="189"/>
      <c r="S448" s="445"/>
      <c r="T448" s="560" t="s">
        <v>482</v>
      </c>
      <c r="U448" s="560" t="s">
        <v>2525</v>
      </c>
      <c r="AA448" s="27"/>
      <c r="AB448" s="27"/>
      <c r="AC448" s="1038"/>
      <c r="AD448" s="573"/>
    </row>
    <row r="449" spans="3:30" ht="10.5" customHeight="1">
      <c r="C449" s="2388" t="s">
        <v>4947</v>
      </c>
      <c r="D449" s="2385">
        <v>1</v>
      </c>
      <c r="E449" s="2385">
        <v>1</v>
      </c>
      <c r="F449" s="2386">
        <v>2</v>
      </c>
      <c r="G449" s="2412" t="s">
        <v>4947</v>
      </c>
      <c r="H449" s="2383">
        <v>0</v>
      </c>
      <c r="I449" s="2383" t="s">
        <v>4493</v>
      </c>
      <c r="J449" s="2413">
        <v>0</v>
      </c>
      <c r="K449" s="2387"/>
      <c r="L449" s="2381">
        <v>13021013604</v>
      </c>
      <c r="M449" s="2382">
        <v>1</v>
      </c>
      <c r="N449" s="2382">
        <v>1</v>
      </c>
      <c r="O449" s="2382">
        <v>2</v>
      </c>
      <c r="P449" s="626" t="s">
        <v>182</v>
      </c>
      <c r="Q449" s="321"/>
      <c r="R449" s="189"/>
      <c r="S449" s="445"/>
      <c r="T449" s="560" t="s">
        <v>2112</v>
      </c>
      <c r="U449" s="560" t="s">
        <v>1296</v>
      </c>
      <c r="AA449" s="27"/>
      <c r="AB449" s="27"/>
      <c r="AC449" s="1038"/>
      <c r="AD449" s="573"/>
    </row>
    <row r="450" spans="3:30" ht="10.5" customHeight="1">
      <c r="C450" s="2388" t="s">
        <v>4948</v>
      </c>
      <c r="D450" s="2385">
        <v>1</v>
      </c>
      <c r="E450" s="2385">
        <v>1</v>
      </c>
      <c r="F450" s="2386">
        <v>2</v>
      </c>
      <c r="G450" s="2412" t="s">
        <v>4948</v>
      </c>
      <c r="H450" s="2383">
        <v>1</v>
      </c>
      <c r="I450" s="2383" t="s">
        <v>4493</v>
      </c>
      <c r="J450" s="2413">
        <v>1</v>
      </c>
      <c r="K450" s="2387"/>
      <c r="L450" s="2381">
        <v>13021013605</v>
      </c>
      <c r="M450" s="2382">
        <v>1</v>
      </c>
      <c r="N450" s="2382">
        <v>1</v>
      </c>
      <c r="O450" s="2382">
        <v>2</v>
      </c>
      <c r="P450" s="626" t="s">
        <v>2064</v>
      </c>
      <c r="Q450" s="321"/>
      <c r="R450" s="189"/>
      <c r="S450" s="445"/>
      <c r="T450" s="560" t="s">
        <v>1608</v>
      </c>
      <c r="U450" s="560" t="s">
        <v>1868</v>
      </c>
      <c r="AA450" s="27"/>
      <c r="AB450" s="27"/>
      <c r="AC450" s="1038"/>
      <c r="AD450" s="573"/>
    </row>
    <row r="451" spans="3:30" ht="10.5" customHeight="1">
      <c r="C451" s="2388" t="s">
        <v>4949</v>
      </c>
      <c r="D451" s="2385">
        <v>1</v>
      </c>
      <c r="E451" s="2385">
        <v>1</v>
      </c>
      <c r="F451" s="2386">
        <v>2</v>
      </c>
      <c r="G451" s="2412" t="s">
        <v>4949</v>
      </c>
      <c r="H451" s="2383">
        <v>1</v>
      </c>
      <c r="I451" s="2383">
        <v>1</v>
      </c>
      <c r="J451" s="2413">
        <v>2</v>
      </c>
      <c r="K451" s="2387"/>
      <c r="L451" s="2381">
        <v>13021013606</v>
      </c>
      <c r="M451" s="2382">
        <v>1</v>
      </c>
      <c r="N451" s="2382">
        <v>1</v>
      </c>
      <c r="O451" s="2382">
        <v>2</v>
      </c>
      <c r="P451" s="626" t="s">
        <v>1928</v>
      </c>
      <c r="Q451" s="321"/>
      <c r="R451" s="189"/>
      <c r="S451" s="445"/>
      <c r="T451" s="560" t="s">
        <v>1610</v>
      </c>
      <c r="U451" s="560" t="s">
        <v>160</v>
      </c>
      <c r="AA451" s="27"/>
      <c r="AB451" s="27"/>
      <c r="AC451" s="1038"/>
      <c r="AD451" s="573"/>
    </row>
    <row r="452" spans="3:30" ht="10.5" customHeight="1">
      <c r="C452" s="2388" t="s">
        <v>4950</v>
      </c>
      <c r="D452" s="2385">
        <v>0</v>
      </c>
      <c r="E452" s="2385">
        <v>0</v>
      </c>
      <c r="F452" s="2386">
        <v>0</v>
      </c>
      <c r="G452" s="2412" t="s">
        <v>4950</v>
      </c>
      <c r="H452" s="2383">
        <v>0</v>
      </c>
      <c r="I452" s="2383">
        <v>1</v>
      </c>
      <c r="J452" s="2413">
        <v>1</v>
      </c>
      <c r="K452" s="2387"/>
      <c r="L452" s="2381">
        <v>13021013700</v>
      </c>
      <c r="M452" s="2382">
        <v>0</v>
      </c>
      <c r="N452" s="2382">
        <v>1</v>
      </c>
      <c r="O452" s="2382">
        <v>1</v>
      </c>
      <c r="P452" s="626" t="s">
        <v>1930</v>
      </c>
      <c r="Q452" s="321"/>
      <c r="R452" s="189"/>
      <c r="S452" s="445"/>
      <c r="T452" s="560" t="s">
        <v>302</v>
      </c>
      <c r="U452" s="560" t="s">
        <v>153</v>
      </c>
      <c r="AA452" s="27"/>
      <c r="AB452" s="27"/>
      <c r="AC452" s="1038"/>
      <c r="AD452" s="573"/>
    </row>
    <row r="453" spans="3:30" ht="10.5" customHeight="1">
      <c r="C453" s="2388" t="s">
        <v>4951</v>
      </c>
      <c r="D453" s="2385">
        <v>0</v>
      </c>
      <c r="E453" s="2385">
        <v>0</v>
      </c>
      <c r="F453" s="2386">
        <v>0</v>
      </c>
      <c r="G453" s="2412" t="s">
        <v>4951</v>
      </c>
      <c r="H453" s="2383">
        <v>0</v>
      </c>
      <c r="I453" s="2383">
        <v>0</v>
      </c>
      <c r="J453" s="2413">
        <v>0</v>
      </c>
      <c r="K453" s="2387"/>
      <c r="L453" s="2381">
        <v>13021013800</v>
      </c>
      <c r="M453" s="2382">
        <v>0</v>
      </c>
      <c r="N453" s="2382">
        <v>0</v>
      </c>
      <c r="O453" s="2382">
        <v>0</v>
      </c>
      <c r="P453" s="626" t="s">
        <v>1123</v>
      </c>
      <c r="Q453" s="321"/>
      <c r="R453" s="189"/>
      <c r="S453" s="445"/>
      <c r="T453" s="560" t="s">
        <v>304</v>
      </c>
      <c r="U453" s="560" t="s">
        <v>1283</v>
      </c>
      <c r="AA453" s="27"/>
      <c r="AB453" s="27"/>
      <c r="AC453" s="1038"/>
      <c r="AD453" s="573"/>
    </row>
    <row r="454" spans="3:30" ht="10.5" customHeight="1">
      <c r="C454" s="2388" t="s">
        <v>4952</v>
      </c>
      <c r="D454" s="2385">
        <v>0</v>
      </c>
      <c r="E454" s="2385">
        <v>0</v>
      </c>
      <c r="F454" s="2386">
        <v>0</v>
      </c>
      <c r="G454" s="2412" t="s">
        <v>4952</v>
      </c>
      <c r="H454" s="2383">
        <v>0</v>
      </c>
      <c r="I454" s="2383">
        <v>0</v>
      </c>
      <c r="J454" s="2413">
        <v>0</v>
      </c>
      <c r="K454" s="2387"/>
      <c r="L454" s="2381">
        <v>13021013900</v>
      </c>
      <c r="M454" s="2382">
        <v>0</v>
      </c>
      <c r="N454" s="2382">
        <v>0</v>
      </c>
      <c r="O454" s="2382">
        <v>0</v>
      </c>
      <c r="P454" s="626" t="s">
        <v>1125</v>
      </c>
      <c r="Q454" s="321"/>
      <c r="R454" s="189"/>
      <c r="S454" s="445"/>
      <c r="T454" s="560" t="s">
        <v>921</v>
      </c>
      <c r="U454" s="560" t="s">
        <v>2420</v>
      </c>
      <c r="AA454" s="27"/>
      <c r="AB454" s="27"/>
      <c r="AC454" s="1038"/>
      <c r="AD454" s="573"/>
    </row>
    <row r="455" spans="3:30" ht="10.5" customHeight="1">
      <c r="C455" s="2388" t="s">
        <v>4953</v>
      </c>
      <c r="D455" s="2385">
        <v>1</v>
      </c>
      <c r="E455" s="2385">
        <v>0</v>
      </c>
      <c r="F455" s="2386">
        <v>1</v>
      </c>
      <c r="G455" s="2412" t="s">
        <v>4953</v>
      </c>
      <c r="H455" s="2383">
        <v>0</v>
      </c>
      <c r="I455" s="2383">
        <v>0</v>
      </c>
      <c r="J455" s="2413">
        <v>0</v>
      </c>
      <c r="K455" s="2387"/>
      <c r="L455" s="2381">
        <v>13023790100</v>
      </c>
      <c r="M455" s="2382">
        <v>1</v>
      </c>
      <c r="N455" s="2382">
        <v>0</v>
      </c>
      <c r="O455" s="2382">
        <v>1</v>
      </c>
      <c r="P455" s="626" t="s">
        <v>1091</v>
      </c>
      <c r="Q455" s="321"/>
      <c r="R455" s="189"/>
      <c r="S455" s="445"/>
      <c r="T455" s="560" t="s">
        <v>2264</v>
      </c>
      <c r="U455" s="560" t="s">
        <v>318</v>
      </c>
      <c r="AA455" s="27"/>
      <c r="AB455" s="27"/>
      <c r="AC455" s="1038"/>
      <c r="AD455" s="573"/>
    </row>
    <row r="456" spans="3:30" ht="10.5" customHeight="1">
      <c r="C456" s="2388" t="s">
        <v>4954</v>
      </c>
      <c r="D456" s="2385">
        <v>0</v>
      </c>
      <c r="E456" s="2385">
        <v>0</v>
      </c>
      <c r="F456" s="2386">
        <v>0</v>
      </c>
      <c r="G456" s="2412" t="s">
        <v>4954</v>
      </c>
      <c r="H456" s="2383">
        <v>0</v>
      </c>
      <c r="I456" s="2383">
        <v>0</v>
      </c>
      <c r="J456" s="2413">
        <v>0</v>
      </c>
      <c r="K456" s="2387"/>
      <c r="L456" s="2381">
        <v>13023790200</v>
      </c>
      <c r="M456" s="2382">
        <v>0</v>
      </c>
      <c r="N456" s="2382">
        <v>0</v>
      </c>
      <c r="O456" s="2382">
        <v>0</v>
      </c>
      <c r="P456" s="626" t="s">
        <v>1092</v>
      </c>
      <c r="Q456" s="321"/>
      <c r="R456" s="189"/>
      <c r="S456" s="445"/>
      <c r="T456" s="560" t="s">
        <v>2763</v>
      </c>
      <c r="U456" s="560" t="s">
        <v>2135</v>
      </c>
      <c r="AA456" s="27"/>
      <c r="AB456" s="27"/>
      <c r="AC456" s="1038"/>
      <c r="AD456" s="573"/>
    </row>
    <row r="457" spans="3:30" ht="10.5" customHeight="1">
      <c r="C457" s="2388" t="s">
        <v>4955</v>
      </c>
      <c r="D457" s="2385">
        <v>0</v>
      </c>
      <c r="E457" s="2385">
        <v>0</v>
      </c>
      <c r="F457" s="2386">
        <v>0</v>
      </c>
      <c r="G457" s="2412" t="s">
        <v>4955</v>
      </c>
      <c r="H457" s="2383">
        <v>0</v>
      </c>
      <c r="I457" s="2383">
        <v>1</v>
      </c>
      <c r="J457" s="2413">
        <v>1</v>
      </c>
      <c r="K457" s="2387"/>
      <c r="L457" s="2381">
        <v>13023790300</v>
      </c>
      <c r="M457" s="2382">
        <v>0</v>
      </c>
      <c r="N457" s="2382">
        <v>1</v>
      </c>
      <c r="O457" s="2382">
        <v>1</v>
      </c>
      <c r="P457" s="626" t="s">
        <v>70</v>
      </c>
      <c r="Q457" s="321"/>
      <c r="R457" s="189"/>
      <c r="S457" s="445"/>
      <c r="T457" s="629" t="s">
        <v>2246</v>
      </c>
      <c r="U457" s="560" t="s">
        <v>175</v>
      </c>
      <c r="AA457" s="27"/>
      <c r="AB457" s="27"/>
      <c r="AC457" s="1038"/>
      <c r="AD457" s="573"/>
    </row>
    <row r="458" spans="3:30" ht="10.5" customHeight="1">
      <c r="C458" s="2388" t="s">
        <v>4956</v>
      </c>
      <c r="D458" s="2385">
        <v>0</v>
      </c>
      <c r="E458" s="2385">
        <v>0</v>
      </c>
      <c r="F458" s="2386">
        <v>0</v>
      </c>
      <c r="G458" s="2412" t="s">
        <v>4956</v>
      </c>
      <c r="H458" s="2383">
        <v>0</v>
      </c>
      <c r="I458" s="2383">
        <v>0</v>
      </c>
      <c r="J458" s="2413">
        <v>0</v>
      </c>
      <c r="K458" s="2387"/>
      <c r="L458" s="2381">
        <v>13025960100</v>
      </c>
      <c r="M458" s="2382">
        <v>0</v>
      </c>
      <c r="N458" s="2382">
        <v>0</v>
      </c>
      <c r="O458" s="2382">
        <v>0</v>
      </c>
      <c r="P458" s="626" t="s">
        <v>361</v>
      </c>
      <c r="Q458" s="321"/>
      <c r="R458" s="189"/>
      <c r="S458" s="445"/>
      <c r="T458" s="560" t="s">
        <v>2248</v>
      </c>
      <c r="U458" s="560" t="s">
        <v>1293</v>
      </c>
      <c r="AA458" s="27"/>
      <c r="AB458" s="27"/>
      <c r="AC458" s="1040"/>
      <c r="AD458" s="573"/>
    </row>
    <row r="459" spans="3:30" ht="10.5" customHeight="1">
      <c r="C459" s="2388" t="s">
        <v>4957</v>
      </c>
      <c r="D459" s="2385">
        <v>0</v>
      </c>
      <c r="E459" s="2385">
        <v>0</v>
      </c>
      <c r="F459" s="2386">
        <v>0</v>
      </c>
      <c r="G459" s="2412" t="s">
        <v>4957</v>
      </c>
      <c r="H459" s="2383">
        <v>0</v>
      </c>
      <c r="I459" s="2383">
        <v>0</v>
      </c>
      <c r="J459" s="2413">
        <v>0</v>
      </c>
      <c r="K459" s="2387"/>
      <c r="L459" s="2381">
        <v>13025960200</v>
      </c>
      <c r="M459" s="2382">
        <v>0</v>
      </c>
      <c r="N459" s="2382">
        <v>0</v>
      </c>
      <c r="O459" s="2382">
        <v>0</v>
      </c>
      <c r="P459" s="626" t="s">
        <v>2192</v>
      </c>
      <c r="Q459" s="321"/>
      <c r="R459" s="189"/>
      <c r="S459" s="445"/>
      <c r="T459" s="560" t="s">
        <v>499</v>
      </c>
      <c r="U459" s="560" t="s">
        <v>175</v>
      </c>
      <c r="AA459" s="27"/>
      <c r="AB459" s="27"/>
      <c r="AC459" s="1038"/>
      <c r="AD459" s="573"/>
    </row>
    <row r="460" spans="3:30" ht="10.5" customHeight="1">
      <c r="C460" s="2388" t="s">
        <v>4958</v>
      </c>
      <c r="D460" s="2385">
        <v>0</v>
      </c>
      <c r="E460" s="2385">
        <v>0</v>
      </c>
      <c r="F460" s="2386">
        <v>0</v>
      </c>
      <c r="G460" s="2412" t="s">
        <v>4958</v>
      </c>
      <c r="H460" s="2383">
        <v>0</v>
      </c>
      <c r="I460" s="2383">
        <v>0</v>
      </c>
      <c r="J460" s="2413">
        <v>0</v>
      </c>
      <c r="K460" s="2387"/>
      <c r="L460" s="2381">
        <v>13025960300</v>
      </c>
      <c r="M460" s="2382">
        <v>0</v>
      </c>
      <c r="N460" s="2382">
        <v>0</v>
      </c>
      <c r="O460" s="2382">
        <v>0</v>
      </c>
      <c r="P460" s="626" t="s">
        <v>1772</v>
      </c>
      <c r="Q460" s="321"/>
      <c r="R460" s="189"/>
      <c r="S460" s="445"/>
      <c r="T460" s="560" t="s">
        <v>1028</v>
      </c>
      <c r="U460" s="560" t="s">
        <v>1488</v>
      </c>
      <c r="AA460" s="27"/>
      <c r="AB460" s="27"/>
      <c r="AC460" s="1038"/>
      <c r="AD460" s="573"/>
    </row>
    <row r="461" spans="3:30" ht="10.5" customHeight="1">
      <c r="C461" s="2388" t="s">
        <v>4959</v>
      </c>
      <c r="D461" s="2385">
        <v>0</v>
      </c>
      <c r="E461" s="2385">
        <v>0</v>
      </c>
      <c r="F461" s="2386">
        <v>0</v>
      </c>
      <c r="G461" s="2412" t="s">
        <v>4959</v>
      </c>
      <c r="H461" s="2383">
        <v>0</v>
      </c>
      <c r="I461" s="2383">
        <v>0</v>
      </c>
      <c r="J461" s="2413">
        <v>0</v>
      </c>
      <c r="K461" s="2387"/>
      <c r="L461" s="2381">
        <v>13027960200</v>
      </c>
      <c r="M461" s="2382">
        <v>0</v>
      </c>
      <c r="N461" s="2382">
        <v>0</v>
      </c>
      <c r="O461" s="2382">
        <v>0</v>
      </c>
      <c r="P461" s="626" t="s">
        <v>1711</v>
      </c>
      <c r="Q461" s="321"/>
      <c r="R461" s="189"/>
      <c r="S461" s="445"/>
      <c r="T461" s="560" t="s">
        <v>183</v>
      </c>
      <c r="U461" s="560" t="s">
        <v>2120</v>
      </c>
      <c r="AA461" s="27"/>
      <c r="AB461" s="27"/>
      <c r="AC461" s="1038"/>
      <c r="AD461" s="573"/>
    </row>
    <row r="462" spans="3:30" ht="10.5" customHeight="1">
      <c r="C462" s="2388" t="s">
        <v>4960</v>
      </c>
      <c r="D462" s="2385">
        <v>0</v>
      </c>
      <c r="E462" s="2385">
        <v>0</v>
      </c>
      <c r="F462" s="2386">
        <v>0</v>
      </c>
      <c r="G462" s="2412" t="s">
        <v>4960</v>
      </c>
      <c r="H462" s="2383">
        <v>0</v>
      </c>
      <c r="I462" s="2383">
        <v>0</v>
      </c>
      <c r="J462" s="2413">
        <v>0</v>
      </c>
      <c r="K462" s="2387"/>
      <c r="L462" s="2381">
        <v>13027960300</v>
      </c>
      <c r="M462" s="2382">
        <v>0</v>
      </c>
      <c r="N462" s="2382">
        <v>0</v>
      </c>
      <c r="O462" s="2382">
        <v>0</v>
      </c>
      <c r="P462" s="626" t="s">
        <v>269</v>
      </c>
      <c r="Q462" s="321"/>
      <c r="R462" s="189"/>
      <c r="S462" s="445"/>
      <c r="T462" s="627" t="s">
        <v>1029</v>
      </c>
      <c r="U462" s="627" t="s">
        <v>2419</v>
      </c>
      <c r="AA462" s="27"/>
      <c r="AB462" s="27"/>
      <c r="AC462" s="1038"/>
      <c r="AD462" s="573"/>
    </row>
    <row r="463" spans="3:30" ht="10.5" customHeight="1">
      <c r="C463" s="2388" t="s">
        <v>4961</v>
      </c>
      <c r="D463" s="2385">
        <v>0</v>
      </c>
      <c r="E463" s="2385">
        <v>0</v>
      </c>
      <c r="F463" s="2386">
        <v>0</v>
      </c>
      <c r="G463" s="2412" t="s">
        <v>4961</v>
      </c>
      <c r="H463" s="2383">
        <v>0</v>
      </c>
      <c r="I463" s="2383">
        <v>0</v>
      </c>
      <c r="J463" s="2413">
        <v>0</v>
      </c>
      <c r="K463" s="2387"/>
      <c r="L463" s="2381">
        <v>13027960400</v>
      </c>
      <c r="M463" s="2382">
        <v>0</v>
      </c>
      <c r="N463" s="2382">
        <v>0</v>
      </c>
      <c r="O463" s="2382">
        <v>0</v>
      </c>
      <c r="P463" s="626" t="s">
        <v>2294</v>
      </c>
      <c r="Q463" s="321"/>
      <c r="R463" s="189"/>
      <c r="S463" s="445"/>
      <c r="T463" s="560" t="s">
        <v>1927</v>
      </c>
      <c r="U463" s="560" t="s">
        <v>2337</v>
      </c>
      <c r="AA463" s="27"/>
      <c r="AB463" s="27"/>
      <c r="AC463" s="1039"/>
      <c r="AD463" s="573"/>
    </row>
    <row r="464" spans="3:30" ht="10.5" customHeight="1">
      <c r="C464" s="2388" t="s">
        <v>4962</v>
      </c>
      <c r="D464" s="2385">
        <v>0</v>
      </c>
      <c r="E464" s="2385">
        <v>0</v>
      </c>
      <c r="F464" s="2386">
        <v>0</v>
      </c>
      <c r="G464" s="2412" t="s">
        <v>4962</v>
      </c>
      <c r="H464" s="2383">
        <v>0</v>
      </c>
      <c r="I464" s="2383">
        <v>0</v>
      </c>
      <c r="J464" s="2413">
        <v>0</v>
      </c>
      <c r="K464" s="2387"/>
      <c r="L464" s="2381">
        <v>13027960500</v>
      </c>
      <c r="M464" s="2382">
        <v>0</v>
      </c>
      <c r="N464" s="2382">
        <v>0</v>
      </c>
      <c r="O464" s="2382">
        <v>0</v>
      </c>
      <c r="P464" s="626" t="s">
        <v>460</v>
      </c>
      <c r="Q464" s="321"/>
      <c r="R464" s="189"/>
      <c r="S464" s="445"/>
      <c r="T464" s="560" t="s">
        <v>1030</v>
      </c>
      <c r="U464" s="560" t="s">
        <v>155</v>
      </c>
      <c r="AA464" s="27"/>
      <c r="AB464" s="27"/>
      <c r="AC464" s="1038"/>
      <c r="AD464" s="573"/>
    </row>
    <row r="465" spans="3:30" ht="10.5" customHeight="1">
      <c r="C465" s="2388" t="s">
        <v>4963</v>
      </c>
      <c r="D465" s="2385">
        <v>0</v>
      </c>
      <c r="E465" s="2385">
        <v>0</v>
      </c>
      <c r="F465" s="2386">
        <v>0</v>
      </c>
      <c r="G465" s="2412" t="s">
        <v>4963</v>
      </c>
      <c r="H465" s="2383">
        <v>0</v>
      </c>
      <c r="I465" s="2383">
        <v>0</v>
      </c>
      <c r="J465" s="2413">
        <v>0</v>
      </c>
      <c r="K465" s="2387"/>
      <c r="L465" s="2381">
        <v>13027960600</v>
      </c>
      <c r="M465" s="2382">
        <v>0</v>
      </c>
      <c r="N465" s="2382">
        <v>0</v>
      </c>
      <c r="O465" s="2382">
        <v>0</v>
      </c>
      <c r="P465" s="626" t="s">
        <v>461</v>
      </c>
      <c r="Q465" s="321"/>
      <c r="R465" s="189"/>
      <c r="S465" s="445"/>
      <c r="T465" s="560" t="s">
        <v>1929</v>
      </c>
      <c r="U465" s="560" t="s">
        <v>2337</v>
      </c>
      <c r="AA465" s="27"/>
      <c r="AB465" s="27"/>
      <c r="AC465" s="1038"/>
      <c r="AD465" s="573"/>
    </row>
    <row r="466" spans="3:30" ht="10.5" customHeight="1">
      <c r="C466" s="2388" t="s">
        <v>4964</v>
      </c>
      <c r="D466" s="2385">
        <v>0</v>
      </c>
      <c r="E466" s="2385">
        <v>0</v>
      </c>
      <c r="F466" s="2386">
        <v>0</v>
      </c>
      <c r="G466" s="2412" t="s">
        <v>4964</v>
      </c>
      <c r="H466" s="2383">
        <v>0</v>
      </c>
      <c r="I466" s="2383">
        <v>0</v>
      </c>
      <c r="J466" s="2413">
        <v>0</v>
      </c>
      <c r="K466" s="2387"/>
      <c r="L466" s="2381">
        <v>13029920101</v>
      </c>
      <c r="M466" s="2382">
        <v>0</v>
      </c>
      <c r="N466" s="2382">
        <v>0</v>
      </c>
      <c r="O466" s="2382">
        <v>0</v>
      </c>
      <c r="P466" s="626" t="s">
        <v>463</v>
      </c>
      <c r="Q466" s="321"/>
      <c r="R466" s="189"/>
      <c r="S466" s="445"/>
      <c r="T466" s="560" t="s">
        <v>318</v>
      </c>
      <c r="U466" s="560" t="s">
        <v>1304</v>
      </c>
      <c r="AA466" s="27"/>
      <c r="AB466" s="27"/>
      <c r="AC466" s="1038"/>
      <c r="AD466" s="573"/>
    </row>
    <row r="467" spans="3:30" ht="10.5" customHeight="1">
      <c r="C467" s="2388" t="s">
        <v>4965</v>
      </c>
      <c r="D467" s="2385">
        <v>0</v>
      </c>
      <c r="E467" s="2385">
        <v>0</v>
      </c>
      <c r="F467" s="2386">
        <v>0</v>
      </c>
      <c r="G467" s="2412" t="s">
        <v>4965</v>
      </c>
      <c r="H467" s="2383">
        <v>0</v>
      </c>
      <c r="I467" s="2383">
        <v>0</v>
      </c>
      <c r="J467" s="2413">
        <v>0</v>
      </c>
      <c r="K467" s="2387"/>
      <c r="L467" s="2381">
        <v>13029920102</v>
      </c>
      <c r="M467" s="2382">
        <v>0</v>
      </c>
      <c r="N467" s="2382">
        <v>0</v>
      </c>
      <c r="O467" s="2382">
        <v>0</v>
      </c>
      <c r="P467" s="626" t="s">
        <v>465</v>
      </c>
      <c r="Q467" s="321"/>
      <c r="R467" s="189"/>
      <c r="S467" s="445"/>
      <c r="T467" s="560" t="s">
        <v>1124</v>
      </c>
      <c r="U467" s="560" t="s">
        <v>850</v>
      </c>
      <c r="AA467" s="27"/>
      <c r="AB467" s="27"/>
      <c r="AC467" s="1038"/>
      <c r="AD467" s="573"/>
    </row>
    <row r="468" spans="3:30" ht="10.5" customHeight="1">
      <c r="C468" s="2388" t="s">
        <v>4966</v>
      </c>
      <c r="D468" s="2385">
        <v>1</v>
      </c>
      <c r="E468" s="2385">
        <v>1</v>
      </c>
      <c r="F468" s="2386">
        <v>2</v>
      </c>
      <c r="G468" s="2412" t="s">
        <v>4966</v>
      </c>
      <c r="H468" s="2383">
        <v>1</v>
      </c>
      <c r="I468" s="2383" t="s">
        <v>4493</v>
      </c>
      <c r="J468" s="2413">
        <v>1</v>
      </c>
      <c r="K468" s="2387"/>
      <c r="L468" s="2381">
        <v>13029920301</v>
      </c>
      <c r="M468" s="2382">
        <v>1</v>
      </c>
      <c r="N468" s="2382">
        <v>1</v>
      </c>
      <c r="O468" s="2382">
        <v>2</v>
      </c>
      <c r="P468" s="626" t="s">
        <v>1214</v>
      </c>
      <c r="Q468" s="321"/>
      <c r="R468" s="189"/>
      <c r="S468" s="445"/>
      <c r="T468" s="560" t="s">
        <v>1090</v>
      </c>
      <c r="U468" s="560" t="s">
        <v>853</v>
      </c>
      <c r="AA468" s="27"/>
      <c r="AB468" s="27"/>
      <c r="AC468" s="1038"/>
      <c r="AD468" s="573"/>
    </row>
    <row r="469" spans="3:30" ht="10.5" customHeight="1">
      <c r="C469" s="2388" t="s">
        <v>4967</v>
      </c>
      <c r="D469" s="2385">
        <v>1</v>
      </c>
      <c r="E469" s="2385">
        <v>1</v>
      </c>
      <c r="F469" s="2386">
        <v>2</v>
      </c>
      <c r="G469" s="2412" t="s">
        <v>4967</v>
      </c>
      <c r="H469" s="2383">
        <v>0</v>
      </c>
      <c r="I469" s="2383">
        <v>0</v>
      </c>
      <c r="J469" s="2413">
        <v>0</v>
      </c>
      <c r="K469" s="2387"/>
      <c r="L469" s="2381">
        <v>13029920303</v>
      </c>
      <c r="M469" s="2382">
        <v>1</v>
      </c>
      <c r="N469" s="2382">
        <v>1</v>
      </c>
      <c r="O469" s="2382">
        <v>2</v>
      </c>
      <c r="P469" s="626" t="s">
        <v>1216</v>
      </c>
      <c r="Q469" s="321"/>
      <c r="R469" s="189"/>
      <c r="S469" s="445"/>
      <c r="T469" s="560" t="s">
        <v>320</v>
      </c>
      <c r="U469" s="560" t="s">
        <v>1071</v>
      </c>
      <c r="AA469" s="27"/>
      <c r="AB469" s="27"/>
      <c r="AC469" s="1038"/>
      <c r="AD469" s="573"/>
    </row>
    <row r="470" spans="3:30" ht="10.5" customHeight="1">
      <c r="C470" s="2388" t="s">
        <v>4968</v>
      </c>
      <c r="D470" s="2385">
        <v>1</v>
      </c>
      <c r="E470" s="2385">
        <v>1</v>
      </c>
      <c r="F470" s="2386">
        <v>2</v>
      </c>
      <c r="G470" s="2412" t="s">
        <v>4968</v>
      </c>
      <c r="H470" s="2383">
        <v>1</v>
      </c>
      <c r="I470" s="2383">
        <v>1</v>
      </c>
      <c r="J470" s="2413">
        <v>2</v>
      </c>
      <c r="K470" s="2387"/>
      <c r="L470" s="2381">
        <v>13029920305</v>
      </c>
      <c r="M470" s="2382">
        <v>1</v>
      </c>
      <c r="N470" s="2382">
        <v>1</v>
      </c>
      <c r="O470" s="2382">
        <v>2</v>
      </c>
      <c r="P470" s="626" t="s">
        <v>1946</v>
      </c>
      <c r="Q470" s="321"/>
      <c r="R470" s="189"/>
      <c r="S470" s="445"/>
      <c r="T470" s="560" t="s">
        <v>323</v>
      </c>
      <c r="U470" s="560" t="s">
        <v>318</v>
      </c>
      <c r="AA470" s="27"/>
      <c r="AB470" s="27"/>
      <c r="AC470" s="1038"/>
      <c r="AD470" s="573"/>
    </row>
    <row r="471" spans="3:30" ht="10.5" customHeight="1">
      <c r="C471" s="2388" t="s">
        <v>4969</v>
      </c>
      <c r="D471" s="2385">
        <v>1</v>
      </c>
      <c r="E471" s="2385">
        <v>1</v>
      </c>
      <c r="F471" s="2386">
        <v>2</v>
      </c>
      <c r="G471" s="2412" t="s">
        <v>4969</v>
      </c>
      <c r="H471" s="2383">
        <v>1</v>
      </c>
      <c r="I471" s="2383">
        <v>1</v>
      </c>
      <c r="J471" s="2413">
        <v>2</v>
      </c>
      <c r="K471" s="2387"/>
      <c r="L471" s="2381">
        <v>13029920306</v>
      </c>
      <c r="M471" s="2382">
        <v>1</v>
      </c>
      <c r="N471" s="2382">
        <v>1</v>
      </c>
      <c r="O471" s="2382">
        <v>2</v>
      </c>
      <c r="P471" s="626" t="s">
        <v>1947</v>
      </c>
      <c r="Q471" s="321"/>
      <c r="R471" s="189"/>
      <c r="S471" s="445"/>
      <c r="T471" s="627" t="s">
        <v>71</v>
      </c>
      <c r="U471" s="627" t="s">
        <v>1872</v>
      </c>
      <c r="AA471" s="27"/>
      <c r="AB471" s="27"/>
      <c r="AC471" s="1038"/>
      <c r="AD471" s="573"/>
    </row>
    <row r="472" spans="3:30" ht="10.5" customHeight="1">
      <c r="C472" s="2388" t="s">
        <v>4970</v>
      </c>
      <c r="D472" s="2385" t="s">
        <v>4493</v>
      </c>
      <c r="E472" s="2385" t="s">
        <v>4493</v>
      </c>
      <c r="F472" s="2386">
        <v>0</v>
      </c>
      <c r="G472" s="2412" t="s">
        <v>4970</v>
      </c>
      <c r="H472" s="2383" t="s">
        <v>4493</v>
      </c>
      <c r="I472" s="2383" t="s">
        <v>4493</v>
      </c>
      <c r="J472" s="2413">
        <v>0</v>
      </c>
      <c r="K472" s="2387"/>
      <c r="L472" s="2381">
        <v>13029980000</v>
      </c>
      <c r="M472" s="2382">
        <v>0</v>
      </c>
      <c r="N472" s="2382">
        <v>0</v>
      </c>
      <c r="O472" s="2382">
        <v>0</v>
      </c>
      <c r="P472" s="626" t="s">
        <v>73</v>
      </c>
      <c r="Q472" s="321"/>
      <c r="R472" s="189"/>
      <c r="S472" s="445"/>
      <c r="T472" s="627" t="s">
        <v>2193</v>
      </c>
      <c r="U472" s="627" t="s">
        <v>1304</v>
      </c>
      <c r="AA472" s="27"/>
      <c r="AB472" s="27"/>
      <c r="AC472" s="1039"/>
      <c r="AD472" s="573"/>
    </row>
    <row r="473" spans="3:30" ht="10.5" customHeight="1">
      <c r="C473" s="2388" t="s">
        <v>4971</v>
      </c>
      <c r="D473" s="2385">
        <v>0</v>
      </c>
      <c r="E473" s="2385">
        <v>0</v>
      </c>
      <c r="F473" s="2386">
        <v>0</v>
      </c>
      <c r="G473" s="2412" t="s">
        <v>4971</v>
      </c>
      <c r="H473" s="2383">
        <v>0</v>
      </c>
      <c r="I473" s="2383">
        <v>0</v>
      </c>
      <c r="J473" s="2413">
        <v>0</v>
      </c>
      <c r="K473" s="2387"/>
      <c r="L473" s="2381">
        <v>13031110100</v>
      </c>
      <c r="M473" s="2382">
        <v>0</v>
      </c>
      <c r="N473" s="2382">
        <v>0</v>
      </c>
      <c r="O473" s="2382">
        <v>0</v>
      </c>
      <c r="P473" s="626" t="s">
        <v>75</v>
      </c>
      <c r="Q473" s="321"/>
      <c r="R473" s="189"/>
      <c r="S473" s="445"/>
      <c r="T473" s="560" t="s">
        <v>1710</v>
      </c>
      <c r="U473" s="560" t="s">
        <v>1961</v>
      </c>
      <c r="AA473" s="27"/>
      <c r="AB473" s="27"/>
      <c r="AC473" s="1039"/>
      <c r="AD473" s="573"/>
    </row>
    <row r="474" spans="3:30" ht="10.5" customHeight="1">
      <c r="C474" s="2388" t="s">
        <v>4972</v>
      </c>
      <c r="D474" s="2385">
        <v>0</v>
      </c>
      <c r="E474" s="2385">
        <v>0</v>
      </c>
      <c r="F474" s="2386">
        <v>0</v>
      </c>
      <c r="G474" s="2412" t="s">
        <v>4972</v>
      </c>
      <c r="H474" s="2383">
        <v>1</v>
      </c>
      <c r="I474" s="2383">
        <v>0</v>
      </c>
      <c r="J474" s="2413">
        <v>1</v>
      </c>
      <c r="K474" s="2387"/>
      <c r="L474" s="2381">
        <v>13031110200</v>
      </c>
      <c r="M474" s="2382">
        <v>1</v>
      </c>
      <c r="N474" s="2382">
        <v>0</v>
      </c>
      <c r="O474" s="2382">
        <v>1</v>
      </c>
      <c r="P474" s="626" t="s">
        <v>2350</v>
      </c>
      <c r="Q474" s="321"/>
      <c r="R474" s="189"/>
      <c r="S474" s="445"/>
      <c r="T474" s="560" t="s">
        <v>1712</v>
      </c>
      <c r="U474" s="560" t="s">
        <v>105</v>
      </c>
      <c r="AA474" s="27"/>
      <c r="AB474" s="27"/>
      <c r="AC474" s="1038"/>
      <c r="AD474" s="573"/>
    </row>
    <row r="475" spans="3:30" ht="10.5" customHeight="1">
      <c r="C475" s="2388" t="s">
        <v>4973</v>
      </c>
      <c r="D475" s="2385">
        <v>1</v>
      </c>
      <c r="E475" s="2385">
        <v>1</v>
      </c>
      <c r="F475" s="2386">
        <v>2</v>
      </c>
      <c r="G475" s="2412" t="s">
        <v>4973</v>
      </c>
      <c r="H475" s="2383">
        <v>1</v>
      </c>
      <c r="I475" s="2383">
        <v>1</v>
      </c>
      <c r="J475" s="2413">
        <v>2</v>
      </c>
      <c r="K475" s="2387"/>
      <c r="L475" s="2381">
        <v>13031110300</v>
      </c>
      <c r="M475" s="2382">
        <v>1</v>
      </c>
      <c r="N475" s="2382">
        <v>1</v>
      </c>
      <c r="O475" s="2382">
        <v>2</v>
      </c>
      <c r="P475" s="626" t="s">
        <v>2149</v>
      </c>
      <c r="Q475" s="321"/>
      <c r="R475" s="189"/>
      <c r="S475" s="445"/>
      <c r="T475" s="560" t="s">
        <v>673</v>
      </c>
      <c r="U475" s="560" t="s">
        <v>1180</v>
      </c>
      <c r="AA475" s="27"/>
      <c r="AB475" s="27"/>
      <c r="AC475" s="1038"/>
      <c r="AD475" s="573"/>
    </row>
    <row r="476" spans="3:30" ht="10.5" customHeight="1">
      <c r="C476" s="2388" t="s">
        <v>4974</v>
      </c>
      <c r="D476" s="2385">
        <v>0</v>
      </c>
      <c r="E476" s="2385">
        <v>0</v>
      </c>
      <c r="F476" s="2386">
        <v>0</v>
      </c>
      <c r="G476" s="2412" t="s">
        <v>4974</v>
      </c>
      <c r="H476" s="2383">
        <v>0</v>
      </c>
      <c r="I476" s="2383">
        <v>0</v>
      </c>
      <c r="J476" s="2413">
        <v>0</v>
      </c>
      <c r="K476" s="2387"/>
      <c r="L476" s="2381">
        <v>13031110401</v>
      </c>
      <c r="M476" s="2382">
        <v>0</v>
      </c>
      <c r="N476" s="2382">
        <v>0</v>
      </c>
      <c r="O476" s="2382">
        <v>0</v>
      </c>
      <c r="P476" s="626" t="s">
        <v>2150</v>
      </c>
      <c r="Q476" s="321"/>
      <c r="R476" s="189"/>
      <c r="S476" s="445"/>
      <c r="T476" s="560" t="s">
        <v>2293</v>
      </c>
      <c r="U476" s="560" t="s">
        <v>2419</v>
      </c>
      <c r="AA476" s="27"/>
      <c r="AB476" s="27"/>
      <c r="AC476" s="1038"/>
      <c r="AD476" s="573"/>
    </row>
    <row r="477" spans="3:30" ht="10.5" customHeight="1">
      <c r="C477" s="2388" t="s">
        <v>4975</v>
      </c>
      <c r="D477" s="2385">
        <v>0</v>
      </c>
      <c r="E477" s="2385">
        <v>1</v>
      </c>
      <c r="F477" s="2386">
        <v>1</v>
      </c>
      <c r="G477" s="2412" t="s">
        <v>4975</v>
      </c>
      <c r="H477" s="2383">
        <v>0</v>
      </c>
      <c r="I477" s="2383" t="s">
        <v>4493</v>
      </c>
      <c r="J477" s="2413">
        <v>0</v>
      </c>
      <c r="K477" s="2387"/>
      <c r="L477" s="2381">
        <v>13031110403</v>
      </c>
      <c r="M477" s="2382">
        <v>0</v>
      </c>
      <c r="N477" s="2382">
        <v>1</v>
      </c>
      <c r="O477" s="2382">
        <v>1</v>
      </c>
      <c r="P477" s="626" t="s">
        <v>944</v>
      </c>
      <c r="Q477" s="321"/>
      <c r="R477" s="189"/>
      <c r="S477" s="445"/>
      <c r="T477" s="560" t="s">
        <v>2295</v>
      </c>
      <c r="U477" s="560" t="s">
        <v>2129</v>
      </c>
      <c r="AA477" s="27"/>
      <c r="AB477" s="27"/>
      <c r="AC477" s="1038"/>
      <c r="AD477" s="573"/>
    </row>
    <row r="478" spans="3:30" ht="10.5" customHeight="1">
      <c r="C478" s="2388" t="s">
        <v>4976</v>
      </c>
      <c r="D478" s="2385">
        <v>0</v>
      </c>
      <c r="E478" s="2385">
        <v>1</v>
      </c>
      <c r="F478" s="2386">
        <v>1</v>
      </c>
      <c r="G478" s="2412" t="s">
        <v>4976</v>
      </c>
      <c r="H478" s="2383">
        <v>0</v>
      </c>
      <c r="I478" s="2383" t="s">
        <v>4493</v>
      </c>
      <c r="J478" s="2413">
        <v>0</v>
      </c>
      <c r="K478" s="2387"/>
      <c r="L478" s="2381">
        <v>13031110404</v>
      </c>
      <c r="M478" s="2382">
        <v>0</v>
      </c>
      <c r="N478" s="2382">
        <v>1</v>
      </c>
      <c r="O478" s="2382">
        <v>1</v>
      </c>
      <c r="P478" s="626" t="s">
        <v>946</v>
      </c>
      <c r="Q478" s="321"/>
      <c r="R478" s="189"/>
      <c r="S478" s="445"/>
      <c r="T478" s="560" t="s">
        <v>462</v>
      </c>
      <c r="U478" s="560" t="s">
        <v>2422</v>
      </c>
      <c r="AA478" s="27"/>
      <c r="AB478" s="27"/>
      <c r="AC478" s="1038"/>
      <c r="AD478" s="573"/>
    </row>
    <row r="479" spans="3:30" ht="10.5" customHeight="1">
      <c r="C479" s="2388" t="s">
        <v>4977</v>
      </c>
      <c r="D479" s="2385">
        <v>0</v>
      </c>
      <c r="E479" s="2385">
        <v>0</v>
      </c>
      <c r="F479" s="2386">
        <v>0</v>
      </c>
      <c r="G479" s="2412" t="s">
        <v>4977</v>
      </c>
      <c r="H479" s="2383">
        <v>0</v>
      </c>
      <c r="I479" s="2383" t="s">
        <v>4493</v>
      </c>
      <c r="J479" s="2413">
        <v>0</v>
      </c>
      <c r="K479" s="2387"/>
      <c r="L479" s="2381">
        <v>13031110500</v>
      </c>
      <c r="M479" s="2382">
        <v>0</v>
      </c>
      <c r="N479" s="2382">
        <v>0</v>
      </c>
      <c r="O479" s="2382">
        <v>0</v>
      </c>
      <c r="P479" s="626" t="s">
        <v>1459</v>
      </c>
      <c r="Q479" s="321"/>
      <c r="R479" s="189"/>
      <c r="S479" s="445"/>
      <c r="T479" s="560" t="s">
        <v>464</v>
      </c>
      <c r="U479" s="560" t="s">
        <v>1302</v>
      </c>
      <c r="AA479" s="27"/>
      <c r="AB479" s="27"/>
      <c r="AC479" s="1038"/>
      <c r="AD479" s="573"/>
    </row>
    <row r="480" spans="3:30" ht="10.5" customHeight="1">
      <c r="C480" s="2388" t="s">
        <v>4978</v>
      </c>
      <c r="D480" s="2385">
        <v>1</v>
      </c>
      <c r="E480" s="2385">
        <v>0</v>
      </c>
      <c r="F480" s="2386">
        <v>1</v>
      </c>
      <c r="G480" s="2412" t="s">
        <v>4978</v>
      </c>
      <c r="H480" s="2383">
        <v>0</v>
      </c>
      <c r="I480" s="2383">
        <v>1</v>
      </c>
      <c r="J480" s="2413">
        <v>1</v>
      </c>
      <c r="K480" s="2387"/>
      <c r="L480" s="2381">
        <v>13031110601</v>
      </c>
      <c r="M480" s="2382">
        <v>1</v>
      </c>
      <c r="N480" s="2382">
        <v>1</v>
      </c>
      <c r="O480" s="2382">
        <v>1</v>
      </c>
      <c r="P480" s="626" t="s">
        <v>1460</v>
      </c>
      <c r="Q480" s="321"/>
      <c r="R480" s="189"/>
      <c r="S480" s="445"/>
      <c r="T480" s="560" t="s">
        <v>1031</v>
      </c>
      <c r="U480" s="560" t="s">
        <v>1307</v>
      </c>
      <c r="AA480" s="27"/>
      <c r="AB480" s="27"/>
      <c r="AC480" s="1038"/>
      <c r="AD480" s="573"/>
    </row>
    <row r="481" spans="3:30" ht="10.5" customHeight="1">
      <c r="C481" s="2388" t="s">
        <v>4979</v>
      </c>
      <c r="D481" s="2385">
        <v>0</v>
      </c>
      <c r="E481" s="2385">
        <v>0</v>
      </c>
      <c r="F481" s="2386">
        <v>0</v>
      </c>
      <c r="G481" s="2412" t="s">
        <v>4979</v>
      </c>
      <c r="H481" s="2383">
        <v>0</v>
      </c>
      <c r="I481" s="2383">
        <v>0</v>
      </c>
      <c r="J481" s="2413">
        <v>0</v>
      </c>
      <c r="K481" s="2387"/>
      <c r="L481" s="2381">
        <v>13031110602</v>
      </c>
      <c r="M481" s="2382">
        <v>0</v>
      </c>
      <c r="N481" s="2382">
        <v>0</v>
      </c>
      <c r="O481" s="2382">
        <v>0</v>
      </c>
      <c r="P481" s="626" t="s">
        <v>1462</v>
      </c>
      <c r="Q481" s="321"/>
      <c r="R481" s="189"/>
      <c r="S481" s="445"/>
      <c r="T481" s="560" t="s">
        <v>466</v>
      </c>
      <c r="U481" s="560" t="s">
        <v>1307</v>
      </c>
      <c r="AA481" s="27"/>
      <c r="AB481" s="27"/>
      <c r="AC481" s="1038"/>
      <c r="AD481" s="573"/>
    </row>
    <row r="482" spans="3:30" ht="10.5" customHeight="1">
      <c r="C482" s="2388" t="s">
        <v>4980</v>
      </c>
      <c r="D482" s="2385">
        <v>1</v>
      </c>
      <c r="E482" s="2385">
        <v>1</v>
      </c>
      <c r="F482" s="2386">
        <v>2</v>
      </c>
      <c r="G482" s="2412" t="s">
        <v>4980</v>
      </c>
      <c r="H482" s="2383">
        <v>1</v>
      </c>
      <c r="I482" s="2383">
        <v>1</v>
      </c>
      <c r="J482" s="2413">
        <v>2</v>
      </c>
      <c r="K482" s="2387"/>
      <c r="L482" s="2381">
        <v>13031110700</v>
      </c>
      <c r="M482" s="2382">
        <v>1</v>
      </c>
      <c r="N482" s="2382">
        <v>1</v>
      </c>
      <c r="O482" s="2382">
        <v>2</v>
      </c>
      <c r="P482" s="626" t="s">
        <v>1464</v>
      </c>
      <c r="Q482" s="321"/>
      <c r="R482" s="189"/>
      <c r="S482" s="445"/>
      <c r="T482" s="627" t="s">
        <v>1215</v>
      </c>
      <c r="U482" s="627" t="s">
        <v>1287</v>
      </c>
      <c r="AA482" s="27"/>
      <c r="AB482" s="27"/>
      <c r="AC482" s="1038"/>
      <c r="AD482" s="573"/>
    </row>
    <row r="483" spans="3:30" ht="10.5" customHeight="1">
      <c r="C483" s="2388" t="s">
        <v>4981</v>
      </c>
      <c r="D483" s="2385">
        <v>0</v>
      </c>
      <c r="E483" s="2385">
        <v>0</v>
      </c>
      <c r="F483" s="2386">
        <v>0</v>
      </c>
      <c r="G483" s="2412" t="s">
        <v>4981</v>
      </c>
      <c r="H483" s="2383">
        <v>0</v>
      </c>
      <c r="I483" s="2383">
        <v>0</v>
      </c>
      <c r="J483" s="2413">
        <v>0</v>
      </c>
      <c r="K483" s="2387"/>
      <c r="L483" s="2381">
        <v>13031110800</v>
      </c>
      <c r="M483" s="2382">
        <v>0</v>
      </c>
      <c r="N483" s="2382">
        <v>0</v>
      </c>
      <c r="O483" s="2382">
        <v>0</v>
      </c>
      <c r="P483" s="626" t="s">
        <v>1466</v>
      </c>
      <c r="Q483" s="321"/>
      <c r="R483" s="189"/>
      <c r="S483" s="445"/>
      <c r="T483" s="560" t="s">
        <v>1217</v>
      </c>
      <c r="U483" s="560" t="s">
        <v>327</v>
      </c>
      <c r="AA483" s="27"/>
      <c r="AB483" s="27"/>
      <c r="AC483" s="1039"/>
      <c r="AD483" s="573"/>
    </row>
    <row r="484" spans="3:30" ht="10.5" customHeight="1">
      <c r="C484" s="2388" t="s">
        <v>4982</v>
      </c>
      <c r="D484" s="2385">
        <v>0</v>
      </c>
      <c r="E484" s="2385">
        <v>0</v>
      </c>
      <c r="F484" s="2386">
        <v>0</v>
      </c>
      <c r="G484" s="2412" t="s">
        <v>4982</v>
      </c>
      <c r="H484" s="2383">
        <v>0</v>
      </c>
      <c r="I484" s="2383">
        <v>0</v>
      </c>
      <c r="J484" s="2413">
        <v>0</v>
      </c>
      <c r="K484" s="2387"/>
      <c r="L484" s="2381">
        <v>13031110900</v>
      </c>
      <c r="M484" s="2382">
        <v>0</v>
      </c>
      <c r="N484" s="2382">
        <v>0</v>
      </c>
      <c r="O484" s="2382">
        <v>0</v>
      </c>
      <c r="P484" s="626" t="s">
        <v>2279</v>
      </c>
      <c r="Q484" s="321"/>
      <c r="R484" s="189"/>
      <c r="S484" s="445"/>
      <c r="T484" s="560" t="s">
        <v>2764</v>
      </c>
      <c r="U484" s="560" t="s">
        <v>2466</v>
      </c>
      <c r="AA484" s="27"/>
      <c r="AB484" s="27"/>
      <c r="AC484" s="1038"/>
      <c r="AD484" s="573"/>
    </row>
    <row r="485" spans="3:30" ht="10.5" customHeight="1">
      <c r="C485" s="2388" t="s">
        <v>4983</v>
      </c>
      <c r="D485" s="2385">
        <v>0</v>
      </c>
      <c r="E485" s="2385">
        <v>0</v>
      </c>
      <c r="F485" s="2386">
        <v>0</v>
      </c>
      <c r="G485" s="2412" t="s">
        <v>4983</v>
      </c>
      <c r="H485" s="2383">
        <v>0</v>
      </c>
      <c r="I485" s="2383">
        <v>0</v>
      </c>
      <c r="J485" s="2413">
        <v>0</v>
      </c>
      <c r="K485" s="2387"/>
      <c r="L485" s="2381">
        <v>13033950100</v>
      </c>
      <c r="M485" s="2382">
        <v>0</v>
      </c>
      <c r="N485" s="2382">
        <v>0</v>
      </c>
      <c r="O485" s="2382">
        <v>0</v>
      </c>
      <c r="P485" s="626" t="s">
        <v>2529</v>
      </c>
      <c r="Q485" s="321"/>
      <c r="R485" s="189"/>
      <c r="S485" s="445"/>
      <c r="T485" s="560" t="s">
        <v>1948</v>
      </c>
      <c r="U485" s="560" t="s">
        <v>1960</v>
      </c>
      <c r="AA485" s="27"/>
      <c r="AB485" s="27"/>
      <c r="AC485" s="1038"/>
      <c r="AD485" s="573"/>
    </row>
    <row r="486" spans="3:30" ht="10.5" customHeight="1">
      <c r="C486" s="2388" t="s">
        <v>4984</v>
      </c>
      <c r="D486" s="2385">
        <v>0</v>
      </c>
      <c r="E486" s="2385">
        <v>0</v>
      </c>
      <c r="F486" s="2386">
        <v>0</v>
      </c>
      <c r="G486" s="2412" t="s">
        <v>4984</v>
      </c>
      <c r="H486" s="2383">
        <v>0</v>
      </c>
      <c r="I486" s="2383" t="s">
        <v>4493</v>
      </c>
      <c r="J486" s="2413">
        <v>0</v>
      </c>
      <c r="K486" s="2387"/>
      <c r="L486" s="2381">
        <v>13033950200</v>
      </c>
      <c r="M486" s="2382">
        <v>0</v>
      </c>
      <c r="N486" s="2382">
        <v>0</v>
      </c>
      <c r="O486" s="2382">
        <v>0</v>
      </c>
      <c r="P486" s="626" t="s">
        <v>1255</v>
      </c>
      <c r="Q486" s="321"/>
      <c r="R486" s="189"/>
      <c r="S486" s="445"/>
      <c r="T486" s="560" t="s">
        <v>74</v>
      </c>
      <c r="U486" s="560" t="s">
        <v>1868</v>
      </c>
      <c r="AA486" s="27"/>
      <c r="AB486" s="27"/>
      <c r="AC486" s="1038"/>
      <c r="AD486" s="573"/>
    </row>
    <row r="487" spans="3:30" ht="10.5" customHeight="1">
      <c r="C487" s="2388" t="s">
        <v>4985</v>
      </c>
      <c r="D487" s="2385">
        <v>0</v>
      </c>
      <c r="E487" s="2385">
        <v>0</v>
      </c>
      <c r="F487" s="2386">
        <v>0</v>
      </c>
      <c r="G487" s="2412" t="s">
        <v>4985</v>
      </c>
      <c r="H487" s="2383">
        <v>0</v>
      </c>
      <c r="I487" s="2383">
        <v>0</v>
      </c>
      <c r="J487" s="2413">
        <v>0</v>
      </c>
      <c r="K487" s="2387"/>
      <c r="L487" s="2381">
        <v>13033950400</v>
      </c>
      <c r="M487" s="2382">
        <v>0</v>
      </c>
      <c r="N487" s="2382">
        <v>0</v>
      </c>
      <c r="O487" s="2382">
        <v>0</v>
      </c>
      <c r="P487" s="626" t="s">
        <v>1476</v>
      </c>
      <c r="Q487" s="321"/>
      <c r="R487" s="189"/>
      <c r="S487" s="445"/>
      <c r="T487" s="560" t="s">
        <v>614</v>
      </c>
      <c r="U487" s="560" t="s">
        <v>2419</v>
      </c>
      <c r="AA487" s="27"/>
      <c r="AB487" s="27"/>
      <c r="AC487" s="1038"/>
      <c r="AD487" s="573"/>
    </row>
    <row r="488" spans="3:30" ht="10.5" customHeight="1">
      <c r="C488" s="2388" t="s">
        <v>4986</v>
      </c>
      <c r="D488" s="2385">
        <v>0</v>
      </c>
      <c r="E488" s="2385">
        <v>0</v>
      </c>
      <c r="F488" s="2386">
        <v>0</v>
      </c>
      <c r="G488" s="2412" t="s">
        <v>4986</v>
      </c>
      <c r="H488" s="2383">
        <v>0</v>
      </c>
      <c r="I488" s="2383">
        <v>0</v>
      </c>
      <c r="J488" s="2413">
        <v>0</v>
      </c>
      <c r="K488" s="2387"/>
      <c r="L488" s="2381">
        <v>13033950500</v>
      </c>
      <c r="M488" s="2382">
        <v>0</v>
      </c>
      <c r="N488" s="2382">
        <v>0</v>
      </c>
      <c r="O488" s="2382">
        <v>0</v>
      </c>
      <c r="P488" s="626" t="s">
        <v>799</v>
      </c>
      <c r="Q488" s="321"/>
      <c r="R488" s="189"/>
      <c r="S488" s="445"/>
      <c r="T488" s="560" t="s">
        <v>76</v>
      </c>
      <c r="U488" s="560" t="s">
        <v>171</v>
      </c>
      <c r="AA488" s="27"/>
      <c r="AB488" s="27"/>
      <c r="AC488" s="1038"/>
      <c r="AD488" s="573"/>
    </row>
    <row r="489" spans="3:30" ht="10.5" customHeight="1">
      <c r="C489" s="2388" t="s">
        <v>4987</v>
      </c>
      <c r="D489" s="2385">
        <v>0</v>
      </c>
      <c r="E489" s="2385">
        <v>0</v>
      </c>
      <c r="F489" s="2386">
        <v>0</v>
      </c>
      <c r="G489" s="2412" t="s">
        <v>4987</v>
      </c>
      <c r="H489" s="2383">
        <v>0</v>
      </c>
      <c r="I489" s="2383">
        <v>0</v>
      </c>
      <c r="J489" s="2413">
        <v>0</v>
      </c>
      <c r="K489" s="2387"/>
      <c r="L489" s="2381">
        <v>13033950700</v>
      </c>
      <c r="M489" s="2382">
        <v>0</v>
      </c>
      <c r="N489" s="2382">
        <v>0</v>
      </c>
      <c r="O489" s="2382">
        <v>0</v>
      </c>
      <c r="P489" s="626" t="s">
        <v>800</v>
      </c>
      <c r="Q489" s="321"/>
      <c r="R489" s="189"/>
      <c r="S489" s="445"/>
      <c r="T489" s="560" t="s">
        <v>2351</v>
      </c>
      <c r="U489" s="560" t="s">
        <v>1423</v>
      </c>
      <c r="AA489" s="27"/>
      <c r="AB489" s="27"/>
      <c r="AC489" s="1038"/>
      <c r="AD489" s="573"/>
    </row>
    <row r="490" spans="3:30" ht="10.5" customHeight="1">
      <c r="C490" s="2388" t="s">
        <v>4988</v>
      </c>
      <c r="D490" s="2385">
        <v>0</v>
      </c>
      <c r="E490" s="2385">
        <v>0</v>
      </c>
      <c r="F490" s="2386">
        <v>0</v>
      </c>
      <c r="G490" s="2412" t="s">
        <v>4988</v>
      </c>
      <c r="H490" s="2383">
        <v>0</v>
      </c>
      <c r="I490" s="2383">
        <v>0</v>
      </c>
      <c r="J490" s="2413">
        <v>0</v>
      </c>
      <c r="K490" s="2387"/>
      <c r="L490" s="2381">
        <v>13033950900</v>
      </c>
      <c r="M490" s="2382">
        <v>0</v>
      </c>
      <c r="N490" s="2382">
        <v>0</v>
      </c>
      <c r="O490" s="2382">
        <v>0</v>
      </c>
      <c r="P490" s="626" t="s">
        <v>802</v>
      </c>
      <c r="Q490" s="321"/>
      <c r="R490" s="189"/>
      <c r="S490" s="445"/>
      <c r="T490" s="560" t="s">
        <v>1032</v>
      </c>
      <c r="U490" s="560" t="s">
        <v>1488</v>
      </c>
      <c r="AA490" s="27"/>
      <c r="AB490" s="27"/>
      <c r="AC490" s="1038"/>
      <c r="AD490" s="573"/>
    </row>
    <row r="491" spans="3:30" ht="10.5" customHeight="1">
      <c r="C491" s="2388" t="s">
        <v>4989</v>
      </c>
      <c r="D491" s="2385">
        <v>0</v>
      </c>
      <c r="E491" s="2385">
        <v>1</v>
      </c>
      <c r="F491" s="2386">
        <v>1</v>
      </c>
      <c r="G491" s="2412" t="s">
        <v>4989</v>
      </c>
      <c r="H491" s="2383">
        <v>0</v>
      </c>
      <c r="I491" s="2383">
        <v>0</v>
      </c>
      <c r="J491" s="2413">
        <v>0</v>
      </c>
      <c r="K491" s="2387"/>
      <c r="L491" s="2381">
        <v>13035150100</v>
      </c>
      <c r="M491" s="2382">
        <v>0</v>
      </c>
      <c r="N491" s="2382">
        <v>1</v>
      </c>
      <c r="O491" s="2382">
        <v>1</v>
      </c>
      <c r="P491" s="626" t="s">
        <v>803</v>
      </c>
      <c r="Q491" s="321"/>
      <c r="R491" s="189"/>
      <c r="S491" s="445"/>
      <c r="T491" s="560" t="s">
        <v>1033</v>
      </c>
      <c r="U491" s="560" t="s">
        <v>1088</v>
      </c>
      <c r="AA491" s="27"/>
      <c r="AB491" s="27"/>
      <c r="AC491" s="1038"/>
      <c r="AD491" s="573"/>
    </row>
    <row r="492" spans="3:30" ht="10.5" customHeight="1">
      <c r="C492" s="2388" t="s">
        <v>4990</v>
      </c>
      <c r="D492" s="2385">
        <v>0</v>
      </c>
      <c r="E492" s="2385">
        <v>0</v>
      </c>
      <c r="F492" s="2386">
        <v>0</v>
      </c>
      <c r="G492" s="2412" t="s">
        <v>4990</v>
      </c>
      <c r="H492" s="2383">
        <v>0</v>
      </c>
      <c r="I492" s="2383">
        <v>0</v>
      </c>
      <c r="J492" s="2413">
        <v>0</v>
      </c>
      <c r="K492" s="2387"/>
      <c r="L492" s="2381">
        <v>13035150200</v>
      </c>
      <c r="M492" s="2382">
        <v>0</v>
      </c>
      <c r="N492" s="2382">
        <v>0</v>
      </c>
      <c r="O492" s="2382">
        <v>0</v>
      </c>
      <c r="P492" s="626" t="s">
        <v>116</v>
      </c>
      <c r="Q492" s="321"/>
      <c r="R492" s="189"/>
      <c r="S492" s="445"/>
      <c r="T492" s="560" t="s">
        <v>596</v>
      </c>
      <c r="U492" s="560" t="s">
        <v>642</v>
      </c>
      <c r="AA492" s="27"/>
      <c r="AB492" s="27"/>
      <c r="AC492" s="1038"/>
      <c r="AD492" s="573"/>
    </row>
    <row r="493" spans="3:30" ht="10.5" customHeight="1">
      <c r="C493" s="2388" t="s">
        <v>4991</v>
      </c>
      <c r="D493" s="2385">
        <v>0</v>
      </c>
      <c r="E493" s="2385">
        <v>1</v>
      </c>
      <c r="F493" s="2386">
        <v>1</v>
      </c>
      <c r="G493" s="2412" t="s">
        <v>4991</v>
      </c>
      <c r="H493" s="2383">
        <v>0</v>
      </c>
      <c r="I493" s="2383">
        <v>1</v>
      </c>
      <c r="J493" s="2413">
        <v>1</v>
      </c>
      <c r="K493" s="2387"/>
      <c r="L493" s="2381">
        <v>13035150300</v>
      </c>
      <c r="M493" s="2382">
        <v>0</v>
      </c>
      <c r="N493" s="2382">
        <v>1</v>
      </c>
      <c r="O493" s="2382">
        <v>1</v>
      </c>
      <c r="P493" s="626" t="s">
        <v>244</v>
      </c>
      <c r="Q493" s="321"/>
      <c r="R493" s="189"/>
      <c r="S493" s="445"/>
      <c r="T493" s="560" t="s">
        <v>945</v>
      </c>
      <c r="U493" s="560" t="s">
        <v>118</v>
      </c>
      <c r="AA493" s="27"/>
      <c r="AB493" s="27"/>
      <c r="AC493" s="1038"/>
      <c r="AD493" s="573"/>
    </row>
    <row r="494" spans="3:30" ht="10.5" customHeight="1">
      <c r="C494" s="2388" t="s">
        <v>4992</v>
      </c>
      <c r="D494" s="2385">
        <v>0</v>
      </c>
      <c r="E494" s="2385">
        <v>0</v>
      </c>
      <c r="F494" s="2386">
        <v>0</v>
      </c>
      <c r="G494" s="2412" t="s">
        <v>4992</v>
      </c>
      <c r="H494" s="2383">
        <v>0</v>
      </c>
      <c r="I494" s="2383">
        <v>1</v>
      </c>
      <c r="J494" s="2413">
        <v>1</v>
      </c>
      <c r="K494" s="2387"/>
      <c r="L494" s="2381">
        <v>13037950100</v>
      </c>
      <c r="M494" s="2382">
        <v>0</v>
      </c>
      <c r="N494" s="2382">
        <v>1</v>
      </c>
      <c r="O494" s="2382">
        <v>1</v>
      </c>
      <c r="P494" s="626" t="s">
        <v>1473</v>
      </c>
      <c r="Q494" s="321"/>
      <c r="R494" s="189"/>
      <c r="S494" s="445"/>
      <c r="T494" s="560" t="s">
        <v>947</v>
      </c>
      <c r="U494" s="560" t="s">
        <v>1305</v>
      </c>
      <c r="AA494" s="27"/>
      <c r="AB494" s="27"/>
      <c r="AC494" s="1038"/>
      <c r="AD494" s="573"/>
    </row>
    <row r="495" spans="3:30" ht="10.5" customHeight="1">
      <c r="C495" s="2388" t="s">
        <v>4993</v>
      </c>
      <c r="D495" s="2385">
        <v>0</v>
      </c>
      <c r="E495" s="2385">
        <v>0</v>
      </c>
      <c r="F495" s="2386">
        <v>0</v>
      </c>
      <c r="G495" s="2412" t="s">
        <v>4993</v>
      </c>
      <c r="H495" s="2383">
        <v>0</v>
      </c>
      <c r="I495" s="2383">
        <v>0</v>
      </c>
      <c r="J495" s="2413">
        <v>0</v>
      </c>
      <c r="K495" s="2387"/>
      <c r="L495" s="2381">
        <v>13037950200</v>
      </c>
      <c r="M495" s="2382">
        <v>0</v>
      </c>
      <c r="N495" s="2382">
        <v>0</v>
      </c>
      <c r="O495" s="2382">
        <v>0</v>
      </c>
      <c r="P495" s="626" t="s">
        <v>239</v>
      </c>
      <c r="Q495" s="321"/>
      <c r="R495" s="189"/>
      <c r="S495" s="445"/>
      <c r="T495" s="560" t="s">
        <v>1461</v>
      </c>
      <c r="U495" s="560" t="s">
        <v>1426</v>
      </c>
      <c r="AA495" s="27"/>
      <c r="AB495" s="27"/>
      <c r="AC495" s="1038"/>
      <c r="AD495" s="573"/>
    </row>
    <row r="496" spans="3:30" ht="10.5" customHeight="1">
      <c r="C496" s="2388" t="s">
        <v>4994</v>
      </c>
      <c r="D496" s="2385">
        <v>0</v>
      </c>
      <c r="E496" s="2385">
        <v>0</v>
      </c>
      <c r="F496" s="2386">
        <v>0</v>
      </c>
      <c r="G496" s="2412" t="s">
        <v>4994</v>
      </c>
      <c r="H496" s="2383">
        <v>0</v>
      </c>
      <c r="I496" s="2383">
        <v>1</v>
      </c>
      <c r="J496" s="2413">
        <v>1</v>
      </c>
      <c r="K496" s="2387"/>
      <c r="L496" s="2381">
        <v>13039010100</v>
      </c>
      <c r="M496" s="2382">
        <v>0</v>
      </c>
      <c r="N496" s="2382">
        <v>1</v>
      </c>
      <c r="O496" s="2382">
        <v>1</v>
      </c>
      <c r="P496" s="626" t="s">
        <v>1478</v>
      </c>
      <c r="Q496" s="321"/>
      <c r="R496" s="189"/>
      <c r="S496" s="445"/>
      <c r="T496" s="560" t="s">
        <v>1463</v>
      </c>
      <c r="U496" s="560" t="s">
        <v>2463</v>
      </c>
      <c r="AA496" s="27"/>
      <c r="AB496" s="27"/>
      <c r="AC496" s="1038"/>
      <c r="AD496" s="573"/>
    </row>
    <row r="497" spans="3:30" ht="10.5" customHeight="1">
      <c r="C497" s="2388" t="s">
        <v>4995</v>
      </c>
      <c r="D497" s="2385">
        <v>0</v>
      </c>
      <c r="E497" s="2385">
        <v>1</v>
      </c>
      <c r="F497" s="2386">
        <v>1</v>
      </c>
      <c r="G497" s="2412" t="s">
        <v>4995</v>
      </c>
      <c r="H497" s="2383">
        <v>0</v>
      </c>
      <c r="I497" s="2383">
        <v>0</v>
      </c>
      <c r="J497" s="2413">
        <v>0</v>
      </c>
      <c r="K497" s="2387"/>
      <c r="L497" s="2381">
        <v>13039010200</v>
      </c>
      <c r="M497" s="2382">
        <v>0</v>
      </c>
      <c r="N497" s="2382">
        <v>1</v>
      </c>
      <c r="O497" s="2382">
        <v>1</v>
      </c>
      <c r="P497" s="626" t="s">
        <v>1480</v>
      </c>
      <c r="Q497" s="321"/>
      <c r="R497" s="189"/>
      <c r="S497" s="445"/>
      <c r="T497" s="560" t="s">
        <v>1465</v>
      </c>
      <c r="U497" s="560" t="s">
        <v>2127</v>
      </c>
      <c r="AA497" s="27"/>
      <c r="AB497" s="27"/>
      <c r="AC497" s="1038"/>
      <c r="AD497" s="573"/>
    </row>
    <row r="498" spans="3:30" ht="10.5" customHeight="1">
      <c r="C498" s="2388" t="s">
        <v>4996</v>
      </c>
      <c r="D498" s="2385">
        <v>0</v>
      </c>
      <c r="E498" s="2385">
        <v>0</v>
      </c>
      <c r="F498" s="2386">
        <v>0</v>
      </c>
      <c r="G498" s="2412" t="s">
        <v>4996</v>
      </c>
      <c r="H498" s="2383">
        <v>0</v>
      </c>
      <c r="I498" s="2383">
        <v>0</v>
      </c>
      <c r="J498" s="2413">
        <v>0</v>
      </c>
      <c r="K498" s="2387"/>
      <c r="L498" s="2381">
        <v>13039010301</v>
      </c>
      <c r="M498" s="2382">
        <v>0</v>
      </c>
      <c r="N498" s="2382">
        <v>0</v>
      </c>
      <c r="O498" s="2382">
        <v>0</v>
      </c>
      <c r="P498" s="626" t="s">
        <v>1365</v>
      </c>
      <c r="Q498" s="321"/>
      <c r="R498" s="189"/>
      <c r="S498" s="445"/>
      <c r="T498" s="560" t="s">
        <v>2278</v>
      </c>
      <c r="U498" s="560" t="s">
        <v>2524</v>
      </c>
      <c r="AA498" s="27"/>
      <c r="AB498" s="27"/>
      <c r="AC498" s="1038"/>
      <c r="AD498" s="573"/>
    </row>
    <row r="499" spans="3:30" ht="10.5" customHeight="1">
      <c r="C499" s="2388" t="s">
        <v>4997</v>
      </c>
      <c r="D499" s="2385">
        <v>0</v>
      </c>
      <c r="E499" s="2385">
        <v>0</v>
      </c>
      <c r="F499" s="2386">
        <v>0</v>
      </c>
      <c r="G499" s="2412" t="s">
        <v>4997</v>
      </c>
      <c r="H499" s="2383">
        <v>0</v>
      </c>
      <c r="I499" s="2383">
        <v>0</v>
      </c>
      <c r="J499" s="2413">
        <v>0</v>
      </c>
      <c r="K499" s="2387"/>
      <c r="L499" s="2381">
        <v>13039010302</v>
      </c>
      <c r="M499" s="2382">
        <v>0</v>
      </c>
      <c r="N499" s="2382">
        <v>0</v>
      </c>
      <c r="O499" s="2382">
        <v>0</v>
      </c>
      <c r="P499" s="626" t="s">
        <v>1367</v>
      </c>
      <c r="Q499" s="321"/>
      <c r="R499" s="189"/>
      <c r="S499" s="445"/>
      <c r="T499" s="560" t="s">
        <v>2280</v>
      </c>
      <c r="U499" s="560" t="s">
        <v>118</v>
      </c>
      <c r="AA499" s="27"/>
      <c r="AB499" s="27"/>
      <c r="AC499" s="1038"/>
      <c r="AD499" s="573"/>
    </row>
    <row r="500" spans="3:30" ht="10.5" customHeight="1">
      <c r="C500" s="2388" t="s">
        <v>4998</v>
      </c>
      <c r="D500" s="2385">
        <v>1</v>
      </c>
      <c r="E500" s="2385">
        <v>1</v>
      </c>
      <c r="F500" s="2386">
        <v>2</v>
      </c>
      <c r="G500" s="2412" t="s">
        <v>4998</v>
      </c>
      <c r="H500" s="2383">
        <v>1</v>
      </c>
      <c r="I500" s="2383">
        <v>0</v>
      </c>
      <c r="J500" s="2413">
        <v>1</v>
      </c>
      <c r="K500" s="2387"/>
      <c r="L500" s="2381">
        <v>13039010401</v>
      </c>
      <c r="M500" s="2382">
        <v>1</v>
      </c>
      <c r="N500" s="2382">
        <v>1</v>
      </c>
      <c r="O500" s="2382">
        <v>2</v>
      </c>
      <c r="P500" s="626" t="s">
        <v>1369</v>
      </c>
      <c r="Q500" s="321"/>
      <c r="R500" s="189"/>
      <c r="S500" s="445"/>
      <c r="T500" s="627" t="s">
        <v>1254</v>
      </c>
      <c r="U500" s="627" t="s">
        <v>931</v>
      </c>
      <c r="AA500" s="27"/>
      <c r="AB500" s="27"/>
      <c r="AC500" s="1038"/>
      <c r="AD500" s="573"/>
    </row>
    <row r="501" spans="3:30" ht="10.5" customHeight="1">
      <c r="C501" s="2388" t="s">
        <v>4999</v>
      </c>
      <c r="D501" s="2385">
        <v>1</v>
      </c>
      <c r="E501" s="2385">
        <v>1</v>
      </c>
      <c r="F501" s="2386">
        <v>2</v>
      </c>
      <c r="G501" s="2412" t="s">
        <v>4999</v>
      </c>
      <c r="H501" s="2383">
        <v>1</v>
      </c>
      <c r="I501" s="2383">
        <v>1</v>
      </c>
      <c r="J501" s="2413">
        <v>2</v>
      </c>
      <c r="K501" s="2387"/>
      <c r="L501" s="2381">
        <v>13039010402</v>
      </c>
      <c r="M501" s="2382">
        <v>1</v>
      </c>
      <c r="N501" s="2382">
        <v>1</v>
      </c>
      <c r="O501" s="2382">
        <v>2</v>
      </c>
      <c r="P501" s="626" t="s">
        <v>1370</v>
      </c>
      <c r="Q501" s="321"/>
      <c r="R501" s="189"/>
      <c r="S501" s="445"/>
      <c r="T501" s="560" t="s">
        <v>1034</v>
      </c>
      <c r="U501" s="560" t="s">
        <v>1958</v>
      </c>
      <c r="AA501" s="27"/>
      <c r="AB501" s="27"/>
      <c r="AC501" s="1039"/>
      <c r="AD501" s="573"/>
    </row>
    <row r="502" spans="3:30" ht="10.5" customHeight="1">
      <c r="C502" s="2388" t="s">
        <v>5000</v>
      </c>
      <c r="D502" s="2385">
        <v>1</v>
      </c>
      <c r="E502" s="2385">
        <v>1</v>
      </c>
      <c r="F502" s="2386">
        <v>2</v>
      </c>
      <c r="G502" s="2412" t="s">
        <v>5000</v>
      </c>
      <c r="H502" s="2383">
        <v>1</v>
      </c>
      <c r="I502" s="2383">
        <v>1</v>
      </c>
      <c r="J502" s="2413">
        <v>2</v>
      </c>
      <c r="K502" s="2387"/>
      <c r="L502" s="2381">
        <v>13039010403</v>
      </c>
      <c r="M502" s="2382">
        <v>1</v>
      </c>
      <c r="N502" s="2382">
        <v>1</v>
      </c>
      <c r="O502" s="2382">
        <v>2</v>
      </c>
      <c r="P502" s="626" t="s">
        <v>1372</v>
      </c>
      <c r="Q502" s="321"/>
      <c r="R502" s="189"/>
      <c r="S502" s="445"/>
      <c r="T502" s="560" t="s">
        <v>1256</v>
      </c>
      <c r="U502" s="560" t="s">
        <v>1428</v>
      </c>
      <c r="AA502" s="27"/>
      <c r="AB502" s="27"/>
      <c r="AC502" s="1038"/>
      <c r="AD502" s="573"/>
    </row>
    <row r="503" spans="3:30" ht="10.5" customHeight="1">
      <c r="C503" s="2388" t="s">
        <v>5001</v>
      </c>
      <c r="D503" s="2385">
        <v>0</v>
      </c>
      <c r="E503" s="2385">
        <v>1</v>
      </c>
      <c r="F503" s="2386">
        <v>1</v>
      </c>
      <c r="G503" s="2412" t="s">
        <v>5001</v>
      </c>
      <c r="H503" s="2383">
        <v>0</v>
      </c>
      <c r="I503" s="2383" t="s">
        <v>4493</v>
      </c>
      <c r="J503" s="2413">
        <v>0</v>
      </c>
      <c r="K503" s="2387"/>
      <c r="L503" s="2381">
        <v>13039010500</v>
      </c>
      <c r="M503" s="2382">
        <v>0</v>
      </c>
      <c r="N503" s="2382">
        <v>1</v>
      </c>
      <c r="O503" s="2382">
        <v>1</v>
      </c>
      <c r="P503" s="626" t="s">
        <v>1374</v>
      </c>
      <c r="Q503" s="321"/>
      <c r="R503" s="189"/>
      <c r="S503" s="445"/>
      <c r="T503" s="560" t="s">
        <v>807</v>
      </c>
      <c r="U503" s="560" t="s">
        <v>1960</v>
      </c>
      <c r="AA503" s="27"/>
      <c r="AB503" s="27"/>
      <c r="AC503" s="1038"/>
      <c r="AD503" s="573"/>
    </row>
    <row r="504" spans="3:30" ht="10.5" customHeight="1">
      <c r="C504" s="2388" t="s">
        <v>5002</v>
      </c>
      <c r="D504" s="2385">
        <v>0</v>
      </c>
      <c r="E504" s="2385">
        <v>0</v>
      </c>
      <c r="F504" s="2386">
        <v>0</v>
      </c>
      <c r="G504" s="2412" t="s">
        <v>5002</v>
      </c>
      <c r="H504" s="2383">
        <v>0</v>
      </c>
      <c r="I504" s="2383">
        <v>0</v>
      </c>
      <c r="J504" s="2413">
        <v>0</v>
      </c>
      <c r="K504" s="2387"/>
      <c r="L504" s="2381">
        <v>13039010601</v>
      </c>
      <c r="M504" s="2382">
        <v>0</v>
      </c>
      <c r="N504" s="2382">
        <v>0</v>
      </c>
      <c r="O504" s="2382">
        <v>0</v>
      </c>
      <c r="P504" s="626" t="s">
        <v>1536</v>
      </c>
      <c r="Q504" s="321"/>
      <c r="R504" s="189"/>
      <c r="S504" s="445"/>
      <c r="T504" s="560" t="s">
        <v>808</v>
      </c>
      <c r="U504" s="560" t="s">
        <v>852</v>
      </c>
      <c r="AA504" s="27"/>
      <c r="AB504" s="27"/>
      <c r="AC504" s="1038"/>
      <c r="AD504" s="573"/>
    </row>
    <row r="505" spans="3:30" ht="10.5" customHeight="1">
      <c r="C505" s="2388" t="s">
        <v>5003</v>
      </c>
      <c r="D505" s="2385">
        <v>0</v>
      </c>
      <c r="E505" s="2385">
        <v>0</v>
      </c>
      <c r="F505" s="2386">
        <v>0</v>
      </c>
      <c r="G505" s="2412" t="s">
        <v>5003</v>
      </c>
      <c r="H505" s="2383">
        <v>0</v>
      </c>
      <c r="I505" s="2383" t="s">
        <v>4493</v>
      </c>
      <c r="J505" s="2413">
        <v>0</v>
      </c>
      <c r="K505" s="2387"/>
      <c r="L505" s="2381">
        <v>13039010602</v>
      </c>
      <c r="M505" s="2382">
        <v>0</v>
      </c>
      <c r="N505" s="2382">
        <v>0</v>
      </c>
      <c r="O505" s="2382">
        <v>0</v>
      </c>
      <c r="P505" s="626" t="s">
        <v>1537</v>
      </c>
      <c r="Q505" s="321"/>
      <c r="R505" s="189"/>
      <c r="S505" s="445"/>
      <c r="T505" s="560" t="s">
        <v>801</v>
      </c>
      <c r="U505" s="560" t="s">
        <v>610</v>
      </c>
      <c r="AA505" s="27"/>
      <c r="AB505" s="27"/>
      <c r="AC505" s="1038"/>
      <c r="AD505" s="573"/>
    </row>
    <row r="506" spans="3:30" ht="10.5" customHeight="1">
      <c r="C506" s="2388" t="s">
        <v>5004</v>
      </c>
      <c r="D506" s="2385" t="s">
        <v>4493</v>
      </c>
      <c r="E506" s="2385" t="s">
        <v>4493</v>
      </c>
      <c r="F506" s="2386">
        <v>0</v>
      </c>
      <c r="G506" s="2412" t="s">
        <v>5004</v>
      </c>
      <c r="H506" s="2383" t="s">
        <v>4493</v>
      </c>
      <c r="I506" s="2383" t="s">
        <v>4493</v>
      </c>
      <c r="J506" s="2413">
        <v>0</v>
      </c>
      <c r="K506" s="2387"/>
      <c r="L506" s="2381">
        <v>13039990000</v>
      </c>
      <c r="M506" s="2382">
        <v>0</v>
      </c>
      <c r="N506" s="2382">
        <v>0</v>
      </c>
      <c r="O506" s="2382">
        <v>0</v>
      </c>
      <c r="P506" s="626" t="s">
        <v>1538</v>
      </c>
      <c r="Q506" s="321"/>
      <c r="R506" s="189"/>
      <c r="S506" s="445"/>
      <c r="T506" s="560" t="s">
        <v>804</v>
      </c>
      <c r="U506" s="560" t="s">
        <v>314</v>
      </c>
      <c r="AA506" s="27"/>
      <c r="AB506" s="27"/>
      <c r="AC506" s="1038"/>
      <c r="AD506" s="573"/>
    </row>
    <row r="507" spans="3:30" ht="10.5" customHeight="1">
      <c r="C507" s="2388" t="s">
        <v>5005</v>
      </c>
      <c r="D507" s="2385">
        <v>0</v>
      </c>
      <c r="E507" s="2385">
        <v>0</v>
      </c>
      <c r="F507" s="2386">
        <v>0</v>
      </c>
      <c r="G507" s="2412" t="s">
        <v>5005</v>
      </c>
      <c r="H507" s="2383">
        <v>0</v>
      </c>
      <c r="I507" s="2383">
        <v>0</v>
      </c>
      <c r="J507" s="2413">
        <v>0</v>
      </c>
      <c r="K507" s="2387"/>
      <c r="L507" s="2381">
        <v>13043950100</v>
      </c>
      <c r="M507" s="2382">
        <v>0</v>
      </c>
      <c r="N507" s="2382">
        <v>0</v>
      </c>
      <c r="O507" s="2382">
        <v>0</v>
      </c>
      <c r="P507" s="626" t="s">
        <v>1539</v>
      </c>
      <c r="Q507" s="321"/>
      <c r="R507" s="189"/>
      <c r="S507" s="445"/>
      <c r="T507" s="560" t="s">
        <v>117</v>
      </c>
      <c r="U507" s="560" t="s">
        <v>1961</v>
      </c>
      <c r="AA507" s="27"/>
      <c r="AB507" s="27"/>
      <c r="AC507" s="1038"/>
      <c r="AD507" s="573"/>
    </row>
    <row r="508" spans="3:30" ht="10.5" customHeight="1">
      <c r="C508" s="2388" t="s">
        <v>5006</v>
      </c>
      <c r="D508" s="2385">
        <v>0</v>
      </c>
      <c r="E508" s="2385">
        <v>0</v>
      </c>
      <c r="F508" s="2386">
        <v>0</v>
      </c>
      <c r="G508" s="2412" t="s">
        <v>5006</v>
      </c>
      <c r="H508" s="2383">
        <v>0</v>
      </c>
      <c r="I508" s="2383">
        <v>0</v>
      </c>
      <c r="J508" s="2413">
        <v>0</v>
      </c>
      <c r="K508" s="2387"/>
      <c r="L508" s="2381">
        <v>13043950200</v>
      </c>
      <c r="M508" s="2382">
        <v>0</v>
      </c>
      <c r="N508" s="2382">
        <v>0</v>
      </c>
      <c r="O508" s="2382">
        <v>0</v>
      </c>
      <c r="P508" s="626" t="s">
        <v>1541</v>
      </c>
      <c r="Q508" s="321"/>
      <c r="R508" s="189"/>
      <c r="S508" s="445"/>
      <c r="T508" s="560" t="s">
        <v>245</v>
      </c>
      <c r="U508" s="560" t="s">
        <v>1831</v>
      </c>
      <c r="AA508" s="27"/>
      <c r="AB508" s="27"/>
      <c r="AC508" s="1038"/>
      <c r="AD508" s="573"/>
    </row>
    <row r="509" spans="3:30" ht="10.5" customHeight="1">
      <c r="C509" s="2388" t="s">
        <v>5007</v>
      </c>
      <c r="D509" s="2385">
        <v>0</v>
      </c>
      <c r="E509" s="2385">
        <v>0</v>
      </c>
      <c r="F509" s="2386">
        <v>0</v>
      </c>
      <c r="G509" s="2412" t="s">
        <v>5007</v>
      </c>
      <c r="H509" s="2383">
        <v>0</v>
      </c>
      <c r="I509" s="2383">
        <v>0</v>
      </c>
      <c r="J509" s="2413">
        <v>0</v>
      </c>
      <c r="K509" s="2387"/>
      <c r="L509" s="2381">
        <v>13043950300</v>
      </c>
      <c r="M509" s="2382">
        <v>0</v>
      </c>
      <c r="N509" s="2382">
        <v>0</v>
      </c>
      <c r="O509" s="2382">
        <v>0</v>
      </c>
      <c r="P509" s="626" t="s">
        <v>1543</v>
      </c>
      <c r="Q509" s="321"/>
      <c r="R509" s="189"/>
      <c r="S509" s="445"/>
      <c r="T509" s="627" t="s">
        <v>1474</v>
      </c>
      <c r="U509" s="627" t="s">
        <v>1960</v>
      </c>
      <c r="AA509" s="27"/>
      <c r="AB509" s="27"/>
      <c r="AC509" s="1038"/>
      <c r="AD509" s="573"/>
    </row>
    <row r="510" spans="3:30" ht="10.5" customHeight="1">
      <c r="C510" s="2388" t="s">
        <v>5008</v>
      </c>
      <c r="D510" s="2385">
        <v>0</v>
      </c>
      <c r="E510" s="2385">
        <v>1</v>
      </c>
      <c r="F510" s="2386">
        <v>1</v>
      </c>
      <c r="G510" s="2412" t="s">
        <v>5008</v>
      </c>
      <c r="H510" s="2383">
        <v>0</v>
      </c>
      <c r="I510" s="2383">
        <v>0</v>
      </c>
      <c r="J510" s="2413">
        <v>0</v>
      </c>
      <c r="K510" s="2387"/>
      <c r="L510" s="2381">
        <v>13045910101</v>
      </c>
      <c r="M510" s="2382">
        <v>0</v>
      </c>
      <c r="N510" s="2382">
        <v>1</v>
      </c>
      <c r="O510" s="2382">
        <v>1</v>
      </c>
      <c r="P510" s="626" t="s">
        <v>1544</v>
      </c>
      <c r="Q510" s="321"/>
      <c r="R510" s="189"/>
      <c r="S510" s="445"/>
      <c r="T510" s="560" t="s">
        <v>1477</v>
      </c>
      <c r="U510" s="560" t="s">
        <v>323</v>
      </c>
      <c r="AA510" s="27"/>
      <c r="AB510" s="27"/>
      <c r="AC510" s="1039"/>
      <c r="AD510" s="573"/>
    </row>
    <row r="511" spans="3:30" ht="10.5" customHeight="1">
      <c r="C511" s="2388" t="s">
        <v>5009</v>
      </c>
      <c r="D511" s="2385">
        <v>1</v>
      </c>
      <c r="E511" s="2385">
        <v>1</v>
      </c>
      <c r="F511" s="2386">
        <v>2</v>
      </c>
      <c r="G511" s="2412" t="s">
        <v>5009</v>
      </c>
      <c r="H511" s="2383">
        <v>1</v>
      </c>
      <c r="I511" s="2383">
        <v>0</v>
      </c>
      <c r="J511" s="2413">
        <v>1</v>
      </c>
      <c r="K511" s="2387"/>
      <c r="L511" s="2381">
        <v>13045910103</v>
      </c>
      <c r="M511" s="2382">
        <v>1</v>
      </c>
      <c r="N511" s="2382">
        <v>1</v>
      </c>
      <c r="O511" s="2382">
        <v>2</v>
      </c>
      <c r="P511" s="626" t="s">
        <v>1546</v>
      </c>
      <c r="Q511" s="321"/>
      <c r="R511" s="189"/>
      <c r="S511" s="445"/>
      <c r="T511" s="560" t="s">
        <v>1479</v>
      </c>
      <c r="U511" s="560" t="s">
        <v>2419</v>
      </c>
      <c r="AA511" s="27"/>
      <c r="AB511" s="27"/>
      <c r="AC511" s="1038"/>
      <c r="AD511" s="573"/>
    </row>
    <row r="512" spans="3:30" ht="10.5" customHeight="1">
      <c r="C512" s="2388" t="s">
        <v>5010</v>
      </c>
      <c r="D512" s="2385">
        <v>0</v>
      </c>
      <c r="E512" s="2385">
        <v>1</v>
      </c>
      <c r="F512" s="2386">
        <v>1</v>
      </c>
      <c r="G512" s="2412" t="s">
        <v>5010</v>
      </c>
      <c r="H512" s="2383">
        <v>0</v>
      </c>
      <c r="I512" s="2383">
        <v>0</v>
      </c>
      <c r="J512" s="2413">
        <v>0</v>
      </c>
      <c r="K512" s="2387"/>
      <c r="L512" s="2381">
        <v>13045910104</v>
      </c>
      <c r="M512" s="2382">
        <v>0</v>
      </c>
      <c r="N512" s="2382">
        <v>1</v>
      </c>
      <c r="O512" s="2382">
        <v>1</v>
      </c>
      <c r="P512" s="626" t="s">
        <v>372</v>
      </c>
      <c r="Q512" s="321"/>
      <c r="R512" s="189"/>
      <c r="S512" s="445"/>
      <c r="T512" s="560" t="s">
        <v>474</v>
      </c>
      <c r="U512" s="560" t="s">
        <v>1430</v>
      </c>
      <c r="AA512" s="27"/>
      <c r="AB512" s="27"/>
      <c r="AC512" s="1038"/>
      <c r="AD512" s="573"/>
    </row>
    <row r="513" spans="3:30" ht="10.5" customHeight="1">
      <c r="C513" s="2388" t="s">
        <v>5011</v>
      </c>
      <c r="D513" s="2385">
        <v>0</v>
      </c>
      <c r="E513" s="2385">
        <v>0</v>
      </c>
      <c r="F513" s="2386">
        <v>0</v>
      </c>
      <c r="G513" s="2412" t="s">
        <v>5011</v>
      </c>
      <c r="H513" s="2383">
        <v>0</v>
      </c>
      <c r="I513" s="2383">
        <v>0</v>
      </c>
      <c r="J513" s="2413">
        <v>0</v>
      </c>
      <c r="K513" s="2387"/>
      <c r="L513" s="2381">
        <v>13045910200</v>
      </c>
      <c r="M513" s="2382">
        <v>0</v>
      </c>
      <c r="N513" s="2382">
        <v>0</v>
      </c>
      <c r="O513" s="2382">
        <v>0</v>
      </c>
      <c r="P513" s="626" t="s">
        <v>241</v>
      </c>
      <c r="Q513" s="321"/>
      <c r="R513" s="189"/>
      <c r="S513" s="445"/>
      <c r="T513" s="560" t="s">
        <v>1366</v>
      </c>
      <c r="U513" s="560" t="s">
        <v>306</v>
      </c>
      <c r="AA513" s="27"/>
      <c r="AB513" s="27"/>
      <c r="AC513" s="1038"/>
      <c r="AD513" s="573"/>
    </row>
    <row r="514" spans="3:30" ht="10.5" customHeight="1">
      <c r="C514" s="2388" t="s">
        <v>5012</v>
      </c>
      <c r="D514" s="2385">
        <v>0</v>
      </c>
      <c r="E514" s="2385">
        <v>1</v>
      </c>
      <c r="F514" s="2386">
        <v>1</v>
      </c>
      <c r="G514" s="2412" t="s">
        <v>5012</v>
      </c>
      <c r="H514" s="2383">
        <v>0</v>
      </c>
      <c r="I514" s="2383">
        <v>0</v>
      </c>
      <c r="J514" s="2413">
        <v>0</v>
      </c>
      <c r="K514" s="2387"/>
      <c r="L514" s="2381">
        <v>13045910300</v>
      </c>
      <c r="M514" s="2382">
        <v>0</v>
      </c>
      <c r="N514" s="2382">
        <v>1</v>
      </c>
      <c r="O514" s="2382">
        <v>1</v>
      </c>
      <c r="P514" s="626" t="s">
        <v>243</v>
      </c>
      <c r="Q514" s="321"/>
      <c r="R514" s="189"/>
      <c r="S514" s="445"/>
      <c r="T514" s="560" t="s">
        <v>1368</v>
      </c>
      <c r="U514" s="560" t="s">
        <v>850</v>
      </c>
      <c r="AA514" s="27"/>
      <c r="AB514" s="27"/>
      <c r="AC514" s="1038"/>
      <c r="AD514" s="573"/>
    </row>
    <row r="515" spans="3:30" ht="10.5" customHeight="1">
      <c r="C515" s="2388" t="s">
        <v>5013</v>
      </c>
      <c r="D515" s="2385">
        <v>0</v>
      </c>
      <c r="E515" s="2385">
        <v>0</v>
      </c>
      <c r="F515" s="2386">
        <v>0</v>
      </c>
      <c r="G515" s="2412" t="s">
        <v>5013</v>
      </c>
      <c r="H515" s="2383">
        <v>0</v>
      </c>
      <c r="I515" s="2383" t="s">
        <v>4493</v>
      </c>
      <c r="J515" s="2413">
        <v>0</v>
      </c>
      <c r="K515" s="2387"/>
      <c r="L515" s="2381">
        <v>13045910400</v>
      </c>
      <c r="M515" s="2382">
        <v>0</v>
      </c>
      <c r="N515" s="2382">
        <v>0</v>
      </c>
      <c r="O515" s="2382">
        <v>0</v>
      </c>
      <c r="P515" s="626" t="s">
        <v>12</v>
      </c>
      <c r="Q515" s="321"/>
      <c r="R515" s="189"/>
      <c r="S515" s="445"/>
      <c r="T515" s="560" t="s">
        <v>172</v>
      </c>
      <c r="U515" s="560" t="s">
        <v>2125</v>
      </c>
      <c r="AA515" s="27"/>
      <c r="AB515" s="27"/>
      <c r="AC515" s="1038"/>
      <c r="AD515" s="573"/>
    </row>
    <row r="516" spans="3:30" ht="10.5" customHeight="1">
      <c r="C516" s="2388" t="s">
        <v>5014</v>
      </c>
      <c r="D516" s="2385">
        <v>0</v>
      </c>
      <c r="E516" s="2385">
        <v>1</v>
      </c>
      <c r="F516" s="2386">
        <v>1</v>
      </c>
      <c r="G516" s="2412" t="s">
        <v>5014</v>
      </c>
      <c r="H516" s="2383">
        <v>0</v>
      </c>
      <c r="I516" s="2383">
        <v>0</v>
      </c>
      <c r="J516" s="2413">
        <v>0</v>
      </c>
      <c r="K516" s="2387"/>
      <c r="L516" s="2381">
        <v>13045910501</v>
      </c>
      <c r="M516" s="2382">
        <v>0</v>
      </c>
      <c r="N516" s="2382">
        <v>1</v>
      </c>
      <c r="O516" s="2382">
        <v>1</v>
      </c>
      <c r="P516" s="626" t="s">
        <v>1063</v>
      </c>
      <c r="Q516" s="321"/>
      <c r="R516" s="189"/>
      <c r="S516" s="445"/>
      <c r="T516" s="560" t="s">
        <v>1371</v>
      </c>
      <c r="U516" s="560" t="s">
        <v>1831</v>
      </c>
      <c r="AA516" s="27"/>
      <c r="AB516" s="27"/>
      <c r="AC516" s="1038"/>
      <c r="AD516" s="573"/>
    </row>
    <row r="517" spans="3:30" ht="10.5" customHeight="1">
      <c r="C517" s="2388" t="s">
        <v>5015</v>
      </c>
      <c r="D517" s="2385">
        <v>0</v>
      </c>
      <c r="E517" s="2385">
        <v>0</v>
      </c>
      <c r="F517" s="2386">
        <v>0</v>
      </c>
      <c r="G517" s="2412" t="s">
        <v>5015</v>
      </c>
      <c r="H517" s="2383">
        <v>0</v>
      </c>
      <c r="I517" s="2383">
        <v>0</v>
      </c>
      <c r="J517" s="2413">
        <v>0</v>
      </c>
      <c r="K517" s="2387"/>
      <c r="L517" s="2381">
        <v>13045910502</v>
      </c>
      <c r="M517" s="2382">
        <v>0</v>
      </c>
      <c r="N517" s="2382">
        <v>0</v>
      </c>
      <c r="O517" s="2382">
        <v>0</v>
      </c>
      <c r="P517" s="626" t="s">
        <v>1065</v>
      </c>
      <c r="Q517" s="321"/>
      <c r="R517" s="189"/>
      <c r="S517" s="445"/>
      <c r="T517" s="560" t="s">
        <v>1373</v>
      </c>
      <c r="U517" s="560" t="s">
        <v>158</v>
      </c>
      <c r="AA517" s="27"/>
      <c r="AB517" s="27"/>
      <c r="AC517" s="1038"/>
      <c r="AD517" s="573"/>
    </row>
    <row r="518" spans="3:30" ht="10.5" customHeight="1">
      <c r="C518" s="2388" t="s">
        <v>5016</v>
      </c>
      <c r="D518" s="2385">
        <v>0</v>
      </c>
      <c r="E518" s="2385">
        <v>0</v>
      </c>
      <c r="F518" s="2386">
        <v>0</v>
      </c>
      <c r="G518" s="2412" t="s">
        <v>5016</v>
      </c>
      <c r="H518" s="2383">
        <v>1</v>
      </c>
      <c r="I518" s="2383">
        <v>0</v>
      </c>
      <c r="J518" s="2413">
        <v>1</v>
      </c>
      <c r="K518" s="2387"/>
      <c r="L518" s="2381">
        <v>13045910600</v>
      </c>
      <c r="M518" s="2382">
        <v>1</v>
      </c>
      <c r="N518" s="2382">
        <v>0</v>
      </c>
      <c r="O518" s="2382">
        <v>1</v>
      </c>
      <c r="P518" s="626" t="s">
        <v>1067</v>
      </c>
      <c r="Q518" s="321"/>
      <c r="R518" s="189"/>
      <c r="S518" s="445"/>
      <c r="T518" s="560" t="s">
        <v>2427</v>
      </c>
      <c r="U518" s="560" t="s">
        <v>1862</v>
      </c>
      <c r="AA518" s="27"/>
      <c r="AB518" s="27"/>
      <c r="AC518" s="1038"/>
      <c r="AD518" s="573"/>
    </row>
    <row r="519" spans="3:30" ht="10.5" customHeight="1">
      <c r="C519" s="2388" t="s">
        <v>5017</v>
      </c>
      <c r="D519" s="2385">
        <v>0</v>
      </c>
      <c r="E519" s="2385">
        <v>1</v>
      </c>
      <c r="F519" s="2386">
        <v>1</v>
      </c>
      <c r="G519" s="2412" t="s">
        <v>5017</v>
      </c>
      <c r="H519" s="2383">
        <v>0</v>
      </c>
      <c r="I519" s="2383">
        <v>0</v>
      </c>
      <c r="J519" s="2413">
        <v>0</v>
      </c>
      <c r="K519" s="2387"/>
      <c r="L519" s="2381">
        <v>13045910701</v>
      </c>
      <c r="M519" s="2382">
        <v>0</v>
      </c>
      <c r="N519" s="2382">
        <v>1</v>
      </c>
      <c r="O519" s="2382">
        <v>1</v>
      </c>
      <c r="P519" s="626" t="s">
        <v>252</v>
      </c>
      <c r="Q519" s="321"/>
      <c r="R519" s="189"/>
      <c r="S519" s="445"/>
      <c r="T519" s="560" t="s">
        <v>1035</v>
      </c>
      <c r="U519" s="560" t="s">
        <v>2422</v>
      </c>
      <c r="AA519" s="27"/>
      <c r="AB519" s="27"/>
      <c r="AC519" s="1038"/>
      <c r="AD519" s="573"/>
    </row>
    <row r="520" spans="3:30" ht="10.5" customHeight="1">
      <c r="C520" s="2388" t="s">
        <v>5018</v>
      </c>
      <c r="D520" s="2385">
        <v>1</v>
      </c>
      <c r="E520" s="2385">
        <v>1</v>
      </c>
      <c r="F520" s="2386">
        <v>2</v>
      </c>
      <c r="G520" s="2412" t="s">
        <v>5018</v>
      </c>
      <c r="H520" s="2383">
        <v>0</v>
      </c>
      <c r="I520" s="2383">
        <v>1</v>
      </c>
      <c r="J520" s="2413">
        <v>1</v>
      </c>
      <c r="K520" s="2387"/>
      <c r="L520" s="2381">
        <v>13045910702</v>
      </c>
      <c r="M520" s="2382">
        <v>1</v>
      </c>
      <c r="N520" s="2382">
        <v>1</v>
      </c>
      <c r="O520" s="2382">
        <v>2</v>
      </c>
      <c r="P520" s="626" t="s">
        <v>254</v>
      </c>
      <c r="Q520" s="321"/>
      <c r="R520" s="189"/>
      <c r="S520" s="445"/>
      <c r="T520" s="560" t="s">
        <v>1293</v>
      </c>
      <c r="U520" s="560" t="s">
        <v>1292</v>
      </c>
      <c r="AA520" s="27"/>
      <c r="AB520" s="27"/>
      <c r="AC520" s="1038"/>
      <c r="AD520" s="573"/>
    </row>
    <row r="521" spans="3:30" ht="10.5" customHeight="1">
      <c r="C521" s="2388" t="s">
        <v>5019</v>
      </c>
      <c r="D521" s="2385">
        <v>0</v>
      </c>
      <c r="E521" s="2385">
        <v>1</v>
      </c>
      <c r="F521" s="2386">
        <v>1</v>
      </c>
      <c r="G521" s="2412" t="s">
        <v>5019</v>
      </c>
      <c r="H521" s="2383">
        <v>0</v>
      </c>
      <c r="I521" s="2383">
        <v>0</v>
      </c>
      <c r="J521" s="2413">
        <v>0</v>
      </c>
      <c r="K521" s="2387"/>
      <c r="L521" s="2381">
        <v>13045910703</v>
      </c>
      <c r="M521" s="2382">
        <v>0</v>
      </c>
      <c r="N521" s="2382">
        <v>1</v>
      </c>
      <c r="O521" s="2382">
        <v>1</v>
      </c>
      <c r="P521" s="626" t="s">
        <v>1595</v>
      </c>
      <c r="Q521" s="321"/>
      <c r="R521" s="189"/>
      <c r="S521" s="445"/>
      <c r="T521" s="560" t="s">
        <v>175</v>
      </c>
      <c r="U521" s="560" t="s">
        <v>2517</v>
      </c>
      <c r="AA521" s="27"/>
      <c r="AB521" s="27"/>
      <c r="AC521" s="1038"/>
      <c r="AD521" s="573"/>
    </row>
    <row r="522" spans="3:30" ht="10.5" customHeight="1">
      <c r="C522" s="2388" t="s">
        <v>5020</v>
      </c>
      <c r="D522" s="2385">
        <v>0</v>
      </c>
      <c r="E522" s="2385">
        <v>1</v>
      </c>
      <c r="F522" s="2386">
        <v>1</v>
      </c>
      <c r="G522" s="2412" t="s">
        <v>5020</v>
      </c>
      <c r="H522" s="2383">
        <v>0</v>
      </c>
      <c r="I522" s="2383">
        <v>0</v>
      </c>
      <c r="J522" s="2413">
        <v>0</v>
      </c>
      <c r="K522" s="2387"/>
      <c r="L522" s="2381">
        <v>13045910800</v>
      </c>
      <c r="M522" s="2382">
        <v>0</v>
      </c>
      <c r="N522" s="2382">
        <v>1</v>
      </c>
      <c r="O522" s="2382">
        <v>1</v>
      </c>
      <c r="P522" s="626" t="s">
        <v>2265</v>
      </c>
      <c r="Q522" s="321"/>
      <c r="R522" s="189"/>
      <c r="S522" s="445"/>
      <c r="T522" s="560" t="s">
        <v>1540</v>
      </c>
      <c r="U522" s="560" t="s">
        <v>2133</v>
      </c>
      <c r="AA522" s="27"/>
      <c r="AB522" s="27"/>
      <c r="AC522" s="1038"/>
      <c r="AD522" s="573"/>
    </row>
    <row r="523" spans="3:30" ht="10.5" customHeight="1">
      <c r="C523" s="2388" t="s">
        <v>5021</v>
      </c>
      <c r="D523" s="2385">
        <v>0</v>
      </c>
      <c r="E523" s="2385">
        <v>1</v>
      </c>
      <c r="F523" s="2386">
        <v>1</v>
      </c>
      <c r="G523" s="2412" t="s">
        <v>5021</v>
      </c>
      <c r="H523" s="2383">
        <v>0</v>
      </c>
      <c r="I523" s="2383">
        <v>1</v>
      </c>
      <c r="J523" s="2413">
        <v>1</v>
      </c>
      <c r="K523" s="2387"/>
      <c r="L523" s="2381">
        <v>13045910900</v>
      </c>
      <c r="M523" s="2382">
        <v>0</v>
      </c>
      <c r="N523" s="2382">
        <v>1</v>
      </c>
      <c r="O523" s="2382">
        <v>1</v>
      </c>
      <c r="P523" s="626" t="s">
        <v>472</v>
      </c>
      <c r="Q523" s="321"/>
      <c r="R523" s="189"/>
      <c r="S523" s="445"/>
      <c r="T523" s="560" t="s">
        <v>1542</v>
      </c>
      <c r="U523" s="560" t="s">
        <v>1831</v>
      </c>
      <c r="AA523" s="27"/>
      <c r="AB523" s="27"/>
      <c r="AC523" s="1038"/>
      <c r="AD523" s="573"/>
    </row>
    <row r="524" spans="3:30" ht="10.5" customHeight="1">
      <c r="C524" s="2388" t="s">
        <v>5022</v>
      </c>
      <c r="D524" s="2385">
        <v>1</v>
      </c>
      <c r="E524" s="2385">
        <v>1</v>
      </c>
      <c r="F524" s="2386">
        <v>2</v>
      </c>
      <c r="G524" s="2412" t="s">
        <v>5022</v>
      </c>
      <c r="H524" s="2383">
        <v>1</v>
      </c>
      <c r="I524" s="2383">
        <v>1</v>
      </c>
      <c r="J524" s="2413">
        <v>2</v>
      </c>
      <c r="K524" s="2387"/>
      <c r="L524" s="2381">
        <v>13045911000</v>
      </c>
      <c r="M524" s="2382">
        <v>1</v>
      </c>
      <c r="N524" s="2382">
        <v>1</v>
      </c>
      <c r="O524" s="2382">
        <v>2</v>
      </c>
      <c r="P524" s="626" t="s">
        <v>1275</v>
      </c>
      <c r="Q524" s="321"/>
      <c r="R524" s="189"/>
      <c r="S524" s="445"/>
      <c r="T524" s="560" t="s">
        <v>1545</v>
      </c>
      <c r="U524" s="560" t="s">
        <v>2522</v>
      </c>
      <c r="AA524" s="27"/>
      <c r="AB524" s="27"/>
      <c r="AC524" s="1038"/>
      <c r="AD524" s="573"/>
    </row>
    <row r="525" spans="3:30" ht="10.5" customHeight="1">
      <c r="C525" s="2388" t="s">
        <v>5023</v>
      </c>
      <c r="D525" s="2385">
        <v>1</v>
      </c>
      <c r="E525" s="2385">
        <v>1</v>
      </c>
      <c r="F525" s="2386">
        <v>2</v>
      </c>
      <c r="G525" s="2412" t="s">
        <v>5023</v>
      </c>
      <c r="H525" s="2383">
        <v>0</v>
      </c>
      <c r="I525" s="2383">
        <v>1</v>
      </c>
      <c r="J525" s="2413">
        <v>1</v>
      </c>
      <c r="K525" s="2387"/>
      <c r="L525" s="2381">
        <v>13045911100</v>
      </c>
      <c r="M525" s="2382">
        <v>1</v>
      </c>
      <c r="N525" s="2382">
        <v>1</v>
      </c>
      <c r="O525" s="2382">
        <v>2</v>
      </c>
      <c r="P525" s="626" t="s">
        <v>629</v>
      </c>
      <c r="Q525" s="321"/>
      <c r="R525" s="189"/>
      <c r="S525" s="445"/>
      <c r="T525" s="560" t="s">
        <v>371</v>
      </c>
      <c r="U525" s="560" t="s">
        <v>2422</v>
      </c>
      <c r="AA525" s="27"/>
      <c r="AB525" s="27"/>
      <c r="AC525" s="1038"/>
      <c r="AD525" s="573"/>
    </row>
    <row r="526" spans="3:30" ht="10.5" customHeight="1">
      <c r="C526" s="2388" t="s">
        <v>5024</v>
      </c>
      <c r="D526" s="2385">
        <v>0</v>
      </c>
      <c r="E526" s="2385">
        <v>0</v>
      </c>
      <c r="F526" s="2386">
        <v>0</v>
      </c>
      <c r="G526" s="2412" t="s">
        <v>5024</v>
      </c>
      <c r="H526" s="2383">
        <v>0</v>
      </c>
      <c r="I526" s="2383">
        <v>0</v>
      </c>
      <c r="J526" s="2413">
        <v>0</v>
      </c>
      <c r="K526" s="2387"/>
      <c r="L526" s="2381">
        <v>13045911200</v>
      </c>
      <c r="M526" s="2382">
        <v>0</v>
      </c>
      <c r="N526" s="2382">
        <v>0</v>
      </c>
      <c r="O526" s="2382">
        <v>0</v>
      </c>
      <c r="P526" s="626" t="s">
        <v>669</v>
      </c>
      <c r="Q526" s="321"/>
      <c r="R526" s="189"/>
      <c r="S526" s="445"/>
      <c r="T526" s="629" t="s">
        <v>373</v>
      </c>
      <c r="U526" s="560" t="s">
        <v>1293</v>
      </c>
      <c r="AA526" s="27"/>
      <c r="AB526" s="27"/>
      <c r="AC526" s="1038"/>
      <c r="AD526" s="573"/>
    </row>
    <row r="527" spans="3:30" ht="10.5" customHeight="1">
      <c r="C527" s="2388" t="s">
        <v>5025</v>
      </c>
      <c r="D527" s="2385">
        <v>0</v>
      </c>
      <c r="E527" s="2385">
        <v>0</v>
      </c>
      <c r="F527" s="2386">
        <v>0</v>
      </c>
      <c r="G527" s="2412" t="s">
        <v>5025</v>
      </c>
      <c r="H527" s="2383">
        <v>0</v>
      </c>
      <c r="I527" s="2383">
        <v>0</v>
      </c>
      <c r="J527" s="2413">
        <v>0</v>
      </c>
      <c r="K527" s="2387"/>
      <c r="L527" s="2381">
        <v>13047030100</v>
      </c>
      <c r="M527" s="2382">
        <v>0</v>
      </c>
      <c r="N527" s="2382">
        <v>0</v>
      </c>
      <c r="O527" s="2382">
        <v>0</v>
      </c>
      <c r="P527" s="626" t="s">
        <v>670</v>
      </c>
      <c r="Q527" s="321"/>
      <c r="R527" s="189"/>
      <c r="S527" s="445"/>
      <c r="T527" s="629" t="s">
        <v>242</v>
      </c>
      <c r="U527" s="560" t="s">
        <v>2123</v>
      </c>
      <c r="AA527" s="27"/>
      <c r="AB527" s="27"/>
      <c r="AC527" s="1040"/>
      <c r="AD527" s="573"/>
    </row>
    <row r="528" spans="3:30" ht="10.5" customHeight="1">
      <c r="C528" s="2388" t="s">
        <v>5026</v>
      </c>
      <c r="D528" s="2385">
        <v>1</v>
      </c>
      <c r="E528" s="2385">
        <v>0</v>
      </c>
      <c r="F528" s="2386">
        <v>1</v>
      </c>
      <c r="G528" s="2412" t="s">
        <v>5026</v>
      </c>
      <c r="H528" s="2383">
        <v>0</v>
      </c>
      <c r="I528" s="2383">
        <v>0</v>
      </c>
      <c r="J528" s="2413">
        <v>0</v>
      </c>
      <c r="K528" s="2387"/>
      <c r="L528" s="2381">
        <v>13047030201</v>
      </c>
      <c r="M528" s="2382">
        <v>1</v>
      </c>
      <c r="N528" s="2382">
        <v>0</v>
      </c>
      <c r="O528" s="2382">
        <v>1</v>
      </c>
      <c r="P528" s="626" t="s">
        <v>508</v>
      </c>
      <c r="Q528" s="321"/>
      <c r="R528" s="189"/>
      <c r="S528" s="445"/>
      <c r="T528" s="560" t="s">
        <v>1574</v>
      </c>
      <c r="U528" s="560" t="s">
        <v>2462</v>
      </c>
      <c r="AA528" s="27"/>
      <c r="AB528" s="27"/>
      <c r="AC528" s="1040"/>
      <c r="AD528" s="573"/>
    </row>
    <row r="529" spans="3:30" ht="10.5" customHeight="1">
      <c r="C529" s="2388" t="s">
        <v>5027</v>
      </c>
      <c r="D529" s="2385">
        <v>1</v>
      </c>
      <c r="E529" s="2385">
        <v>1</v>
      </c>
      <c r="F529" s="2386">
        <v>2</v>
      </c>
      <c r="G529" s="2412" t="s">
        <v>5027</v>
      </c>
      <c r="H529" s="2383">
        <v>1</v>
      </c>
      <c r="I529" s="2383">
        <v>1</v>
      </c>
      <c r="J529" s="2413">
        <v>2</v>
      </c>
      <c r="K529" s="2387"/>
      <c r="L529" s="2381">
        <v>13047030202</v>
      </c>
      <c r="M529" s="2382">
        <v>1</v>
      </c>
      <c r="N529" s="2382">
        <v>1</v>
      </c>
      <c r="O529" s="2382">
        <v>2</v>
      </c>
      <c r="P529" s="626" t="s">
        <v>510</v>
      </c>
      <c r="Q529" s="321"/>
      <c r="R529" s="189"/>
      <c r="S529" s="445"/>
      <c r="T529" s="560" t="s">
        <v>2765</v>
      </c>
      <c r="U529" s="560" t="s">
        <v>323</v>
      </c>
      <c r="AA529" s="27"/>
      <c r="AB529" s="27"/>
      <c r="AC529" s="1038"/>
      <c r="AD529" s="573"/>
    </row>
    <row r="530" spans="3:30" ht="10.5" customHeight="1">
      <c r="C530" s="2388" t="s">
        <v>5028</v>
      </c>
      <c r="D530" s="2385">
        <v>1</v>
      </c>
      <c r="E530" s="2385">
        <v>1</v>
      </c>
      <c r="F530" s="2386">
        <v>2</v>
      </c>
      <c r="G530" s="2412" t="s">
        <v>5028</v>
      </c>
      <c r="H530" s="2383">
        <v>1</v>
      </c>
      <c r="I530" s="2383">
        <v>1</v>
      </c>
      <c r="J530" s="2413">
        <v>2</v>
      </c>
      <c r="K530" s="2387"/>
      <c r="L530" s="2381">
        <v>13047030301</v>
      </c>
      <c r="M530" s="2382">
        <v>1</v>
      </c>
      <c r="N530" s="2382">
        <v>1</v>
      </c>
      <c r="O530" s="2382">
        <v>2</v>
      </c>
      <c r="P530" s="626" t="s">
        <v>512</v>
      </c>
      <c r="Q530" s="321"/>
      <c r="R530" s="189"/>
      <c r="S530" s="445"/>
      <c r="T530" s="560" t="s">
        <v>1064</v>
      </c>
      <c r="U530" s="560" t="s">
        <v>2524</v>
      </c>
      <c r="AA530" s="27"/>
      <c r="AB530" s="27"/>
      <c r="AC530" s="1038"/>
      <c r="AD530" s="573"/>
    </row>
    <row r="531" spans="3:30" ht="10.5" customHeight="1">
      <c r="C531" s="2388" t="s">
        <v>5029</v>
      </c>
      <c r="D531" s="2385">
        <v>1</v>
      </c>
      <c r="E531" s="2385">
        <v>1</v>
      </c>
      <c r="F531" s="2386">
        <v>2</v>
      </c>
      <c r="G531" s="2412" t="s">
        <v>5029</v>
      </c>
      <c r="H531" s="2383">
        <v>1</v>
      </c>
      <c r="I531" s="2383">
        <v>0</v>
      </c>
      <c r="J531" s="2413">
        <v>1</v>
      </c>
      <c r="K531" s="2387"/>
      <c r="L531" s="2381">
        <v>13047030303</v>
      </c>
      <c r="M531" s="2382">
        <v>1</v>
      </c>
      <c r="N531" s="2382">
        <v>1</v>
      </c>
      <c r="O531" s="2382">
        <v>2</v>
      </c>
      <c r="P531" s="626" t="s">
        <v>514</v>
      </c>
      <c r="Q531" s="321"/>
      <c r="R531" s="189"/>
      <c r="S531" s="445"/>
      <c r="T531" s="560" t="s">
        <v>1066</v>
      </c>
      <c r="U531" s="560" t="s">
        <v>1283</v>
      </c>
      <c r="AA531" s="27"/>
      <c r="AB531" s="27"/>
      <c r="AC531" s="1038"/>
      <c r="AD531" s="573"/>
    </row>
    <row r="532" spans="3:30" ht="10.5" customHeight="1">
      <c r="C532" s="2388" t="s">
        <v>5030</v>
      </c>
      <c r="D532" s="2385">
        <v>1</v>
      </c>
      <c r="E532" s="2385">
        <v>1</v>
      </c>
      <c r="F532" s="2386">
        <v>2</v>
      </c>
      <c r="G532" s="2412" t="s">
        <v>5030</v>
      </c>
      <c r="H532" s="2383">
        <v>1</v>
      </c>
      <c r="I532" s="2383">
        <v>1</v>
      </c>
      <c r="J532" s="2413">
        <v>2</v>
      </c>
      <c r="K532" s="2387"/>
      <c r="L532" s="2381">
        <v>13047030304</v>
      </c>
      <c r="M532" s="2382">
        <v>1</v>
      </c>
      <c r="N532" s="2382">
        <v>1</v>
      </c>
      <c r="O532" s="2382">
        <v>2</v>
      </c>
      <c r="P532" s="626" t="s">
        <v>526</v>
      </c>
      <c r="Q532" s="321"/>
      <c r="R532" s="189"/>
      <c r="S532" s="445"/>
      <c r="T532" s="627" t="s">
        <v>1068</v>
      </c>
      <c r="U532" s="627" t="s">
        <v>637</v>
      </c>
      <c r="AA532" s="27"/>
      <c r="AB532" s="27"/>
      <c r="AC532" s="1038"/>
      <c r="AD532" s="573"/>
    </row>
    <row r="533" spans="3:30" ht="10.5" customHeight="1">
      <c r="C533" s="2388" t="s">
        <v>5031</v>
      </c>
      <c r="D533" s="2385">
        <v>1</v>
      </c>
      <c r="E533" s="2385">
        <v>1</v>
      </c>
      <c r="F533" s="2386">
        <v>2</v>
      </c>
      <c r="G533" s="2412" t="s">
        <v>5031</v>
      </c>
      <c r="H533" s="2383">
        <v>1</v>
      </c>
      <c r="I533" s="2383">
        <v>1</v>
      </c>
      <c r="J533" s="2413">
        <v>2</v>
      </c>
      <c r="K533" s="2387"/>
      <c r="L533" s="2381">
        <v>13047030401</v>
      </c>
      <c r="M533" s="2382">
        <v>1</v>
      </c>
      <c r="N533" s="2382">
        <v>1</v>
      </c>
      <c r="O533" s="2382">
        <v>2</v>
      </c>
      <c r="P533" s="626" t="s">
        <v>528</v>
      </c>
      <c r="Q533" s="321"/>
      <c r="R533" s="189"/>
      <c r="S533" s="445"/>
      <c r="T533" s="560" t="s">
        <v>253</v>
      </c>
      <c r="U533" s="560" t="s">
        <v>314</v>
      </c>
      <c r="AA533" s="27"/>
      <c r="AB533" s="27"/>
      <c r="AC533" s="1039"/>
      <c r="AD533" s="573"/>
    </row>
    <row r="534" spans="3:30" ht="10.5" customHeight="1">
      <c r="C534" s="2388" t="s">
        <v>5032</v>
      </c>
      <c r="D534" s="2385">
        <v>0</v>
      </c>
      <c r="E534" s="2385">
        <v>0</v>
      </c>
      <c r="F534" s="2386">
        <v>0</v>
      </c>
      <c r="G534" s="2412" t="s">
        <v>5032</v>
      </c>
      <c r="H534" s="2383">
        <v>1</v>
      </c>
      <c r="I534" s="2383">
        <v>0</v>
      </c>
      <c r="J534" s="2413">
        <v>0</v>
      </c>
      <c r="K534" s="2387"/>
      <c r="L534" s="2381">
        <v>13047030402</v>
      </c>
      <c r="M534" s="2382">
        <v>1</v>
      </c>
      <c r="N534" s="2382">
        <v>0</v>
      </c>
      <c r="O534" s="2382">
        <v>0</v>
      </c>
      <c r="P534" s="626" t="s">
        <v>697</v>
      </c>
      <c r="Q534" s="321"/>
      <c r="R534" s="189"/>
      <c r="S534" s="445"/>
      <c r="T534" s="560" t="s">
        <v>255</v>
      </c>
      <c r="U534" s="560" t="s">
        <v>2337</v>
      </c>
      <c r="AA534" s="27"/>
      <c r="AB534" s="27"/>
      <c r="AC534" s="1038"/>
      <c r="AD534" s="573"/>
    </row>
    <row r="535" spans="3:30" ht="10.5" customHeight="1">
      <c r="C535" s="2388" t="s">
        <v>5033</v>
      </c>
      <c r="D535" s="2385">
        <v>1</v>
      </c>
      <c r="E535" s="2385">
        <v>0</v>
      </c>
      <c r="F535" s="2386">
        <v>1</v>
      </c>
      <c r="G535" s="2412" t="s">
        <v>5033</v>
      </c>
      <c r="H535" s="2383">
        <v>0</v>
      </c>
      <c r="I535" s="2383">
        <v>0</v>
      </c>
      <c r="J535" s="2413">
        <v>0</v>
      </c>
      <c r="K535" s="2387"/>
      <c r="L535" s="2381">
        <v>13047030500</v>
      </c>
      <c r="M535" s="2382">
        <v>1</v>
      </c>
      <c r="N535" s="2382">
        <v>0</v>
      </c>
      <c r="O535" s="2382">
        <v>1</v>
      </c>
      <c r="P535" s="626" t="s">
        <v>570</v>
      </c>
      <c r="Q535" s="321"/>
      <c r="R535" s="189"/>
      <c r="S535" s="445"/>
      <c r="T535" s="627" t="s">
        <v>3759</v>
      </c>
      <c r="U535" s="627" t="s">
        <v>850</v>
      </c>
      <c r="AA535" s="27"/>
      <c r="AB535" s="27"/>
      <c r="AC535" s="1038"/>
      <c r="AD535" s="573"/>
    </row>
    <row r="536" spans="3:30" ht="10.5" customHeight="1">
      <c r="C536" s="2388" t="s">
        <v>5034</v>
      </c>
      <c r="D536" s="2385">
        <v>0</v>
      </c>
      <c r="E536" s="2385">
        <v>0</v>
      </c>
      <c r="F536" s="2386">
        <v>0</v>
      </c>
      <c r="G536" s="2412" t="s">
        <v>5034</v>
      </c>
      <c r="H536" s="2383">
        <v>1</v>
      </c>
      <c r="I536" s="2383">
        <v>0</v>
      </c>
      <c r="J536" s="2413">
        <v>1</v>
      </c>
      <c r="K536" s="2387"/>
      <c r="L536" s="2381">
        <v>13047030600</v>
      </c>
      <c r="M536" s="2382">
        <v>1</v>
      </c>
      <c r="N536" s="2382">
        <v>0</v>
      </c>
      <c r="O536" s="2382">
        <v>1</v>
      </c>
      <c r="P536" s="626" t="s">
        <v>571</v>
      </c>
      <c r="Q536" s="321"/>
      <c r="R536" s="189"/>
      <c r="S536" s="445"/>
      <c r="T536" s="560" t="s">
        <v>2266</v>
      </c>
      <c r="U536" s="560" t="s">
        <v>1074</v>
      </c>
      <c r="AA536" s="27"/>
      <c r="AB536" s="27"/>
      <c r="AC536" s="1039"/>
      <c r="AD536" s="573"/>
    </row>
    <row r="537" spans="3:30" ht="10.5" customHeight="1">
      <c r="C537" s="2388" t="s">
        <v>5035</v>
      </c>
      <c r="D537" s="2385">
        <v>0</v>
      </c>
      <c r="E537" s="2385">
        <v>0</v>
      </c>
      <c r="F537" s="2386">
        <v>0</v>
      </c>
      <c r="G537" s="2412" t="s">
        <v>5035</v>
      </c>
      <c r="H537" s="2383">
        <v>0</v>
      </c>
      <c r="I537" s="2383">
        <v>0</v>
      </c>
      <c r="J537" s="2413">
        <v>0</v>
      </c>
      <c r="K537" s="2387"/>
      <c r="L537" s="2381">
        <v>13047030700</v>
      </c>
      <c r="M537" s="2382">
        <v>0</v>
      </c>
      <c r="N537" s="2382">
        <v>0</v>
      </c>
      <c r="O537" s="2382">
        <v>0</v>
      </c>
      <c r="P537" s="626" t="s">
        <v>2029</v>
      </c>
      <c r="Q537" s="321"/>
      <c r="R537" s="189"/>
      <c r="S537" s="445"/>
      <c r="T537" s="560" t="s">
        <v>473</v>
      </c>
      <c r="U537" s="560" t="s">
        <v>1627</v>
      </c>
      <c r="AA537" s="27"/>
      <c r="AB537" s="27"/>
      <c r="AC537" s="1038"/>
      <c r="AD537" s="573"/>
    </row>
    <row r="538" spans="3:30" ht="10.5" customHeight="1">
      <c r="C538" s="2388" t="s">
        <v>5036</v>
      </c>
      <c r="D538" s="2385">
        <v>0</v>
      </c>
      <c r="E538" s="2385">
        <v>0</v>
      </c>
      <c r="F538" s="2386">
        <v>0</v>
      </c>
      <c r="G538" s="2412" t="s">
        <v>5036</v>
      </c>
      <c r="H538" s="2383">
        <v>0</v>
      </c>
      <c r="I538" s="2383">
        <v>0</v>
      </c>
      <c r="J538" s="2413">
        <v>0</v>
      </c>
      <c r="K538" s="2387"/>
      <c r="L538" s="2381">
        <v>13049010100</v>
      </c>
      <c r="M538" s="2382">
        <v>0</v>
      </c>
      <c r="N538" s="2382">
        <v>0</v>
      </c>
      <c r="O538" s="2382">
        <v>0</v>
      </c>
      <c r="P538" s="626" t="s">
        <v>455</v>
      </c>
      <c r="Q538" s="321"/>
      <c r="R538" s="189"/>
      <c r="S538" s="445"/>
      <c r="T538" s="560" t="s">
        <v>2766</v>
      </c>
      <c r="U538" s="560" t="s">
        <v>2133</v>
      </c>
      <c r="AA538" s="27"/>
      <c r="AB538" s="27"/>
      <c r="AC538" s="1038"/>
      <c r="AD538" s="573"/>
    </row>
    <row r="539" spans="3:30" ht="10.5" customHeight="1">
      <c r="C539" s="2388" t="s">
        <v>5037</v>
      </c>
      <c r="D539" s="2385">
        <v>0</v>
      </c>
      <c r="E539" s="2385">
        <v>0</v>
      </c>
      <c r="F539" s="2386">
        <v>0</v>
      </c>
      <c r="G539" s="2412" t="s">
        <v>5037</v>
      </c>
      <c r="H539" s="2383">
        <v>0</v>
      </c>
      <c r="I539" s="2383">
        <v>0</v>
      </c>
      <c r="J539" s="2413">
        <v>0</v>
      </c>
      <c r="K539" s="2387"/>
      <c r="L539" s="2381">
        <v>13049010200</v>
      </c>
      <c r="M539" s="2382">
        <v>0</v>
      </c>
      <c r="N539" s="2382">
        <v>0</v>
      </c>
      <c r="O539" s="2382">
        <v>0</v>
      </c>
      <c r="P539" s="626" t="s">
        <v>456</v>
      </c>
      <c r="Q539" s="321"/>
      <c r="R539" s="189"/>
      <c r="S539" s="445"/>
      <c r="T539" s="560" t="s">
        <v>668</v>
      </c>
      <c r="U539" s="560" t="s">
        <v>158</v>
      </c>
      <c r="AA539" s="27"/>
      <c r="AB539" s="27"/>
      <c r="AC539" s="1038"/>
      <c r="AD539" s="573"/>
    </row>
    <row r="540" spans="3:30" ht="10.5" customHeight="1">
      <c r="C540" s="2388" t="s">
        <v>5038</v>
      </c>
      <c r="D540" s="2385">
        <v>0</v>
      </c>
      <c r="E540" s="2385">
        <v>0</v>
      </c>
      <c r="F540" s="2386">
        <v>0</v>
      </c>
      <c r="G540" s="2412" t="s">
        <v>5038</v>
      </c>
      <c r="H540" s="2383">
        <v>0</v>
      </c>
      <c r="I540" s="2383" t="s">
        <v>4493</v>
      </c>
      <c r="J540" s="2413">
        <v>0</v>
      </c>
      <c r="K540" s="2387"/>
      <c r="L540" s="2381">
        <v>13051000100</v>
      </c>
      <c r="M540" s="2382">
        <v>0</v>
      </c>
      <c r="N540" s="2382">
        <v>0</v>
      </c>
      <c r="O540" s="2382">
        <v>0</v>
      </c>
      <c r="P540" s="626" t="s">
        <v>1238</v>
      </c>
      <c r="Q540" s="321"/>
      <c r="R540" s="189"/>
      <c r="S540" s="445"/>
      <c r="T540" s="560" t="s">
        <v>507</v>
      </c>
      <c r="U540" s="560" t="s">
        <v>713</v>
      </c>
      <c r="AA540" s="27"/>
      <c r="AB540" s="27"/>
      <c r="AC540" s="1038"/>
      <c r="AD540" s="573"/>
    </row>
    <row r="541" spans="3:30" ht="10.5" customHeight="1">
      <c r="C541" s="2388" t="s">
        <v>5039</v>
      </c>
      <c r="D541" s="2385">
        <v>1</v>
      </c>
      <c r="E541" s="2385">
        <v>1</v>
      </c>
      <c r="F541" s="2386">
        <v>2</v>
      </c>
      <c r="G541" s="2412" t="s">
        <v>5039</v>
      </c>
      <c r="H541" s="2383">
        <v>1</v>
      </c>
      <c r="I541" s="2383">
        <v>1</v>
      </c>
      <c r="J541" s="2413">
        <v>2</v>
      </c>
      <c r="K541" s="2387"/>
      <c r="L541" s="2381">
        <v>13051000300</v>
      </c>
      <c r="M541" s="2382">
        <v>1</v>
      </c>
      <c r="N541" s="2382">
        <v>1</v>
      </c>
      <c r="O541" s="2382">
        <v>2</v>
      </c>
      <c r="P541" s="626" t="s">
        <v>972</v>
      </c>
      <c r="Q541" s="321"/>
      <c r="R541" s="189"/>
      <c r="S541" s="445"/>
      <c r="T541" s="560" t="s">
        <v>509</v>
      </c>
      <c r="U541" s="560" t="s">
        <v>1302</v>
      </c>
      <c r="AA541" s="27"/>
      <c r="AB541" s="27"/>
      <c r="AC541" s="1038"/>
      <c r="AD541" s="573"/>
    </row>
    <row r="542" spans="3:30" ht="10.5" customHeight="1">
      <c r="C542" s="2388" t="s">
        <v>5040</v>
      </c>
      <c r="D542" s="2385">
        <v>0</v>
      </c>
      <c r="E542" s="2385">
        <v>0</v>
      </c>
      <c r="F542" s="2386">
        <v>0</v>
      </c>
      <c r="G542" s="2412" t="s">
        <v>5040</v>
      </c>
      <c r="H542" s="2383">
        <v>0</v>
      </c>
      <c r="I542" s="2383">
        <v>0</v>
      </c>
      <c r="J542" s="2413">
        <v>0</v>
      </c>
      <c r="K542" s="2387"/>
      <c r="L542" s="2381">
        <v>13051000601</v>
      </c>
      <c r="M542" s="2382">
        <v>0</v>
      </c>
      <c r="N542" s="2382">
        <v>0</v>
      </c>
      <c r="O542" s="2382">
        <v>0</v>
      </c>
      <c r="P542" s="626" t="s">
        <v>974</v>
      </c>
      <c r="Q542" s="321"/>
      <c r="R542" s="189"/>
      <c r="S542" s="445"/>
      <c r="T542" s="560" t="s">
        <v>511</v>
      </c>
      <c r="U542" s="560" t="s">
        <v>1427</v>
      </c>
      <c r="AA542" s="27"/>
      <c r="AB542" s="27"/>
      <c r="AC542" s="1038"/>
      <c r="AD542" s="573"/>
    </row>
    <row r="543" spans="3:30" ht="10.5" customHeight="1">
      <c r="C543" s="2388" t="s">
        <v>5041</v>
      </c>
      <c r="D543" s="2385">
        <v>0</v>
      </c>
      <c r="E543" s="2385">
        <v>0</v>
      </c>
      <c r="F543" s="2386">
        <v>0</v>
      </c>
      <c r="G543" s="2412" t="s">
        <v>5041</v>
      </c>
      <c r="H543" s="2383">
        <v>0</v>
      </c>
      <c r="I543" s="2383">
        <v>1</v>
      </c>
      <c r="J543" s="2413">
        <v>1</v>
      </c>
      <c r="K543" s="2387"/>
      <c r="L543" s="2381">
        <v>13051000900</v>
      </c>
      <c r="M543" s="2382">
        <v>0</v>
      </c>
      <c r="N543" s="2382">
        <v>1</v>
      </c>
      <c r="O543" s="2382">
        <v>1</v>
      </c>
      <c r="P543" s="626" t="s">
        <v>975</v>
      </c>
      <c r="Q543" s="321"/>
      <c r="R543" s="189"/>
      <c r="S543" s="445"/>
      <c r="T543" s="560" t="s">
        <v>513</v>
      </c>
      <c r="U543" s="560" t="s">
        <v>850</v>
      </c>
      <c r="AA543" s="27"/>
      <c r="AB543" s="27"/>
      <c r="AC543" s="1038"/>
      <c r="AD543" s="573"/>
    </row>
    <row r="544" spans="3:30" ht="10.5" customHeight="1">
      <c r="C544" s="2388" t="s">
        <v>5042</v>
      </c>
      <c r="D544" s="2385">
        <v>0</v>
      </c>
      <c r="E544" s="2385">
        <v>0</v>
      </c>
      <c r="F544" s="2386">
        <v>0</v>
      </c>
      <c r="G544" s="2412" t="s">
        <v>5042</v>
      </c>
      <c r="H544" s="2383">
        <v>0</v>
      </c>
      <c r="I544" s="2383">
        <v>0</v>
      </c>
      <c r="J544" s="2413">
        <v>0</v>
      </c>
      <c r="K544" s="2387"/>
      <c r="L544" s="2381">
        <v>13051001100</v>
      </c>
      <c r="M544" s="2382">
        <v>0</v>
      </c>
      <c r="N544" s="2382">
        <v>0</v>
      </c>
      <c r="O544" s="2382">
        <v>0</v>
      </c>
      <c r="P544" s="626" t="s">
        <v>136</v>
      </c>
      <c r="Q544" s="321"/>
      <c r="R544" s="189"/>
      <c r="S544" s="445"/>
      <c r="T544" s="560" t="s">
        <v>515</v>
      </c>
      <c r="U544" s="560" t="s">
        <v>1739</v>
      </c>
      <c r="AA544" s="27"/>
      <c r="AB544" s="27"/>
      <c r="AC544" s="1038"/>
      <c r="AD544" s="573"/>
    </row>
    <row r="545" spans="3:30" ht="10.5" customHeight="1">
      <c r="C545" s="2388" t="s">
        <v>5043</v>
      </c>
      <c r="D545" s="2385">
        <v>0</v>
      </c>
      <c r="E545" s="2385">
        <v>0</v>
      </c>
      <c r="F545" s="2386">
        <v>0</v>
      </c>
      <c r="G545" s="2412" t="s">
        <v>5043</v>
      </c>
      <c r="H545" s="2383">
        <v>0</v>
      </c>
      <c r="I545" s="2383">
        <v>0</v>
      </c>
      <c r="J545" s="2413">
        <v>0</v>
      </c>
      <c r="K545" s="2387"/>
      <c r="L545" s="2381">
        <v>13051001200</v>
      </c>
      <c r="M545" s="2382">
        <v>0</v>
      </c>
      <c r="N545" s="2382">
        <v>0</v>
      </c>
      <c r="O545" s="2382">
        <v>0</v>
      </c>
      <c r="P545" s="626" t="s">
        <v>137</v>
      </c>
      <c r="Q545" s="321"/>
      <c r="R545" s="189"/>
      <c r="S545" s="445"/>
      <c r="T545" s="560" t="s">
        <v>527</v>
      </c>
      <c r="U545" s="560" t="s">
        <v>325</v>
      </c>
      <c r="AA545" s="27"/>
      <c r="AB545" s="27"/>
      <c r="AC545" s="1038"/>
      <c r="AD545" s="573"/>
    </row>
    <row r="546" spans="3:30" ht="10.5" customHeight="1">
      <c r="C546" s="2388" t="s">
        <v>5044</v>
      </c>
      <c r="D546" s="2385">
        <v>0</v>
      </c>
      <c r="E546" s="2385">
        <v>0</v>
      </c>
      <c r="F546" s="2386">
        <v>0</v>
      </c>
      <c r="G546" s="2412" t="s">
        <v>5044</v>
      </c>
      <c r="H546" s="2383">
        <v>0</v>
      </c>
      <c r="I546" s="2383" t="s">
        <v>4493</v>
      </c>
      <c r="J546" s="2413">
        <v>0</v>
      </c>
      <c r="K546" s="2387"/>
      <c r="L546" s="2381">
        <v>13051001500</v>
      </c>
      <c r="M546" s="2382">
        <v>0</v>
      </c>
      <c r="N546" s="2382">
        <v>0</v>
      </c>
      <c r="O546" s="2382">
        <v>0</v>
      </c>
      <c r="P546" s="626" t="s">
        <v>139</v>
      </c>
      <c r="Q546" s="321"/>
      <c r="R546" s="189"/>
      <c r="S546" s="445"/>
      <c r="T546" s="560" t="s">
        <v>529</v>
      </c>
      <c r="U546" s="560" t="s">
        <v>421</v>
      </c>
      <c r="AA546" s="27"/>
      <c r="AB546" s="27"/>
      <c r="AC546" s="1038"/>
      <c r="AD546" s="573"/>
    </row>
    <row r="547" spans="3:30" ht="10.5" customHeight="1">
      <c r="C547" s="2388" t="s">
        <v>5045</v>
      </c>
      <c r="D547" s="2385">
        <v>0</v>
      </c>
      <c r="E547" s="2385">
        <v>0</v>
      </c>
      <c r="F547" s="2386">
        <v>0</v>
      </c>
      <c r="G547" s="2412" t="s">
        <v>5045</v>
      </c>
      <c r="H547" s="2383">
        <v>0</v>
      </c>
      <c r="I547" s="2383">
        <v>0</v>
      </c>
      <c r="J547" s="2413">
        <v>0</v>
      </c>
      <c r="K547" s="2387"/>
      <c r="L547" s="2381">
        <v>13051002000</v>
      </c>
      <c r="M547" s="2382">
        <v>0</v>
      </c>
      <c r="N547" s="2382">
        <v>0</v>
      </c>
      <c r="O547" s="2382">
        <v>0</v>
      </c>
      <c r="P547" s="626" t="s">
        <v>2527</v>
      </c>
      <c r="Q547" s="321"/>
      <c r="R547" s="189"/>
      <c r="S547" s="445"/>
      <c r="T547" s="627" t="s">
        <v>674</v>
      </c>
      <c r="U547" s="627" t="s">
        <v>1180</v>
      </c>
      <c r="AA547" s="27"/>
      <c r="AB547" s="27"/>
      <c r="AC547" s="1038"/>
      <c r="AD547" s="573"/>
    </row>
    <row r="548" spans="3:30" ht="10.5" customHeight="1">
      <c r="C548" s="2388" t="s">
        <v>5046</v>
      </c>
      <c r="D548" s="2385">
        <v>0</v>
      </c>
      <c r="E548" s="2385">
        <v>0</v>
      </c>
      <c r="F548" s="2386">
        <v>0</v>
      </c>
      <c r="G548" s="2412" t="s">
        <v>5046</v>
      </c>
      <c r="H548" s="2383">
        <v>0</v>
      </c>
      <c r="I548" s="2383">
        <v>0</v>
      </c>
      <c r="J548" s="2413">
        <v>0</v>
      </c>
      <c r="K548" s="2387"/>
      <c r="L548" s="2381">
        <v>13051002100</v>
      </c>
      <c r="M548" s="2382">
        <v>0</v>
      </c>
      <c r="N548" s="2382">
        <v>0</v>
      </c>
      <c r="O548" s="2382">
        <v>0</v>
      </c>
      <c r="P548" s="626" t="s">
        <v>2046</v>
      </c>
      <c r="Q548" s="321"/>
      <c r="R548" s="189"/>
      <c r="S548" s="445"/>
      <c r="T548" s="560" t="s">
        <v>809</v>
      </c>
      <c r="U548" s="560" t="s">
        <v>637</v>
      </c>
      <c r="AA548" s="27"/>
      <c r="AB548" s="27"/>
      <c r="AC548" s="1039"/>
      <c r="AD548" s="573"/>
    </row>
    <row r="549" spans="3:30" ht="10.5" customHeight="1">
      <c r="C549" s="2388" t="s">
        <v>5047</v>
      </c>
      <c r="D549" s="2385">
        <v>0</v>
      </c>
      <c r="E549" s="2385">
        <v>0</v>
      </c>
      <c r="F549" s="2386">
        <v>0</v>
      </c>
      <c r="G549" s="2412" t="s">
        <v>5047</v>
      </c>
      <c r="H549" s="2383">
        <v>0</v>
      </c>
      <c r="I549" s="2383">
        <v>0</v>
      </c>
      <c r="J549" s="2413">
        <v>0</v>
      </c>
      <c r="K549" s="2387"/>
      <c r="L549" s="2381">
        <v>13051002200</v>
      </c>
      <c r="M549" s="2382">
        <v>0</v>
      </c>
      <c r="N549" s="2382">
        <v>0</v>
      </c>
      <c r="O549" s="2382">
        <v>0</v>
      </c>
      <c r="P549" s="626" t="s">
        <v>2048</v>
      </c>
      <c r="Q549" s="321"/>
      <c r="R549" s="189"/>
      <c r="S549" s="445"/>
      <c r="T549" s="560" t="s">
        <v>1600</v>
      </c>
      <c r="U549" s="560" t="s">
        <v>646</v>
      </c>
      <c r="AA549" s="27"/>
      <c r="AB549" s="27"/>
      <c r="AC549" s="1038"/>
      <c r="AD549" s="573"/>
    </row>
    <row r="550" spans="3:30" ht="10.5" customHeight="1">
      <c r="C550" s="2388" t="s">
        <v>5048</v>
      </c>
      <c r="D550" s="2385">
        <v>0</v>
      </c>
      <c r="E550" s="2385">
        <v>0</v>
      </c>
      <c r="F550" s="2386">
        <v>0</v>
      </c>
      <c r="G550" s="2412" t="s">
        <v>5048</v>
      </c>
      <c r="H550" s="2383">
        <v>0</v>
      </c>
      <c r="I550" s="2383">
        <v>0</v>
      </c>
      <c r="J550" s="2413">
        <v>0</v>
      </c>
      <c r="K550" s="2387"/>
      <c r="L550" s="2381">
        <v>13051002300</v>
      </c>
      <c r="M550" s="2382">
        <v>0</v>
      </c>
      <c r="N550" s="2382">
        <v>0</v>
      </c>
      <c r="O550" s="2382">
        <v>0</v>
      </c>
      <c r="P550" s="626" t="s">
        <v>572</v>
      </c>
      <c r="Q550" s="321"/>
      <c r="R550" s="189"/>
      <c r="S550" s="445"/>
      <c r="T550" s="560" t="s">
        <v>2030</v>
      </c>
      <c r="U550" s="560" t="s">
        <v>1074</v>
      </c>
      <c r="AA550" s="27"/>
      <c r="AB550" s="27"/>
      <c r="AC550" s="1038"/>
      <c r="AD550" s="573"/>
    </row>
    <row r="551" spans="3:30" ht="10.5" customHeight="1">
      <c r="C551" s="2388" t="s">
        <v>5049</v>
      </c>
      <c r="D551" s="2385">
        <v>0</v>
      </c>
      <c r="E551" s="2385">
        <v>0</v>
      </c>
      <c r="F551" s="2386">
        <v>0</v>
      </c>
      <c r="G551" s="2412" t="s">
        <v>5049</v>
      </c>
      <c r="H551" s="2383">
        <v>0</v>
      </c>
      <c r="I551" s="2383" t="s">
        <v>4493</v>
      </c>
      <c r="J551" s="2413">
        <v>0</v>
      </c>
      <c r="K551" s="2387"/>
      <c r="L551" s="2381">
        <v>13051002600</v>
      </c>
      <c r="M551" s="2382">
        <v>0</v>
      </c>
      <c r="N551" s="2382">
        <v>0</v>
      </c>
      <c r="O551" s="2382">
        <v>0</v>
      </c>
      <c r="P551" s="626" t="s">
        <v>2283</v>
      </c>
      <c r="Q551" s="321"/>
      <c r="R551" s="189"/>
      <c r="S551" s="445"/>
      <c r="T551" s="560" t="s">
        <v>1602</v>
      </c>
      <c r="U551" s="560" t="s">
        <v>1961</v>
      </c>
      <c r="AA551" s="27"/>
      <c r="AB551" s="27"/>
      <c r="AC551" s="1038"/>
      <c r="AD551" s="573"/>
    </row>
    <row r="552" spans="3:30" ht="10.5" customHeight="1">
      <c r="C552" s="2388" t="s">
        <v>5050</v>
      </c>
      <c r="D552" s="2385">
        <v>0</v>
      </c>
      <c r="E552" s="2385">
        <v>0</v>
      </c>
      <c r="F552" s="2386">
        <v>0</v>
      </c>
      <c r="G552" s="2412" t="s">
        <v>5050</v>
      </c>
      <c r="H552" s="2383">
        <v>0</v>
      </c>
      <c r="I552" s="2383">
        <v>0</v>
      </c>
      <c r="J552" s="2413">
        <v>0</v>
      </c>
      <c r="K552" s="2387"/>
      <c r="L552" s="2381">
        <v>13051002700</v>
      </c>
      <c r="M552" s="2382">
        <v>0</v>
      </c>
      <c r="N552" s="2382">
        <v>0</v>
      </c>
      <c r="O552" s="2382">
        <v>0</v>
      </c>
      <c r="P552" s="626" t="s">
        <v>685</v>
      </c>
      <c r="Q552" s="321"/>
      <c r="R552" s="189"/>
      <c r="S552" s="445"/>
      <c r="T552" s="560" t="s">
        <v>457</v>
      </c>
      <c r="U552" s="560" t="s">
        <v>1293</v>
      </c>
      <c r="AA552" s="27"/>
      <c r="AB552" s="27"/>
      <c r="AC552" s="1038"/>
      <c r="AD552" s="573"/>
    </row>
    <row r="553" spans="3:30" ht="10.5" customHeight="1">
      <c r="C553" s="2388" t="s">
        <v>5051</v>
      </c>
      <c r="D553" s="2385">
        <v>0</v>
      </c>
      <c r="E553" s="2385">
        <v>0</v>
      </c>
      <c r="F553" s="2386">
        <v>0</v>
      </c>
      <c r="G553" s="2412" t="s">
        <v>5051</v>
      </c>
      <c r="H553" s="2383">
        <v>0</v>
      </c>
      <c r="I553" s="2383">
        <v>0</v>
      </c>
      <c r="J553" s="2413">
        <v>0</v>
      </c>
      <c r="K553" s="2387"/>
      <c r="L553" s="2381">
        <v>13051002800</v>
      </c>
      <c r="M553" s="2382">
        <v>0</v>
      </c>
      <c r="N553" s="2382">
        <v>0</v>
      </c>
      <c r="O553" s="2382">
        <v>0</v>
      </c>
      <c r="P553" s="626" t="s">
        <v>687</v>
      </c>
      <c r="Q553" s="321"/>
      <c r="R553" s="189"/>
      <c r="S553" s="445"/>
      <c r="T553" s="560" t="s">
        <v>180</v>
      </c>
      <c r="U553" s="560" t="s">
        <v>155</v>
      </c>
      <c r="AA553" s="27"/>
      <c r="AB553" s="27"/>
      <c r="AC553" s="1038"/>
      <c r="AD553" s="573"/>
    </row>
    <row r="554" spans="3:30" ht="10.5" customHeight="1">
      <c r="C554" s="2388" t="s">
        <v>5052</v>
      </c>
      <c r="D554" s="2385">
        <v>1</v>
      </c>
      <c r="E554" s="2385">
        <v>1</v>
      </c>
      <c r="F554" s="2386">
        <v>2</v>
      </c>
      <c r="G554" s="2412" t="s">
        <v>5052</v>
      </c>
      <c r="H554" s="2383">
        <v>1</v>
      </c>
      <c r="I554" s="2383">
        <v>1</v>
      </c>
      <c r="J554" s="2413">
        <v>2</v>
      </c>
      <c r="K554" s="2387"/>
      <c r="L554" s="2381">
        <v>13051002900</v>
      </c>
      <c r="M554" s="2382">
        <v>1</v>
      </c>
      <c r="N554" s="2382">
        <v>1</v>
      </c>
      <c r="O554" s="2382">
        <v>2</v>
      </c>
      <c r="P554" s="626" t="s">
        <v>2226</v>
      </c>
      <c r="Q554" s="321"/>
      <c r="R554" s="189"/>
      <c r="S554" s="445"/>
      <c r="T554" s="560" t="s">
        <v>1239</v>
      </c>
      <c r="U554" s="560" t="s">
        <v>320</v>
      </c>
      <c r="AA554" s="27"/>
      <c r="AB554" s="27"/>
      <c r="AC554" s="1038"/>
      <c r="AD554" s="573"/>
    </row>
    <row r="555" spans="3:30" ht="10.5" customHeight="1">
      <c r="C555" s="2388" t="s">
        <v>5053</v>
      </c>
      <c r="D555" s="2385">
        <v>1</v>
      </c>
      <c r="E555" s="2385">
        <v>1</v>
      </c>
      <c r="F555" s="2386">
        <v>2</v>
      </c>
      <c r="G555" s="2412" t="s">
        <v>5053</v>
      </c>
      <c r="H555" s="2383">
        <v>1</v>
      </c>
      <c r="I555" s="2383">
        <v>0</v>
      </c>
      <c r="J555" s="2413">
        <v>1</v>
      </c>
      <c r="K555" s="2387"/>
      <c r="L555" s="2381">
        <v>13051003000</v>
      </c>
      <c r="M555" s="2382">
        <v>1</v>
      </c>
      <c r="N555" s="2382">
        <v>1</v>
      </c>
      <c r="O555" s="2382">
        <v>2</v>
      </c>
      <c r="P555" s="626" t="s">
        <v>40</v>
      </c>
      <c r="Q555" s="321"/>
      <c r="R555" s="189"/>
      <c r="S555" s="445"/>
      <c r="T555" s="560" t="s">
        <v>973</v>
      </c>
      <c r="U555" s="560" t="s">
        <v>1424</v>
      </c>
      <c r="AA555" s="27"/>
      <c r="AB555" s="27"/>
      <c r="AC555" s="1038"/>
      <c r="AD555" s="573"/>
    </row>
    <row r="556" spans="3:30" ht="10.5" customHeight="1">
      <c r="C556" s="2388" t="s">
        <v>5054</v>
      </c>
      <c r="D556" s="2385">
        <v>0</v>
      </c>
      <c r="E556" s="2385">
        <v>0</v>
      </c>
      <c r="F556" s="2386">
        <v>0</v>
      </c>
      <c r="G556" s="2412" t="s">
        <v>5054</v>
      </c>
      <c r="H556" s="2383">
        <v>0</v>
      </c>
      <c r="I556" s="2383">
        <v>0</v>
      </c>
      <c r="J556" s="2413">
        <v>0</v>
      </c>
      <c r="K556" s="2387"/>
      <c r="L556" s="2381">
        <v>13051003301</v>
      </c>
      <c r="M556" s="2382">
        <v>0</v>
      </c>
      <c r="N556" s="2382">
        <v>0</v>
      </c>
      <c r="O556" s="2382">
        <v>0</v>
      </c>
      <c r="P556" s="626" t="s">
        <v>41</v>
      </c>
      <c r="Q556" s="321"/>
      <c r="R556" s="189"/>
      <c r="S556" s="445"/>
      <c r="T556" s="560" t="s">
        <v>1037</v>
      </c>
      <c r="U556" s="560" t="s">
        <v>171</v>
      </c>
      <c r="AA556" s="27"/>
      <c r="AB556" s="27"/>
      <c r="AC556" s="1038"/>
      <c r="AD556" s="573"/>
    </row>
    <row r="557" spans="3:30" ht="10.5" customHeight="1">
      <c r="C557" s="2388" t="s">
        <v>5055</v>
      </c>
      <c r="D557" s="2385">
        <v>0</v>
      </c>
      <c r="E557" s="2385">
        <v>0</v>
      </c>
      <c r="F557" s="2386">
        <v>0</v>
      </c>
      <c r="G557" s="2412" t="s">
        <v>5055</v>
      </c>
      <c r="H557" s="2383">
        <v>0</v>
      </c>
      <c r="I557" s="2383">
        <v>0</v>
      </c>
      <c r="J557" s="2413">
        <v>0</v>
      </c>
      <c r="K557" s="2387"/>
      <c r="L557" s="2381">
        <v>13051003302</v>
      </c>
      <c r="M557" s="2382">
        <v>0</v>
      </c>
      <c r="N557" s="2382">
        <v>0</v>
      </c>
      <c r="O557" s="2382">
        <v>0</v>
      </c>
      <c r="P557" s="626" t="s">
        <v>2190</v>
      </c>
      <c r="Q557" s="321"/>
      <c r="R557" s="189"/>
      <c r="S557" s="445"/>
      <c r="T557" s="560" t="s">
        <v>135</v>
      </c>
      <c r="U557" s="560" t="s">
        <v>2465</v>
      </c>
      <c r="AA557" s="27"/>
      <c r="AB557" s="27"/>
      <c r="AC557" s="1038"/>
      <c r="AD557" s="573"/>
    </row>
    <row r="558" spans="3:30" ht="10.5" customHeight="1">
      <c r="C558" s="2388" t="s">
        <v>5056</v>
      </c>
      <c r="D558" s="2385">
        <v>1</v>
      </c>
      <c r="E558" s="2385">
        <v>0</v>
      </c>
      <c r="F558" s="2386">
        <v>1</v>
      </c>
      <c r="G558" s="2412" t="s">
        <v>5056</v>
      </c>
      <c r="H558" s="2383">
        <v>0</v>
      </c>
      <c r="I558" s="2383">
        <v>0</v>
      </c>
      <c r="J558" s="2413">
        <v>0</v>
      </c>
      <c r="K558" s="2387"/>
      <c r="L558" s="2381">
        <v>13051003400</v>
      </c>
      <c r="M558" s="2382">
        <v>1</v>
      </c>
      <c r="N558" s="2382">
        <v>0</v>
      </c>
      <c r="O558" s="2382">
        <v>1</v>
      </c>
      <c r="P558" s="626" t="s">
        <v>2217</v>
      </c>
      <c r="Q558" s="321"/>
      <c r="R558" s="189"/>
      <c r="S558" s="445"/>
      <c r="T558" s="560" t="s">
        <v>2517</v>
      </c>
      <c r="U558" s="560" t="s">
        <v>1305</v>
      </c>
      <c r="AA558" s="27"/>
      <c r="AB558" s="27"/>
      <c r="AC558" s="1038"/>
      <c r="AD558" s="573"/>
    </row>
    <row r="559" spans="3:30" ht="10.5" customHeight="1">
      <c r="C559" s="2388" t="s">
        <v>5057</v>
      </c>
      <c r="D559" s="2385">
        <v>0</v>
      </c>
      <c r="E559" s="2385">
        <v>0</v>
      </c>
      <c r="F559" s="2386">
        <v>0</v>
      </c>
      <c r="G559" s="2412" t="s">
        <v>5057</v>
      </c>
      <c r="H559" s="2383">
        <v>0</v>
      </c>
      <c r="I559" s="2383">
        <v>0</v>
      </c>
      <c r="J559" s="2413">
        <v>0</v>
      </c>
      <c r="K559" s="2387"/>
      <c r="L559" s="2381">
        <v>13051003501</v>
      </c>
      <c r="M559" s="2382">
        <v>0</v>
      </c>
      <c r="N559" s="2382">
        <v>0</v>
      </c>
      <c r="O559" s="2382">
        <v>0</v>
      </c>
      <c r="P559" s="626" t="s">
        <v>386</v>
      </c>
      <c r="Q559" s="321"/>
      <c r="R559" s="189"/>
      <c r="S559" s="445"/>
      <c r="T559" s="560" t="s">
        <v>138</v>
      </c>
      <c r="U559" s="560" t="s">
        <v>637</v>
      </c>
      <c r="AA559" s="27"/>
      <c r="AB559" s="27"/>
      <c r="AC559" s="1038"/>
      <c r="AD559" s="573"/>
    </row>
    <row r="560" spans="3:30" ht="10.5" customHeight="1">
      <c r="C560" s="2388" t="s">
        <v>5058</v>
      </c>
      <c r="D560" s="2385">
        <v>0</v>
      </c>
      <c r="E560" s="2385">
        <v>0</v>
      </c>
      <c r="F560" s="2386">
        <v>0</v>
      </c>
      <c r="G560" s="2412" t="s">
        <v>5058</v>
      </c>
      <c r="H560" s="2383">
        <v>0</v>
      </c>
      <c r="I560" s="2383">
        <v>0</v>
      </c>
      <c r="J560" s="2413">
        <v>0</v>
      </c>
      <c r="K560" s="2387"/>
      <c r="L560" s="2381">
        <v>13051003502</v>
      </c>
      <c r="M560" s="2382">
        <v>0</v>
      </c>
      <c r="N560" s="2382">
        <v>0</v>
      </c>
      <c r="O560" s="2382">
        <v>0</v>
      </c>
      <c r="P560" s="626" t="s">
        <v>388</v>
      </c>
      <c r="Q560" s="321"/>
      <c r="R560" s="189"/>
      <c r="S560" s="445"/>
      <c r="T560" s="627" t="s">
        <v>140</v>
      </c>
      <c r="U560" s="627" t="s">
        <v>2419</v>
      </c>
      <c r="AA560" s="27"/>
      <c r="AB560" s="27"/>
      <c r="AC560" s="1038"/>
      <c r="AD560" s="573"/>
    </row>
    <row r="561" spans="3:30" ht="10.5" customHeight="1">
      <c r="C561" s="2388" t="s">
        <v>5059</v>
      </c>
      <c r="D561" s="2385">
        <v>0</v>
      </c>
      <c r="E561" s="2385">
        <v>0</v>
      </c>
      <c r="F561" s="2386">
        <v>0</v>
      </c>
      <c r="G561" s="2412" t="s">
        <v>5059</v>
      </c>
      <c r="H561" s="2383">
        <v>0</v>
      </c>
      <c r="I561" s="2383" t="s">
        <v>4493</v>
      </c>
      <c r="J561" s="2413">
        <v>0</v>
      </c>
      <c r="K561" s="2387"/>
      <c r="L561" s="2381">
        <v>13051003601</v>
      </c>
      <c r="M561" s="2382">
        <v>0</v>
      </c>
      <c r="N561" s="2382">
        <v>0</v>
      </c>
      <c r="O561" s="2382">
        <v>0</v>
      </c>
      <c r="P561" s="626" t="s">
        <v>390</v>
      </c>
      <c r="Q561" s="321"/>
      <c r="R561" s="189"/>
      <c r="S561" s="445"/>
      <c r="T561" s="627" t="s">
        <v>2528</v>
      </c>
      <c r="U561" s="627" t="s">
        <v>1297</v>
      </c>
      <c r="AA561" s="27"/>
      <c r="AB561" s="27"/>
      <c r="AC561" s="1039"/>
      <c r="AD561" s="573"/>
    </row>
    <row r="562" spans="3:30" ht="10.5" customHeight="1">
      <c r="C562" s="2388" t="s">
        <v>5060</v>
      </c>
      <c r="D562" s="2385">
        <v>0</v>
      </c>
      <c r="E562" s="2385">
        <v>0</v>
      </c>
      <c r="F562" s="2386">
        <v>0</v>
      </c>
      <c r="G562" s="2412" t="s">
        <v>5060</v>
      </c>
      <c r="H562" s="2383">
        <v>0</v>
      </c>
      <c r="I562" s="2383">
        <v>0</v>
      </c>
      <c r="J562" s="2413">
        <v>0</v>
      </c>
      <c r="K562" s="2387"/>
      <c r="L562" s="2381">
        <v>13051003602</v>
      </c>
      <c r="M562" s="2382">
        <v>0</v>
      </c>
      <c r="N562" s="2382">
        <v>0</v>
      </c>
      <c r="O562" s="2382">
        <v>0</v>
      </c>
      <c r="P562" s="626" t="s">
        <v>392</v>
      </c>
      <c r="Q562" s="321"/>
      <c r="R562" s="189"/>
      <c r="S562" s="445"/>
      <c r="T562" s="627" t="s">
        <v>2047</v>
      </c>
      <c r="U562" s="627" t="s">
        <v>2425</v>
      </c>
      <c r="AA562" s="27"/>
      <c r="AB562" s="27"/>
      <c r="AC562" s="1039"/>
      <c r="AD562" s="573"/>
    </row>
    <row r="563" spans="3:30" ht="10.5" customHeight="1">
      <c r="C563" s="2388" t="s">
        <v>5061</v>
      </c>
      <c r="D563" s="2385">
        <v>0</v>
      </c>
      <c r="E563" s="2385">
        <v>0</v>
      </c>
      <c r="F563" s="2386">
        <v>0</v>
      </c>
      <c r="G563" s="2412" t="s">
        <v>5061</v>
      </c>
      <c r="H563" s="2383">
        <v>0</v>
      </c>
      <c r="I563" s="2383">
        <v>0</v>
      </c>
      <c r="J563" s="2413">
        <v>0</v>
      </c>
      <c r="K563" s="2387"/>
      <c r="L563" s="2381">
        <v>13051003700</v>
      </c>
      <c r="M563" s="2382">
        <v>0</v>
      </c>
      <c r="N563" s="2382">
        <v>0</v>
      </c>
      <c r="O563" s="2382">
        <v>0</v>
      </c>
      <c r="P563" s="626" t="s">
        <v>1550</v>
      </c>
      <c r="Q563" s="321"/>
      <c r="R563" s="189"/>
      <c r="S563" s="445"/>
      <c r="T563" s="560" t="s">
        <v>736</v>
      </c>
      <c r="U563" s="560" t="s">
        <v>119</v>
      </c>
      <c r="AA563" s="27"/>
      <c r="AB563" s="27"/>
      <c r="AC563" s="1039"/>
      <c r="AD563" s="573"/>
    </row>
    <row r="564" spans="3:30" ht="10.5" customHeight="1">
      <c r="C564" s="2388" t="s">
        <v>5062</v>
      </c>
      <c r="D564" s="2385">
        <v>0</v>
      </c>
      <c r="E564" s="2385">
        <v>0</v>
      </c>
      <c r="F564" s="2386">
        <v>0</v>
      </c>
      <c r="G564" s="2412" t="s">
        <v>5062</v>
      </c>
      <c r="H564" s="2383">
        <v>0</v>
      </c>
      <c r="I564" s="2383">
        <v>0</v>
      </c>
      <c r="J564" s="2413">
        <v>0</v>
      </c>
      <c r="K564" s="2387"/>
      <c r="L564" s="2381">
        <v>13051003800</v>
      </c>
      <c r="M564" s="2382">
        <v>0</v>
      </c>
      <c r="N564" s="2382">
        <v>0</v>
      </c>
      <c r="O564" s="2382">
        <v>0</v>
      </c>
      <c r="P564" s="626" t="s">
        <v>1552</v>
      </c>
      <c r="Q564" s="321"/>
      <c r="R564" s="189"/>
      <c r="S564" s="445"/>
      <c r="T564" s="560" t="s">
        <v>737</v>
      </c>
      <c r="U564" s="560" t="s">
        <v>180</v>
      </c>
      <c r="AA564" s="27"/>
      <c r="AB564" s="27"/>
      <c r="AC564" s="1038"/>
      <c r="AD564" s="573"/>
    </row>
    <row r="565" spans="3:30" ht="10.5" customHeight="1">
      <c r="C565" s="2388" t="s">
        <v>5063</v>
      </c>
      <c r="D565" s="2385">
        <v>0</v>
      </c>
      <c r="E565" s="2385">
        <v>0</v>
      </c>
      <c r="F565" s="2386">
        <v>0</v>
      </c>
      <c r="G565" s="2412" t="s">
        <v>5063</v>
      </c>
      <c r="H565" s="2383">
        <v>0</v>
      </c>
      <c r="I565" s="2383" t="s">
        <v>4493</v>
      </c>
      <c r="J565" s="2413">
        <v>0</v>
      </c>
      <c r="K565" s="2387"/>
      <c r="L565" s="2381">
        <v>13051003900</v>
      </c>
      <c r="M565" s="2382">
        <v>0</v>
      </c>
      <c r="N565" s="2382">
        <v>0</v>
      </c>
      <c r="O565" s="2382">
        <v>0</v>
      </c>
      <c r="P565" s="626" t="s">
        <v>1554</v>
      </c>
      <c r="Q565" s="321"/>
      <c r="R565" s="189"/>
      <c r="S565" s="445"/>
      <c r="T565" s="560" t="s">
        <v>686</v>
      </c>
      <c r="U565" s="560" t="s">
        <v>715</v>
      </c>
      <c r="AA565" s="27"/>
      <c r="AB565" s="27"/>
      <c r="AC565" s="1038"/>
      <c r="AD565" s="573"/>
    </row>
    <row r="566" spans="3:30" ht="10.5" customHeight="1">
      <c r="C566" s="2388" t="s">
        <v>5064</v>
      </c>
      <c r="D566" s="2385">
        <v>0</v>
      </c>
      <c r="E566" s="2385">
        <v>0</v>
      </c>
      <c r="F566" s="2386">
        <v>0</v>
      </c>
      <c r="G566" s="2412" t="s">
        <v>5064</v>
      </c>
      <c r="H566" s="2383">
        <v>1</v>
      </c>
      <c r="I566" s="2383">
        <v>1</v>
      </c>
      <c r="J566" s="2413">
        <v>2</v>
      </c>
      <c r="K566" s="2387"/>
      <c r="L566" s="2381">
        <v>13051004001</v>
      </c>
      <c r="M566" s="2382">
        <v>1</v>
      </c>
      <c r="N566" s="2382">
        <v>1</v>
      </c>
      <c r="O566" s="2382">
        <v>2</v>
      </c>
      <c r="P566" s="626" t="s">
        <v>2526</v>
      </c>
      <c r="Q566" s="321"/>
      <c r="R566" s="189"/>
      <c r="S566" s="445"/>
      <c r="T566" s="560" t="s">
        <v>688</v>
      </c>
      <c r="U566" s="560" t="s">
        <v>1083</v>
      </c>
      <c r="AA566" s="27"/>
      <c r="AB566" s="27"/>
      <c r="AC566" s="1038"/>
      <c r="AD566" s="573"/>
    </row>
    <row r="567" spans="3:30" ht="10.5" customHeight="1">
      <c r="C567" s="2388" t="s">
        <v>5065</v>
      </c>
      <c r="D567" s="2385">
        <v>0</v>
      </c>
      <c r="E567" s="2385">
        <v>0</v>
      </c>
      <c r="F567" s="2386">
        <v>0</v>
      </c>
      <c r="G567" s="2412" t="s">
        <v>5065</v>
      </c>
      <c r="H567" s="2383">
        <v>0</v>
      </c>
      <c r="I567" s="2383">
        <v>0</v>
      </c>
      <c r="J567" s="2413">
        <v>0</v>
      </c>
      <c r="K567" s="2387"/>
      <c r="L567" s="2381">
        <v>13051004002</v>
      </c>
      <c r="M567" s="2382">
        <v>0</v>
      </c>
      <c r="N567" s="2382">
        <v>0</v>
      </c>
      <c r="O567" s="2382">
        <v>0</v>
      </c>
      <c r="P567" s="626" t="s">
        <v>2391</v>
      </c>
      <c r="Q567" s="321"/>
      <c r="R567" s="189"/>
      <c r="S567" s="445"/>
      <c r="T567" s="560" t="s">
        <v>2227</v>
      </c>
      <c r="U567" s="560" t="s">
        <v>1180</v>
      </c>
      <c r="AA567" s="27"/>
      <c r="AB567" s="27"/>
      <c r="AC567" s="1038"/>
      <c r="AD567" s="573"/>
    </row>
    <row r="568" spans="3:30" ht="10.5" customHeight="1">
      <c r="C568" s="2388" t="s">
        <v>5066</v>
      </c>
      <c r="D568" s="2385">
        <v>1</v>
      </c>
      <c r="E568" s="2385">
        <v>0</v>
      </c>
      <c r="F568" s="2386">
        <v>1</v>
      </c>
      <c r="G568" s="2412" t="s">
        <v>5066</v>
      </c>
      <c r="H568" s="2383">
        <v>1</v>
      </c>
      <c r="I568" s="2383">
        <v>0</v>
      </c>
      <c r="J568" s="2413">
        <v>1</v>
      </c>
      <c r="K568" s="2387"/>
      <c r="L568" s="2381">
        <v>13051004100</v>
      </c>
      <c r="M568" s="2382">
        <v>1</v>
      </c>
      <c r="N568" s="2382">
        <v>0</v>
      </c>
      <c r="O568" s="2382">
        <v>1</v>
      </c>
      <c r="P568" s="626" t="s">
        <v>1781</v>
      </c>
      <c r="Q568" s="321"/>
      <c r="R568" s="189"/>
      <c r="S568" s="445"/>
      <c r="T568" s="560" t="s">
        <v>42</v>
      </c>
      <c r="U568" s="560" t="s">
        <v>1296</v>
      </c>
      <c r="AA568" s="27"/>
      <c r="AB568" s="27"/>
      <c r="AC568" s="1038"/>
      <c r="AD568" s="573"/>
    </row>
    <row r="569" spans="3:30" ht="10.5" customHeight="1">
      <c r="C569" s="2388" t="s">
        <v>5067</v>
      </c>
      <c r="D569" s="2385">
        <v>0</v>
      </c>
      <c r="E569" s="2385">
        <v>0</v>
      </c>
      <c r="F569" s="2386">
        <v>0</v>
      </c>
      <c r="G569" s="2412" t="s">
        <v>5067</v>
      </c>
      <c r="H569" s="2383">
        <v>0</v>
      </c>
      <c r="I569" s="2383">
        <v>0</v>
      </c>
      <c r="J569" s="2413">
        <v>0</v>
      </c>
      <c r="K569" s="2387"/>
      <c r="L569" s="2381">
        <v>13051004207</v>
      </c>
      <c r="M569" s="2382">
        <v>0</v>
      </c>
      <c r="N569" s="2382">
        <v>0</v>
      </c>
      <c r="O569" s="2382">
        <v>0</v>
      </c>
      <c r="P569" s="626" t="s">
        <v>1783</v>
      </c>
      <c r="Q569" s="321"/>
      <c r="R569" s="189"/>
      <c r="S569" s="445"/>
      <c r="T569" s="560" t="s">
        <v>2191</v>
      </c>
      <c r="U569" s="560" t="s">
        <v>1290</v>
      </c>
      <c r="AA569" s="27"/>
      <c r="AB569" s="27"/>
      <c r="AC569" s="1038"/>
      <c r="AD569" s="573"/>
    </row>
    <row r="570" spans="3:30" ht="10.5" customHeight="1">
      <c r="C570" s="2388" t="s">
        <v>5068</v>
      </c>
      <c r="D570" s="2385">
        <v>0</v>
      </c>
      <c r="E570" s="2385">
        <v>0</v>
      </c>
      <c r="F570" s="2386">
        <v>0</v>
      </c>
      <c r="G570" s="2412" t="s">
        <v>5068</v>
      </c>
      <c r="H570" s="2383">
        <v>0</v>
      </c>
      <c r="I570" s="2383">
        <v>0</v>
      </c>
      <c r="J570" s="2413">
        <v>0</v>
      </c>
      <c r="K570" s="2387"/>
      <c r="L570" s="2381">
        <v>13051004208</v>
      </c>
      <c r="M570" s="2382">
        <v>0</v>
      </c>
      <c r="N570" s="2382">
        <v>0</v>
      </c>
      <c r="O570" s="2382">
        <v>0</v>
      </c>
      <c r="P570" s="626" t="s">
        <v>1785</v>
      </c>
      <c r="Q570" s="321"/>
      <c r="R570" s="189"/>
      <c r="S570" s="445"/>
      <c r="T570" s="560" t="s">
        <v>810</v>
      </c>
      <c r="U570" s="560" t="s">
        <v>171</v>
      </c>
      <c r="AA570" s="27"/>
      <c r="AB570" s="27"/>
      <c r="AC570" s="1038"/>
      <c r="AD570" s="573"/>
    </row>
    <row r="571" spans="3:30" ht="10.5" customHeight="1">
      <c r="C571" s="2388" t="s">
        <v>5069</v>
      </c>
      <c r="D571" s="2385">
        <v>0</v>
      </c>
      <c r="E571" s="2385">
        <v>0</v>
      </c>
      <c r="F571" s="2386">
        <v>0</v>
      </c>
      <c r="G571" s="2412" t="s">
        <v>5069</v>
      </c>
      <c r="H571" s="2383">
        <v>0</v>
      </c>
      <c r="I571" s="2383">
        <v>0</v>
      </c>
      <c r="J571" s="2413">
        <v>0</v>
      </c>
      <c r="K571" s="2387"/>
      <c r="L571" s="2381">
        <v>13051004209</v>
      </c>
      <c r="M571" s="2382">
        <v>0</v>
      </c>
      <c r="N571" s="2382">
        <v>0</v>
      </c>
      <c r="O571" s="2382">
        <v>0</v>
      </c>
      <c r="P571" s="626" t="s">
        <v>1786</v>
      </c>
      <c r="Q571" s="321"/>
      <c r="R571" s="189"/>
      <c r="S571" s="445"/>
      <c r="T571" s="560" t="s">
        <v>1008</v>
      </c>
      <c r="U571" s="560" t="s">
        <v>1071</v>
      </c>
      <c r="AA571" s="27"/>
      <c r="AB571" s="27"/>
      <c r="AC571" s="1038"/>
      <c r="AD571" s="573"/>
    </row>
    <row r="572" spans="3:30" ht="10.5" customHeight="1">
      <c r="C572" s="2388" t="s">
        <v>5070</v>
      </c>
      <c r="D572" s="2385">
        <v>0</v>
      </c>
      <c r="E572" s="2385">
        <v>0</v>
      </c>
      <c r="F572" s="2386">
        <v>0</v>
      </c>
      <c r="G572" s="2412" t="s">
        <v>5070</v>
      </c>
      <c r="H572" s="2383">
        <v>0</v>
      </c>
      <c r="I572" s="2383">
        <v>0</v>
      </c>
      <c r="J572" s="2413">
        <v>0</v>
      </c>
      <c r="K572" s="2387"/>
      <c r="L572" s="2381">
        <v>13051004210</v>
      </c>
      <c r="M572" s="2382">
        <v>0</v>
      </c>
      <c r="N572" s="2382">
        <v>0</v>
      </c>
      <c r="O572" s="2382">
        <v>0</v>
      </c>
      <c r="P572" s="626" t="s">
        <v>1788</v>
      </c>
      <c r="Q572" s="321"/>
      <c r="R572" s="189"/>
      <c r="S572" s="445"/>
      <c r="T572" s="560" t="s">
        <v>387</v>
      </c>
      <c r="U572" s="560" t="s">
        <v>2522</v>
      </c>
      <c r="AA572" s="27"/>
      <c r="AB572" s="27"/>
      <c r="AC572" s="1038"/>
      <c r="AD572" s="573"/>
    </row>
    <row r="573" spans="3:30" ht="10.5" customHeight="1">
      <c r="C573" s="2388" t="s">
        <v>5071</v>
      </c>
      <c r="D573" s="2385">
        <v>0</v>
      </c>
      <c r="E573" s="2385">
        <v>0</v>
      </c>
      <c r="F573" s="2386">
        <v>0</v>
      </c>
      <c r="G573" s="2412" t="s">
        <v>5071</v>
      </c>
      <c r="H573" s="2383">
        <v>0</v>
      </c>
      <c r="I573" s="2383">
        <v>0</v>
      </c>
      <c r="J573" s="2413">
        <v>0</v>
      </c>
      <c r="K573" s="2387"/>
      <c r="L573" s="2381">
        <v>13051004211</v>
      </c>
      <c r="M573" s="2382">
        <v>0</v>
      </c>
      <c r="N573" s="2382">
        <v>0</v>
      </c>
      <c r="O573" s="2382">
        <v>0</v>
      </c>
      <c r="P573" s="626" t="s">
        <v>1790</v>
      </c>
      <c r="Q573" s="321"/>
      <c r="R573" s="189"/>
      <c r="S573" s="445"/>
      <c r="T573" s="560" t="s">
        <v>389</v>
      </c>
      <c r="U573" s="560" t="s">
        <v>2118</v>
      </c>
      <c r="AA573" s="27"/>
      <c r="AB573" s="27"/>
      <c r="AC573" s="1038"/>
      <c r="AD573" s="573"/>
    </row>
    <row r="574" spans="3:30" ht="10.5" customHeight="1">
      <c r="C574" s="2388" t="s">
        <v>5072</v>
      </c>
      <c r="D574" s="2385">
        <v>0</v>
      </c>
      <c r="E574" s="2385">
        <v>1</v>
      </c>
      <c r="F574" s="2386">
        <v>1</v>
      </c>
      <c r="G574" s="2412" t="s">
        <v>5072</v>
      </c>
      <c r="H574" s="2383">
        <v>0</v>
      </c>
      <c r="I574" s="2383">
        <v>1</v>
      </c>
      <c r="J574" s="2413">
        <v>1</v>
      </c>
      <c r="K574" s="2387"/>
      <c r="L574" s="2381">
        <v>13051004212</v>
      </c>
      <c r="M574" s="2382">
        <v>0</v>
      </c>
      <c r="N574" s="2382">
        <v>1</v>
      </c>
      <c r="O574" s="2382">
        <v>1</v>
      </c>
      <c r="P574" s="626" t="s">
        <v>1792</v>
      </c>
      <c r="Q574" s="321"/>
      <c r="R574" s="189"/>
      <c r="S574" s="445"/>
      <c r="T574" s="560" t="s">
        <v>391</v>
      </c>
      <c r="U574" s="560" t="s">
        <v>2465</v>
      </c>
      <c r="AA574" s="27"/>
      <c r="AB574" s="27"/>
      <c r="AC574" s="1038"/>
      <c r="AD574" s="573"/>
    </row>
    <row r="575" spans="3:30" ht="10.5" customHeight="1">
      <c r="C575" s="2388" t="s">
        <v>5073</v>
      </c>
      <c r="D575" s="2385">
        <v>0</v>
      </c>
      <c r="E575" s="2385">
        <v>1</v>
      </c>
      <c r="F575" s="2386">
        <v>1</v>
      </c>
      <c r="G575" s="2412" t="s">
        <v>5073</v>
      </c>
      <c r="H575" s="2383">
        <v>0</v>
      </c>
      <c r="I575" s="2383" t="s">
        <v>4493</v>
      </c>
      <c r="J575" s="2413">
        <v>0</v>
      </c>
      <c r="K575" s="2387"/>
      <c r="L575" s="2381">
        <v>13051004300</v>
      </c>
      <c r="M575" s="2382">
        <v>0</v>
      </c>
      <c r="N575" s="2382">
        <v>1</v>
      </c>
      <c r="O575" s="2382">
        <v>1</v>
      </c>
      <c r="P575" s="626" t="s">
        <v>1794</v>
      </c>
      <c r="Q575" s="321"/>
      <c r="R575" s="189"/>
      <c r="S575" s="445"/>
      <c r="T575" s="560" t="s">
        <v>2522</v>
      </c>
      <c r="U575" s="560" t="s">
        <v>1737</v>
      </c>
      <c r="AA575" s="27"/>
      <c r="AB575" s="27"/>
      <c r="AC575" s="1038"/>
      <c r="AD575" s="573"/>
    </row>
    <row r="576" spans="3:30" ht="10.5" customHeight="1">
      <c r="C576" s="2388" t="s">
        <v>5074</v>
      </c>
      <c r="D576" s="2385">
        <v>0</v>
      </c>
      <c r="E576" s="2385">
        <v>0</v>
      </c>
      <c r="F576" s="2386">
        <v>0</v>
      </c>
      <c r="G576" s="2412" t="s">
        <v>5074</v>
      </c>
      <c r="H576" s="2383">
        <v>0</v>
      </c>
      <c r="I576" s="2383">
        <v>0</v>
      </c>
      <c r="J576" s="2413">
        <v>0</v>
      </c>
      <c r="K576" s="2387"/>
      <c r="L576" s="2381">
        <v>13051004400</v>
      </c>
      <c r="M576" s="2382">
        <v>0</v>
      </c>
      <c r="N576" s="2382">
        <v>0</v>
      </c>
      <c r="O576" s="2382">
        <v>0</v>
      </c>
      <c r="P576" s="626" t="s">
        <v>1795</v>
      </c>
      <c r="Q576" s="321"/>
      <c r="R576" s="189"/>
      <c r="S576" s="445"/>
      <c r="T576" s="560" t="s">
        <v>1551</v>
      </c>
      <c r="U576" s="560" t="s">
        <v>2423</v>
      </c>
      <c r="AA576" s="27"/>
      <c r="AB576" s="27"/>
      <c r="AC576" s="1038"/>
      <c r="AD576" s="573"/>
    </row>
    <row r="577" spans="3:30" ht="10.5" customHeight="1">
      <c r="C577" s="2388" t="s">
        <v>5075</v>
      </c>
      <c r="D577" s="2385">
        <v>0</v>
      </c>
      <c r="E577" s="2385">
        <v>0</v>
      </c>
      <c r="F577" s="2386">
        <v>0</v>
      </c>
      <c r="G577" s="2412" t="s">
        <v>5075</v>
      </c>
      <c r="H577" s="2383">
        <v>0</v>
      </c>
      <c r="I577" s="2383">
        <v>0</v>
      </c>
      <c r="J577" s="2413">
        <v>0</v>
      </c>
      <c r="K577" s="2387"/>
      <c r="L577" s="2381">
        <v>13051004500</v>
      </c>
      <c r="M577" s="2382">
        <v>0</v>
      </c>
      <c r="N577" s="2382">
        <v>0</v>
      </c>
      <c r="O577" s="2382">
        <v>0</v>
      </c>
      <c r="P577" s="626" t="s">
        <v>1763</v>
      </c>
      <c r="Q577" s="321"/>
      <c r="R577" s="189"/>
      <c r="S577" s="445"/>
      <c r="T577" s="560" t="s">
        <v>1553</v>
      </c>
      <c r="U577" s="560" t="s">
        <v>318</v>
      </c>
      <c r="AA577" s="27"/>
      <c r="AB577" s="27"/>
      <c r="AC577" s="1038"/>
      <c r="AD577" s="573"/>
    </row>
    <row r="578" spans="3:30" ht="10.5" customHeight="1">
      <c r="C578" s="2388" t="s">
        <v>5076</v>
      </c>
      <c r="D578" s="2385">
        <v>0</v>
      </c>
      <c r="E578" s="2385">
        <v>0</v>
      </c>
      <c r="F578" s="2386">
        <v>0</v>
      </c>
      <c r="G578" s="2412" t="s">
        <v>5076</v>
      </c>
      <c r="H578" s="2383" t="s">
        <v>4493</v>
      </c>
      <c r="I578" s="2383">
        <v>0</v>
      </c>
      <c r="J578" s="2413">
        <v>0</v>
      </c>
      <c r="K578" s="2387"/>
      <c r="L578" s="2381">
        <v>13051010101</v>
      </c>
      <c r="M578" s="2382">
        <v>0</v>
      </c>
      <c r="N578" s="2382">
        <v>0</v>
      </c>
      <c r="O578" s="2382">
        <v>0</v>
      </c>
      <c r="P578" s="626" t="s">
        <v>1603</v>
      </c>
      <c r="Q578" s="321"/>
      <c r="R578" s="189"/>
      <c r="S578" s="445"/>
      <c r="T578" s="560" t="s">
        <v>1410</v>
      </c>
      <c r="U578" s="560" t="s">
        <v>118</v>
      </c>
      <c r="AA578" s="27"/>
      <c r="AB578" s="27"/>
      <c r="AC578" s="1038"/>
      <c r="AD578" s="573"/>
    </row>
    <row r="579" spans="3:30" ht="10.5" customHeight="1">
      <c r="C579" s="2388" t="s">
        <v>5077</v>
      </c>
      <c r="D579" s="2385">
        <v>0</v>
      </c>
      <c r="E579" s="2385">
        <v>0</v>
      </c>
      <c r="F579" s="2386">
        <v>0</v>
      </c>
      <c r="G579" s="2412" t="s">
        <v>5077</v>
      </c>
      <c r="H579" s="2383">
        <v>0</v>
      </c>
      <c r="I579" s="2383">
        <v>0</v>
      </c>
      <c r="J579" s="2413">
        <v>0</v>
      </c>
      <c r="K579" s="2387"/>
      <c r="L579" s="2381">
        <v>13051010102</v>
      </c>
      <c r="M579" s="2382">
        <v>0</v>
      </c>
      <c r="N579" s="2382">
        <v>0</v>
      </c>
      <c r="O579" s="2382">
        <v>0</v>
      </c>
      <c r="P579" s="626" t="s">
        <v>1604</v>
      </c>
      <c r="Q579" s="321"/>
      <c r="R579" s="189"/>
      <c r="S579" s="445"/>
      <c r="T579" s="560" t="s">
        <v>2390</v>
      </c>
      <c r="U579" s="560" t="s">
        <v>2425</v>
      </c>
      <c r="AA579" s="27"/>
      <c r="AB579" s="27"/>
      <c r="AC579" s="1038"/>
      <c r="AD579" s="573"/>
    </row>
    <row r="580" spans="3:30" ht="10.5" customHeight="1">
      <c r="C580" s="2388" t="s">
        <v>5078</v>
      </c>
      <c r="D580" s="2385">
        <v>0</v>
      </c>
      <c r="E580" s="2385">
        <v>0</v>
      </c>
      <c r="F580" s="2386">
        <v>0</v>
      </c>
      <c r="G580" s="2412" t="s">
        <v>5078</v>
      </c>
      <c r="H580" s="2383">
        <v>1</v>
      </c>
      <c r="I580" s="2383">
        <v>0</v>
      </c>
      <c r="J580" s="2413">
        <v>1</v>
      </c>
      <c r="K580" s="2387"/>
      <c r="L580" s="2381">
        <v>13051010200</v>
      </c>
      <c r="M580" s="2382">
        <v>1</v>
      </c>
      <c r="N580" s="2382">
        <v>0</v>
      </c>
      <c r="O580" s="2382">
        <v>1</v>
      </c>
      <c r="P580" s="626" t="s">
        <v>1606</v>
      </c>
      <c r="Q580" s="321"/>
      <c r="R580" s="189"/>
      <c r="S580" s="445"/>
      <c r="T580" s="627" t="s">
        <v>1773</v>
      </c>
      <c r="U580" s="627" t="s">
        <v>2523</v>
      </c>
      <c r="AA580" s="27"/>
      <c r="AB580" s="27"/>
      <c r="AC580" s="1038"/>
      <c r="AD580" s="573"/>
    </row>
    <row r="581" spans="3:30" ht="10.5" customHeight="1">
      <c r="C581" s="2388" t="s">
        <v>5079</v>
      </c>
      <c r="D581" s="2385">
        <v>0</v>
      </c>
      <c r="E581" s="2385">
        <v>0</v>
      </c>
      <c r="F581" s="2386">
        <v>0</v>
      </c>
      <c r="G581" s="2412" t="s">
        <v>5079</v>
      </c>
      <c r="H581" s="2383">
        <v>0</v>
      </c>
      <c r="I581" s="2383" t="s">
        <v>4493</v>
      </c>
      <c r="J581" s="2413">
        <v>0</v>
      </c>
      <c r="K581" s="2387"/>
      <c r="L581" s="2381">
        <v>13051010501</v>
      </c>
      <c r="M581" s="2382">
        <v>0</v>
      </c>
      <c r="N581" s="2382">
        <v>0</v>
      </c>
      <c r="O581" s="2382">
        <v>0</v>
      </c>
      <c r="P581" s="626" t="s">
        <v>2215</v>
      </c>
      <c r="Q581" s="321"/>
      <c r="R581" s="189"/>
      <c r="S581" s="445"/>
      <c r="T581" s="560" t="s">
        <v>1782</v>
      </c>
      <c r="U581" s="560" t="s">
        <v>101</v>
      </c>
      <c r="AA581" s="27"/>
      <c r="AB581" s="27"/>
      <c r="AC581" s="1039"/>
      <c r="AD581" s="573"/>
    </row>
    <row r="582" spans="3:30" ht="10.5" customHeight="1">
      <c r="C582" s="2388" t="s">
        <v>5080</v>
      </c>
      <c r="D582" s="2385">
        <v>0</v>
      </c>
      <c r="E582" s="2385">
        <v>0</v>
      </c>
      <c r="F582" s="2386">
        <v>0</v>
      </c>
      <c r="G582" s="2412" t="s">
        <v>5080</v>
      </c>
      <c r="H582" s="2383">
        <v>0</v>
      </c>
      <c r="I582" s="2383">
        <v>0</v>
      </c>
      <c r="J582" s="2413">
        <v>0</v>
      </c>
      <c r="K582" s="2387"/>
      <c r="L582" s="2381">
        <v>13051010502</v>
      </c>
      <c r="M582" s="2382">
        <v>0</v>
      </c>
      <c r="N582" s="2382">
        <v>0</v>
      </c>
      <c r="O582" s="2382">
        <v>0</v>
      </c>
      <c r="P582" s="626" t="s">
        <v>542</v>
      </c>
      <c r="Q582" s="321"/>
      <c r="R582" s="189"/>
      <c r="S582" s="445"/>
      <c r="T582" s="560" t="s">
        <v>1784</v>
      </c>
      <c r="U582" s="560" t="s">
        <v>2185</v>
      </c>
      <c r="AA582" s="27"/>
      <c r="AB582" s="27"/>
      <c r="AC582" s="1038"/>
      <c r="AD582" s="573"/>
    </row>
    <row r="583" spans="3:30" ht="10.5" customHeight="1">
      <c r="C583" s="2388" t="s">
        <v>5081</v>
      </c>
      <c r="D583" s="2385">
        <v>0</v>
      </c>
      <c r="E583" s="2385">
        <v>0</v>
      </c>
      <c r="F583" s="2386">
        <v>0</v>
      </c>
      <c r="G583" s="2412" t="s">
        <v>5081</v>
      </c>
      <c r="H583" s="2383">
        <v>0</v>
      </c>
      <c r="I583" s="2383">
        <v>0</v>
      </c>
      <c r="J583" s="2413">
        <v>0</v>
      </c>
      <c r="K583" s="2387"/>
      <c r="L583" s="2381">
        <v>13051010601</v>
      </c>
      <c r="M583" s="2382">
        <v>0</v>
      </c>
      <c r="N583" s="2382">
        <v>0</v>
      </c>
      <c r="O583" s="2382">
        <v>0</v>
      </c>
      <c r="P583" s="626" t="s">
        <v>544</v>
      </c>
      <c r="Q583" s="321"/>
      <c r="R583" s="189"/>
      <c r="S583" s="445"/>
      <c r="T583" s="560" t="s">
        <v>1787</v>
      </c>
      <c r="U583" s="560" t="s">
        <v>2185</v>
      </c>
      <c r="AA583" s="27"/>
      <c r="AB583" s="27"/>
      <c r="AC583" s="1038"/>
      <c r="AD583" s="573"/>
    </row>
    <row r="584" spans="3:30" ht="10.5" customHeight="1">
      <c r="C584" s="2388" t="s">
        <v>5082</v>
      </c>
      <c r="D584" s="2385">
        <v>1</v>
      </c>
      <c r="E584" s="2385">
        <v>0</v>
      </c>
      <c r="F584" s="2386">
        <v>1</v>
      </c>
      <c r="G584" s="2412" t="s">
        <v>5082</v>
      </c>
      <c r="H584" s="2383">
        <v>1</v>
      </c>
      <c r="I584" s="2383">
        <v>0</v>
      </c>
      <c r="J584" s="2413">
        <v>1</v>
      </c>
      <c r="K584" s="2387"/>
      <c r="L584" s="2381">
        <v>13051010603</v>
      </c>
      <c r="M584" s="2382">
        <v>1</v>
      </c>
      <c r="N584" s="2382">
        <v>0</v>
      </c>
      <c r="O584" s="2382">
        <v>1</v>
      </c>
      <c r="P584" s="626" t="s">
        <v>546</v>
      </c>
      <c r="Q584" s="321"/>
      <c r="R584" s="189"/>
      <c r="S584" s="445"/>
      <c r="T584" s="560" t="s">
        <v>1789</v>
      </c>
      <c r="U584" s="560" t="s">
        <v>306</v>
      </c>
      <c r="AA584" s="27"/>
      <c r="AB584" s="27"/>
      <c r="AC584" s="1038"/>
      <c r="AD584" s="573"/>
    </row>
    <row r="585" spans="3:30" ht="10.5" customHeight="1">
      <c r="C585" s="2388" t="s">
        <v>5083</v>
      </c>
      <c r="D585" s="2385" t="s">
        <v>4493</v>
      </c>
      <c r="E585" s="2385" t="s">
        <v>4493</v>
      </c>
      <c r="F585" s="2386">
        <v>0</v>
      </c>
      <c r="G585" s="2412" t="s">
        <v>5083</v>
      </c>
      <c r="H585" s="2383" t="s">
        <v>4493</v>
      </c>
      <c r="I585" s="2383" t="s">
        <v>4493</v>
      </c>
      <c r="J585" s="2413">
        <v>0</v>
      </c>
      <c r="K585" s="2387"/>
      <c r="L585" s="2381">
        <v>13051010605</v>
      </c>
      <c r="M585" s="2382">
        <v>0</v>
      </c>
      <c r="N585" s="2382">
        <v>0</v>
      </c>
      <c r="O585" s="2382">
        <v>0</v>
      </c>
      <c r="P585" s="626" t="s">
        <v>2005</v>
      </c>
      <c r="Q585" s="321"/>
      <c r="R585" s="189"/>
      <c r="S585" s="445"/>
      <c r="T585" s="560" t="s">
        <v>1791</v>
      </c>
      <c r="U585" s="560" t="s">
        <v>1627</v>
      </c>
      <c r="AA585" s="27"/>
      <c r="AB585" s="27"/>
      <c r="AC585" s="1038"/>
      <c r="AD585" s="573"/>
    </row>
    <row r="586" spans="3:30" ht="10.5" customHeight="1">
      <c r="C586" s="2388" t="s">
        <v>5084</v>
      </c>
      <c r="D586" s="2385">
        <v>1</v>
      </c>
      <c r="E586" s="2385">
        <v>1</v>
      </c>
      <c r="F586" s="2386">
        <v>2</v>
      </c>
      <c r="G586" s="2412" t="s">
        <v>5084</v>
      </c>
      <c r="H586" s="2383">
        <v>1</v>
      </c>
      <c r="I586" s="2383">
        <v>1</v>
      </c>
      <c r="J586" s="2413">
        <v>2</v>
      </c>
      <c r="K586" s="2387"/>
      <c r="L586" s="2381">
        <v>13051010700</v>
      </c>
      <c r="M586" s="2382">
        <v>1</v>
      </c>
      <c r="N586" s="2382">
        <v>1</v>
      </c>
      <c r="O586" s="2382">
        <v>2</v>
      </c>
      <c r="P586" s="626" t="s">
        <v>1418</v>
      </c>
      <c r="Q586" s="321"/>
      <c r="R586" s="189"/>
      <c r="S586" s="445"/>
      <c r="T586" s="560" t="s">
        <v>1793</v>
      </c>
      <c r="U586" s="560" t="s">
        <v>316</v>
      </c>
      <c r="AA586" s="27"/>
      <c r="AB586" s="27"/>
      <c r="AC586" s="1038"/>
      <c r="AD586" s="573"/>
    </row>
    <row r="587" spans="3:30" ht="10.5" customHeight="1">
      <c r="C587" s="2388" t="s">
        <v>5085</v>
      </c>
      <c r="D587" s="2385">
        <v>1</v>
      </c>
      <c r="E587" s="2385">
        <v>0</v>
      </c>
      <c r="F587" s="2386">
        <v>1</v>
      </c>
      <c r="G587" s="2412" t="s">
        <v>5085</v>
      </c>
      <c r="H587" s="2383">
        <v>1</v>
      </c>
      <c r="I587" s="2383">
        <v>0</v>
      </c>
      <c r="J587" s="2413">
        <v>1</v>
      </c>
      <c r="K587" s="2387"/>
      <c r="L587" s="2381">
        <v>13051010801</v>
      </c>
      <c r="M587" s="2382">
        <v>1</v>
      </c>
      <c r="N587" s="2382">
        <v>0</v>
      </c>
      <c r="O587" s="2382">
        <v>1</v>
      </c>
      <c r="P587" s="626" t="s">
        <v>1420</v>
      </c>
      <c r="Q587" s="321"/>
      <c r="R587" s="189"/>
      <c r="S587" s="445"/>
      <c r="T587" s="560" t="s">
        <v>2523</v>
      </c>
      <c r="U587" s="560" t="s">
        <v>103</v>
      </c>
      <c r="AA587" s="27"/>
      <c r="AB587" s="27"/>
      <c r="AC587" s="1038"/>
      <c r="AD587" s="573"/>
    </row>
    <row r="588" spans="3:30" ht="10.5" customHeight="1">
      <c r="C588" s="2388" t="s">
        <v>5086</v>
      </c>
      <c r="D588" s="2385">
        <v>1</v>
      </c>
      <c r="E588" s="2385">
        <v>1</v>
      </c>
      <c r="F588" s="2386">
        <v>2</v>
      </c>
      <c r="G588" s="2412" t="s">
        <v>5086</v>
      </c>
      <c r="H588" s="2383">
        <v>1</v>
      </c>
      <c r="I588" s="2383">
        <v>1</v>
      </c>
      <c r="J588" s="2413">
        <v>2</v>
      </c>
      <c r="K588" s="2387"/>
      <c r="L588" s="2381">
        <v>13051010802</v>
      </c>
      <c r="M588" s="2382">
        <v>1</v>
      </c>
      <c r="N588" s="2382">
        <v>1</v>
      </c>
      <c r="O588" s="2382">
        <v>2</v>
      </c>
      <c r="P588" s="626" t="s">
        <v>1421</v>
      </c>
      <c r="Q588" s="321"/>
      <c r="R588" s="189"/>
      <c r="S588" s="445"/>
      <c r="T588" s="560" t="s">
        <v>1899</v>
      </c>
      <c r="U588" s="560" t="s">
        <v>105</v>
      </c>
      <c r="AA588" s="27"/>
      <c r="AB588" s="27"/>
      <c r="AC588" s="1038"/>
      <c r="AD588" s="573"/>
    </row>
    <row r="589" spans="3:30" ht="10.5" customHeight="1">
      <c r="C589" s="2388" t="s">
        <v>5087</v>
      </c>
      <c r="D589" s="2385">
        <v>1</v>
      </c>
      <c r="E589" s="2385">
        <v>1</v>
      </c>
      <c r="F589" s="2386">
        <v>2</v>
      </c>
      <c r="G589" s="2412" t="s">
        <v>5087</v>
      </c>
      <c r="H589" s="2383">
        <v>0</v>
      </c>
      <c r="I589" s="2383">
        <v>1</v>
      </c>
      <c r="J589" s="2413">
        <v>1</v>
      </c>
      <c r="K589" s="2387"/>
      <c r="L589" s="2381">
        <v>13051010803</v>
      </c>
      <c r="M589" s="2382">
        <v>1</v>
      </c>
      <c r="N589" s="2382">
        <v>1</v>
      </c>
      <c r="O589" s="2382">
        <v>2</v>
      </c>
      <c r="P589" s="626" t="s">
        <v>1548</v>
      </c>
      <c r="Q589" s="321"/>
      <c r="R589" s="189"/>
      <c r="S589" s="445"/>
      <c r="T589" s="560" t="s">
        <v>1764</v>
      </c>
      <c r="U589" s="560" t="s">
        <v>1072</v>
      </c>
      <c r="AA589" s="27"/>
      <c r="AB589" s="27"/>
      <c r="AC589" s="1038"/>
      <c r="AD589" s="573"/>
    </row>
    <row r="590" spans="3:30" ht="10.5" customHeight="1">
      <c r="C590" s="2388" t="s">
        <v>5088</v>
      </c>
      <c r="D590" s="2385">
        <v>1</v>
      </c>
      <c r="E590" s="2385">
        <v>1</v>
      </c>
      <c r="F590" s="2386">
        <v>2</v>
      </c>
      <c r="G590" s="2412" t="s">
        <v>5088</v>
      </c>
      <c r="H590" s="2383">
        <v>0</v>
      </c>
      <c r="I590" s="2383" t="s">
        <v>4493</v>
      </c>
      <c r="J590" s="2413">
        <v>0</v>
      </c>
      <c r="K590" s="2387"/>
      <c r="L590" s="2381">
        <v>13051010806</v>
      </c>
      <c r="M590" s="2382">
        <v>1</v>
      </c>
      <c r="N590" s="2382">
        <v>1</v>
      </c>
      <c r="O590" s="2382">
        <v>2</v>
      </c>
      <c r="P590" s="626" t="s">
        <v>2069</v>
      </c>
      <c r="Q590" s="321"/>
      <c r="R590" s="189"/>
      <c r="S590" s="445"/>
      <c r="T590" s="560" t="s">
        <v>2524</v>
      </c>
      <c r="U590" s="560" t="s">
        <v>1293</v>
      </c>
      <c r="AA590" s="27"/>
      <c r="AB590" s="27"/>
      <c r="AC590" s="1038"/>
      <c r="AD590" s="573"/>
    </row>
    <row r="591" spans="3:30" ht="10.5" customHeight="1">
      <c r="C591" s="2388" t="s">
        <v>5089</v>
      </c>
      <c r="D591" s="2385">
        <v>1</v>
      </c>
      <c r="E591" s="2385">
        <v>1</v>
      </c>
      <c r="F591" s="2386">
        <v>2</v>
      </c>
      <c r="G591" s="2412" t="s">
        <v>5089</v>
      </c>
      <c r="H591" s="2383">
        <v>1</v>
      </c>
      <c r="I591" s="2383">
        <v>1</v>
      </c>
      <c r="J591" s="2413">
        <v>2</v>
      </c>
      <c r="K591" s="2387"/>
      <c r="L591" s="2381">
        <v>13051010807</v>
      </c>
      <c r="M591" s="2382">
        <v>1</v>
      </c>
      <c r="N591" s="2382">
        <v>1</v>
      </c>
      <c r="O591" s="2382">
        <v>2</v>
      </c>
      <c r="P591" s="626" t="s">
        <v>2071</v>
      </c>
      <c r="Q591" s="321"/>
      <c r="R591" s="189"/>
      <c r="S591" s="445"/>
      <c r="T591" s="627" t="s">
        <v>1605</v>
      </c>
      <c r="U591" s="627" t="s">
        <v>2118</v>
      </c>
      <c r="AA591" s="27"/>
      <c r="AB591" s="27"/>
      <c r="AC591" s="1038"/>
      <c r="AD591" s="573"/>
    </row>
    <row r="592" spans="3:30" ht="10.5" customHeight="1">
      <c r="C592" s="2388" t="s">
        <v>5090</v>
      </c>
      <c r="D592" s="2385">
        <v>1</v>
      </c>
      <c r="E592" s="2385">
        <v>0</v>
      </c>
      <c r="F592" s="2386">
        <v>1</v>
      </c>
      <c r="G592" s="2412" t="s">
        <v>5090</v>
      </c>
      <c r="H592" s="2383">
        <v>1</v>
      </c>
      <c r="I592" s="2383">
        <v>0</v>
      </c>
      <c r="J592" s="2413">
        <v>1</v>
      </c>
      <c r="K592" s="2387"/>
      <c r="L592" s="2381">
        <v>13051010808</v>
      </c>
      <c r="M592" s="2382">
        <v>1</v>
      </c>
      <c r="N592" s="2382">
        <v>0</v>
      </c>
      <c r="O592" s="2382">
        <v>1</v>
      </c>
      <c r="P592" s="626" t="s">
        <v>2073</v>
      </c>
      <c r="Q592" s="321"/>
      <c r="R592" s="189"/>
      <c r="S592" s="445"/>
      <c r="T592" s="560" t="s">
        <v>811</v>
      </c>
      <c r="U592" s="560" t="s">
        <v>2125</v>
      </c>
      <c r="AA592" s="27"/>
      <c r="AB592" s="27"/>
      <c r="AC592" s="1039"/>
      <c r="AD592" s="573"/>
    </row>
    <row r="593" spans="3:30" ht="10.5" customHeight="1">
      <c r="C593" s="2388" t="s">
        <v>5091</v>
      </c>
      <c r="D593" s="2385">
        <v>1</v>
      </c>
      <c r="E593" s="2385">
        <v>1</v>
      </c>
      <c r="F593" s="2386">
        <v>2</v>
      </c>
      <c r="G593" s="2412" t="s">
        <v>5091</v>
      </c>
      <c r="H593" s="2383">
        <v>1</v>
      </c>
      <c r="I593" s="2383">
        <v>1</v>
      </c>
      <c r="J593" s="2413">
        <v>2</v>
      </c>
      <c r="K593" s="2387"/>
      <c r="L593" s="2381">
        <v>13051010809</v>
      </c>
      <c r="M593" s="2382">
        <v>1</v>
      </c>
      <c r="N593" s="2382">
        <v>1</v>
      </c>
      <c r="O593" s="2382">
        <v>2</v>
      </c>
      <c r="P593" s="626" t="s">
        <v>1412</v>
      </c>
      <c r="Q593" s="321"/>
      <c r="R593" s="189"/>
      <c r="S593" s="445"/>
      <c r="T593" s="560" t="s">
        <v>2214</v>
      </c>
      <c r="U593" s="560" t="s">
        <v>1629</v>
      </c>
      <c r="AA593" s="27"/>
      <c r="AB593" s="27"/>
      <c r="AC593" s="1038"/>
      <c r="AD593" s="573"/>
    </row>
    <row r="594" spans="3:30" ht="10.5" customHeight="1">
      <c r="C594" s="2388" t="s">
        <v>5092</v>
      </c>
      <c r="D594" s="2385">
        <v>0</v>
      </c>
      <c r="E594" s="2385">
        <v>0</v>
      </c>
      <c r="F594" s="2386">
        <v>0</v>
      </c>
      <c r="G594" s="2412" t="s">
        <v>5092</v>
      </c>
      <c r="H594" s="2383">
        <v>0</v>
      </c>
      <c r="I594" s="2383">
        <v>0</v>
      </c>
      <c r="J594" s="2413">
        <v>0</v>
      </c>
      <c r="K594" s="2387"/>
      <c r="L594" s="2381">
        <v>13051010901</v>
      </c>
      <c r="M594" s="2382">
        <v>0</v>
      </c>
      <c r="N594" s="2382">
        <v>0</v>
      </c>
      <c r="O594" s="2382">
        <v>0</v>
      </c>
      <c r="P594" s="626" t="s">
        <v>1414</v>
      </c>
      <c r="Q594" s="321"/>
      <c r="R594" s="189"/>
      <c r="S594" s="445"/>
      <c r="T594" s="560" t="s">
        <v>2216</v>
      </c>
      <c r="U594" s="560" t="s">
        <v>2122</v>
      </c>
      <c r="AA594" s="27"/>
      <c r="AB594" s="27"/>
      <c r="AC594" s="1038"/>
      <c r="AD594" s="573"/>
    </row>
    <row r="595" spans="3:30" ht="10.5" customHeight="1">
      <c r="C595" s="2388" t="s">
        <v>5093</v>
      </c>
      <c r="D595" s="2385">
        <v>1</v>
      </c>
      <c r="E595" s="2385">
        <v>1</v>
      </c>
      <c r="F595" s="2386">
        <v>2</v>
      </c>
      <c r="G595" s="2412" t="s">
        <v>5093</v>
      </c>
      <c r="H595" s="2383">
        <v>1</v>
      </c>
      <c r="I595" s="2383">
        <v>0</v>
      </c>
      <c r="J595" s="2413">
        <v>1</v>
      </c>
      <c r="K595" s="2387"/>
      <c r="L595" s="2381">
        <v>13051011003</v>
      </c>
      <c r="M595" s="2382">
        <v>1</v>
      </c>
      <c r="N595" s="2382">
        <v>1</v>
      </c>
      <c r="O595" s="2382">
        <v>2</v>
      </c>
      <c r="P595" s="626" t="s">
        <v>1522</v>
      </c>
      <c r="Q595" s="321"/>
      <c r="R595" s="189"/>
      <c r="S595" s="445"/>
      <c r="T595" s="560" t="s">
        <v>543</v>
      </c>
      <c r="U595" s="560" t="s">
        <v>2522</v>
      </c>
      <c r="AA595" s="27"/>
      <c r="AB595" s="27"/>
      <c r="AC595" s="1038"/>
      <c r="AD595" s="573"/>
    </row>
    <row r="596" spans="3:30" ht="10.5" customHeight="1">
      <c r="C596" s="2388" t="s">
        <v>5094</v>
      </c>
      <c r="D596" s="2385">
        <v>1</v>
      </c>
      <c r="E596" s="2385">
        <v>1</v>
      </c>
      <c r="F596" s="2386">
        <v>2</v>
      </c>
      <c r="G596" s="2412" t="s">
        <v>5094</v>
      </c>
      <c r="H596" s="2383">
        <v>1</v>
      </c>
      <c r="I596" s="2383">
        <v>1</v>
      </c>
      <c r="J596" s="2413">
        <v>2</v>
      </c>
      <c r="K596" s="2387"/>
      <c r="L596" s="2381">
        <v>13051011004</v>
      </c>
      <c r="M596" s="2382">
        <v>1</v>
      </c>
      <c r="N596" s="2382">
        <v>1</v>
      </c>
      <c r="O596" s="2382">
        <v>2</v>
      </c>
      <c r="P596" s="626" t="s">
        <v>1524</v>
      </c>
      <c r="Q596" s="321"/>
      <c r="R596" s="189"/>
      <c r="S596" s="445"/>
      <c r="T596" s="560" t="s">
        <v>545</v>
      </c>
      <c r="U596" s="560" t="s">
        <v>1180</v>
      </c>
      <c r="AA596" s="27"/>
      <c r="AB596" s="27"/>
      <c r="AC596" s="1038"/>
      <c r="AD596" s="573"/>
    </row>
    <row r="597" spans="3:30" ht="10.5" customHeight="1">
      <c r="C597" s="2388" t="s">
        <v>5095</v>
      </c>
      <c r="D597" s="2385">
        <v>1</v>
      </c>
      <c r="E597" s="2385">
        <v>1</v>
      </c>
      <c r="F597" s="2386">
        <v>2</v>
      </c>
      <c r="G597" s="2412" t="s">
        <v>5095</v>
      </c>
      <c r="H597" s="2383">
        <v>0</v>
      </c>
      <c r="I597" s="2383">
        <v>1</v>
      </c>
      <c r="J597" s="2413">
        <v>1</v>
      </c>
      <c r="K597" s="2387"/>
      <c r="L597" s="2381">
        <v>13051011005</v>
      </c>
      <c r="M597" s="2382">
        <v>1</v>
      </c>
      <c r="N597" s="2382">
        <v>1</v>
      </c>
      <c r="O597" s="2382">
        <v>2</v>
      </c>
      <c r="P597" s="626" t="s">
        <v>2003</v>
      </c>
      <c r="Q597" s="321"/>
      <c r="R597" s="189"/>
      <c r="S597" s="445"/>
      <c r="T597" s="560" t="s">
        <v>1041</v>
      </c>
      <c r="U597" s="560" t="s">
        <v>610</v>
      </c>
      <c r="AA597" s="27"/>
      <c r="AB597" s="27"/>
      <c r="AC597" s="1038"/>
      <c r="AD597" s="573"/>
    </row>
    <row r="598" spans="3:30" ht="10.5" customHeight="1">
      <c r="C598" s="2388" t="s">
        <v>5096</v>
      </c>
      <c r="D598" s="2385">
        <v>1</v>
      </c>
      <c r="E598" s="2385">
        <v>1</v>
      </c>
      <c r="F598" s="2386">
        <v>2</v>
      </c>
      <c r="G598" s="2412" t="s">
        <v>5096</v>
      </c>
      <c r="H598" s="2383">
        <v>1</v>
      </c>
      <c r="I598" s="2383">
        <v>1</v>
      </c>
      <c r="J598" s="2413">
        <v>2</v>
      </c>
      <c r="K598" s="2387"/>
      <c r="L598" s="2381">
        <v>13051011006</v>
      </c>
      <c r="M598" s="2382">
        <v>1</v>
      </c>
      <c r="N598" s="2382">
        <v>1</v>
      </c>
      <c r="O598" s="2382">
        <v>2</v>
      </c>
      <c r="P598" s="626" t="s">
        <v>1825</v>
      </c>
      <c r="Q598" s="321"/>
      <c r="R598" s="189"/>
      <c r="S598" s="445"/>
      <c r="T598" s="560" t="s">
        <v>547</v>
      </c>
      <c r="U598" s="560" t="s">
        <v>1626</v>
      </c>
      <c r="AA598" s="27"/>
      <c r="AB598" s="27"/>
      <c r="AC598" s="1038"/>
      <c r="AD598" s="573"/>
    </row>
    <row r="599" spans="3:30" ht="10.5" customHeight="1">
      <c r="C599" s="2388" t="s">
        <v>5097</v>
      </c>
      <c r="D599" s="2385">
        <v>1</v>
      </c>
      <c r="E599" s="2385">
        <v>1</v>
      </c>
      <c r="F599" s="2386">
        <v>2</v>
      </c>
      <c r="G599" s="2412" t="s">
        <v>5097</v>
      </c>
      <c r="H599" s="2383">
        <v>1</v>
      </c>
      <c r="I599" s="2383">
        <v>0</v>
      </c>
      <c r="J599" s="2413">
        <v>1</v>
      </c>
      <c r="K599" s="2387"/>
      <c r="L599" s="2381">
        <v>13051011103</v>
      </c>
      <c r="M599" s="2382">
        <v>1</v>
      </c>
      <c r="N599" s="2382">
        <v>1</v>
      </c>
      <c r="O599" s="2382">
        <v>2</v>
      </c>
      <c r="P599" s="626" t="s">
        <v>272</v>
      </c>
      <c r="Q599" s="321"/>
      <c r="R599" s="189"/>
      <c r="S599" s="445"/>
      <c r="T599" s="560" t="s">
        <v>1156</v>
      </c>
      <c r="U599" s="560" t="s">
        <v>1072</v>
      </c>
      <c r="AA599" s="27"/>
      <c r="AB599" s="27"/>
      <c r="AC599" s="1038"/>
      <c r="AD599" s="573"/>
    </row>
    <row r="600" spans="3:30" ht="10.5" customHeight="1">
      <c r="C600" s="2388" t="s">
        <v>5098</v>
      </c>
      <c r="D600" s="2385">
        <v>1</v>
      </c>
      <c r="E600" s="2385">
        <v>1</v>
      </c>
      <c r="F600" s="2386">
        <v>2</v>
      </c>
      <c r="G600" s="2412" t="s">
        <v>5098</v>
      </c>
      <c r="H600" s="2383">
        <v>1</v>
      </c>
      <c r="I600" s="2383">
        <v>1</v>
      </c>
      <c r="J600" s="2413">
        <v>2</v>
      </c>
      <c r="K600" s="2387"/>
      <c r="L600" s="2381">
        <v>13051011104</v>
      </c>
      <c r="M600" s="2382">
        <v>1</v>
      </c>
      <c r="N600" s="2382">
        <v>1</v>
      </c>
      <c r="O600" s="2382">
        <v>2</v>
      </c>
      <c r="P600" s="626" t="s">
        <v>1642</v>
      </c>
      <c r="Q600" s="321"/>
      <c r="R600" s="189"/>
      <c r="S600" s="445"/>
      <c r="T600" s="560" t="s">
        <v>1419</v>
      </c>
      <c r="U600" s="560" t="s">
        <v>1627</v>
      </c>
      <c r="AA600" s="27"/>
      <c r="AB600" s="27"/>
      <c r="AC600" s="1038"/>
      <c r="AD600" s="573"/>
    </row>
    <row r="601" spans="3:30" ht="10.5" customHeight="1">
      <c r="C601" s="2388" t="s">
        <v>5099</v>
      </c>
      <c r="D601" s="2385">
        <v>1</v>
      </c>
      <c r="E601" s="2385">
        <v>1</v>
      </c>
      <c r="F601" s="2386">
        <v>2</v>
      </c>
      <c r="G601" s="2412" t="s">
        <v>5099</v>
      </c>
      <c r="H601" s="2383">
        <v>1</v>
      </c>
      <c r="I601" s="2383">
        <v>1</v>
      </c>
      <c r="J601" s="2413">
        <v>2</v>
      </c>
      <c r="K601" s="2387"/>
      <c r="L601" s="2381">
        <v>13051011106</v>
      </c>
      <c r="M601" s="2382">
        <v>1</v>
      </c>
      <c r="N601" s="2382">
        <v>1</v>
      </c>
      <c r="O601" s="2382">
        <v>2</v>
      </c>
      <c r="P601" s="626" t="s">
        <v>256</v>
      </c>
      <c r="Q601" s="321"/>
      <c r="R601" s="189"/>
      <c r="S601" s="445"/>
      <c r="T601" s="560" t="s">
        <v>2767</v>
      </c>
      <c r="U601" s="560" t="s">
        <v>1292</v>
      </c>
      <c r="AA601" s="27"/>
      <c r="AB601" s="27"/>
      <c r="AC601" s="1038"/>
      <c r="AD601" s="573"/>
    </row>
    <row r="602" spans="3:30" ht="10.5" customHeight="1">
      <c r="C602" s="2388" t="s">
        <v>5100</v>
      </c>
      <c r="D602" s="2385">
        <v>1</v>
      </c>
      <c r="E602" s="2385">
        <v>1</v>
      </c>
      <c r="F602" s="2386">
        <v>2</v>
      </c>
      <c r="G602" s="2412" t="s">
        <v>5100</v>
      </c>
      <c r="H602" s="2383">
        <v>1</v>
      </c>
      <c r="I602" s="2383">
        <v>0</v>
      </c>
      <c r="J602" s="2413">
        <v>1</v>
      </c>
      <c r="K602" s="2387"/>
      <c r="L602" s="2381">
        <v>13051011107</v>
      </c>
      <c r="M602" s="2382">
        <v>1</v>
      </c>
      <c r="N602" s="2382">
        <v>1</v>
      </c>
      <c r="O602" s="2382">
        <v>2</v>
      </c>
      <c r="P602" s="626" t="s">
        <v>270</v>
      </c>
      <c r="Q602" s="321"/>
      <c r="R602" s="189"/>
      <c r="S602" s="445"/>
      <c r="T602" s="560" t="s">
        <v>1422</v>
      </c>
      <c r="U602" s="560" t="s">
        <v>639</v>
      </c>
      <c r="AA602" s="27"/>
      <c r="AB602" s="27"/>
      <c r="AC602" s="1038"/>
      <c r="AD602" s="573"/>
    </row>
    <row r="603" spans="3:30" ht="10.5" customHeight="1">
      <c r="C603" s="2388" t="s">
        <v>5101</v>
      </c>
      <c r="D603" s="2385">
        <v>1</v>
      </c>
      <c r="E603" s="2385">
        <v>1</v>
      </c>
      <c r="F603" s="2386">
        <v>2</v>
      </c>
      <c r="G603" s="2412" t="s">
        <v>5101</v>
      </c>
      <c r="H603" s="2383">
        <v>1</v>
      </c>
      <c r="I603" s="2383">
        <v>1</v>
      </c>
      <c r="J603" s="2413">
        <v>2</v>
      </c>
      <c r="K603" s="2387"/>
      <c r="L603" s="2381">
        <v>13051011108</v>
      </c>
      <c r="M603" s="2382">
        <v>1</v>
      </c>
      <c r="N603" s="2382">
        <v>1</v>
      </c>
      <c r="O603" s="2382">
        <v>2</v>
      </c>
      <c r="P603" s="626" t="s">
        <v>1160</v>
      </c>
      <c r="Q603" s="321"/>
      <c r="R603" s="189"/>
      <c r="S603" s="445"/>
      <c r="T603" s="560" t="s">
        <v>2768</v>
      </c>
      <c r="U603" s="560" t="s">
        <v>118</v>
      </c>
      <c r="AA603" s="27"/>
      <c r="AB603" s="27"/>
      <c r="AC603" s="1038"/>
      <c r="AD603" s="573"/>
    </row>
    <row r="604" spans="3:30" ht="10.5" customHeight="1">
      <c r="C604" s="2388" t="s">
        <v>5102</v>
      </c>
      <c r="D604" s="2385">
        <v>1</v>
      </c>
      <c r="E604" s="2385">
        <v>1</v>
      </c>
      <c r="F604" s="2386">
        <v>2</v>
      </c>
      <c r="G604" s="2412" t="s">
        <v>5102</v>
      </c>
      <c r="H604" s="2383">
        <v>1</v>
      </c>
      <c r="I604" s="2383">
        <v>1</v>
      </c>
      <c r="J604" s="2413">
        <v>2</v>
      </c>
      <c r="K604" s="2387"/>
      <c r="L604" s="2381">
        <v>13051011109</v>
      </c>
      <c r="M604" s="2382">
        <v>1</v>
      </c>
      <c r="N604" s="2382">
        <v>1</v>
      </c>
      <c r="O604" s="2382">
        <v>2</v>
      </c>
      <c r="P604" s="626" t="s">
        <v>725</v>
      </c>
      <c r="Q604" s="321"/>
      <c r="R604" s="189"/>
      <c r="S604" s="445"/>
      <c r="T604" s="560" t="s">
        <v>1549</v>
      </c>
      <c r="U604" s="560" t="s">
        <v>1733</v>
      </c>
      <c r="AA604" s="27"/>
      <c r="AB604" s="27"/>
      <c r="AC604" s="1038"/>
      <c r="AD604" s="573"/>
    </row>
    <row r="605" spans="3:30" ht="10.5" customHeight="1">
      <c r="C605" s="2388" t="s">
        <v>5103</v>
      </c>
      <c r="D605" s="2385">
        <v>0</v>
      </c>
      <c r="E605" s="2385">
        <v>1</v>
      </c>
      <c r="F605" s="2386">
        <v>1</v>
      </c>
      <c r="G605" s="2412" t="s">
        <v>5103</v>
      </c>
      <c r="H605" s="2383">
        <v>0</v>
      </c>
      <c r="I605" s="2383">
        <v>1</v>
      </c>
      <c r="J605" s="2413">
        <v>1</v>
      </c>
      <c r="K605" s="2387"/>
      <c r="L605" s="2381">
        <v>13051011200</v>
      </c>
      <c r="M605" s="2382">
        <v>0</v>
      </c>
      <c r="N605" s="2382">
        <v>1</v>
      </c>
      <c r="O605" s="2382">
        <v>1</v>
      </c>
      <c r="P605" s="626" t="s">
        <v>727</v>
      </c>
      <c r="Q605" s="321"/>
      <c r="R605" s="189"/>
      <c r="S605" s="445"/>
      <c r="T605" s="560" t="s">
        <v>2070</v>
      </c>
      <c r="U605" s="560" t="s">
        <v>1600</v>
      </c>
      <c r="AA605" s="27"/>
      <c r="AB605" s="27"/>
      <c r="AC605" s="1038"/>
      <c r="AD605" s="573"/>
    </row>
    <row r="606" spans="3:30" ht="10.5" customHeight="1">
      <c r="C606" s="2388" t="s">
        <v>5104</v>
      </c>
      <c r="D606" s="2385">
        <v>0</v>
      </c>
      <c r="E606" s="2385">
        <v>0</v>
      </c>
      <c r="F606" s="2386">
        <v>0</v>
      </c>
      <c r="G606" s="2412" t="s">
        <v>5104</v>
      </c>
      <c r="H606" s="2383">
        <v>0</v>
      </c>
      <c r="I606" s="2383">
        <v>0</v>
      </c>
      <c r="J606" s="2413">
        <v>0</v>
      </c>
      <c r="K606" s="2387"/>
      <c r="L606" s="2381">
        <v>13051011300</v>
      </c>
      <c r="M606" s="2382">
        <v>0</v>
      </c>
      <c r="N606" s="2382">
        <v>0</v>
      </c>
      <c r="O606" s="2382">
        <v>0</v>
      </c>
      <c r="P606" s="626" t="s">
        <v>1005</v>
      </c>
      <c r="Q606" s="321"/>
      <c r="R606" s="189"/>
      <c r="S606" s="445"/>
      <c r="T606" s="560" t="s">
        <v>2072</v>
      </c>
      <c r="U606" s="560" t="s">
        <v>1298</v>
      </c>
      <c r="AA606" s="27"/>
      <c r="AB606" s="27"/>
      <c r="AC606" s="1038"/>
      <c r="AD606" s="573"/>
    </row>
    <row r="607" spans="3:30" ht="10.5" customHeight="1">
      <c r="C607" s="2388" t="s">
        <v>5105</v>
      </c>
      <c r="D607" s="2385">
        <v>0</v>
      </c>
      <c r="E607" s="2385">
        <v>0</v>
      </c>
      <c r="F607" s="2386">
        <v>0</v>
      </c>
      <c r="G607" s="2412" t="s">
        <v>5105</v>
      </c>
      <c r="H607" s="2383">
        <v>0</v>
      </c>
      <c r="I607" s="2383" t="s">
        <v>4493</v>
      </c>
      <c r="J607" s="2413">
        <v>0</v>
      </c>
      <c r="K607" s="2387"/>
      <c r="L607" s="2381">
        <v>13051011400</v>
      </c>
      <c r="M607" s="2382">
        <v>0</v>
      </c>
      <c r="N607" s="2382">
        <v>0</v>
      </c>
      <c r="O607" s="2382">
        <v>0</v>
      </c>
      <c r="P607" s="626" t="s">
        <v>1007</v>
      </c>
      <c r="Q607" s="321"/>
      <c r="R607" s="189"/>
      <c r="S607" s="445"/>
      <c r="T607" s="627" t="s">
        <v>1411</v>
      </c>
      <c r="U607" s="627" t="s">
        <v>318</v>
      </c>
      <c r="AA607" s="27"/>
      <c r="AB607" s="27"/>
      <c r="AC607" s="1038"/>
      <c r="AD607" s="573"/>
    </row>
    <row r="608" spans="3:30" ht="10.5" customHeight="1">
      <c r="C608" s="2388" t="s">
        <v>5106</v>
      </c>
      <c r="D608" s="2385">
        <v>1</v>
      </c>
      <c r="E608" s="2385">
        <v>1</v>
      </c>
      <c r="F608" s="2386">
        <v>2</v>
      </c>
      <c r="G608" s="2412" t="s">
        <v>5106</v>
      </c>
      <c r="H608" s="2383">
        <v>1</v>
      </c>
      <c r="I608" s="2383">
        <v>1</v>
      </c>
      <c r="J608" s="2413">
        <v>1</v>
      </c>
      <c r="K608" s="2387"/>
      <c r="L608" s="2381">
        <v>13051011500</v>
      </c>
      <c r="M608" s="2382">
        <v>1</v>
      </c>
      <c r="N608" s="2382">
        <v>1</v>
      </c>
      <c r="O608" s="2382">
        <v>2</v>
      </c>
      <c r="P608" s="626" t="s">
        <v>1768</v>
      </c>
      <c r="Q608" s="321"/>
      <c r="R608" s="189"/>
      <c r="S608" s="445"/>
      <c r="T608" s="560" t="s">
        <v>2769</v>
      </c>
      <c r="U608" s="560" t="s">
        <v>325</v>
      </c>
      <c r="AA608" s="27"/>
      <c r="AB608" s="27"/>
      <c r="AC608" s="1039"/>
      <c r="AD608" s="573"/>
    </row>
    <row r="609" spans="3:30" ht="10.5" customHeight="1">
      <c r="C609" s="2388" t="s">
        <v>5107</v>
      </c>
      <c r="D609" s="2385">
        <v>0</v>
      </c>
      <c r="E609" s="2385">
        <v>0</v>
      </c>
      <c r="F609" s="2386">
        <v>0</v>
      </c>
      <c r="G609" s="2412" t="s">
        <v>5107</v>
      </c>
      <c r="H609" s="2383">
        <v>0</v>
      </c>
      <c r="I609" s="2383">
        <v>0</v>
      </c>
      <c r="J609" s="2413">
        <v>0</v>
      </c>
      <c r="K609" s="2387"/>
      <c r="L609" s="2381">
        <v>13051011600</v>
      </c>
      <c r="M609" s="2382">
        <v>0</v>
      </c>
      <c r="N609" s="2382">
        <v>0</v>
      </c>
      <c r="O609" s="2382">
        <v>0</v>
      </c>
      <c r="P609" s="626" t="s">
        <v>1770</v>
      </c>
      <c r="Q609" s="321"/>
      <c r="R609" s="189"/>
      <c r="S609" s="445"/>
      <c r="T609" s="560" t="s">
        <v>1413</v>
      </c>
      <c r="U609" s="560" t="s">
        <v>315</v>
      </c>
      <c r="AA609" s="27"/>
      <c r="AB609" s="27"/>
      <c r="AC609" s="1038"/>
      <c r="AD609" s="573"/>
    </row>
    <row r="610" spans="3:30" ht="10.5" customHeight="1">
      <c r="C610" s="2388" t="s">
        <v>5108</v>
      </c>
      <c r="D610" s="2385" t="s">
        <v>4493</v>
      </c>
      <c r="E610" s="2385" t="s">
        <v>4493</v>
      </c>
      <c r="F610" s="2386">
        <v>0</v>
      </c>
      <c r="G610" s="2412" t="s">
        <v>5108</v>
      </c>
      <c r="H610" s="2383" t="s">
        <v>4493</v>
      </c>
      <c r="I610" s="2383" t="s">
        <v>4493</v>
      </c>
      <c r="J610" s="2413">
        <v>0</v>
      </c>
      <c r="K610" s="2387"/>
      <c r="L610" s="2381">
        <v>13051980000</v>
      </c>
      <c r="M610" s="2382">
        <v>0</v>
      </c>
      <c r="N610" s="2382">
        <v>0</v>
      </c>
      <c r="O610" s="2382">
        <v>0</v>
      </c>
      <c r="P610" s="626" t="s">
        <v>1771</v>
      </c>
      <c r="Q610" s="321"/>
      <c r="R610" s="189"/>
      <c r="S610" s="445"/>
      <c r="T610" s="627" t="s">
        <v>1042</v>
      </c>
      <c r="U610" s="627" t="s">
        <v>1629</v>
      </c>
      <c r="AA610" s="27"/>
      <c r="AB610" s="27"/>
      <c r="AC610" s="1038"/>
      <c r="AD610" s="573"/>
    </row>
    <row r="611" spans="3:30" ht="10.5" customHeight="1">
      <c r="C611" s="2388" t="s">
        <v>5109</v>
      </c>
      <c r="D611" s="2385" t="s">
        <v>4493</v>
      </c>
      <c r="E611" s="2385" t="s">
        <v>4493</v>
      </c>
      <c r="F611" s="2386">
        <v>0</v>
      </c>
      <c r="G611" s="2412" t="s">
        <v>5109</v>
      </c>
      <c r="H611" s="2383" t="s">
        <v>4493</v>
      </c>
      <c r="I611" s="2383" t="s">
        <v>4493</v>
      </c>
      <c r="J611" s="2413">
        <v>0</v>
      </c>
      <c r="K611" s="2387"/>
      <c r="L611" s="2381">
        <v>13051990000</v>
      </c>
      <c r="M611" s="2382">
        <v>0</v>
      </c>
      <c r="N611" s="2382">
        <v>0</v>
      </c>
      <c r="O611" s="2382">
        <v>0</v>
      </c>
      <c r="P611" s="626" t="s">
        <v>1113</v>
      </c>
      <c r="Q611" s="321"/>
      <c r="R611" s="189"/>
      <c r="S611" s="445"/>
      <c r="T611" s="560" t="s">
        <v>1415</v>
      </c>
      <c r="U611" s="560" t="s">
        <v>610</v>
      </c>
      <c r="AA611" s="27"/>
      <c r="AB611" s="27"/>
      <c r="AC611" s="1039"/>
      <c r="AD611" s="573"/>
    </row>
    <row r="612" spans="3:30" ht="10.5" customHeight="1">
      <c r="C612" s="2388" t="s">
        <v>5110</v>
      </c>
      <c r="D612" s="2385">
        <v>0</v>
      </c>
      <c r="E612" s="2385">
        <v>0</v>
      </c>
      <c r="F612" s="2386">
        <v>0</v>
      </c>
      <c r="G612" s="2412" t="s">
        <v>5110</v>
      </c>
      <c r="H612" s="2383">
        <v>0</v>
      </c>
      <c r="I612" s="2383">
        <v>0</v>
      </c>
      <c r="J612" s="2413">
        <v>0</v>
      </c>
      <c r="K612" s="2387"/>
      <c r="L612" s="2381">
        <v>13053020100</v>
      </c>
      <c r="M612" s="2382">
        <v>0</v>
      </c>
      <c r="N612" s="2382">
        <v>0</v>
      </c>
      <c r="O612" s="2382">
        <v>0</v>
      </c>
      <c r="P612" s="626" t="s">
        <v>393</v>
      </c>
      <c r="Q612" s="321"/>
      <c r="R612" s="189"/>
      <c r="S612" s="445"/>
      <c r="T612" s="560" t="s">
        <v>1523</v>
      </c>
      <c r="U612" s="560" t="s">
        <v>310</v>
      </c>
      <c r="AA612" s="27"/>
      <c r="AB612" s="27"/>
      <c r="AC612" s="1038"/>
      <c r="AD612" s="573"/>
    </row>
    <row r="613" spans="3:30" ht="10.5" customHeight="1">
      <c r="C613" s="2388" t="s">
        <v>5111</v>
      </c>
      <c r="D613" s="2385">
        <v>0</v>
      </c>
      <c r="E613" s="2385">
        <v>1</v>
      </c>
      <c r="F613" s="2386">
        <v>1</v>
      </c>
      <c r="G613" s="2412" t="s">
        <v>5111</v>
      </c>
      <c r="H613" s="2383">
        <v>0</v>
      </c>
      <c r="I613" s="2383" t="s">
        <v>4493</v>
      </c>
      <c r="J613" s="2413">
        <v>0</v>
      </c>
      <c r="K613" s="2387"/>
      <c r="L613" s="2381">
        <v>13053020201</v>
      </c>
      <c r="M613" s="2382">
        <v>0</v>
      </c>
      <c r="N613" s="2382">
        <v>1</v>
      </c>
      <c r="O613" s="2382">
        <v>1</v>
      </c>
      <c r="P613" s="626" t="s">
        <v>1</v>
      </c>
      <c r="Q613" s="321"/>
      <c r="R613" s="189"/>
      <c r="S613" s="445"/>
      <c r="T613" s="560" t="s">
        <v>2004</v>
      </c>
      <c r="U613" s="560" t="s">
        <v>931</v>
      </c>
      <c r="AA613" s="27"/>
      <c r="AB613" s="27"/>
      <c r="AC613" s="1038"/>
      <c r="AD613" s="573"/>
    </row>
    <row r="614" spans="3:30" ht="10.5" customHeight="1">
      <c r="C614" s="2388" t="s">
        <v>5112</v>
      </c>
      <c r="D614" s="2385">
        <v>0</v>
      </c>
      <c r="E614" s="2385">
        <v>1</v>
      </c>
      <c r="F614" s="2386">
        <v>1</v>
      </c>
      <c r="G614" s="2412" t="s">
        <v>5112</v>
      </c>
      <c r="H614" s="2383">
        <v>0</v>
      </c>
      <c r="I614" s="2383" t="s">
        <v>4493</v>
      </c>
      <c r="J614" s="2413">
        <v>0</v>
      </c>
      <c r="K614" s="2387"/>
      <c r="L614" s="2381">
        <v>13053020203</v>
      </c>
      <c r="M614" s="2382">
        <v>0</v>
      </c>
      <c r="N614" s="2382">
        <v>1</v>
      </c>
      <c r="O614" s="2382">
        <v>1</v>
      </c>
      <c r="P614" s="626" t="s">
        <v>3</v>
      </c>
      <c r="Q614" s="321"/>
      <c r="R614" s="189"/>
      <c r="S614" s="445"/>
      <c r="T614" s="627" t="s">
        <v>1826</v>
      </c>
      <c r="U614" s="627" t="s">
        <v>1904</v>
      </c>
      <c r="AA614" s="27"/>
      <c r="AB614" s="27"/>
      <c r="AC614" s="1038"/>
      <c r="AD614" s="573"/>
    </row>
    <row r="615" spans="3:30" ht="10.5" customHeight="1">
      <c r="C615" s="2388" t="s">
        <v>5113</v>
      </c>
      <c r="D615" s="2385">
        <v>0</v>
      </c>
      <c r="E615" s="2385">
        <v>1</v>
      </c>
      <c r="F615" s="2386">
        <v>1</v>
      </c>
      <c r="G615" s="2412" t="s">
        <v>5113</v>
      </c>
      <c r="H615" s="2383">
        <v>0</v>
      </c>
      <c r="I615" s="2383" t="s">
        <v>4493</v>
      </c>
      <c r="J615" s="2413">
        <v>0</v>
      </c>
      <c r="K615" s="2387"/>
      <c r="L615" s="2381">
        <v>13053020205</v>
      </c>
      <c r="M615" s="2382">
        <v>0</v>
      </c>
      <c r="N615" s="2382">
        <v>1</v>
      </c>
      <c r="O615" s="2382">
        <v>1</v>
      </c>
      <c r="P615" s="626" t="s">
        <v>5</v>
      </c>
      <c r="Q615" s="321"/>
      <c r="R615" s="189"/>
      <c r="S615" s="445"/>
      <c r="T615" s="627" t="s">
        <v>273</v>
      </c>
      <c r="U615" s="627" t="s">
        <v>1904</v>
      </c>
      <c r="AA615" s="27"/>
      <c r="AB615" s="27"/>
      <c r="AC615" s="1039"/>
      <c r="AD615" s="573"/>
    </row>
    <row r="616" spans="3:30" ht="10.5" customHeight="1">
      <c r="C616" s="2388" t="s">
        <v>5114</v>
      </c>
      <c r="D616" s="2385" t="s">
        <v>4493</v>
      </c>
      <c r="E616" s="2385" t="s">
        <v>4493</v>
      </c>
      <c r="F616" s="2386">
        <v>0</v>
      </c>
      <c r="G616" s="2412" t="s">
        <v>5114</v>
      </c>
      <c r="H616" s="2383" t="s">
        <v>4493</v>
      </c>
      <c r="I616" s="2383" t="s">
        <v>4493</v>
      </c>
      <c r="J616" s="2413">
        <v>0</v>
      </c>
      <c r="K616" s="2387"/>
      <c r="L616" s="2381">
        <v>13053020206</v>
      </c>
      <c r="M616" s="2382">
        <v>0</v>
      </c>
      <c r="N616" s="2382">
        <v>0</v>
      </c>
      <c r="O616" s="2382">
        <v>0</v>
      </c>
      <c r="P616" s="626" t="s">
        <v>7</v>
      </c>
      <c r="Q616" s="321"/>
      <c r="R616" s="189"/>
      <c r="S616" s="445"/>
      <c r="T616" s="560" t="s">
        <v>1643</v>
      </c>
      <c r="U616" s="560" t="s">
        <v>2127</v>
      </c>
      <c r="AA616" s="27"/>
      <c r="AB616" s="27"/>
      <c r="AC616" s="1039"/>
      <c r="AD616" s="573"/>
    </row>
    <row r="617" spans="3:30" ht="10.5" customHeight="1">
      <c r="C617" s="2388" t="s">
        <v>5115</v>
      </c>
      <c r="D617" s="2385">
        <v>0</v>
      </c>
      <c r="E617" s="2385">
        <v>0</v>
      </c>
      <c r="F617" s="2386">
        <v>0</v>
      </c>
      <c r="G617" s="2412" t="s">
        <v>5115</v>
      </c>
      <c r="H617" s="2383">
        <v>0</v>
      </c>
      <c r="I617" s="2383">
        <v>0</v>
      </c>
      <c r="J617" s="2413">
        <v>0</v>
      </c>
      <c r="K617" s="2387"/>
      <c r="L617" s="2381">
        <v>13055010100</v>
      </c>
      <c r="M617" s="2382">
        <v>0</v>
      </c>
      <c r="N617" s="2382">
        <v>0</v>
      </c>
      <c r="O617" s="2382">
        <v>0</v>
      </c>
      <c r="P617" s="626" t="s">
        <v>2093</v>
      </c>
      <c r="Q617" s="321"/>
      <c r="R617" s="189"/>
      <c r="S617" s="445"/>
      <c r="T617" s="560" t="s">
        <v>257</v>
      </c>
      <c r="U617" s="560" t="s">
        <v>649</v>
      </c>
      <c r="AA617" s="27"/>
      <c r="AB617" s="27"/>
      <c r="AC617" s="1038"/>
      <c r="AD617" s="573"/>
    </row>
    <row r="618" spans="3:30" ht="10.5" customHeight="1">
      <c r="C618" s="2388" t="s">
        <v>5116</v>
      </c>
      <c r="D618" s="2385">
        <v>0</v>
      </c>
      <c r="E618" s="2385">
        <v>0</v>
      </c>
      <c r="F618" s="2386">
        <v>0</v>
      </c>
      <c r="G618" s="2412" t="s">
        <v>5116</v>
      </c>
      <c r="H618" s="2383">
        <v>0</v>
      </c>
      <c r="I618" s="2383">
        <v>0</v>
      </c>
      <c r="J618" s="2413">
        <v>0</v>
      </c>
      <c r="K618" s="2387"/>
      <c r="L618" s="2381">
        <v>13055010200</v>
      </c>
      <c r="M618" s="2382">
        <v>0</v>
      </c>
      <c r="N618" s="2382">
        <v>0</v>
      </c>
      <c r="O618" s="2382">
        <v>0</v>
      </c>
      <c r="P618" s="626" t="s">
        <v>2095</v>
      </c>
      <c r="Q618" s="321"/>
      <c r="R618" s="189"/>
      <c r="S618" s="445"/>
      <c r="T618" s="560" t="s">
        <v>1159</v>
      </c>
      <c r="U618" s="560" t="s">
        <v>155</v>
      </c>
      <c r="AA618" s="27"/>
      <c r="AB618" s="27"/>
      <c r="AC618" s="1038"/>
      <c r="AD618" s="573"/>
    </row>
    <row r="619" spans="3:30" ht="10.5" customHeight="1">
      <c r="C619" s="2388" t="s">
        <v>5117</v>
      </c>
      <c r="D619" s="2385">
        <v>0</v>
      </c>
      <c r="E619" s="2385">
        <v>0</v>
      </c>
      <c r="F619" s="2386">
        <v>0</v>
      </c>
      <c r="G619" s="2412" t="s">
        <v>5117</v>
      </c>
      <c r="H619" s="2383">
        <v>0</v>
      </c>
      <c r="I619" s="2383" t="s">
        <v>4493</v>
      </c>
      <c r="J619" s="2413">
        <v>0</v>
      </c>
      <c r="K619" s="2387"/>
      <c r="L619" s="2381">
        <v>13055010300</v>
      </c>
      <c r="M619" s="2382">
        <v>0</v>
      </c>
      <c r="N619" s="2382">
        <v>0</v>
      </c>
      <c r="O619" s="2382">
        <v>0</v>
      </c>
      <c r="P619" s="626" t="s">
        <v>2097</v>
      </c>
      <c r="Q619" s="321"/>
      <c r="R619" s="189"/>
      <c r="S619" s="445"/>
      <c r="T619" s="560" t="s">
        <v>1161</v>
      </c>
      <c r="U619" s="560" t="s">
        <v>155</v>
      </c>
      <c r="AA619" s="27"/>
      <c r="AB619" s="27"/>
      <c r="AC619" s="1038"/>
      <c r="AD619" s="573"/>
    </row>
    <row r="620" spans="3:30" ht="10.5" customHeight="1">
      <c r="C620" s="2388" t="s">
        <v>5118</v>
      </c>
      <c r="D620" s="2385">
        <v>0</v>
      </c>
      <c r="E620" s="2385">
        <v>0</v>
      </c>
      <c r="F620" s="2386">
        <v>0</v>
      </c>
      <c r="G620" s="2412" t="s">
        <v>5118</v>
      </c>
      <c r="H620" s="2383">
        <v>0</v>
      </c>
      <c r="I620" s="2383">
        <v>0</v>
      </c>
      <c r="J620" s="2413">
        <v>0</v>
      </c>
      <c r="K620" s="2387"/>
      <c r="L620" s="2381">
        <v>13055010400</v>
      </c>
      <c r="M620" s="2382">
        <v>0</v>
      </c>
      <c r="N620" s="2382">
        <v>0</v>
      </c>
      <c r="O620" s="2382">
        <v>0</v>
      </c>
      <c r="P620" s="626" t="s">
        <v>2099</v>
      </c>
      <c r="Q620" s="321"/>
      <c r="R620" s="189"/>
      <c r="S620" s="445"/>
      <c r="T620" s="560" t="s">
        <v>726</v>
      </c>
      <c r="U620" s="560" t="s">
        <v>1300</v>
      </c>
      <c r="AA620" s="27"/>
      <c r="AB620" s="27"/>
      <c r="AC620" s="1038"/>
      <c r="AD620" s="573"/>
    </row>
    <row r="621" spans="3:30" ht="10.5" customHeight="1">
      <c r="C621" s="2388" t="s">
        <v>5119</v>
      </c>
      <c r="D621" s="2385">
        <v>0</v>
      </c>
      <c r="E621" s="2385">
        <v>0</v>
      </c>
      <c r="F621" s="2386">
        <v>0</v>
      </c>
      <c r="G621" s="2412" t="s">
        <v>5119</v>
      </c>
      <c r="H621" s="2383">
        <v>0</v>
      </c>
      <c r="I621" s="2383">
        <v>0</v>
      </c>
      <c r="J621" s="2413">
        <v>0</v>
      </c>
      <c r="K621" s="2387"/>
      <c r="L621" s="2381">
        <v>13055010500</v>
      </c>
      <c r="M621" s="2382">
        <v>0</v>
      </c>
      <c r="N621" s="2382">
        <v>0</v>
      </c>
      <c r="O621" s="2382">
        <v>0</v>
      </c>
      <c r="P621" s="626" t="s">
        <v>2101</v>
      </c>
      <c r="Q621" s="321"/>
      <c r="R621" s="189"/>
      <c r="S621" s="445"/>
      <c r="T621" s="560" t="s">
        <v>240</v>
      </c>
      <c r="U621" s="560" t="s">
        <v>2522</v>
      </c>
      <c r="AA621" s="27"/>
      <c r="AB621" s="27"/>
      <c r="AC621" s="1038"/>
      <c r="AD621" s="573"/>
    </row>
    <row r="622" spans="3:30" ht="10.5" customHeight="1">
      <c r="C622" s="2388" t="s">
        <v>5120</v>
      </c>
      <c r="D622" s="2385">
        <v>0</v>
      </c>
      <c r="E622" s="2385">
        <v>0</v>
      </c>
      <c r="F622" s="2386">
        <v>0</v>
      </c>
      <c r="G622" s="2412" t="s">
        <v>5120</v>
      </c>
      <c r="H622" s="2383">
        <v>0</v>
      </c>
      <c r="I622" s="2383">
        <v>0</v>
      </c>
      <c r="J622" s="2413">
        <v>0</v>
      </c>
      <c r="K622" s="2387"/>
      <c r="L622" s="2381">
        <v>13055010600</v>
      </c>
      <c r="M622" s="2382">
        <v>0</v>
      </c>
      <c r="N622" s="2382">
        <v>0</v>
      </c>
      <c r="O622" s="2382">
        <v>0</v>
      </c>
      <c r="P622" s="626" t="s">
        <v>86</v>
      </c>
      <c r="Q622" s="321"/>
      <c r="R622" s="189"/>
      <c r="S622" s="445"/>
      <c r="T622" s="560" t="s">
        <v>1006</v>
      </c>
      <c r="U622" s="560" t="s">
        <v>2339</v>
      </c>
      <c r="AA622" s="27"/>
      <c r="AB622" s="27"/>
      <c r="AC622" s="1038"/>
      <c r="AD622" s="573"/>
    </row>
    <row r="623" spans="3:30" ht="10.5" customHeight="1">
      <c r="C623" s="2388" t="s">
        <v>5121</v>
      </c>
      <c r="D623" s="2385">
        <v>1</v>
      </c>
      <c r="E623" s="2385">
        <v>1</v>
      </c>
      <c r="F623" s="2386">
        <v>2</v>
      </c>
      <c r="G623" s="2412" t="s">
        <v>5121</v>
      </c>
      <c r="H623" s="2383">
        <v>1</v>
      </c>
      <c r="I623" s="2383">
        <v>1</v>
      </c>
      <c r="J623" s="2413">
        <v>2</v>
      </c>
      <c r="K623" s="2387"/>
      <c r="L623" s="2381">
        <v>13057090100</v>
      </c>
      <c r="M623" s="2382">
        <v>1</v>
      </c>
      <c r="N623" s="2382">
        <v>1</v>
      </c>
      <c r="O623" s="2382">
        <v>2</v>
      </c>
      <c r="P623" s="626" t="s">
        <v>1970</v>
      </c>
      <c r="Q623" s="321"/>
      <c r="R623" s="189"/>
      <c r="S623" s="445"/>
      <c r="T623" s="560" t="s">
        <v>1707</v>
      </c>
      <c r="U623" s="560" t="s">
        <v>2422</v>
      </c>
      <c r="AA623" s="27"/>
      <c r="AB623" s="27"/>
      <c r="AC623" s="1038"/>
      <c r="AD623" s="573"/>
    </row>
    <row r="624" spans="3:30" ht="10.5" customHeight="1">
      <c r="C624" s="2388" t="s">
        <v>5122</v>
      </c>
      <c r="D624" s="2385">
        <v>1</v>
      </c>
      <c r="E624" s="2385">
        <v>1</v>
      </c>
      <c r="F624" s="2386">
        <v>2</v>
      </c>
      <c r="G624" s="2412" t="s">
        <v>5122</v>
      </c>
      <c r="H624" s="2383">
        <v>1</v>
      </c>
      <c r="I624" s="2383">
        <v>1</v>
      </c>
      <c r="J624" s="2413">
        <v>2</v>
      </c>
      <c r="K624" s="2387"/>
      <c r="L624" s="2381">
        <v>13057090200</v>
      </c>
      <c r="M624" s="2382">
        <v>1</v>
      </c>
      <c r="N624" s="2382">
        <v>1</v>
      </c>
      <c r="O624" s="2382">
        <v>2</v>
      </c>
      <c r="P624" s="626" t="s">
        <v>1482</v>
      </c>
      <c r="Q624" s="321"/>
      <c r="R624" s="189"/>
      <c r="S624" s="445"/>
      <c r="T624" s="560" t="s">
        <v>1769</v>
      </c>
      <c r="U624" s="560" t="s">
        <v>107</v>
      </c>
      <c r="AA624" s="27"/>
      <c r="AB624" s="27"/>
      <c r="AC624" s="1038"/>
      <c r="AD624" s="573"/>
    </row>
    <row r="625" spans="3:30" ht="10.5" customHeight="1">
      <c r="C625" s="2388" t="s">
        <v>5123</v>
      </c>
      <c r="D625" s="2385">
        <v>1</v>
      </c>
      <c r="E625" s="2385">
        <v>1</v>
      </c>
      <c r="F625" s="2386">
        <v>2</v>
      </c>
      <c r="G625" s="2412" t="s">
        <v>5123</v>
      </c>
      <c r="H625" s="2383">
        <v>1</v>
      </c>
      <c r="I625" s="2383">
        <v>1</v>
      </c>
      <c r="J625" s="2413">
        <v>2</v>
      </c>
      <c r="K625" s="2387"/>
      <c r="L625" s="2381">
        <v>13057090300</v>
      </c>
      <c r="M625" s="2382">
        <v>1</v>
      </c>
      <c r="N625" s="2382">
        <v>1</v>
      </c>
      <c r="O625" s="2382">
        <v>2</v>
      </c>
      <c r="P625" s="626" t="s">
        <v>1484</v>
      </c>
      <c r="Q625" s="321"/>
      <c r="R625" s="189"/>
      <c r="S625" s="445"/>
      <c r="T625" s="560" t="s">
        <v>1077</v>
      </c>
      <c r="U625" s="560" t="s">
        <v>713</v>
      </c>
      <c r="AA625" s="27"/>
      <c r="AB625" s="27"/>
      <c r="AC625" s="1038"/>
      <c r="AD625" s="573"/>
    </row>
    <row r="626" spans="3:30" ht="10.5" customHeight="1">
      <c r="C626" s="2388" t="s">
        <v>5124</v>
      </c>
      <c r="D626" s="2385">
        <v>0</v>
      </c>
      <c r="E626" s="2385">
        <v>0</v>
      </c>
      <c r="F626" s="2386">
        <v>0</v>
      </c>
      <c r="G626" s="2412" t="s">
        <v>5124</v>
      </c>
      <c r="H626" s="2383">
        <v>0</v>
      </c>
      <c r="I626" s="2383">
        <v>0</v>
      </c>
      <c r="J626" s="2413">
        <v>0</v>
      </c>
      <c r="K626" s="2387"/>
      <c r="L626" s="2381">
        <v>13057090400</v>
      </c>
      <c r="M626" s="2382">
        <v>0</v>
      </c>
      <c r="N626" s="2382">
        <v>0</v>
      </c>
      <c r="O626" s="2382">
        <v>0</v>
      </c>
      <c r="P626" s="626" t="s">
        <v>1486</v>
      </c>
      <c r="Q626" s="321"/>
      <c r="R626" s="189"/>
      <c r="S626" s="445"/>
      <c r="T626" s="560" t="s">
        <v>1043</v>
      </c>
      <c r="U626" s="560" t="s">
        <v>933</v>
      </c>
      <c r="AA626" s="27"/>
      <c r="AB626" s="27"/>
      <c r="AC626" s="1038"/>
      <c r="AD626" s="573"/>
    </row>
    <row r="627" spans="3:30" ht="10.5" customHeight="1">
      <c r="C627" s="2388" t="s">
        <v>5125</v>
      </c>
      <c r="D627" s="2385">
        <v>1</v>
      </c>
      <c r="E627" s="2385">
        <v>1</v>
      </c>
      <c r="F627" s="2386">
        <v>2</v>
      </c>
      <c r="G627" s="2412" t="s">
        <v>5125</v>
      </c>
      <c r="H627" s="2383">
        <v>1</v>
      </c>
      <c r="I627" s="2383">
        <v>1</v>
      </c>
      <c r="J627" s="2413">
        <v>2</v>
      </c>
      <c r="K627" s="2387"/>
      <c r="L627" s="2381">
        <v>13057090501</v>
      </c>
      <c r="M627" s="2382">
        <v>1</v>
      </c>
      <c r="N627" s="2382">
        <v>1</v>
      </c>
      <c r="O627" s="2382">
        <v>2</v>
      </c>
      <c r="P627" s="626" t="s">
        <v>60</v>
      </c>
      <c r="Q627" s="321"/>
      <c r="R627" s="189"/>
      <c r="S627" s="445"/>
      <c r="T627" s="560" t="s">
        <v>1081</v>
      </c>
      <c r="U627" s="560" t="s">
        <v>1297</v>
      </c>
      <c r="AA627" s="27"/>
      <c r="AB627" s="27"/>
      <c r="AC627" s="1038"/>
      <c r="AD627" s="573"/>
    </row>
    <row r="628" spans="3:30" ht="10.5" customHeight="1">
      <c r="C628" s="2388" t="s">
        <v>5126</v>
      </c>
      <c r="D628" s="2385">
        <v>1</v>
      </c>
      <c r="E628" s="2385">
        <v>1</v>
      </c>
      <c r="F628" s="2386">
        <v>2</v>
      </c>
      <c r="G628" s="2412" t="s">
        <v>5126</v>
      </c>
      <c r="H628" s="2383">
        <v>1</v>
      </c>
      <c r="I628" s="2383">
        <v>1</v>
      </c>
      <c r="J628" s="2413">
        <v>2</v>
      </c>
      <c r="K628" s="2387"/>
      <c r="L628" s="2381">
        <v>13057090502</v>
      </c>
      <c r="M628" s="2382">
        <v>1</v>
      </c>
      <c r="N628" s="2382">
        <v>1</v>
      </c>
      <c r="O628" s="2382">
        <v>2</v>
      </c>
      <c r="P628" s="626" t="s">
        <v>62</v>
      </c>
      <c r="Q628" s="321"/>
      <c r="R628" s="189"/>
      <c r="S628" s="445"/>
      <c r="T628" s="560" t="s">
        <v>394</v>
      </c>
      <c r="U628" s="560" t="s">
        <v>649</v>
      </c>
      <c r="AA628" s="27"/>
      <c r="AB628" s="27"/>
      <c r="AC628" s="1038"/>
      <c r="AD628" s="573"/>
    </row>
    <row r="629" spans="3:30" ht="10.5" customHeight="1">
      <c r="C629" s="2388" t="s">
        <v>5127</v>
      </c>
      <c r="D629" s="2385">
        <v>0</v>
      </c>
      <c r="E629" s="2385">
        <v>0</v>
      </c>
      <c r="F629" s="2386">
        <v>0</v>
      </c>
      <c r="G629" s="2412" t="s">
        <v>5127</v>
      </c>
      <c r="H629" s="2383">
        <v>0</v>
      </c>
      <c r="I629" s="2383">
        <v>0</v>
      </c>
      <c r="J629" s="2413">
        <v>0</v>
      </c>
      <c r="K629" s="2387"/>
      <c r="L629" s="2381">
        <v>13057090601</v>
      </c>
      <c r="M629" s="2382">
        <v>0</v>
      </c>
      <c r="N629" s="2382">
        <v>0</v>
      </c>
      <c r="O629" s="2382">
        <v>0</v>
      </c>
      <c r="P629" s="626" t="s">
        <v>64</v>
      </c>
      <c r="Q629" s="321"/>
      <c r="R629" s="189"/>
      <c r="S629" s="445"/>
      <c r="T629" s="560" t="s">
        <v>1044</v>
      </c>
      <c r="U629" s="560" t="s">
        <v>119</v>
      </c>
      <c r="AA629" s="27"/>
      <c r="AB629" s="27"/>
      <c r="AC629" s="1038"/>
      <c r="AD629" s="573"/>
    </row>
    <row r="630" spans="3:30" ht="10.5" customHeight="1">
      <c r="C630" s="2388" t="s">
        <v>5128</v>
      </c>
      <c r="D630" s="2385">
        <v>1</v>
      </c>
      <c r="E630" s="2385">
        <v>1</v>
      </c>
      <c r="F630" s="2386">
        <v>2</v>
      </c>
      <c r="G630" s="2412" t="s">
        <v>5128</v>
      </c>
      <c r="H630" s="2383">
        <v>1</v>
      </c>
      <c r="I630" s="2383">
        <v>0</v>
      </c>
      <c r="J630" s="2413">
        <v>1</v>
      </c>
      <c r="K630" s="2387"/>
      <c r="L630" s="2381">
        <v>13057090602</v>
      </c>
      <c r="M630" s="2382">
        <v>1</v>
      </c>
      <c r="N630" s="2382">
        <v>1</v>
      </c>
      <c r="O630" s="2382">
        <v>2</v>
      </c>
      <c r="P630" s="626" t="s">
        <v>66</v>
      </c>
      <c r="Q630" s="321"/>
      <c r="R630" s="189"/>
      <c r="S630" s="445"/>
      <c r="T630" s="560" t="s">
        <v>2</v>
      </c>
      <c r="U630" s="560" t="s">
        <v>1290</v>
      </c>
      <c r="AA630" s="27"/>
      <c r="AB630" s="27"/>
      <c r="AC630" s="1038"/>
      <c r="AD630" s="573"/>
    </row>
    <row r="631" spans="3:30" ht="10.5" customHeight="1">
      <c r="C631" s="2388" t="s">
        <v>5129</v>
      </c>
      <c r="D631" s="2385">
        <v>1</v>
      </c>
      <c r="E631" s="2385">
        <v>1</v>
      </c>
      <c r="F631" s="2386">
        <v>2</v>
      </c>
      <c r="G631" s="2412" t="s">
        <v>5129</v>
      </c>
      <c r="H631" s="2383">
        <v>1</v>
      </c>
      <c r="I631" s="2383">
        <v>1</v>
      </c>
      <c r="J631" s="2413">
        <v>2</v>
      </c>
      <c r="K631" s="2387"/>
      <c r="L631" s="2381">
        <v>13057090701</v>
      </c>
      <c r="M631" s="2382">
        <v>1</v>
      </c>
      <c r="N631" s="2382">
        <v>1</v>
      </c>
      <c r="O631" s="2382">
        <v>2</v>
      </c>
      <c r="P631" s="626" t="s">
        <v>68</v>
      </c>
      <c r="Q631" s="321"/>
      <c r="R631" s="189"/>
      <c r="S631" s="445"/>
      <c r="T631" s="560" t="s">
        <v>4</v>
      </c>
      <c r="U631" s="560" t="s">
        <v>2335</v>
      </c>
      <c r="AA631" s="27"/>
      <c r="AB631" s="27"/>
      <c r="AC631" s="1038"/>
      <c r="AD631" s="573"/>
    </row>
    <row r="632" spans="3:30" ht="10.5" customHeight="1">
      <c r="C632" s="2388" t="s">
        <v>5130</v>
      </c>
      <c r="D632" s="2385">
        <v>1</v>
      </c>
      <c r="E632" s="2385">
        <v>1</v>
      </c>
      <c r="F632" s="2386">
        <v>2</v>
      </c>
      <c r="G632" s="2412" t="s">
        <v>5130</v>
      </c>
      <c r="H632" s="2383">
        <v>1</v>
      </c>
      <c r="I632" s="2383">
        <v>0</v>
      </c>
      <c r="J632" s="2413">
        <v>1</v>
      </c>
      <c r="K632" s="2387"/>
      <c r="L632" s="2381">
        <v>13057090702</v>
      </c>
      <c r="M632" s="2382">
        <v>1</v>
      </c>
      <c r="N632" s="2382">
        <v>1</v>
      </c>
      <c r="O632" s="2382">
        <v>2</v>
      </c>
      <c r="P632" s="626" t="s">
        <v>756</v>
      </c>
      <c r="Q632" s="321"/>
      <c r="R632" s="189"/>
      <c r="S632" s="445"/>
      <c r="T632" s="560" t="s">
        <v>6</v>
      </c>
      <c r="U632" s="560" t="s">
        <v>1870</v>
      </c>
      <c r="AA632" s="27"/>
      <c r="AB632" s="27"/>
      <c r="AC632" s="1038"/>
      <c r="AD632" s="573"/>
    </row>
    <row r="633" spans="3:30" ht="10.5" customHeight="1">
      <c r="C633" s="2388" t="s">
        <v>5131</v>
      </c>
      <c r="D633" s="2385">
        <v>1</v>
      </c>
      <c r="E633" s="2385">
        <v>1</v>
      </c>
      <c r="F633" s="2386">
        <v>2</v>
      </c>
      <c r="G633" s="2412" t="s">
        <v>5131</v>
      </c>
      <c r="H633" s="2383">
        <v>1</v>
      </c>
      <c r="I633" s="2383">
        <v>1</v>
      </c>
      <c r="J633" s="2413">
        <v>2</v>
      </c>
      <c r="K633" s="2387"/>
      <c r="L633" s="2381">
        <v>13057090802</v>
      </c>
      <c r="M633" s="2382">
        <v>1</v>
      </c>
      <c r="N633" s="2382">
        <v>1</v>
      </c>
      <c r="O633" s="2382">
        <v>2</v>
      </c>
      <c r="P633" s="626" t="s">
        <v>709</v>
      </c>
      <c r="Q633" s="321"/>
      <c r="R633" s="189"/>
      <c r="S633" s="445"/>
      <c r="T633" s="627" t="s">
        <v>1045</v>
      </c>
      <c r="U633" s="627" t="s">
        <v>610</v>
      </c>
      <c r="AA633" s="27"/>
      <c r="AB633" s="27"/>
      <c r="AC633" s="1038"/>
      <c r="AD633" s="573"/>
    </row>
    <row r="634" spans="3:30" ht="10.5" customHeight="1">
      <c r="C634" s="2388" t="s">
        <v>5132</v>
      </c>
      <c r="D634" s="2385">
        <v>1</v>
      </c>
      <c r="E634" s="2385">
        <v>1</v>
      </c>
      <c r="F634" s="2386">
        <v>2</v>
      </c>
      <c r="G634" s="2412" t="s">
        <v>5132</v>
      </c>
      <c r="H634" s="2383">
        <v>1</v>
      </c>
      <c r="I634" s="2383">
        <v>1</v>
      </c>
      <c r="J634" s="2413">
        <v>2</v>
      </c>
      <c r="K634" s="2387"/>
      <c r="L634" s="2381">
        <v>13057090803</v>
      </c>
      <c r="M634" s="2382">
        <v>1</v>
      </c>
      <c r="N634" s="2382">
        <v>1</v>
      </c>
      <c r="O634" s="2382">
        <v>2</v>
      </c>
      <c r="P634" s="626" t="s">
        <v>711</v>
      </c>
      <c r="Q634" s="321"/>
      <c r="R634" s="189"/>
      <c r="S634" s="445"/>
      <c r="T634" s="560" t="s">
        <v>1046</v>
      </c>
      <c r="U634" s="560" t="s">
        <v>311</v>
      </c>
      <c r="AA634" s="27"/>
      <c r="AB634" s="27"/>
      <c r="AC634" s="1039"/>
      <c r="AD634" s="573"/>
    </row>
    <row r="635" spans="3:30" ht="10.5" customHeight="1">
      <c r="C635" s="2388" t="s">
        <v>5133</v>
      </c>
      <c r="D635" s="2385">
        <v>1</v>
      </c>
      <c r="E635" s="2385">
        <v>1</v>
      </c>
      <c r="F635" s="2386">
        <v>2</v>
      </c>
      <c r="G635" s="2412" t="s">
        <v>5133</v>
      </c>
      <c r="H635" s="2383">
        <v>1</v>
      </c>
      <c r="I635" s="2383">
        <v>1</v>
      </c>
      <c r="J635" s="2413">
        <v>2</v>
      </c>
      <c r="K635" s="2387"/>
      <c r="L635" s="2381">
        <v>13057090804</v>
      </c>
      <c r="M635" s="2382">
        <v>1</v>
      </c>
      <c r="N635" s="2382">
        <v>1</v>
      </c>
      <c r="O635" s="2382">
        <v>2</v>
      </c>
      <c r="P635" s="626" t="s">
        <v>1157</v>
      </c>
      <c r="Q635" s="321"/>
      <c r="R635" s="189"/>
      <c r="S635" s="445"/>
      <c r="T635" s="560" t="s">
        <v>2092</v>
      </c>
      <c r="U635" s="560" t="s">
        <v>1300</v>
      </c>
      <c r="AA635" s="27"/>
      <c r="AB635" s="27"/>
      <c r="AC635" s="1038"/>
      <c r="AD635" s="573"/>
    </row>
    <row r="636" spans="3:30" ht="10.5" customHeight="1">
      <c r="C636" s="2388" t="s">
        <v>5134</v>
      </c>
      <c r="D636" s="2385">
        <v>1</v>
      </c>
      <c r="E636" s="2385">
        <v>1</v>
      </c>
      <c r="F636" s="2386">
        <v>2</v>
      </c>
      <c r="G636" s="2412" t="s">
        <v>5134</v>
      </c>
      <c r="H636" s="2383">
        <v>1</v>
      </c>
      <c r="I636" s="2383">
        <v>1</v>
      </c>
      <c r="J636" s="2413">
        <v>2</v>
      </c>
      <c r="K636" s="2387"/>
      <c r="L636" s="2381">
        <v>13057090901</v>
      </c>
      <c r="M636" s="2382">
        <v>1</v>
      </c>
      <c r="N636" s="2382">
        <v>1</v>
      </c>
      <c r="O636" s="2382">
        <v>2</v>
      </c>
      <c r="P636" s="626" t="s">
        <v>1019</v>
      </c>
      <c r="Q636" s="321"/>
      <c r="R636" s="189"/>
      <c r="S636" s="445"/>
      <c r="T636" s="560" t="s">
        <v>2094</v>
      </c>
      <c r="U636" s="560" t="s">
        <v>2133</v>
      </c>
      <c r="AA636" s="27"/>
      <c r="AB636" s="27"/>
      <c r="AC636" s="1038"/>
      <c r="AD636" s="573"/>
    </row>
    <row r="637" spans="3:30" ht="10.5" customHeight="1">
      <c r="C637" s="2388" t="s">
        <v>5135</v>
      </c>
      <c r="D637" s="2385">
        <v>1</v>
      </c>
      <c r="E637" s="2385">
        <v>1</v>
      </c>
      <c r="F637" s="2386">
        <v>2</v>
      </c>
      <c r="G637" s="2412" t="s">
        <v>5135</v>
      </c>
      <c r="H637" s="2383">
        <v>1</v>
      </c>
      <c r="I637" s="2383">
        <v>1</v>
      </c>
      <c r="J637" s="2413">
        <v>2</v>
      </c>
      <c r="K637" s="2387"/>
      <c r="L637" s="2381">
        <v>13057090902</v>
      </c>
      <c r="M637" s="2382">
        <v>1</v>
      </c>
      <c r="N637" s="2382">
        <v>1</v>
      </c>
      <c r="O637" s="2382">
        <v>2</v>
      </c>
      <c r="P637" s="626" t="s">
        <v>1020</v>
      </c>
      <c r="Q637" s="321"/>
      <c r="R637" s="189"/>
      <c r="S637" s="445"/>
      <c r="T637" s="560" t="s">
        <v>2096</v>
      </c>
      <c r="U637" s="560" t="s">
        <v>171</v>
      </c>
      <c r="AA637" s="27"/>
      <c r="AB637" s="27"/>
      <c r="AC637" s="1038"/>
      <c r="AD637" s="573"/>
    </row>
    <row r="638" spans="3:30" ht="10.5" customHeight="1">
      <c r="C638" s="2388" t="s">
        <v>5136</v>
      </c>
      <c r="D638" s="2385">
        <v>1</v>
      </c>
      <c r="E638" s="2385">
        <v>1</v>
      </c>
      <c r="F638" s="2386">
        <v>2</v>
      </c>
      <c r="G638" s="2412" t="s">
        <v>5136</v>
      </c>
      <c r="H638" s="2383">
        <v>1</v>
      </c>
      <c r="I638" s="2383">
        <v>0</v>
      </c>
      <c r="J638" s="2413">
        <v>1</v>
      </c>
      <c r="K638" s="2387"/>
      <c r="L638" s="2381">
        <v>13057090904</v>
      </c>
      <c r="M638" s="2382">
        <v>1</v>
      </c>
      <c r="N638" s="2382">
        <v>1</v>
      </c>
      <c r="O638" s="2382">
        <v>2</v>
      </c>
      <c r="P638" s="626" t="s">
        <v>1022</v>
      </c>
      <c r="Q638" s="321"/>
      <c r="R638" s="189"/>
      <c r="S638" s="445"/>
      <c r="T638" s="560" t="s">
        <v>2098</v>
      </c>
      <c r="U638" s="560" t="s">
        <v>1424</v>
      </c>
      <c r="AA638" s="27"/>
      <c r="AB638" s="27"/>
      <c r="AC638" s="1038"/>
      <c r="AD638" s="573"/>
    </row>
    <row r="639" spans="3:30" ht="10.5" customHeight="1">
      <c r="C639" s="2388" t="s">
        <v>5137</v>
      </c>
      <c r="D639" s="2385">
        <v>1</v>
      </c>
      <c r="E639" s="2385">
        <v>1</v>
      </c>
      <c r="F639" s="2386">
        <v>2</v>
      </c>
      <c r="G639" s="2412" t="s">
        <v>5137</v>
      </c>
      <c r="H639" s="2383">
        <v>1</v>
      </c>
      <c r="I639" s="2383">
        <v>1</v>
      </c>
      <c r="J639" s="2413">
        <v>2</v>
      </c>
      <c r="K639" s="2387"/>
      <c r="L639" s="2381">
        <v>13057090905</v>
      </c>
      <c r="M639" s="2382">
        <v>1</v>
      </c>
      <c r="N639" s="2382">
        <v>1</v>
      </c>
      <c r="O639" s="2382">
        <v>2</v>
      </c>
      <c r="P639" s="626" t="s">
        <v>2207</v>
      </c>
      <c r="Q639" s="321"/>
      <c r="R639" s="189"/>
      <c r="S639" s="445"/>
      <c r="T639" s="560" t="s">
        <v>2100</v>
      </c>
      <c r="U639" s="560" t="s">
        <v>649</v>
      </c>
      <c r="AA639" s="27"/>
      <c r="AB639" s="27"/>
      <c r="AC639" s="1038"/>
      <c r="AD639" s="573"/>
    </row>
    <row r="640" spans="3:30" ht="10.5" customHeight="1">
      <c r="C640" s="2388" t="s">
        <v>5138</v>
      </c>
      <c r="D640" s="2385">
        <v>0</v>
      </c>
      <c r="E640" s="2385">
        <v>1</v>
      </c>
      <c r="F640" s="2386">
        <v>1</v>
      </c>
      <c r="G640" s="2412" t="s">
        <v>5138</v>
      </c>
      <c r="H640" s="2383">
        <v>1</v>
      </c>
      <c r="I640" s="2383">
        <v>1</v>
      </c>
      <c r="J640" s="2413">
        <v>2</v>
      </c>
      <c r="K640" s="2387"/>
      <c r="L640" s="2381">
        <v>13057091001</v>
      </c>
      <c r="M640" s="2382">
        <v>1</v>
      </c>
      <c r="N640" s="2382">
        <v>1</v>
      </c>
      <c r="O640" s="2382">
        <v>2</v>
      </c>
      <c r="P640" s="626" t="s">
        <v>2209</v>
      </c>
      <c r="Q640" s="321"/>
      <c r="R640" s="189"/>
      <c r="S640" s="445"/>
      <c r="T640" s="560" t="s">
        <v>87</v>
      </c>
      <c r="U640" s="560" t="s">
        <v>118</v>
      </c>
      <c r="AA640" s="27"/>
      <c r="AB640" s="27"/>
      <c r="AC640" s="1038"/>
      <c r="AD640" s="573"/>
    </row>
    <row r="641" spans="3:30" ht="10.5" customHeight="1">
      <c r="C641" s="2388" t="s">
        <v>5139</v>
      </c>
      <c r="D641" s="2385">
        <v>0</v>
      </c>
      <c r="E641" s="2385">
        <v>0</v>
      </c>
      <c r="F641" s="2386">
        <v>0</v>
      </c>
      <c r="G641" s="2412" t="s">
        <v>5139</v>
      </c>
      <c r="H641" s="2383">
        <v>1</v>
      </c>
      <c r="I641" s="2383">
        <v>0</v>
      </c>
      <c r="J641" s="2413">
        <v>1</v>
      </c>
      <c r="K641" s="2387"/>
      <c r="L641" s="2381">
        <v>13057091003</v>
      </c>
      <c r="M641" s="2382">
        <v>1</v>
      </c>
      <c r="N641" s="2382">
        <v>0</v>
      </c>
      <c r="O641" s="2382">
        <v>1</v>
      </c>
      <c r="P641" s="626" t="s">
        <v>1725</v>
      </c>
      <c r="Q641" s="321"/>
      <c r="R641" s="189"/>
      <c r="S641" s="445"/>
      <c r="T641" s="560" t="s">
        <v>1481</v>
      </c>
      <c r="U641" s="560" t="s">
        <v>2135</v>
      </c>
      <c r="AA641" s="27"/>
      <c r="AB641" s="27"/>
      <c r="AC641" s="1038"/>
      <c r="AD641" s="573"/>
    </row>
    <row r="642" spans="3:30" ht="10.5" customHeight="1">
      <c r="C642" s="2388" t="s">
        <v>5140</v>
      </c>
      <c r="D642" s="2385">
        <v>1</v>
      </c>
      <c r="E642" s="2385">
        <v>1</v>
      </c>
      <c r="F642" s="2386">
        <v>2</v>
      </c>
      <c r="G642" s="2412" t="s">
        <v>5140</v>
      </c>
      <c r="H642" s="2383">
        <v>1</v>
      </c>
      <c r="I642" s="2383">
        <v>1</v>
      </c>
      <c r="J642" s="2413">
        <v>2</v>
      </c>
      <c r="K642" s="2387"/>
      <c r="L642" s="2381">
        <v>13057091005</v>
      </c>
      <c r="M642" s="2382">
        <v>1</v>
      </c>
      <c r="N642" s="2382">
        <v>1</v>
      </c>
      <c r="O642" s="2382">
        <v>2</v>
      </c>
      <c r="P642" s="626" t="s">
        <v>2454</v>
      </c>
      <c r="Q642" s="321"/>
      <c r="R642" s="189"/>
      <c r="S642" s="445"/>
      <c r="T642" s="560" t="s">
        <v>1483</v>
      </c>
      <c r="U642" s="560" t="s">
        <v>195</v>
      </c>
      <c r="AA642" s="27"/>
      <c r="AB642" s="27"/>
      <c r="AC642" s="1038"/>
      <c r="AD642" s="573"/>
    </row>
    <row r="643" spans="3:30" ht="10.5" customHeight="1">
      <c r="C643" s="2388" t="s">
        <v>5141</v>
      </c>
      <c r="D643" s="2385">
        <v>1</v>
      </c>
      <c r="E643" s="2385">
        <v>1</v>
      </c>
      <c r="F643" s="2386">
        <v>2</v>
      </c>
      <c r="G643" s="2412" t="s">
        <v>5141</v>
      </c>
      <c r="H643" s="2383">
        <v>1</v>
      </c>
      <c r="I643" s="2383">
        <v>1</v>
      </c>
      <c r="J643" s="2413">
        <v>2</v>
      </c>
      <c r="K643" s="2387"/>
      <c r="L643" s="2381">
        <v>13057091006</v>
      </c>
      <c r="M643" s="2382">
        <v>1</v>
      </c>
      <c r="N643" s="2382">
        <v>1</v>
      </c>
      <c r="O643" s="2382">
        <v>2</v>
      </c>
      <c r="P643" s="626" t="s">
        <v>2113</v>
      </c>
      <c r="Q643" s="321"/>
      <c r="R643" s="189"/>
      <c r="S643" s="445"/>
      <c r="T643" s="627" t="s">
        <v>1485</v>
      </c>
      <c r="U643" s="627" t="s">
        <v>1427</v>
      </c>
      <c r="AA643" s="27"/>
      <c r="AB643" s="27"/>
      <c r="AC643" s="1038"/>
      <c r="AD643" s="573"/>
    </row>
    <row r="644" spans="3:30" ht="10.5" customHeight="1">
      <c r="C644" s="2388" t="s">
        <v>5142</v>
      </c>
      <c r="D644" s="2385">
        <v>1</v>
      </c>
      <c r="E644" s="2385">
        <v>1</v>
      </c>
      <c r="F644" s="2386">
        <v>2</v>
      </c>
      <c r="G644" s="2412" t="s">
        <v>5142</v>
      </c>
      <c r="H644" s="2383">
        <v>1</v>
      </c>
      <c r="I644" s="2383">
        <v>1</v>
      </c>
      <c r="J644" s="2413">
        <v>2</v>
      </c>
      <c r="K644" s="2387"/>
      <c r="L644" s="2381">
        <v>13057091007</v>
      </c>
      <c r="M644" s="2382">
        <v>1</v>
      </c>
      <c r="N644" s="2382">
        <v>1</v>
      </c>
      <c r="O644" s="2382">
        <v>2</v>
      </c>
      <c r="P644" s="626" t="s">
        <v>1579</v>
      </c>
      <c r="Q644" s="321"/>
      <c r="R644" s="189"/>
      <c r="S644" s="445"/>
      <c r="T644" s="560" t="s">
        <v>1487</v>
      </c>
      <c r="U644" s="560" t="s">
        <v>2125</v>
      </c>
      <c r="AA644" s="27"/>
      <c r="AB644" s="27"/>
      <c r="AC644" s="1039"/>
      <c r="AD644" s="573"/>
    </row>
    <row r="645" spans="3:30" ht="10.5" customHeight="1">
      <c r="C645" s="2388" t="s">
        <v>5143</v>
      </c>
      <c r="D645" s="2385">
        <v>1</v>
      </c>
      <c r="E645" s="2385">
        <v>1</v>
      </c>
      <c r="F645" s="2386">
        <v>2</v>
      </c>
      <c r="G645" s="2412" t="s">
        <v>5143</v>
      </c>
      <c r="H645" s="2383">
        <v>1</v>
      </c>
      <c r="I645" s="2383" t="s">
        <v>4493</v>
      </c>
      <c r="J645" s="2413">
        <v>1</v>
      </c>
      <c r="K645" s="2387"/>
      <c r="L645" s="2381">
        <v>13057091008</v>
      </c>
      <c r="M645" s="2382">
        <v>1</v>
      </c>
      <c r="N645" s="2382">
        <v>1</v>
      </c>
      <c r="O645" s="2382">
        <v>2</v>
      </c>
      <c r="P645" s="626" t="s">
        <v>1580</v>
      </c>
      <c r="Q645" s="321"/>
      <c r="R645" s="189"/>
      <c r="S645" s="445"/>
      <c r="T645" s="560" t="s">
        <v>61</v>
      </c>
      <c r="U645" s="560" t="s">
        <v>1298</v>
      </c>
      <c r="AA645" s="27"/>
      <c r="AB645" s="27"/>
      <c r="AC645" s="1038"/>
      <c r="AD645" s="573"/>
    </row>
    <row r="646" spans="3:30" ht="10.5" customHeight="1">
      <c r="C646" s="2388" t="s">
        <v>5144</v>
      </c>
      <c r="D646" s="2385">
        <v>1</v>
      </c>
      <c r="E646" s="2385">
        <v>1</v>
      </c>
      <c r="F646" s="2386">
        <v>2</v>
      </c>
      <c r="G646" s="2412" t="s">
        <v>5144</v>
      </c>
      <c r="H646" s="2383">
        <v>1</v>
      </c>
      <c r="I646" s="2383" t="s">
        <v>4493</v>
      </c>
      <c r="J646" s="2413">
        <v>1</v>
      </c>
      <c r="K646" s="2387"/>
      <c r="L646" s="2381">
        <v>13057091101</v>
      </c>
      <c r="M646" s="2382">
        <v>1</v>
      </c>
      <c r="N646" s="2382">
        <v>1</v>
      </c>
      <c r="O646" s="2382">
        <v>2</v>
      </c>
      <c r="P646" s="626" t="s">
        <v>1582</v>
      </c>
      <c r="Q646" s="321"/>
      <c r="R646" s="189"/>
      <c r="S646" s="445"/>
      <c r="T646" s="627" t="s">
        <v>63</v>
      </c>
      <c r="U646" s="627" t="s">
        <v>103</v>
      </c>
      <c r="AA646" s="27"/>
      <c r="AB646" s="27"/>
      <c r="AC646" s="1038"/>
      <c r="AD646" s="573"/>
    </row>
    <row r="647" spans="3:30" ht="10.5" customHeight="1">
      <c r="C647" s="2388" t="s">
        <v>5145</v>
      </c>
      <c r="D647" s="2385">
        <v>1</v>
      </c>
      <c r="E647" s="2385">
        <v>0</v>
      </c>
      <c r="F647" s="2386">
        <v>1</v>
      </c>
      <c r="G647" s="2412" t="s">
        <v>5145</v>
      </c>
      <c r="H647" s="2383">
        <v>1</v>
      </c>
      <c r="I647" s="2383">
        <v>0</v>
      </c>
      <c r="J647" s="2413">
        <v>1</v>
      </c>
      <c r="K647" s="2387"/>
      <c r="L647" s="2381">
        <v>13057091102</v>
      </c>
      <c r="M647" s="2382">
        <v>1</v>
      </c>
      <c r="N647" s="2382">
        <v>0</v>
      </c>
      <c r="O647" s="2382">
        <v>1</v>
      </c>
      <c r="P647" s="626" t="s">
        <v>1583</v>
      </c>
      <c r="Q647" s="321"/>
      <c r="R647" s="189"/>
      <c r="S647" s="445"/>
      <c r="T647" s="560" t="s">
        <v>65</v>
      </c>
      <c r="U647" s="560" t="s">
        <v>856</v>
      </c>
      <c r="AA647" s="27"/>
      <c r="AB647" s="27"/>
      <c r="AC647" s="1039"/>
      <c r="AD647" s="573"/>
    </row>
    <row r="648" spans="3:30" ht="10.5" customHeight="1">
      <c r="C648" s="2388" t="s">
        <v>5146</v>
      </c>
      <c r="D648" s="2385">
        <v>1</v>
      </c>
      <c r="E648" s="2385">
        <v>1</v>
      </c>
      <c r="F648" s="2386">
        <v>2</v>
      </c>
      <c r="G648" s="2412" t="s">
        <v>5146</v>
      </c>
      <c r="H648" s="2383">
        <v>1</v>
      </c>
      <c r="I648" s="2383">
        <v>1</v>
      </c>
      <c r="J648" s="2413">
        <v>2</v>
      </c>
      <c r="K648" s="2387"/>
      <c r="L648" s="2381">
        <v>13057091103</v>
      </c>
      <c r="M648" s="2382">
        <v>1</v>
      </c>
      <c r="N648" s="2382">
        <v>1</v>
      </c>
      <c r="O648" s="2382">
        <v>2</v>
      </c>
      <c r="P648" s="626" t="s">
        <v>1585</v>
      </c>
      <c r="Q648" s="321"/>
      <c r="R648" s="189"/>
      <c r="S648" s="445"/>
      <c r="T648" s="560" t="s">
        <v>67</v>
      </c>
      <c r="U648" s="560" t="s">
        <v>1488</v>
      </c>
      <c r="AA648" s="27"/>
      <c r="AB648" s="27"/>
      <c r="AC648" s="1038"/>
      <c r="AD648" s="573"/>
    </row>
    <row r="649" spans="3:30" ht="10.5" customHeight="1">
      <c r="C649" s="2388" t="s">
        <v>5147</v>
      </c>
      <c r="D649" s="2385">
        <v>0</v>
      </c>
      <c r="E649" s="2385">
        <v>1</v>
      </c>
      <c r="F649" s="2386">
        <v>1</v>
      </c>
      <c r="G649" s="2412" t="s">
        <v>5147</v>
      </c>
      <c r="H649" s="2383">
        <v>0</v>
      </c>
      <c r="I649" s="2383" t="s">
        <v>4493</v>
      </c>
      <c r="J649" s="2413">
        <v>0</v>
      </c>
      <c r="K649" s="2387"/>
      <c r="L649" s="2381">
        <v>13059000100</v>
      </c>
      <c r="M649" s="2382">
        <v>0</v>
      </c>
      <c r="N649" s="2382">
        <v>1</v>
      </c>
      <c r="O649" s="2382">
        <v>1</v>
      </c>
      <c r="P649" s="626" t="s">
        <v>1586</v>
      </c>
      <c r="Q649" s="321"/>
      <c r="R649" s="189"/>
      <c r="S649" s="445"/>
      <c r="T649" s="560" t="s">
        <v>757</v>
      </c>
      <c r="U649" s="560" t="s">
        <v>2419</v>
      </c>
      <c r="AA649" s="27"/>
      <c r="AB649" s="27"/>
      <c r="AC649" s="1038"/>
      <c r="AD649" s="573"/>
    </row>
    <row r="650" spans="3:30" ht="10.5" customHeight="1">
      <c r="C650" s="2388" t="s">
        <v>5148</v>
      </c>
      <c r="D650" s="2385">
        <v>0</v>
      </c>
      <c r="E650" s="2385">
        <v>0</v>
      </c>
      <c r="F650" s="2386">
        <v>0</v>
      </c>
      <c r="G650" s="2412" t="s">
        <v>5148</v>
      </c>
      <c r="H650" s="2383">
        <v>0</v>
      </c>
      <c r="I650" s="2383" t="s">
        <v>4493</v>
      </c>
      <c r="J650" s="2413">
        <v>0</v>
      </c>
      <c r="K650" s="2387"/>
      <c r="L650" s="2381">
        <v>13059000401</v>
      </c>
      <c r="M650" s="2382">
        <v>0</v>
      </c>
      <c r="N650" s="2382">
        <v>0</v>
      </c>
      <c r="O650" s="2382">
        <v>0</v>
      </c>
      <c r="P650" s="626" t="s">
        <v>1588</v>
      </c>
      <c r="Q650" s="321"/>
      <c r="R650" s="189"/>
      <c r="S650" s="445"/>
      <c r="T650" s="560" t="s">
        <v>710</v>
      </c>
      <c r="U650" s="560" t="s">
        <v>2425</v>
      </c>
      <c r="AA650" s="27"/>
      <c r="AB650" s="27"/>
      <c r="AC650" s="1038"/>
      <c r="AD650" s="573"/>
    </row>
    <row r="651" spans="3:30" ht="10.5" customHeight="1">
      <c r="C651" s="2388" t="s">
        <v>5149</v>
      </c>
      <c r="D651" s="2385">
        <v>0</v>
      </c>
      <c r="E651" s="2385">
        <v>1</v>
      </c>
      <c r="F651" s="2386">
        <v>1</v>
      </c>
      <c r="G651" s="2412" t="s">
        <v>5149</v>
      </c>
      <c r="H651" s="2383">
        <v>0</v>
      </c>
      <c r="I651" s="2383" t="s">
        <v>4493</v>
      </c>
      <c r="J651" s="2413">
        <v>0</v>
      </c>
      <c r="K651" s="2387"/>
      <c r="L651" s="2381">
        <v>13059000402</v>
      </c>
      <c r="M651" s="2382">
        <v>0</v>
      </c>
      <c r="N651" s="2382">
        <v>1</v>
      </c>
      <c r="O651" s="2382">
        <v>1</v>
      </c>
      <c r="P651" s="626" t="s">
        <v>2355</v>
      </c>
      <c r="Q651" s="321"/>
      <c r="R651" s="189"/>
      <c r="S651" s="445"/>
      <c r="T651" s="560" t="s">
        <v>919</v>
      </c>
      <c r="U651" s="560" t="s">
        <v>2466</v>
      </c>
      <c r="AA651" s="27"/>
      <c r="AB651" s="27"/>
      <c r="AC651" s="1038"/>
      <c r="AD651" s="573"/>
    </row>
    <row r="652" spans="3:30" ht="10.5" customHeight="1">
      <c r="C652" s="2388" t="s">
        <v>5150</v>
      </c>
      <c r="D652" s="2385">
        <v>0</v>
      </c>
      <c r="E652" s="2385">
        <v>0</v>
      </c>
      <c r="F652" s="2386">
        <v>0</v>
      </c>
      <c r="G652" s="2412" t="s">
        <v>5150</v>
      </c>
      <c r="H652" s="2383">
        <v>0</v>
      </c>
      <c r="I652" s="2383">
        <v>1</v>
      </c>
      <c r="J652" s="2413">
        <v>1</v>
      </c>
      <c r="K652" s="2387"/>
      <c r="L652" s="2381">
        <v>13059000600</v>
      </c>
      <c r="M652" s="2382">
        <v>0</v>
      </c>
      <c r="N652" s="2382">
        <v>1</v>
      </c>
      <c r="O652" s="2382">
        <v>1</v>
      </c>
      <c r="P652" s="626" t="s">
        <v>163</v>
      </c>
      <c r="Q652" s="321"/>
      <c r="R652" s="189"/>
      <c r="S652" s="445"/>
      <c r="T652" s="560" t="s">
        <v>1047</v>
      </c>
      <c r="U652" s="560" t="s">
        <v>315</v>
      </c>
      <c r="AA652" s="27"/>
      <c r="AB652" s="27"/>
      <c r="AC652" s="1038"/>
      <c r="AD652" s="573"/>
    </row>
    <row r="653" spans="3:30" ht="10.5" customHeight="1">
      <c r="C653" s="2388" t="s">
        <v>5151</v>
      </c>
      <c r="D653" s="2385">
        <v>0</v>
      </c>
      <c r="E653" s="2385">
        <v>0</v>
      </c>
      <c r="F653" s="2386">
        <v>0</v>
      </c>
      <c r="G653" s="2412" t="s">
        <v>5151</v>
      </c>
      <c r="H653" s="2383">
        <v>0</v>
      </c>
      <c r="I653" s="2383">
        <v>0</v>
      </c>
      <c r="J653" s="2413">
        <v>0</v>
      </c>
      <c r="K653" s="2387"/>
      <c r="L653" s="2381">
        <v>13059000900</v>
      </c>
      <c r="M653" s="2382">
        <v>0</v>
      </c>
      <c r="N653" s="2382">
        <v>0</v>
      </c>
      <c r="O653" s="2382">
        <v>0</v>
      </c>
      <c r="P653" s="626" t="s">
        <v>966</v>
      </c>
      <c r="Q653" s="321"/>
      <c r="R653" s="189"/>
      <c r="S653" s="445"/>
      <c r="T653" s="560" t="s">
        <v>1158</v>
      </c>
      <c r="U653" s="560" t="s">
        <v>1904</v>
      </c>
      <c r="AA653" s="27"/>
      <c r="AB653" s="27"/>
      <c r="AC653" s="1038"/>
      <c r="AD653" s="573"/>
    </row>
    <row r="654" spans="3:30" ht="10.5" customHeight="1">
      <c r="C654" s="2388" t="s">
        <v>5152</v>
      </c>
      <c r="D654" s="2385">
        <v>1</v>
      </c>
      <c r="E654" s="2385">
        <v>0</v>
      </c>
      <c r="F654" s="2386">
        <v>1</v>
      </c>
      <c r="G654" s="2412" t="s">
        <v>5152</v>
      </c>
      <c r="H654" s="2383">
        <v>1</v>
      </c>
      <c r="I654" s="2383">
        <v>1</v>
      </c>
      <c r="J654" s="2413">
        <v>2</v>
      </c>
      <c r="K654" s="2387"/>
      <c r="L654" s="2381">
        <v>13059001200</v>
      </c>
      <c r="M654" s="2382">
        <v>1</v>
      </c>
      <c r="N654" s="2382">
        <v>1</v>
      </c>
      <c r="O654" s="2382">
        <v>2</v>
      </c>
      <c r="P654" s="626" t="s">
        <v>967</v>
      </c>
      <c r="Q654" s="321"/>
      <c r="R654" s="189"/>
      <c r="S654" s="445"/>
      <c r="T654" s="627" t="s">
        <v>2770</v>
      </c>
      <c r="U654" s="627" t="s">
        <v>1735</v>
      </c>
      <c r="AA654" s="27"/>
      <c r="AB654" s="27"/>
      <c r="AC654" s="1038"/>
      <c r="AD654" s="573"/>
    </row>
    <row r="655" spans="3:30" ht="10.5" customHeight="1">
      <c r="C655" s="2388" t="s">
        <v>5153</v>
      </c>
      <c r="D655" s="2385">
        <v>1</v>
      </c>
      <c r="E655" s="2385">
        <v>1</v>
      </c>
      <c r="F655" s="2386">
        <v>2</v>
      </c>
      <c r="G655" s="2412" t="s">
        <v>5153</v>
      </c>
      <c r="H655" s="2383">
        <v>1</v>
      </c>
      <c r="I655" s="2383">
        <v>1</v>
      </c>
      <c r="J655" s="2413">
        <v>2</v>
      </c>
      <c r="K655" s="2387"/>
      <c r="L655" s="2381">
        <v>13059001700</v>
      </c>
      <c r="M655" s="2382">
        <v>1</v>
      </c>
      <c r="N655" s="2382">
        <v>1</v>
      </c>
      <c r="O655" s="2382">
        <v>2</v>
      </c>
      <c r="P655" s="626" t="s">
        <v>969</v>
      </c>
      <c r="Q655" s="321"/>
      <c r="R655" s="189"/>
      <c r="S655" s="445"/>
      <c r="T655" s="560" t="s">
        <v>1021</v>
      </c>
      <c r="U655" s="560" t="s">
        <v>1075</v>
      </c>
      <c r="AA655" s="27"/>
      <c r="AB655" s="27"/>
      <c r="AC655" s="1039"/>
      <c r="AD655" s="573"/>
    </row>
    <row r="656" spans="3:30" ht="10.5" customHeight="1">
      <c r="C656" s="2388" t="s">
        <v>5154</v>
      </c>
      <c r="D656" s="2385">
        <v>0</v>
      </c>
      <c r="E656" s="2385">
        <v>1</v>
      </c>
      <c r="F656" s="2386">
        <v>1</v>
      </c>
      <c r="G656" s="2412" t="s">
        <v>5154</v>
      </c>
      <c r="H656" s="2383">
        <v>0</v>
      </c>
      <c r="I656" s="2383">
        <v>0</v>
      </c>
      <c r="J656" s="2413">
        <v>0</v>
      </c>
      <c r="K656" s="2387"/>
      <c r="L656" s="2381">
        <v>13059001800</v>
      </c>
      <c r="M656" s="2382">
        <v>0</v>
      </c>
      <c r="N656" s="2382">
        <v>1</v>
      </c>
      <c r="O656" s="2382">
        <v>1</v>
      </c>
      <c r="P656" s="626" t="s">
        <v>2319</v>
      </c>
      <c r="Q656" s="321"/>
      <c r="R656" s="189"/>
      <c r="S656" s="445"/>
      <c r="T656" s="560" t="s">
        <v>2208</v>
      </c>
      <c r="U656" s="560" t="s">
        <v>2118</v>
      </c>
      <c r="AA656" s="27"/>
      <c r="AB656" s="27"/>
      <c r="AC656" s="1038"/>
      <c r="AD656" s="573"/>
    </row>
    <row r="657" spans="3:30" ht="10.5" customHeight="1">
      <c r="C657" s="2388" t="s">
        <v>5155</v>
      </c>
      <c r="D657" s="2385">
        <v>0</v>
      </c>
      <c r="E657" s="2385">
        <v>0</v>
      </c>
      <c r="F657" s="2386">
        <v>0</v>
      </c>
      <c r="G657" s="2412" t="s">
        <v>5155</v>
      </c>
      <c r="H657" s="2383">
        <v>0</v>
      </c>
      <c r="I657" s="2383">
        <v>0</v>
      </c>
      <c r="J657" s="2413">
        <v>0</v>
      </c>
      <c r="K657" s="2387"/>
      <c r="L657" s="2381">
        <v>13059001900</v>
      </c>
      <c r="M657" s="2382">
        <v>0</v>
      </c>
      <c r="N657" s="2382">
        <v>0</v>
      </c>
      <c r="O657" s="2382">
        <v>0</v>
      </c>
      <c r="P657" s="626" t="s">
        <v>2459</v>
      </c>
      <c r="Q657" s="321"/>
      <c r="R657" s="189"/>
      <c r="S657" s="445"/>
      <c r="T657" s="560" t="s">
        <v>2210</v>
      </c>
      <c r="U657" s="560" t="s">
        <v>640</v>
      </c>
      <c r="AA657" s="27"/>
      <c r="AB657" s="27"/>
      <c r="AC657" s="1038"/>
      <c r="AD657" s="573"/>
    </row>
    <row r="658" spans="3:30" ht="10.5" customHeight="1">
      <c r="C658" s="2388" t="s">
        <v>5156</v>
      </c>
      <c r="D658" s="2385">
        <v>1</v>
      </c>
      <c r="E658" s="2385">
        <v>1</v>
      </c>
      <c r="F658" s="2386">
        <v>2</v>
      </c>
      <c r="G658" s="2412" t="s">
        <v>5156</v>
      </c>
      <c r="H658" s="2383">
        <v>1</v>
      </c>
      <c r="I658" s="2383">
        <v>1</v>
      </c>
      <c r="J658" s="2413">
        <v>2</v>
      </c>
      <c r="K658" s="2387"/>
      <c r="L658" s="2381">
        <v>13059002000</v>
      </c>
      <c r="M658" s="2382">
        <v>1</v>
      </c>
      <c r="N658" s="2382">
        <v>1</v>
      </c>
      <c r="O658" s="2382">
        <v>2</v>
      </c>
      <c r="P658" s="626" t="s">
        <v>1954</v>
      </c>
      <c r="Q658" s="321"/>
      <c r="R658" s="189"/>
      <c r="S658" s="445"/>
      <c r="T658" s="560" t="s">
        <v>1726</v>
      </c>
      <c r="U658" s="560" t="s">
        <v>715</v>
      </c>
      <c r="AA658" s="27"/>
      <c r="AB658" s="27"/>
      <c r="AC658" s="1038"/>
      <c r="AD658" s="573"/>
    </row>
    <row r="659" spans="3:30" ht="10.5" customHeight="1">
      <c r="C659" s="2388" t="s">
        <v>5157</v>
      </c>
      <c r="D659" s="2385">
        <v>0</v>
      </c>
      <c r="E659" s="2385">
        <v>1</v>
      </c>
      <c r="F659" s="2386">
        <v>1</v>
      </c>
      <c r="G659" s="2412" t="s">
        <v>5157</v>
      </c>
      <c r="H659" s="2383">
        <v>0</v>
      </c>
      <c r="I659" s="2383" t="s">
        <v>4493</v>
      </c>
      <c r="J659" s="2413">
        <v>0</v>
      </c>
      <c r="K659" s="2387"/>
      <c r="L659" s="2381">
        <v>13059002100</v>
      </c>
      <c r="M659" s="2382">
        <v>0</v>
      </c>
      <c r="N659" s="2382">
        <v>1</v>
      </c>
      <c r="O659" s="2382">
        <v>1</v>
      </c>
      <c r="P659" s="626" t="s">
        <v>922</v>
      </c>
      <c r="Q659" s="321"/>
      <c r="R659" s="189"/>
      <c r="S659" s="445"/>
      <c r="T659" s="627" t="s">
        <v>2455</v>
      </c>
      <c r="U659" s="627" t="s">
        <v>1960</v>
      </c>
      <c r="AA659" s="27"/>
      <c r="AB659" s="27"/>
      <c r="AC659" s="1038"/>
      <c r="AD659" s="573"/>
    </row>
    <row r="660" spans="3:30" ht="10.5" customHeight="1">
      <c r="C660" s="2388" t="s">
        <v>5158</v>
      </c>
      <c r="D660" s="2385">
        <v>1</v>
      </c>
      <c r="E660" s="2385">
        <v>1</v>
      </c>
      <c r="F660" s="2386">
        <v>2</v>
      </c>
      <c r="G660" s="2412" t="s">
        <v>5158</v>
      </c>
      <c r="H660" s="2383">
        <v>1</v>
      </c>
      <c r="I660" s="2383" t="s">
        <v>4493</v>
      </c>
      <c r="J660" s="2413">
        <v>1</v>
      </c>
      <c r="K660" s="2387"/>
      <c r="L660" s="2381">
        <v>13059002200</v>
      </c>
      <c r="M660" s="2382">
        <v>1</v>
      </c>
      <c r="N660" s="2382">
        <v>1</v>
      </c>
      <c r="O660" s="2382">
        <v>2</v>
      </c>
      <c r="P660" s="626" t="s">
        <v>753</v>
      </c>
      <c r="Q660" s="321"/>
      <c r="R660" s="189"/>
      <c r="S660" s="445"/>
      <c r="T660" s="560" t="s">
        <v>2114</v>
      </c>
      <c r="U660" s="560" t="s">
        <v>1180</v>
      </c>
      <c r="AA660" s="27"/>
      <c r="AB660" s="27"/>
      <c r="AC660" s="1039"/>
      <c r="AD660" s="573"/>
    </row>
    <row r="661" spans="3:30" ht="10.5" customHeight="1">
      <c r="C661" s="2388" t="s">
        <v>5159</v>
      </c>
      <c r="D661" s="2385">
        <v>0</v>
      </c>
      <c r="E661" s="2385">
        <v>0</v>
      </c>
      <c r="F661" s="2386">
        <v>0</v>
      </c>
      <c r="G661" s="2412" t="s">
        <v>5159</v>
      </c>
      <c r="H661" s="2383">
        <v>0</v>
      </c>
      <c r="I661" s="2383">
        <v>0</v>
      </c>
      <c r="J661" s="2413">
        <v>0</v>
      </c>
      <c r="K661" s="2387"/>
      <c r="L661" s="2381">
        <v>13059030100</v>
      </c>
      <c r="M661" s="2382">
        <v>0</v>
      </c>
      <c r="N661" s="2382">
        <v>0</v>
      </c>
      <c r="O661" s="2382">
        <v>0</v>
      </c>
      <c r="P661" s="626" t="s">
        <v>1438</v>
      </c>
      <c r="Q661" s="321"/>
      <c r="R661" s="189"/>
      <c r="S661" s="445"/>
      <c r="T661" s="560" t="s">
        <v>1581</v>
      </c>
      <c r="U661" s="560" t="s">
        <v>642</v>
      </c>
      <c r="AA661" s="27"/>
      <c r="AB661" s="27"/>
      <c r="AC661" s="1038"/>
      <c r="AD661" s="573"/>
    </row>
    <row r="662" spans="3:30" ht="10.5" customHeight="1">
      <c r="C662" s="2388" t="s">
        <v>5160</v>
      </c>
      <c r="D662" s="2385">
        <v>0</v>
      </c>
      <c r="E662" s="2385">
        <v>0</v>
      </c>
      <c r="F662" s="2386">
        <v>0</v>
      </c>
      <c r="G662" s="2412" t="s">
        <v>5160</v>
      </c>
      <c r="H662" s="2383">
        <v>0</v>
      </c>
      <c r="I662" s="2383">
        <v>0</v>
      </c>
      <c r="J662" s="2413">
        <v>0</v>
      </c>
      <c r="K662" s="2387"/>
      <c r="L662" s="2381">
        <v>13059030200</v>
      </c>
      <c r="M662" s="2382">
        <v>0</v>
      </c>
      <c r="N662" s="2382">
        <v>0</v>
      </c>
      <c r="O662" s="2382">
        <v>0</v>
      </c>
      <c r="P662" s="626" t="s">
        <v>1440</v>
      </c>
      <c r="Q662" s="321"/>
      <c r="R662" s="189"/>
      <c r="S662" s="445"/>
      <c r="T662" s="560" t="s">
        <v>812</v>
      </c>
      <c r="U662" s="560" t="s">
        <v>1286</v>
      </c>
      <c r="AA662" s="27"/>
      <c r="AB662" s="27"/>
      <c r="AC662" s="1038"/>
      <c r="AD662" s="573"/>
    </row>
    <row r="663" spans="3:30" ht="10.5" customHeight="1">
      <c r="C663" s="2388" t="s">
        <v>5161</v>
      </c>
      <c r="D663" s="2385">
        <v>0</v>
      </c>
      <c r="E663" s="2385">
        <v>0</v>
      </c>
      <c r="F663" s="2386">
        <v>0</v>
      </c>
      <c r="G663" s="2412" t="s">
        <v>5161</v>
      </c>
      <c r="H663" s="2383">
        <v>0</v>
      </c>
      <c r="I663" s="2383">
        <v>0</v>
      </c>
      <c r="J663" s="2413">
        <v>0</v>
      </c>
      <c r="K663" s="2387"/>
      <c r="L663" s="2381">
        <v>13059130300</v>
      </c>
      <c r="M663" s="2382">
        <v>0</v>
      </c>
      <c r="N663" s="2382">
        <v>0</v>
      </c>
      <c r="O663" s="2382">
        <v>0</v>
      </c>
      <c r="P663" s="626" t="s">
        <v>1442</v>
      </c>
      <c r="Q663" s="321"/>
      <c r="R663" s="189"/>
      <c r="S663" s="445"/>
      <c r="T663" s="560" t="s">
        <v>1584</v>
      </c>
      <c r="U663" s="560" t="s">
        <v>2517</v>
      </c>
      <c r="AA663" s="27"/>
      <c r="AB663" s="27"/>
      <c r="AC663" s="1038"/>
      <c r="AD663" s="573"/>
    </row>
    <row r="664" spans="3:30" ht="10.5" customHeight="1">
      <c r="C664" s="2388" t="s">
        <v>5162</v>
      </c>
      <c r="D664" s="2385">
        <v>1</v>
      </c>
      <c r="E664" s="2385">
        <v>0</v>
      </c>
      <c r="F664" s="2386">
        <v>1</v>
      </c>
      <c r="G664" s="2412" t="s">
        <v>5162</v>
      </c>
      <c r="H664" s="2383">
        <v>1</v>
      </c>
      <c r="I664" s="2383">
        <v>1</v>
      </c>
      <c r="J664" s="2413">
        <v>2</v>
      </c>
      <c r="K664" s="2387"/>
      <c r="L664" s="2381">
        <v>13059130400</v>
      </c>
      <c r="M664" s="2382">
        <v>1</v>
      </c>
      <c r="N664" s="2382">
        <v>1</v>
      </c>
      <c r="O664" s="2382">
        <v>2</v>
      </c>
      <c r="P664" s="626" t="s">
        <v>1278</v>
      </c>
      <c r="Q664" s="321"/>
      <c r="R664" s="189"/>
      <c r="S664" s="445"/>
      <c r="T664" s="560" t="s">
        <v>1587</v>
      </c>
      <c r="U664" s="560" t="s">
        <v>1600</v>
      </c>
      <c r="AA664" s="27"/>
      <c r="AB664" s="27"/>
      <c r="AC664" s="1038"/>
      <c r="AD664" s="573"/>
    </row>
    <row r="665" spans="3:30" ht="10.5" customHeight="1">
      <c r="C665" s="2388" t="s">
        <v>5163</v>
      </c>
      <c r="D665" s="2385">
        <v>0</v>
      </c>
      <c r="E665" s="2385">
        <v>0</v>
      </c>
      <c r="F665" s="2386">
        <v>0</v>
      </c>
      <c r="G665" s="2412" t="s">
        <v>5163</v>
      </c>
      <c r="H665" s="2383">
        <v>1</v>
      </c>
      <c r="I665" s="2383">
        <v>0</v>
      </c>
      <c r="J665" s="2413">
        <v>1</v>
      </c>
      <c r="K665" s="2387"/>
      <c r="L665" s="2381">
        <v>13059130500</v>
      </c>
      <c r="M665" s="2382">
        <v>1</v>
      </c>
      <c r="N665" s="2382">
        <v>0</v>
      </c>
      <c r="O665" s="2382">
        <v>1</v>
      </c>
      <c r="P665" s="626" t="s">
        <v>1280</v>
      </c>
      <c r="Q665" s="321"/>
      <c r="R665" s="189"/>
      <c r="S665" s="445"/>
      <c r="T665" s="627" t="s">
        <v>1049</v>
      </c>
      <c r="U665" s="627" t="s">
        <v>1488</v>
      </c>
      <c r="AA665" s="27"/>
      <c r="AB665" s="27"/>
      <c r="AC665" s="1038"/>
      <c r="AD665" s="573"/>
    </row>
    <row r="666" spans="3:30" ht="10.5" customHeight="1">
      <c r="C666" s="2388" t="s">
        <v>5164</v>
      </c>
      <c r="D666" s="2385">
        <v>0</v>
      </c>
      <c r="E666" s="2385">
        <v>0</v>
      </c>
      <c r="F666" s="2386">
        <v>0</v>
      </c>
      <c r="G666" s="2412" t="s">
        <v>5164</v>
      </c>
      <c r="H666" s="2383">
        <v>0</v>
      </c>
      <c r="I666" s="2383">
        <v>0</v>
      </c>
      <c r="J666" s="2413">
        <v>0</v>
      </c>
      <c r="K666" s="2387"/>
      <c r="L666" s="2381">
        <v>13059130600</v>
      </c>
      <c r="M666" s="2382">
        <v>0</v>
      </c>
      <c r="N666" s="2382">
        <v>0</v>
      </c>
      <c r="O666" s="2382">
        <v>0</v>
      </c>
      <c r="P666" s="626" t="s">
        <v>1944</v>
      </c>
      <c r="Q666" s="321"/>
      <c r="R666" s="189"/>
      <c r="S666" s="445"/>
      <c r="T666" s="560" t="s">
        <v>2354</v>
      </c>
      <c r="U666" s="560" t="s">
        <v>103</v>
      </c>
      <c r="AA666" s="27"/>
      <c r="AB666" s="27"/>
      <c r="AC666" s="1039"/>
      <c r="AD666" s="573"/>
    </row>
    <row r="667" spans="3:30" ht="10.5" customHeight="1">
      <c r="C667" s="2388" t="s">
        <v>5165</v>
      </c>
      <c r="D667" s="2385">
        <v>1</v>
      </c>
      <c r="E667" s="2385">
        <v>1</v>
      </c>
      <c r="F667" s="2386">
        <v>2</v>
      </c>
      <c r="G667" s="2412" t="s">
        <v>5165</v>
      </c>
      <c r="H667" s="2383">
        <v>1</v>
      </c>
      <c r="I667" s="2383">
        <v>1</v>
      </c>
      <c r="J667" s="2413">
        <v>2</v>
      </c>
      <c r="K667" s="2387"/>
      <c r="L667" s="2381">
        <v>13059130700</v>
      </c>
      <c r="M667" s="2382">
        <v>1</v>
      </c>
      <c r="N667" s="2382">
        <v>1</v>
      </c>
      <c r="O667" s="2382">
        <v>2</v>
      </c>
      <c r="P667" s="626" t="s">
        <v>716</v>
      </c>
      <c r="Q667" s="321"/>
      <c r="R667" s="189"/>
      <c r="S667" s="445"/>
      <c r="T667" s="560" t="s">
        <v>795</v>
      </c>
      <c r="U667" s="560" t="s">
        <v>1180</v>
      </c>
      <c r="AA667" s="27"/>
      <c r="AB667" s="27"/>
      <c r="AC667" s="1038"/>
      <c r="AD667" s="573"/>
    </row>
    <row r="668" spans="3:30" ht="10.5" customHeight="1">
      <c r="C668" s="2388" t="s">
        <v>5166</v>
      </c>
      <c r="D668" s="2385">
        <v>0</v>
      </c>
      <c r="E668" s="2385">
        <v>0</v>
      </c>
      <c r="F668" s="2386">
        <v>0</v>
      </c>
      <c r="G668" s="2412" t="s">
        <v>5166</v>
      </c>
      <c r="H668" s="2383">
        <v>0</v>
      </c>
      <c r="I668" s="2383">
        <v>0</v>
      </c>
      <c r="J668" s="2413">
        <v>0</v>
      </c>
      <c r="K668" s="2387"/>
      <c r="L668" s="2381">
        <v>13059140300</v>
      </c>
      <c r="M668" s="2382">
        <v>0</v>
      </c>
      <c r="N668" s="2382">
        <v>0</v>
      </c>
      <c r="O668" s="2382">
        <v>0</v>
      </c>
      <c r="P668" s="626" t="s">
        <v>1240</v>
      </c>
      <c r="Q668" s="321"/>
      <c r="R668" s="189"/>
      <c r="S668" s="445"/>
      <c r="T668" s="560" t="s">
        <v>1277</v>
      </c>
      <c r="U668" s="560" t="s">
        <v>1862</v>
      </c>
      <c r="AA668" s="27"/>
      <c r="AB668" s="27"/>
      <c r="AC668" s="1038"/>
      <c r="AD668" s="573"/>
    </row>
    <row r="669" spans="3:30" ht="10.5" customHeight="1">
      <c r="C669" s="2388" t="s">
        <v>5167</v>
      </c>
      <c r="D669" s="2385">
        <v>0</v>
      </c>
      <c r="E669" s="2385">
        <v>0</v>
      </c>
      <c r="F669" s="2386">
        <v>0</v>
      </c>
      <c r="G669" s="2412" t="s">
        <v>5167</v>
      </c>
      <c r="H669" s="2383">
        <v>0</v>
      </c>
      <c r="I669" s="2383">
        <v>0</v>
      </c>
      <c r="J669" s="2413">
        <v>0</v>
      </c>
      <c r="K669" s="2387"/>
      <c r="L669" s="2381">
        <v>13059140400</v>
      </c>
      <c r="M669" s="2382">
        <v>0</v>
      </c>
      <c r="N669" s="2382">
        <v>0</v>
      </c>
      <c r="O669" s="2382">
        <v>0</v>
      </c>
      <c r="P669" s="626" t="s">
        <v>1835</v>
      </c>
      <c r="Q669" s="321"/>
      <c r="R669" s="189"/>
      <c r="S669" s="445"/>
      <c r="T669" s="560" t="s">
        <v>164</v>
      </c>
      <c r="U669" s="560" t="s">
        <v>1302</v>
      </c>
      <c r="AA669" s="27"/>
      <c r="AB669" s="27"/>
      <c r="AC669" s="1038"/>
      <c r="AD669" s="573"/>
    </row>
    <row r="670" spans="3:30" ht="10.5" customHeight="1">
      <c r="C670" s="2388" t="s">
        <v>5168</v>
      </c>
      <c r="D670" s="2385">
        <v>0</v>
      </c>
      <c r="E670" s="2385">
        <v>0</v>
      </c>
      <c r="F670" s="2386">
        <v>0</v>
      </c>
      <c r="G670" s="2412" t="s">
        <v>5168</v>
      </c>
      <c r="H670" s="2383">
        <v>0</v>
      </c>
      <c r="I670" s="2383">
        <v>0</v>
      </c>
      <c r="J670" s="2413">
        <v>0</v>
      </c>
      <c r="K670" s="2387"/>
      <c r="L670" s="2381">
        <v>13059140500</v>
      </c>
      <c r="M670" s="2382">
        <v>0</v>
      </c>
      <c r="N670" s="2382">
        <v>0</v>
      </c>
      <c r="O670" s="2382">
        <v>0</v>
      </c>
      <c r="P670" s="626" t="s">
        <v>1836</v>
      </c>
      <c r="Q670" s="321"/>
      <c r="R670" s="189"/>
      <c r="S670" s="445"/>
      <c r="T670" s="560" t="s">
        <v>968</v>
      </c>
      <c r="U670" s="560" t="s">
        <v>1626</v>
      </c>
      <c r="AA670" s="27"/>
      <c r="AB670" s="27"/>
      <c r="AC670" s="1038"/>
      <c r="AD670" s="573"/>
    </row>
    <row r="671" spans="3:30" ht="10.5" customHeight="1">
      <c r="C671" s="2388" t="s">
        <v>5169</v>
      </c>
      <c r="D671" s="2385">
        <v>0</v>
      </c>
      <c r="E671" s="2385">
        <v>0</v>
      </c>
      <c r="F671" s="2386">
        <v>0</v>
      </c>
      <c r="G671" s="2412" t="s">
        <v>5169</v>
      </c>
      <c r="H671" s="2383">
        <v>0</v>
      </c>
      <c r="I671" s="2383">
        <v>0</v>
      </c>
      <c r="J671" s="2413">
        <v>0</v>
      </c>
      <c r="K671" s="2387"/>
      <c r="L671" s="2381">
        <v>13059140600</v>
      </c>
      <c r="M671" s="2382">
        <v>0</v>
      </c>
      <c r="N671" s="2382">
        <v>0</v>
      </c>
      <c r="O671" s="2382">
        <v>0</v>
      </c>
      <c r="P671" s="626" t="s">
        <v>1838</v>
      </c>
      <c r="Q671" s="321"/>
      <c r="R671" s="189"/>
      <c r="S671" s="445"/>
      <c r="T671" s="560" t="s">
        <v>2771</v>
      </c>
      <c r="U671" s="560" t="s">
        <v>321</v>
      </c>
      <c r="AA671" s="27"/>
      <c r="AB671" s="27"/>
      <c r="AC671" s="1038"/>
      <c r="AD671" s="573"/>
    </row>
    <row r="672" spans="3:30" ht="10.5" customHeight="1">
      <c r="C672" s="2388" t="s">
        <v>5170</v>
      </c>
      <c r="D672" s="2385">
        <v>1</v>
      </c>
      <c r="E672" s="2385">
        <v>0</v>
      </c>
      <c r="F672" s="2386">
        <v>1</v>
      </c>
      <c r="G672" s="2412" t="s">
        <v>5170</v>
      </c>
      <c r="H672" s="2383">
        <v>1</v>
      </c>
      <c r="I672" s="2383">
        <v>1</v>
      </c>
      <c r="J672" s="2413">
        <v>2</v>
      </c>
      <c r="K672" s="2387"/>
      <c r="L672" s="2381">
        <v>13059150300</v>
      </c>
      <c r="M672" s="2382">
        <v>1</v>
      </c>
      <c r="N672" s="2382">
        <v>1</v>
      </c>
      <c r="O672" s="2382">
        <v>2</v>
      </c>
      <c r="P672" s="626" t="s">
        <v>1840</v>
      </c>
      <c r="Q672" s="321"/>
      <c r="R672" s="189"/>
      <c r="S672" s="445"/>
      <c r="T672" s="560" t="s">
        <v>2772</v>
      </c>
      <c r="U672" s="560" t="s">
        <v>111</v>
      </c>
      <c r="AA672" s="27"/>
      <c r="AB672" s="27"/>
      <c r="AC672" s="1038"/>
      <c r="AD672" s="573"/>
    </row>
    <row r="673" spans="3:30" ht="10.5" customHeight="1">
      <c r="C673" s="2388" t="s">
        <v>5171</v>
      </c>
      <c r="D673" s="2385">
        <v>0</v>
      </c>
      <c r="E673" s="2385">
        <v>1</v>
      </c>
      <c r="F673" s="2386">
        <v>1</v>
      </c>
      <c r="G673" s="2412" t="s">
        <v>5171</v>
      </c>
      <c r="H673" s="2383">
        <v>0</v>
      </c>
      <c r="I673" s="2383" t="s">
        <v>4493</v>
      </c>
      <c r="J673" s="2413">
        <v>0</v>
      </c>
      <c r="K673" s="2387"/>
      <c r="L673" s="2381">
        <v>13059150400</v>
      </c>
      <c r="M673" s="2382">
        <v>0</v>
      </c>
      <c r="N673" s="2382">
        <v>1</v>
      </c>
      <c r="O673" s="2382">
        <v>1</v>
      </c>
      <c r="P673" s="626" t="s">
        <v>1842</v>
      </c>
      <c r="Q673" s="321"/>
      <c r="R673" s="189"/>
      <c r="S673" s="445"/>
      <c r="T673" s="560" t="s">
        <v>1299</v>
      </c>
      <c r="U673" s="560" t="s">
        <v>155</v>
      </c>
      <c r="AA673" s="27"/>
      <c r="AB673" s="27"/>
      <c r="AC673" s="1038"/>
      <c r="AD673" s="573"/>
    </row>
    <row r="674" spans="3:30" ht="10.5" customHeight="1">
      <c r="C674" s="2388" t="s">
        <v>5172</v>
      </c>
      <c r="D674" s="2385">
        <v>0</v>
      </c>
      <c r="E674" s="2385">
        <v>1</v>
      </c>
      <c r="F674" s="2386">
        <v>1</v>
      </c>
      <c r="G674" s="2412" t="s">
        <v>5172</v>
      </c>
      <c r="H674" s="2383">
        <v>0</v>
      </c>
      <c r="I674" s="2383">
        <v>1</v>
      </c>
      <c r="J674" s="2413">
        <v>1</v>
      </c>
      <c r="K674" s="2387"/>
      <c r="L674" s="2381">
        <v>13059150500</v>
      </c>
      <c r="M674" s="2382">
        <v>0</v>
      </c>
      <c r="N674" s="2382">
        <v>1</v>
      </c>
      <c r="O674" s="2382">
        <v>1</v>
      </c>
      <c r="P674" s="626" t="s">
        <v>490</v>
      </c>
      <c r="Q674" s="321"/>
      <c r="R674" s="189"/>
      <c r="S674" s="445"/>
      <c r="T674" s="560" t="s">
        <v>2460</v>
      </c>
      <c r="U674" s="560" t="s">
        <v>850</v>
      </c>
      <c r="AA674" s="27"/>
      <c r="AB674" s="27"/>
      <c r="AC674" s="1038"/>
      <c r="AD674" s="573"/>
    </row>
    <row r="675" spans="3:30" ht="10.5" customHeight="1">
      <c r="C675" s="2388" t="s">
        <v>5173</v>
      </c>
      <c r="D675" s="2385">
        <v>0</v>
      </c>
      <c r="E675" s="2385">
        <v>0</v>
      </c>
      <c r="F675" s="2386">
        <v>0</v>
      </c>
      <c r="G675" s="2412" t="s">
        <v>5173</v>
      </c>
      <c r="H675" s="2383">
        <v>0</v>
      </c>
      <c r="I675" s="2383">
        <v>1</v>
      </c>
      <c r="J675" s="2413">
        <v>1</v>
      </c>
      <c r="K675" s="2387"/>
      <c r="L675" s="2381">
        <v>13059150600</v>
      </c>
      <c r="M675" s="2382">
        <v>0</v>
      </c>
      <c r="N675" s="2382">
        <v>1</v>
      </c>
      <c r="O675" s="2382">
        <v>1</v>
      </c>
      <c r="P675" s="626" t="s">
        <v>2469</v>
      </c>
      <c r="Q675" s="321"/>
      <c r="R675" s="189"/>
      <c r="S675" s="445"/>
      <c r="T675" s="560" t="s">
        <v>1050</v>
      </c>
      <c r="U675" s="560" t="s">
        <v>610</v>
      </c>
      <c r="AA675" s="27"/>
      <c r="AB675" s="27"/>
      <c r="AC675" s="1038"/>
      <c r="AD675" s="573"/>
    </row>
    <row r="676" spans="3:30" ht="10.5" customHeight="1">
      <c r="C676" s="2388" t="s">
        <v>5174</v>
      </c>
      <c r="D676" s="2385">
        <v>1</v>
      </c>
      <c r="E676" s="2385">
        <v>0</v>
      </c>
      <c r="F676" s="2386">
        <v>1</v>
      </c>
      <c r="G676" s="2412" t="s">
        <v>5174</v>
      </c>
      <c r="H676" s="2383">
        <v>0</v>
      </c>
      <c r="I676" s="2383">
        <v>1</v>
      </c>
      <c r="J676" s="2413">
        <v>1</v>
      </c>
      <c r="K676" s="2387"/>
      <c r="L676" s="2381">
        <v>13059150700</v>
      </c>
      <c r="M676" s="2382">
        <v>1</v>
      </c>
      <c r="N676" s="2382">
        <v>1</v>
      </c>
      <c r="O676" s="2382">
        <v>1</v>
      </c>
      <c r="P676" s="626" t="s">
        <v>2471</v>
      </c>
      <c r="Q676" s="321"/>
      <c r="R676" s="189"/>
      <c r="S676" s="445"/>
      <c r="T676" s="627" t="s">
        <v>2118</v>
      </c>
      <c r="U676" s="627" t="s">
        <v>105</v>
      </c>
      <c r="AA676" s="27"/>
      <c r="AB676" s="27"/>
      <c r="AC676" s="1038"/>
      <c r="AD676" s="573"/>
    </row>
    <row r="677" spans="3:30" ht="10.5" customHeight="1">
      <c r="C677" s="2388" t="s">
        <v>5175</v>
      </c>
      <c r="D677" s="2385">
        <v>1</v>
      </c>
      <c r="E677" s="2385">
        <v>1</v>
      </c>
      <c r="F677" s="2386">
        <v>2</v>
      </c>
      <c r="G677" s="2412" t="s">
        <v>5175</v>
      </c>
      <c r="H677" s="2383">
        <v>1</v>
      </c>
      <c r="I677" s="2383">
        <v>1</v>
      </c>
      <c r="J677" s="2413">
        <v>2</v>
      </c>
      <c r="K677" s="2387"/>
      <c r="L677" s="2381">
        <v>13059150800</v>
      </c>
      <c r="M677" s="2382">
        <v>1</v>
      </c>
      <c r="N677" s="2382">
        <v>1</v>
      </c>
      <c r="O677" s="2382">
        <v>2</v>
      </c>
      <c r="P677" s="626" t="s">
        <v>1132</v>
      </c>
      <c r="Q677" s="321"/>
      <c r="R677" s="189"/>
      <c r="S677" s="445"/>
      <c r="T677" s="560" t="s">
        <v>1439</v>
      </c>
      <c r="U677" s="560" t="s">
        <v>2465</v>
      </c>
      <c r="AA677" s="27"/>
      <c r="AB677" s="27"/>
      <c r="AC677" s="1039"/>
      <c r="AD677" s="573"/>
    </row>
    <row r="678" spans="3:30" ht="10.5" customHeight="1">
      <c r="C678" s="2388" t="s">
        <v>5176</v>
      </c>
      <c r="D678" s="2385">
        <v>1</v>
      </c>
      <c r="E678" s="2385">
        <v>1</v>
      </c>
      <c r="F678" s="2386">
        <v>2</v>
      </c>
      <c r="G678" s="2412" t="s">
        <v>5176</v>
      </c>
      <c r="H678" s="2383">
        <v>1</v>
      </c>
      <c r="I678" s="2383">
        <v>1</v>
      </c>
      <c r="J678" s="2413">
        <v>2</v>
      </c>
      <c r="K678" s="2387"/>
      <c r="L678" s="2381">
        <v>13059150900</v>
      </c>
      <c r="M678" s="2382">
        <v>1</v>
      </c>
      <c r="N678" s="2382">
        <v>1</v>
      </c>
      <c r="O678" s="2382">
        <v>2</v>
      </c>
      <c r="P678" s="626" t="s">
        <v>2450</v>
      </c>
      <c r="Q678" s="321"/>
      <c r="R678" s="189"/>
      <c r="S678" s="445"/>
      <c r="T678" s="560" t="s">
        <v>2773</v>
      </c>
      <c r="U678" s="560" t="s">
        <v>1904</v>
      </c>
      <c r="AA678" s="27"/>
      <c r="AB678" s="27"/>
      <c r="AC678" s="1038"/>
      <c r="AD678" s="573"/>
    </row>
    <row r="679" spans="3:30" ht="10.5" customHeight="1">
      <c r="C679" s="2388" t="s">
        <v>5177</v>
      </c>
      <c r="D679" s="2385">
        <v>0</v>
      </c>
      <c r="E679" s="2385">
        <v>0</v>
      </c>
      <c r="F679" s="2386">
        <v>0</v>
      </c>
      <c r="G679" s="2412" t="s">
        <v>5177</v>
      </c>
      <c r="H679" s="2383">
        <v>0</v>
      </c>
      <c r="I679" s="2383">
        <v>0</v>
      </c>
      <c r="J679" s="2413">
        <v>0</v>
      </c>
      <c r="K679" s="2387"/>
      <c r="L679" s="2381">
        <v>13061960300</v>
      </c>
      <c r="M679" s="2382">
        <v>0</v>
      </c>
      <c r="N679" s="2382">
        <v>0</v>
      </c>
      <c r="O679" s="2382">
        <v>0</v>
      </c>
      <c r="P679" s="626" t="s">
        <v>2452</v>
      </c>
      <c r="Q679" s="321"/>
      <c r="R679" s="189"/>
      <c r="S679" s="445"/>
      <c r="T679" s="560" t="s">
        <v>1441</v>
      </c>
      <c r="U679" s="560" t="s">
        <v>320</v>
      </c>
      <c r="AA679" s="27"/>
      <c r="AB679" s="27"/>
      <c r="AC679" s="1038"/>
      <c r="AD679" s="573"/>
    </row>
    <row r="680" spans="3:30" ht="10.5" customHeight="1">
      <c r="C680" s="2388" t="s">
        <v>5178</v>
      </c>
      <c r="D680" s="2385">
        <v>0</v>
      </c>
      <c r="E680" s="2385">
        <v>0</v>
      </c>
      <c r="F680" s="2386">
        <v>0</v>
      </c>
      <c r="G680" s="2412" t="s">
        <v>5178</v>
      </c>
      <c r="H680" s="2383">
        <v>0</v>
      </c>
      <c r="I680" s="2383" t="s">
        <v>4493</v>
      </c>
      <c r="J680" s="2413">
        <v>0</v>
      </c>
      <c r="K680" s="2387"/>
      <c r="L680" s="2381">
        <v>13063040202</v>
      </c>
      <c r="M680" s="2382">
        <v>0</v>
      </c>
      <c r="N680" s="2382">
        <v>0</v>
      </c>
      <c r="O680" s="2382">
        <v>0</v>
      </c>
      <c r="P680" s="626" t="s">
        <v>1499</v>
      </c>
      <c r="Q680" s="321"/>
      <c r="R680" s="189"/>
      <c r="S680" s="445"/>
      <c r="T680" s="560" t="s">
        <v>1051</v>
      </c>
      <c r="U680" s="560" t="s">
        <v>640</v>
      </c>
      <c r="AA680" s="27"/>
      <c r="AB680" s="27"/>
      <c r="AC680" s="1038"/>
      <c r="AD680" s="573"/>
    </row>
    <row r="681" spans="3:30" ht="10.5" customHeight="1">
      <c r="C681" s="2388" t="s">
        <v>5179</v>
      </c>
      <c r="D681" s="2385">
        <v>0</v>
      </c>
      <c r="E681" s="2385">
        <v>0</v>
      </c>
      <c r="F681" s="2386">
        <v>0</v>
      </c>
      <c r="G681" s="2412" t="s">
        <v>5179</v>
      </c>
      <c r="H681" s="2383">
        <v>0</v>
      </c>
      <c r="I681" s="2383">
        <v>0</v>
      </c>
      <c r="J681" s="2413">
        <v>0</v>
      </c>
      <c r="K681" s="2387"/>
      <c r="L681" s="2381">
        <v>13063040203</v>
      </c>
      <c r="M681" s="2382">
        <v>0</v>
      </c>
      <c r="N681" s="2382">
        <v>0</v>
      </c>
      <c r="O681" s="2382">
        <v>0</v>
      </c>
      <c r="P681" s="626" t="s">
        <v>1500</v>
      </c>
      <c r="Q681" s="321"/>
      <c r="R681" s="189"/>
      <c r="S681" s="445"/>
      <c r="T681" s="560" t="s">
        <v>1279</v>
      </c>
      <c r="U681" s="560" t="s">
        <v>2131</v>
      </c>
      <c r="AA681" s="27"/>
      <c r="AB681" s="27"/>
      <c r="AC681" s="1038"/>
      <c r="AD681" s="573"/>
    </row>
    <row r="682" spans="3:30" ht="10.5" customHeight="1">
      <c r="C682" s="2388" t="s">
        <v>5180</v>
      </c>
      <c r="D682" s="2385">
        <v>0</v>
      </c>
      <c r="E682" s="2385">
        <v>0</v>
      </c>
      <c r="F682" s="2386">
        <v>0</v>
      </c>
      <c r="G682" s="2412" t="s">
        <v>5180</v>
      </c>
      <c r="H682" s="2383">
        <v>0</v>
      </c>
      <c r="I682" s="2383">
        <v>0</v>
      </c>
      <c r="J682" s="2413">
        <v>0</v>
      </c>
      <c r="K682" s="2387"/>
      <c r="L682" s="2381">
        <v>13063040204</v>
      </c>
      <c r="M682" s="2382">
        <v>0</v>
      </c>
      <c r="N682" s="2382">
        <v>0</v>
      </c>
      <c r="O682" s="2382">
        <v>0</v>
      </c>
      <c r="P682" s="626" t="s">
        <v>2052</v>
      </c>
      <c r="Q682" s="321"/>
      <c r="R682" s="189"/>
      <c r="S682" s="445"/>
      <c r="T682" s="560" t="s">
        <v>1281</v>
      </c>
      <c r="U682" s="560" t="s">
        <v>2465</v>
      </c>
      <c r="AA682" s="27"/>
      <c r="AB682" s="27"/>
      <c r="AC682" s="1038"/>
      <c r="AD682" s="573"/>
    </row>
    <row r="683" spans="3:30" ht="10.5" customHeight="1">
      <c r="C683" s="2388" t="s">
        <v>5181</v>
      </c>
      <c r="D683" s="2385">
        <v>0</v>
      </c>
      <c r="E683" s="2385">
        <v>0</v>
      </c>
      <c r="F683" s="2386">
        <v>0</v>
      </c>
      <c r="G683" s="2412" t="s">
        <v>5181</v>
      </c>
      <c r="H683" s="2383">
        <v>0</v>
      </c>
      <c r="I683" s="2383">
        <v>0</v>
      </c>
      <c r="J683" s="2413">
        <v>0</v>
      </c>
      <c r="K683" s="2387"/>
      <c r="L683" s="2381">
        <v>13063040302</v>
      </c>
      <c r="M683" s="2382">
        <v>0</v>
      </c>
      <c r="N683" s="2382">
        <v>0</v>
      </c>
      <c r="O683" s="2382">
        <v>0</v>
      </c>
      <c r="P683" s="626" t="s">
        <v>2053</v>
      </c>
      <c r="Q683" s="321"/>
      <c r="R683" s="189"/>
      <c r="S683" s="445"/>
      <c r="T683" s="560" t="s">
        <v>1945</v>
      </c>
      <c r="U683" s="560" t="s">
        <v>1085</v>
      </c>
      <c r="AA683" s="27"/>
      <c r="AB683" s="27"/>
      <c r="AC683" s="1038"/>
      <c r="AD683" s="573"/>
    </row>
    <row r="684" spans="3:30" ht="10.5" customHeight="1">
      <c r="C684" s="2388" t="s">
        <v>5182</v>
      </c>
      <c r="D684" s="2385">
        <v>0</v>
      </c>
      <c r="E684" s="2385">
        <v>0</v>
      </c>
      <c r="F684" s="2386">
        <v>0</v>
      </c>
      <c r="G684" s="2412" t="s">
        <v>5182</v>
      </c>
      <c r="H684" s="2383">
        <v>0</v>
      </c>
      <c r="I684" s="2383">
        <v>0</v>
      </c>
      <c r="J684" s="2413">
        <v>0</v>
      </c>
      <c r="K684" s="2387"/>
      <c r="L684" s="2381">
        <v>13063040303</v>
      </c>
      <c r="M684" s="2382">
        <v>0</v>
      </c>
      <c r="N684" s="2382">
        <v>0</v>
      </c>
      <c r="O684" s="2382">
        <v>0</v>
      </c>
      <c r="P684" s="626" t="s">
        <v>1589</v>
      </c>
      <c r="Q684" s="321"/>
      <c r="R684" s="189"/>
      <c r="S684" s="445"/>
      <c r="T684" s="560" t="s">
        <v>717</v>
      </c>
      <c r="U684" s="560" t="s">
        <v>310</v>
      </c>
      <c r="AA684" s="27"/>
      <c r="AB684" s="27"/>
      <c r="AC684" s="1038"/>
      <c r="AD684" s="573"/>
    </row>
    <row r="685" spans="3:30" ht="10.5" customHeight="1">
      <c r="C685" s="2388" t="s">
        <v>5183</v>
      </c>
      <c r="D685" s="2385">
        <v>0</v>
      </c>
      <c r="E685" s="2385">
        <v>0</v>
      </c>
      <c r="F685" s="2386">
        <v>0</v>
      </c>
      <c r="G685" s="2412" t="s">
        <v>5183</v>
      </c>
      <c r="H685" s="2383">
        <v>0</v>
      </c>
      <c r="I685" s="2383" t="s">
        <v>4493</v>
      </c>
      <c r="J685" s="2413">
        <v>0</v>
      </c>
      <c r="K685" s="2387"/>
      <c r="L685" s="2381">
        <v>13063040306</v>
      </c>
      <c r="M685" s="2382">
        <v>0</v>
      </c>
      <c r="N685" s="2382">
        <v>0</v>
      </c>
      <c r="O685" s="2382">
        <v>0</v>
      </c>
      <c r="P685" s="626" t="s">
        <v>1591</v>
      </c>
      <c r="Q685" s="321"/>
      <c r="R685" s="189"/>
      <c r="S685" s="445"/>
      <c r="T685" s="560" t="s">
        <v>1241</v>
      </c>
      <c r="U685" s="560" t="s">
        <v>653</v>
      </c>
      <c r="AA685" s="27"/>
      <c r="AB685" s="27"/>
      <c r="AC685" s="1038"/>
      <c r="AD685" s="573"/>
    </row>
    <row r="686" spans="3:30" ht="10.5" customHeight="1">
      <c r="C686" s="2388" t="s">
        <v>5184</v>
      </c>
      <c r="D686" s="2385">
        <v>0</v>
      </c>
      <c r="E686" s="2385">
        <v>0</v>
      </c>
      <c r="F686" s="2386">
        <v>0</v>
      </c>
      <c r="G686" s="2412" t="s">
        <v>5184</v>
      </c>
      <c r="H686" s="2383">
        <v>0</v>
      </c>
      <c r="I686" s="2383">
        <v>0</v>
      </c>
      <c r="J686" s="2413">
        <v>0</v>
      </c>
      <c r="K686" s="2387"/>
      <c r="L686" s="2381">
        <v>13063040307</v>
      </c>
      <c r="M686" s="2382">
        <v>0</v>
      </c>
      <c r="N686" s="2382">
        <v>0</v>
      </c>
      <c r="O686" s="2382">
        <v>0</v>
      </c>
      <c r="P686" s="626" t="s">
        <v>914</v>
      </c>
      <c r="Q686" s="321"/>
      <c r="R686" s="189"/>
      <c r="S686" s="445"/>
      <c r="T686" s="560" t="s">
        <v>1052</v>
      </c>
      <c r="U686" s="560" t="s">
        <v>155</v>
      </c>
      <c r="AA686" s="27"/>
      <c r="AB686" s="27"/>
      <c r="AC686" s="1038"/>
      <c r="AD686" s="573"/>
    </row>
    <row r="687" spans="3:30" ht="10.5" customHeight="1">
      <c r="C687" s="2388" t="s">
        <v>5185</v>
      </c>
      <c r="D687" s="2385">
        <v>0</v>
      </c>
      <c r="E687" s="2385">
        <v>0</v>
      </c>
      <c r="F687" s="2386">
        <v>0</v>
      </c>
      <c r="G687" s="2412" t="s">
        <v>5185</v>
      </c>
      <c r="H687" s="2383">
        <v>0</v>
      </c>
      <c r="I687" s="2383">
        <v>0</v>
      </c>
      <c r="J687" s="2413">
        <v>0</v>
      </c>
      <c r="K687" s="2387"/>
      <c r="L687" s="2381">
        <v>13063040308</v>
      </c>
      <c r="M687" s="2382">
        <v>0</v>
      </c>
      <c r="N687" s="2382">
        <v>0</v>
      </c>
      <c r="O687" s="2382">
        <v>0</v>
      </c>
      <c r="P687" s="626" t="s">
        <v>916</v>
      </c>
      <c r="Q687" s="321"/>
      <c r="R687" s="189"/>
      <c r="S687" s="445"/>
      <c r="T687" s="560" t="s">
        <v>1837</v>
      </c>
      <c r="U687" s="560" t="s">
        <v>1083</v>
      </c>
      <c r="AA687" s="27"/>
      <c r="AB687" s="27"/>
      <c r="AC687" s="1038"/>
      <c r="AD687" s="573"/>
    </row>
    <row r="688" spans="3:30" ht="10.5" customHeight="1">
      <c r="C688" s="2388" t="s">
        <v>5186</v>
      </c>
      <c r="D688" s="2385">
        <v>0</v>
      </c>
      <c r="E688" s="2385">
        <v>0</v>
      </c>
      <c r="F688" s="2386">
        <v>0</v>
      </c>
      <c r="G688" s="2412" t="s">
        <v>5186</v>
      </c>
      <c r="H688" s="2383">
        <v>0</v>
      </c>
      <c r="I688" s="2383">
        <v>0</v>
      </c>
      <c r="J688" s="2413">
        <v>0</v>
      </c>
      <c r="K688" s="2387"/>
      <c r="L688" s="2381">
        <v>13063040407</v>
      </c>
      <c r="M688" s="2382">
        <v>0</v>
      </c>
      <c r="N688" s="2382">
        <v>0</v>
      </c>
      <c r="O688" s="2382">
        <v>0</v>
      </c>
      <c r="P688" s="626" t="s">
        <v>918</v>
      </c>
      <c r="Q688" s="321"/>
      <c r="R688" s="189"/>
      <c r="S688" s="445"/>
      <c r="T688" s="627" t="s">
        <v>1839</v>
      </c>
      <c r="U688" s="627" t="s">
        <v>1426</v>
      </c>
      <c r="AA688" s="27"/>
      <c r="AB688" s="27"/>
      <c r="AC688" s="1038"/>
      <c r="AD688" s="573"/>
    </row>
    <row r="689" spans="3:30" ht="10.5" customHeight="1">
      <c r="C689" s="2388" t="s">
        <v>5187</v>
      </c>
      <c r="D689" s="2385">
        <v>0</v>
      </c>
      <c r="E689" s="2385">
        <v>0</v>
      </c>
      <c r="F689" s="2386">
        <v>0</v>
      </c>
      <c r="G689" s="2412" t="s">
        <v>5187</v>
      </c>
      <c r="H689" s="2383">
        <v>0</v>
      </c>
      <c r="I689" s="2383">
        <v>0</v>
      </c>
      <c r="J689" s="2413">
        <v>0</v>
      </c>
      <c r="K689" s="2387"/>
      <c r="L689" s="2381">
        <v>13063040408</v>
      </c>
      <c r="M689" s="2382">
        <v>0</v>
      </c>
      <c r="N689" s="2382">
        <v>0</v>
      </c>
      <c r="O689" s="2382">
        <v>0</v>
      </c>
      <c r="P689" s="626" t="s">
        <v>2436</v>
      </c>
      <c r="Q689" s="321"/>
      <c r="R689" s="189"/>
      <c r="S689" s="445"/>
      <c r="T689" s="627" t="s">
        <v>1841</v>
      </c>
      <c r="U689" s="627" t="s">
        <v>2422</v>
      </c>
      <c r="AA689" s="27"/>
      <c r="AB689" s="27"/>
      <c r="AC689" s="1039"/>
      <c r="AD689" s="573"/>
    </row>
    <row r="690" spans="3:30" ht="10.5" customHeight="1">
      <c r="C690" s="2388" t="s">
        <v>5188</v>
      </c>
      <c r="D690" s="2385">
        <v>0</v>
      </c>
      <c r="E690" s="2385">
        <v>0</v>
      </c>
      <c r="F690" s="2386">
        <v>0</v>
      </c>
      <c r="G690" s="2412" t="s">
        <v>5188</v>
      </c>
      <c r="H690" s="2383">
        <v>1</v>
      </c>
      <c r="I690" s="2383" t="s">
        <v>4493</v>
      </c>
      <c r="J690" s="2413">
        <v>1</v>
      </c>
      <c r="K690" s="2387"/>
      <c r="L690" s="2381">
        <v>13063040409</v>
      </c>
      <c r="M690" s="2382">
        <v>1</v>
      </c>
      <c r="N690" s="2382">
        <v>0</v>
      </c>
      <c r="O690" s="2382">
        <v>1</v>
      </c>
      <c r="P690" s="626" t="s">
        <v>2438</v>
      </c>
      <c r="Q690" s="321"/>
      <c r="R690" s="189"/>
      <c r="S690" s="445"/>
      <c r="T690" s="560" t="s">
        <v>1843</v>
      </c>
      <c r="U690" s="560" t="s">
        <v>118</v>
      </c>
      <c r="AA690" s="27"/>
      <c r="AB690" s="27"/>
      <c r="AC690" s="1039"/>
      <c r="AD690" s="573"/>
    </row>
    <row r="691" spans="3:30" ht="10.5" customHeight="1">
      <c r="C691" s="2388" t="s">
        <v>5189</v>
      </c>
      <c r="D691" s="2385">
        <v>0</v>
      </c>
      <c r="E691" s="2385">
        <v>0</v>
      </c>
      <c r="F691" s="2386">
        <v>0</v>
      </c>
      <c r="G691" s="2412" t="s">
        <v>5189</v>
      </c>
      <c r="H691" s="2383">
        <v>0</v>
      </c>
      <c r="I691" s="2383">
        <v>0</v>
      </c>
      <c r="J691" s="2413">
        <v>0</v>
      </c>
      <c r="K691" s="2387"/>
      <c r="L691" s="2381">
        <v>13063040410</v>
      </c>
      <c r="M691" s="2382">
        <v>0</v>
      </c>
      <c r="N691" s="2382">
        <v>0</v>
      </c>
      <c r="O691" s="2382">
        <v>0</v>
      </c>
      <c r="P691" s="626" t="s">
        <v>2439</v>
      </c>
      <c r="Q691" s="321"/>
      <c r="R691" s="189"/>
      <c r="S691" s="445"/>
      <c r="T691" s="560" t="s">
        <v>491</v>
      </c>
      <c r="U691" s="560" t="s">
        <v>1961</v>
      </c>
      <c r="AA691" s="27"/>
      <c r="AB691" s="27"/>
      <c r="AC691" s="1038"/>
      <c r="AD691" s="573"/>
    </row>
    <row r="692" spans="3:30" ht="10.5" customHeight="1">
      <c r="C692" s="2388" t="s">
        <v>5190</v>
      </c>
      <c r="D692" s="2385">
        <v>1</v>
      </c>
      <c r="E692" s="2385">
        <v>0</v>
      </c>
      <c r="F692" s="2386">
        <v>1</v>
      </c>
      <c r="G692" s="2412" t="s">
        <v>5190</v>
      </c>
      <c r="H692" s="2383">
        <v>1</v>
      </c>
      <c r="I692" s="2383">
        <v>1</v>
      </c>
      <c r="J692" s="2413">
        <v>2</v>
      </c>
      <c r="K692" s="2387"/>
      <c r="L692" s="2381">
        <v>13063040411</v>
      </c>
      <c r="M692" s="2382">
        <v>1</v>
      </c>
      <c r="N692" s="2382">
        <v>1</v>
      </c>
      <c r="O692" s="2382">
        <v>2</v>
      </c>
      <c r="P692" s="626" t="s">
        <v>1854</v>
      </c>
      <c r="Q692" s="321"/>
      <c r="R692" s="189"/>
      <c r="S692" s="445"/>
      <c r="T692" s="560" t="s">
        <v>2470</v>
      </c>
      <c r="U692" s="560" t="s">
        <v>1866</v>
      </c>
      <c r="AA692" s="27"/>
      <c r="AB692" s="27"/>
      <c r="AC692" s="1038"/>
      <c r="AD692" s="573"/>
    </row>
    <row r="693" spans="3:30" ht="10.5" customHeight="1">
      <c r="C693" s="2388" t="s">
        <v>5191</v>
      </c>
      <c r="D693" s="2385">
        <v>0</v>
      </c>
      <c r="E693" s="2385">
        <v>0</v>
      </c>
      <c r="F693" s="2386">
        <v>0</v>
      </c>
      <c r="G693" s="2412" t="s">
        <v>5191</v>
      </c>
      <c r="H693" s="2383">
        <v>0</v>
      </c>
      <c r="I693" s="2383">
        <v>0</v>
      </c>
      <c r="J693" s="2413">
        <v>0</v>
      </c>
      <c r="K693" s="2387"/>
      <c r="L693" s="2381">
        <v>13063040412</v>
      </c>
      <c r="M693" s="2382">
        <v>0</v>
      </c>
      <c r="N693" s="2382">
        <v>0</v>
      </c>
      <c r="O693" s="2382">
        <v>0</v>
      </c>
      <c r="P693" s="626" t="s">
        <v>1855</v>
      </c>
      <c r="Q693" s="321"/>
      <c r="R693" s="189"/>
      <c r="S693" s="445"/>
      <c r="T693" s="560" t="s">
        <v>4247</v>
      </c>
      <c r="U693" s="560" t="s">
        <v>1180</v>
      </c>
      <c r="AA693" s="27"/>
      <c r="AB693" s="27"/>
      <c r="AC693" s="1038"/>
      <c r="AD693" s="573"/>
    </row>
    <row r="694" spans="3:30" ht="10.5" customHeight="1">
      <c r="C694" s="2388" t="s">
        <v>5192</v>
      </c>
      <c r="D694" s="2385">
        <v>0</v>
      </c>
      <c r="E694" s="2385">
        <v>0</v>
      </c>
      <c r="F694" s="2386">
        <v>0</v>
      </c>
      <c r="G694" s="2412" t="s">
        <v>5192</v>
      </c>
      <c r="H694" s="2383">
        <v>0</v>
      </c>
      <c r="I694" s="2383">
        <v>0</v>
      </c>
      <c r="J694" s="2413">
        <v>0</v>
      </c>
      <c r="K694" s="2387"/>
      <c r="L694" s="2381">
        <v>13063040413</v>
      </c>
      <c r="M694" s="2382">
        <v>0</v>
      </c>
      <c r="N694" s="2382">
        <v>0</v>
      </c>
      <c r="O694" s="2382">
        <v>0</v>
      </c>
      <c r="P694" s="626" t="s">
        <v>1857</v>
      </c>
      <c r="Q694" s="321"/>
      <c r="R694" s="189"/>
      <c r="S694" s="445"/>
      <c r="T694" s="560" t="s">
        <v>2472</v>
      </c>
      <c r="U694" s="560" t="s">
        <v>2463</v>
      </c>
      <c r="AA694" s="27"/>
      <c r="AB694" s="27"/>
      <c r="AC694" s="1038"/>
      <c r="AD694" s="573"/>
    </row>
    <row r="695" spans="3:30" ht="10.5" customHeight="1">
      <c r="C695" s="2388" t="s">
        <v>5193</v>
      </c>
      <c r="D695" s="2385">
        <v>0</v>
      </c>
      <c r="E695" s="2385">
        <v>0</v>
      </c>
      <c r="F695" s="2386">
        <v>0</v>
      </c>
      <c r="G695" s="2412" t="s">
        <v>5193</v>
      </c>
      <c r="H695" s="2383">
        <v>0</v>
      </c>
      <c r="I695" s="2383">
        <v>0</v>
      </c>
      <c r="J695" s="2413">
        <v>0</v>
      </c>
      <c r="K695" s="2387"/>
      <c r="L695" s="2381">
        <v>13063040414</v>
      </c>
      <c r="M695" s="2382">
        <v>0</v>
      </c>
      <c r="N695" s="2382">
        <v>0</v>
      </c>
      <c r="O695" s="2382">
        <v>0</v>
      </c>
      <c r="P695" s="626" t="s">
        <v>625</v>
      </c>
      <c r="Q695" s="321"/>
      <c r="R695" s="189"/>
      <c r="S695" s="445"/>
      <c r="T695" s="560" t="s">
        <v>1133</v>
      </c>
      <c r="U695" s="560" t="s">
        <v>307</v>
      </c>
      <c r="AA695" s="27"/>
      <c r="AB695" s="27"/>
      <c r="AC695" s="1038"/>
      <c r="AD695" s="573"/>
    </row>
    <row r="696" spans="3:30" ht="10.5" customHeight="1">
      <c r="C696" s="2388" t="s">
        <v>5194</v>
      </c>
      <c r="D696" s="2385">
        <v>0</v>
      </c>
      <c r="E696" s="2385">
        <v>0</v>
      </c>
      <c r="F696" s="2386">
        <v>0</v>
      </c>
      <c r="G696" s="2412" t="s">
        <v>5194</v>
      </c>
      <c r="H696" s="2383">
        <v>0</v>
      </c>
      <c r="I696" s="2383">
        <v>0</v>
      </c>
      <c r="J696" s="2413">
        <v>0</v>
      </c>
      <c r="K696" s="2387"/>
      <c r="L696" s="2381">
        <v>13063040415</v>
      </c>
      <c r="M696" s="2382">
        <v>0</v>
      </c>
      <c r="N696" s="2382">
        <v>0</v>
      </c>
      <c r="O696" s="2382">
        <v>0</v>
      </c>
      <c r="P696" s="626" t="s">
        <v>627</v>
      </c>
      <c r="Q696" s="321"/>
      <c r="R696" s="189"/>
      <c r="S696" s="445"/>
      <c r="T696" s="560" t="s">
        <v>2451</v>
      </c>
      <c r="U696" s="560" t="s">
        <v>856</v>
      </c>
      <c r="AA696" s="27"/>
      <c r="AB696" s="27"/>
      <c r="AC696" s="1038"/>
      <c r="AD696" s="573"/>
    </row>
    <row r="697" spans="3:30" ht="10.5" customHeight="1">
      <c r="C697" s="2388" t="s">
        <v>5195</v>
      </c>
      <c r="D697" s="2385">
        <v>0</v>
      </c>
      <c r="E697" s="2385">
        <v>0</v>
      </c>
      <c r="F697" s="2386">
        <v>0</v>
      </c>
      <c r="G697" s="2412" t="s">
        <v>5195</v>
      </c>
      <c r="H697" s="2383">
        <v>0</v>
      </c>
      <c r="I697" s="2383">
        <v>0</v>
      </c>
      <c r="J697" s="2413">
        <v>0</v>
      </c>
      <c r="K697" s="2387"/>
      <c r="L697" s="2381">
        <v>13063040416</v>
      </c>
      <c r="M697" s="2382">
        <v>0</v>
      </c>
      <c r="N697" s="2382">
        <v>0</v>
      </c>
      <c r="O697" s="2382">
        <v>0</v>
      </c>
      <c r="P697" s="626" t="s">
        <v>628</v>
      </c>
      <c r="Q697" s="321"/>
      <c r="R697" s="189"/>
      <c r="S697" s="445"/>
      <c r="T697" s="560" t="s">
        <v>796</v>
      </c>
      <c r="U697" s="560" t="s">
        <v>1307</v>
      </c>
      <c r="AA697" s="27"/>
      <c r="AB697" s="27"/>
      <c r="AC697" s="1038"/>
      <c r="AD697" s="573"/>
    </row>
    <row r="698" spans="3:30" ht="10.5" customHeight="1">
      <c r="C698" s="2388" t="s">
        <v>5196</v>
      </c>
      <c r="D698" s="2385">
        <v>0</v>
      </c>
      <c r="E698" s="2385">
        <v>0</v>
      </c>
      <c r="F698" s="2386">
        <v>0</v>
      </c>
      <c r="G698" s="2412" t="s">
        <v>5196</v>
      </c>
      <c r="H698" s="2383">
        <v>0</v>
      </c>
      <c r="I698" s="2383">
        <v>0</v>
      </c>
      <c r="J698" s="2413">
        <v>0</v>
      </c>
      <c r="K698" s="2387"/>
      <c r="L698" s="2381">
        <v>13063040417</v>
      </c>
      <c r="M698" s="2382">
        <v>0</v>
      </c>
      <c r="N698" s="2382">
        <v>0</v>
      </c>
      <c r="O698" s="2382">
        <v>0</v>
      </c>
      <c r="P698" s="626" t="s">
        <v>2249</v>
      </c>
      <c r="Q698" s="321"/>
      <c r="R698" s="189"/>
      <c r="S698" s="445"/>
      <c r="T698" s="560" t="s">
        <v>1048</v>
      </c>
      <c r="U698" s="560" t="s">
        <v>648</v>
      </c>
      <c r="AA698" s="27"/>
      <c r="AB698" s="27"/>
      <c r="AC698" s="1038"/>
      <c r="AD698" s="573"/>
    </row>
    <row r="699" spans="3:30" ht="10.5" customHeight="1">
      <c r="C699" s="2388" t="s">
        <v>5197</v>
      </c>
      <c r="D699" s="2385">
        <v>0</v>
      </c>
      <c r="E699" s="2385">
        <v>0</v>
      </c>
      <c r="F699" s="2386">
        <v>0</v>
      </c>
      <c r="G699" s="2412" t="s">
        <v>5197</v>
      </c>
      <c r="H699" s="2383">
        <v>1</v>
      </c>
      <c r="I699" s="2383">
        <v>0</v>
      </c>
      <c r="J699" s="2413">
        <v>1</v>
      </c>
      <c r="K699" s="2387"/>
      <c r="L699" s="2381">
        <v>13063040509</v>
      </c>
      <c r="M699" s="2382">
        <v>1</v>
      </c>
      <c r="N699" s="2382">
        <v>0</v>
      </c>
      <c r="O699" s="2382">
        <v>1</v>
      </c>
      <c r="P699" s="626" t="s">
        <v>69</v>
      </c>
      <c r="Q699" s="321"/>
      <c r="R699" s="189"/>
      <c r="S699" s="445"/>
      <c r="T699" s="560" t="s">
        <v>1501</v>
      </c>
      <c r="U699" s="560" t="s">
        <v>323</v>
      </c>
      <c r="AA699" s="27"/>
      <c r="AB699" s="27"/>
      <c r="AC699" s="1038"/>
      <c r="AD699" s="573"/>
    </row>
    <row r="700" spans="3:30" ht="10.5" customHeight="1">
      <c r="C700" s="2388" t="s">
        <v>5198</v>
      </c>
      <c r="D700" s="2385">
        <v>0</v>
      </c>
      <c r="E700" s="2385">
        <v>0</v>
      </c>
      <c r="F700" s="2386">
        <v>0</v>
      </c>
      <c r="G700" s="2412" t="s">
        <v>5198</v>
      </c>
      <c r="H700" s="2383">
        <v>0</v>
      </c>
      <c r="I700" s="2383">
        <v>0</v>
      </c>
      <c r="J700" s="2413">
        <v>0</v>
      </c>
      <c r="K700" s="2387"/>
      <c r="L700" s="2381">
        <v>13063040510</v>
      </c>
      <c r="M700" s="2382">
        <v>0</v>
      </c>
      <c r="N700" s="2382">
        <v>0</v>
      </c>
      <c r="O700" s="2382">
        <v>0</v>
      </c>
      <c r="P700" s="626" t="s">
        <v>1387</v>
      </c>
      <c r="Q700" s="321"/>
      <c r="R700" s="189"/>
      <c r="S700" s="445"/>
      <c r="T700" s="560" t="s">
        <v>2774</v>
      </c>
      <c r="U700" s="560" t="s">
        <v>855</v>
      </c>
      <c r="AA700" s="27"/>
      <c r="AB700" s="27"/>
      <c r="AC700" s="1038"/>
      <c r="AD700" s="573"/>
    </row>
    <row r="701" spans="3:30" ht="10.5" customHeight="1">
      <c r="C701" s="2388" t="s">
        <v>5199</v>
      </c>
      <c r="D701" s="2385">
        <v>0</v>
      </c>
      <c r="E701" s="2385">
        <v>0</v>
      </c>
      <c r="F701" s="2386">
        <v>0</v>
      </c>
      <c r="G701" s="2412" t="s">
        <v>5199</v>
      </c>
      <c r="H701" s="2383">
        <v>0</v>
      </c>
      <c r="I701" s="2383">
        <v>0</v>
      </c>
      <c r="J701" s="2413">
        <v>0</v>
      </c>
      <c r="K701" s="2387"/>
      <c r="L701" s="2381">
        <v>13063040512</v>
      </c>
      <c r="M701" s="2382">
        <v>0</v>
      </c>
      <c r="N701" s="2382">
        <v>0</v>
      </c>
      <c r="O701" s="2382">
        <v>0</v>
      </c>
      <c r="P701" s="626" t="s">
        <v>2199</v>
      </c>
      <c r="Q701" s="321"/>
      <c r="R701" s="189"/>
      <c r="S701" s="445"/>
      <c r="T701" s="560" t="s">
        <v>2054</v>
      </c>
      <c r="U701" s="560" t="s">
        <v>1300</v>
      </c>
      <c r="AA701" s="27"/>
      <c r="AB701" s="27"/>
      <c r="AC701" s="1038"/>
      <c r="AD701" s="573"/>
    </row>
    <row r="702" spans="3:30" ht="10.5" customHeight="1">
      <c r="C702" s="2388" t="s">
        <v>5200</v>
      </c>
      <c r="D702" s="2385">
        <v>0</v>
      </c>
      <c r="E702" s="2385">
        <v>1</v>
      </c>
      <c r="F702" s="2386">
        <v>1</v>
      </c>
      <c r="G702" s="2412" t="s">
        <v>5200</v>
      </c>
      <c r="H702" s="2383">
        <v>0</v>
      </c>
      <c r="I702" s="2383">
        <v>1</v>
      </c>
      <c r="J702" s="2413">
        <v>0</v>
      </c>
      <c r="K702" s="2387"/>
      <c r="L702" s="2381">
        <v>13063040513</v>
      </c>
      <c r="M702" s="2382">
        <v>0</v>
      </c>
      <c r="N702" s="2382">
        <v>1</v>
      </c>
      <c r="O702" s="2382">
        <v>1</v>
      </c>
      <c r="P702" s="626" t="s">
        <v>2201</v>
      </c>
      <c r="Q702" s="321"/>
      <c r="R702" s="189"/>
      <c r="S702" s="445"/>
      <c r="T702" s="560" t="s">
        <v>1590</v>
      </c>
      <c r="U702" s="560" t="s">
        <v>1286</v>
      </c>
      <c r="AA702" s="27"/>
      <c r="AB702" s="27"/>
      <c r="AC702" s="1038"/>
      <c r="AD702" s="573"/>
    </row>
    <row r="703" spans="3:30" ht="10.5" customHeight="1">
      <c r="C703" s="2388" t="s">
        <v>5201</v>
      </c>
      <c r="D703" s="2385">
        <v>0</v>
      </c>
      <c r="E703" s="2385">
        <v>0</v>
      </c>
      <c r="F703" s="2386">
        <v>0</v>
      </c>
      <c r="G703" s="2412" t="s">
        <v>5201</v>
      </c>
      <c r="H703" s="2383">
        <v>0</v>
      </c>
      <c r="I703" s="2383">
        <v>0</v>
      </c>
      <c r="J703" s="2413">
        <v>0</v>
      </c>
      <c r="K703" s="2387"/>
      <c r="L703" s="2381">
        <v>13063040514</v>
      </c>
      <c r="M703" s="2382">
        <v>0</v>
      </c>
      <c r="N703" s="2382">
        <v>0</v>
      </c>
      <c r="O703" s="2382">
        <v>0</v>
      </c>
      <c r="P703" s="626" t="s">
        <v>1758</v>
      </c>
      <c r="Q703" s="321"/>
      <c r="R703" s="189"/>
      <c r="S703" s="445"/>
      <c r="T703" s="560" t="s">
        <v>915</v>
      </c>
      <c r="U703" s="560" t="s">
        <v>2185</v>
      </c>
      <c r="AA703" s="27"/>
      <c r="AB703" s="27"/>
      <c r="AC703" s="1038"/>
      <c r="AD703" s="573"/>
    </row>
    <row r="704" spans="3:30" ht="10.5" customHeight="1">
      <c r="C704" s="2388" t="s">
        <v>5202</v>
      </c>
      <c r="D704" s="2385">
        <v>0</v>
      </c>
      <c r="E704" s="2385">
        <v>0</v>
      </c>
      <c r="F704" s="2386">
        <v>0</v>
      </c>
      <c r="G704" s="2412" t="s">
        <v>5202</v>
      </c>
      <c r="H704" s="2383">
        <v>0</v>
      </c>
      <c r="I704" s="2383">
        <v>0</v>
      </c>
      <c r="J704" s="2413">
        <v>0</v>
      </c>
      <c r="K704" s="2387"/>
      <c r="L704" s="2381">
        <v>13063040515</v>
      </c>
      <c r="M704" s="2382">
        <v>0</v>
      </c>
      <c r="N704" s="2382">
        <v>0</v>
      </c>
      <c r="O704" s="2382">
        <v>0</v>
      </c>
      <c r="P704" s="626" t="s">
        <v>1095</v>
      </c>
      <c r="Q704" s="321"/>
      <c r="R704" s="189"/>
      <c r="S704" s="445"/>
      <c r="T704" s="560" t="s">
        <v>917</v>
      </c>
      <c r="U704" s="560" t="s">
        <v>314</v>
      </c>
      <c r="AA704" s="27"/>
      <c r="AB704" s="27"/>
      <c r="AC704" s="1038"/>
      <c r="AD704" s="573"/>
    </row>
    <row r="705" spans="3:30" ht="10.5" customHeight="1">
      <c r="C705" s="2388" t="s">
        <v>5203</v>
      </c>
      <c r="D705" s="2385">
        <v>0</v>
      </c>
      <c r="E705" s="2385">
        <v>0</v>
      </c>
      <c r="F705" s="2386">
        <v>0</v>
      </c>
      <c r="G705" s="2412" t="s">
        <v>5203</v>
      </c>
      <c r="H705" s="2383">
        <v>0</v>
      </c>
      <c r="I705" s="2383">
        <v>0</v>
      </c>
      <c r="J705" s="2413">
        <v>0</v>
      </c>
      <c r="K705" s="2387"/>
      <c r="L705" s="2381">
        <v>13063040516</v>
      </c>
      <c r="M705" s="2382">
        <v>0</v>
      </c>
      <c r="N705" s="2382">
        <v>0</v>
      </c>
      <c r="O705" s="2382">
        <v>0</v>
      </c>
      <c r="P705" s="626" t="s">
        <v>1999</v>
      </c>
      <c r="Q705" s="321"/>
      <c r="R705" s="189"/>
      <c r="S705" s="445"/>
      <c r="T705" s="560" t="s">
        <v>2437</v>
      </c>
      <c r="U705" s="560" t="s">
        <v>610</v>
      </c>
      <c r="AA705" s="27"/>
      <c r="AB705" s="27"/>
      <c r="AC705" s="1038"/>
      <c r="AD705" s="573"/>
    </row>
    <row r="706" spans="3:30" ht="10.5" customHeight="1">
      <c r="C706" s="2388" t="s">
        <v>5204</v>
      </c>
      <c r="D706" s="2385">
        <v>0</v>
      </c>
      <c r="E706" s="2385">
        <v>0</v>
      </c>
      <c r="F706" s="2386">
        <v>0</v>
      </c>
      <c r="G706" s="2412" t="s">
        <v>5204</v>
      </c>
      <c r="H706" s="2383">
        <v>0</v>
      </c>
      <c r="I706" s="2383">
        <v>0</v>
      </c>
      <c r="J706" s="2413">
        <v>0</v>
      </c>
      <c r="K706" s="2387"/>
      <c r="L706" s="2381">
        <v>13063040518</v>
      </c>
      <c r="M706" s="2382">
        <v>0</v>
      </c>
      <c r="N706" s="2382">
        <v>0</v>
      </c>
      <c r="O706" s="2382">
        <v>0</v>
      </c>
      <c r="P706" s="626" t="s">
        <v>1921</v>
      </c>
      <c r="Q706" s="321"/>
      <c r="R706" s="189"/>
      <c r="S706" s="445"/>
      <c r="T706" s="560" t="s">
        <v>4248</v>
      </c>
      <c r="U706" s="560" t="s">
        <v>610</v>
      </c>
      <c r="AA706" s="27"/>
      <c r="AB706" s="27"/>
      <c r="AC706" s="1038"/>
      <c r="AD706" s="573"/>
    </row>
    <row r="707" spans="3:30" ht="10.5" customHeight="1">
      <c r="C707" s="2388" t="s">
        <v>5205</v>
      </c>
      <c r="D707" s="2385">
        <v>0</v>
      </c>
      <c r="E707" s="2385">
        <v>0</v>
      </c>
      <c r="F707" s="2386">
        <v>0</v>
      </c>
      <c r="G707" s="2412" t="s">
        <v>5205</v>
      </c>
      <c r="H707" s="2383">
        <v>0</v>
      </c>
      <c r="I707" s="2383" t="s">
        <v>4493</v>
      </c>
      <c r="J707" s="2413">
        <v>0</v>
      </c>
      <c r="K707" s="2387"/>
      <c r="L707" s="2381">
        <v>13063040519</v>
      </c>
      <c r="M707" s="2382">
        <v>0</v>
      </c>
      <c r="N707" s="2382">
        <v>0</v>
      </c>
      <c r="O707" s="2382">
        <v>0</v>
      </c>
      <c r="P707" s="626" t="s">
        <v>1923</v>
      </c>
      <c r="Q707" s="321"/>
      <c r="R707" s="189"/>
      <c r="S707" s="445"/>
      <c r="T707" s="560" t="s">
        <v>1853</v>
      </c>
      <c r="U707" s="560" t="s">
        <v>118</v>
      </c>
      <c r="AA707" s="27"/>
      <c r="AB707" s="27"/>
      <c r="AC707" s="1038"/>
      <c r="AD707" s="573"/>
    </row>
    <row r="708" spans="3:30" ht="10.5" customHeight="1">
      <c r="C708" s="2388" t="s">
        <v>5206</v>
      </c>
      <c r="D708" s="2385">
        <v>0</v>
      </c>
      <c r="E708" s="2385">
        <v>0</v>
      </c>
      <c r="F708" s="2386">
        <v>0</v>
      </c>
      <c r="G708" s="2412" t="s">
        <v>5206</v>
      </c>
      <c r="H708" s="2383">
        <v>0</v>
      </c>
      <c r="I708" s="2383">
        <v>0</v>
      </c>
      <c r="J708" s="2413">
        <v>0</v>
      </c>
      <c r="K708" s="2387"/>
      <c r="L708" s="2381">
        <v>13063040520</v>
      </c>
      <c r="M708" s="2382">
        <v>0</v>
      </c>
      <c r="N708" s="2382">
        <v>0</v>
      </c>
      <c r="O708" s="2382">
        <v>0</v>
      </c>
      <c r="P708" s="626" t="s">
        <v>1925</v>
      </c>
      <c r="Q708" s="321"/>
      <c r="R708" s="189"/>
      <c r="S708" s="445"/>
      <c r="T708" s="560" t="s">
        <v>1856</v>
      </c>
      <c r="U708" s="560" t="s">
        <v>2185</v>
      </c>
      <c r="AA708" s="27"/>
      <c r="AB708" s="27"/>
      <c r="AC708" s="1038"/>
      <c r="AD708" s="573"/>
    </row>
    <row r="709" spans="3:30" ht="10.5" customHeight="1">
      <c r="C709" s="2388" t="s">
        <v>5207</v>
      </c>
      <c r="D709" s="2385">
        <v>0</v>
      </c>
      <c r="E709" s="2385">
        <v>0</v>
      </c>
      <c r="F709" s="2386">
        <v>0</v>
      </c>
      <c r="G709" s="2412" t="s">
        <v>5207</v>
      </c>
      <c r="H709" s="2383">
        <v>0</v>
      </c>
      <c r="I709" s="2383">
        <v>0</v>
      </c>
      <c r="J709" s="2413">
        <v>0</v>
      </c>
      <c r="K709" s="2387"/>
      <c r="L709" s="2381">
        <v>13063040521</v>
      </c>
      <c r="M709" s="2382">
        <v>0</v>
      </c>
      <c r="N709" s="2382">
        <v>0</v>
      </c>
      <c r="O709" s="2382">
        <v>0</v>
      </c>
      <c r="P709" s="626" t="s">
        <v>483</v>
      </c>
      <c r="Q709" s="321"/>
      <c r="R709" s="189"/>
      <c r="S709" s="445"/>
      <c r="T709" s="560" t="s">
        <v>1858</v>
      </c>
      <c r="U709" s="560" t="s">
        <v>158</v>
      </c>
      <c r="AA709" s="27"/>
      <c r="AB709" s="27"/>
      <c r="AC709" s="1038"/>
      <c r="AD709" s="573"/>
    </row>
    <row r="710" spans="3:30" ht="10.5" customHeight="1">
      <c r="C710" s="2388" t="s">
        <v>5208</v>
      </c>
      <c r="D710" s="2385">
        <v>0</v>
      </c>
      <c r="E710" s="2385">
        <v>0</v>
      </c>
      <c r="F710" s="2386">
        <v>0</v>
      </c>
      <c r="G710" s="2412" t="s">
        <v>5208</v>
      </c>
      <c r="H710" s="2383">
        <v>0</v>
      </c>
      <c r="I710" s="2383">
        <v>0</v>
      </c>
      <c r="J710" s="2413">
        <v>0</v>
      </c>
      <c r="K710" s="2387"/>
      <c r="L710" s="2381">
        <v>13063040522</v>
      </c>
      <c r="M710" s="2382">
        <v>0</v>
      </c>
      <c r="N710" s="2382">
        <v>0</v>
      </c>
      <c r="O710" s="2382">
        <v>0</v>
      </c>
      <c r="P710" s="626" t="s">
        <v>444</v>
      </c>
      <c r="Q710" s="321"/>
      <c r="R710" s="189"/>
      <c r="S710" s="445"/>
      <c r="T710" s="560" t="s">
        <v>626</v>
      </c>
      <c r="U710" s="560" t="s">
        <v>2339</v>
      </c>
      <c r="AA710" s="27"/>
      <c r="AB710" s="27"/>
      <c r="AC710" s="1038"/>
      <c r="AD710" s="573"/>
    </row>
    <row r="711" spans="3:30" ht="10.5" customHeight="1">
      <c r="C711" s="2388" t="s">
        <v>5209</v>
      </c>
      <c r="D711" s="2385">
        <v>0</v>
      </c>
      <c r="E711" s="2385">
        <v>0</v>
      </c>
      <c r="F711" s="2386">
        <v>0</v>
      </c>
      <c r="G711" s="2412" t="s">
        <v>5209</v>
      </c>
      <c r="H711" s="2383">
        <v>1</v>
      </c>
      <c r="I711" s="2383">
        <v>0</v>
      </c>
      <c r="J711" s="2413">
        <v>1</v>
      </c>
      <c r="K711" s="2387"/>
      <c r="L711" s="2381">
        <v>13063040523</v>
      </c>
      <c r="M711" s="2382">
        <v>1</v>
      </c>
      <c r="N711" s="2382">
        <v>0</v>
      </c>
      <c r="O711" s="2382">
        <v>1</v>
      </c>
      <c r="P711" s="626" t="s">
        <v>2049</v>
      </c>
      <c r="Q711" s="321"/>
      <c r="R711" s="189"/>
      <c r="S711" s="445"/>
      <c r="T711" s="560" t="s">
        <v>797</v>
      </c>
      <c r="U711" s="560" t="s">
        <v>2122</v>
      </c>
      <c r="AA711" s="27"/>
      <c r="AB711" s="27"/>
      <c r="AC711" s="1038"/>
      <c r="AD711" s="573"/>
    </row>
    <row r="712" spans="3:30" ht="10.5" customHeight="1">
      <c r="C712" s="2388" t="s">
        <v>5210</v>
      </c>
      <c r="D712" s="2385">
        <v>0</v>
      </c>
      <c r="E712" s="2385">
        <v>0</v>
      </c>
      <c r="F712" s="2386">
        <v>0</v>
      </c>
      <c r="G712" s="2412" t="s">
        <v>5210</v>
      </c>
      <c r="H712" s="2383">
        <v>0</v>
      </c>
      <c r="I712" s="2383">
        <v>0</v>
      </c>
      <c r="J712" s="2413">
        <v>0</v>
      </c>
      <c r="K712" s="2387"/>
      <c r="L712" s="2381">
        <v>13063040524</v>
      </c>
      <c r="M712" s="2382">
        <v>0</v>
      </c>
      <c r="N712" s="2382">
        <v>0</v>
      </c>
      <c r="O712" s="2382">
        <v>0</v>
      </c>
      <c r="P712" s="626" t="s">
        <v>2074</v>
      </c>
      <c r="Q712" s="1088"/>
      <c r="R712" s="1088"/>
      <c r="S712" s="1089"/>
      <c r="T712" s="560" t="s">
        <v>1053</v>
      </c>
      <c r="U712" s="560" t="s">
        <v>1864</v>
      </c>
      <c r="AA712" s="27"/>
      <c r="AB712" s="27"/>
      <c r="AC712" s="1038"/>
      <c r="AD712" s="573"/>
    </row>
    <row r="713" spans="3:30" ht="10.5" customHeight="1">
      <c r="C713" s="2388" t="s">
        <v>5211</v>
      </c>
      <c r="D713" s="2385">
        <v>0</v>
      </c>
      <c r="E713" s="2385">
        <v>0</v>
      </c>
      <c r="F713" s="2386">
        <v>0</v>
      </c>
      <c r="G713" s="2412" t="s">
        <v>5211</v>
      </c>
      <c r="H713" s="2383">
        <v>0</v>
      </c>
      <c r="I713" s="2383" t="s">
        <v>4493</v>
      </c>
      <c r="J713" s="2413">
        <v>0</v>
      </c>
      <c r="K713" s="2387"/>
      <c r="L713" s="2381">
        <v>13063040525</v>
      </c>
      <c r="M713" s="2382">
        <v>0</v>
      </c>
      <c r="N713" s="2382">
        <v>0</v>
      </c>
      <c r="O713" s="2382">
        <v>0</v>
      </c>
      <c r="P713" s="1087"/>
      <c r="Q713" s="631"/>
      <c r="R713" s="186"/>
      <c r="S713" s="344"/>
      <c r="T713" s="560" t="s">
        <v>1054</v>
      </c>
      <c r="U713" s="560" t="s">
        <v>1958</v>
      </c>
      <c r="AA713" s="27"/>
      <c r="AB713" s="27"/>
      <c r="AC713" s="1038"/>
      <c r="AD713" s="573"/>
    </row>
    <row r="714" spans="3:30" ht="10.5" customHeight="1">
      <c r="C714" s="2388" t="s">
        <v>5212</v>
      </c>
      <c r="D714" s="2385">
        <v>0</v>
      </c>
      <c r="E714" s="2385">
        <v>0</v>
      </c>
      <c r="F714" s="2386">
        <v>0</v>
      </c>
      <c r="G714" s="2412" t="s">
        <v>5212</v>
      </c>
      <c r="H714" s="2383">
        <v>0</v>
      </c>
      <c r="I714" s="2383">
        <v>0</v>
      </c>
      <c r="J714" s="2413">
        <v>0</v>
      </c>
      <c r="K714" s="2387"/>
      <c r="L714" s="2381">
        <v>13063040526</v>
      </c>
      <c r="M714" s="2382">
        <v>0</v>
      </c>
      <c r="N714" s="2382">
        <v>0</v>
      </c>
      <c r="O714" s="2382">
        <v>0</v>
      </c>
      <c r="P714" s="630"/>
      <c r="Q714" s="344"/>
      <c r="R714" s="344"/>
      <c r="S714" s="344"/>
      <c r="T714" s="560" t="s">
        <v>1435</v>
      </c>
      <c r="U714" s="560" t="s">
        <v>1184</v>
      </c>
      <c r="AA714" s="27"/>
      <c r="AB714" s="27"/>
      <c r="AC714" s="1038"/>
      <c r="AD714" s="573"/>
    </row>
    <row r="715" spans="3:30" ht="10.5" customHeight="1">
      <c r="C715" s="2388" t="s">
        <v>5213</v>
      </c>
      <c r="D715" s="2385">
        <v>0</v>
      </c>
      <c r="E715" s="2385">
        <v>0</v>
      </c>
      <c r="F715" s="2386">
        <v>0</v>
      </c>
      <c r="G715" s="2412" t="s">
        <v>5213</v>
      </c>
      <c r="H715" s="2383">
        <v>0</v>
      </c>
      <c r="I715" s="2383">
        <v>1</v>
      </c>
      <c r="J715" s="2413">
        <v>1</v>
      </c>
      <c r="K715" s="2387"/>
      <c r="L715" s="2381">
        <v>13063040606</v>
      </c>
      <c r="M715" s="2382">
        <v>0</v>
      </c>
      <c r="N715" s="2382">
        <v>1</v>
      </c>
      <c r="O715" s="2382">
        <v>1</v>
      </c>
      <c r="P715" s="344"/>
      <c r="Q715" s="344"/>
      <c r="R715" s="344"/>
      <c r="S715" s="344"/>
      <c r="T715" s="560" t="s">
        <v>2250</v>
      </c>
      <c r="U715" s="560" t="s">
        <v>118</v>
      </c>
      <c r="AA715" s="27"/>
      <c r="AB715" s="27"/>
      <c r="AC715" s="1038"/>
      <c r="AD715" s="573"/>
    </row>
    <row r="716" spans="3:30" ht="10.5" customHeight="1">
      <c r="C716" s="2388" t="s">
        <v>5214</v>
      </c>
      <c r="D716" s="2385">
        <v>1</v>
      </c>
      <c r="E716" s="2385">
        <v>1</v>
      </c>
      <c r="F716" s="2386">
        <v>2</v>
      </c>
      <c r="G716" s="2412" t="s">
        <v>5214</v>
      </c>
      <c r="H716" s="2383">
        <v>1</v>
      </c>
      <c r="I716" s="2383">
        <v>0</v>
      </c>
      <c r="J716" s="2413">
        <v>1</v>
      </c>
      <c r="K716" s="2387"/>
      <c r="L716" s="2381">
        <v>13063040608</v>
      </c>
      <c r="M716" s="2382">
        <v>1</v>
      </c>
      <c r="N716" s="2382">
        <v>1</v>
      </c>
      <c r="O716" s="2382">
        <v>2</v>
      </c>
      <c r="P716" s="344"/>
      <c r="Q716" s="344"/>
      <c r="R716" s="344"/>
      <c r="S716" s="344"/>
      <c r="T716" s="560" t="s">
        <v>1386</v>
      </c>
      <c r="U716" s="560" t="s">
        <v>2185</v>
      </c>
      <c r="AA716" s="27"/>
      <c r="AB716" s="27"/>
      <c r="AC716" s="1038"/>
      <c r="AD716" s="573"/>
    </row>
    <row r="717" spans="3:30" ht="10.5" customHeight="1">
      <c r="C717" s="2388" t="s">
        <v>5215</v>
      </c>
      <c r="D717" s="2385">
        <v>1</v>
      </c>
      <c r="E717" s="2385">
        <v>1</v>
      </c>
      <c r="F717" s="2386">
        <v>2</v>
      </c>
      <c r="G717" s="2412" t="s">
        <v>5215</v>
      </c>
      <c r="H717" s="2383">
        <v>0</v>
      </c>
      <c r="I717" s="2383">
        <v>0</v>
      </c>
      <c r="J717" s="2413">
        <v>0</v>
      </c>
      <c r="K717" s="2387"/>
      <c r="L717" s="2381">
        <v>13063040609</v>
      </c>
      <c r="M717" s="2382">
        <v>1</v>
      </c>
      <c r="N717" s="2382">
        <v>1</v>
      </c>
      <c r="O717" s="2382">
        <v>2</v>
      </c>
      <c r="P717" s="344"/>
      <c r="Q717" s="344"/>
      <c r="R717" s="344"/>
      <c r="S717" s="344"/>
      <c r="T717" s="627" t="s">
        <v>2198</v>
      </c>
      <c r="U717" s="627" t="s">
        <v>1870</v>
      </c>
      <c r="AA717" s="27"/>
      <c r="AB717" s="27"/>
      <c r="AC717" s="1038"/>
      <c r="AD717" s="573"/>
    </row>
    <row r="718" spans="3:30" ht="10.5" customHeight="1">
      <c r="C718" s="2388" t="s">
        <v>5216</v>
      </c>
      <c r="D718" s="2385">
        <v>0</v>
      </c>
      <c r="E718" s="2385">
        <v>0</v>
      </c>
      <c r="F718" s="2386">
        <v>0</v>
      </c>
      <c r="G718" s="2412" t="s">
        <v>5216</v>
      </c>
      <c r="H718" s="2383">
        <v>0</v>
      </c>
      <c r="I718" s="2383">
        <v>0</v>
      </c>
      <c r="J718" s="2413">
        <v>0</v>
      </c>
      <c r="K718" s="2387"/>
      <c r="L718" s="2381">
        <v>13063040611</v>
      </c>
      <c r="M718" s="2382">
        <v>0</v>
      </c>
      <c r="N718" s="2382">
        <v>0</v>
      </c>
      <c r="O718" s="2382">
        <v>0</v>
      </c>
      <c r="P718" s="344"/>
      <c r="Q718" s="344"/>
      <c r="R718" s="344"/>
      <c r="S718" s="344"/>
      <c r="T718" s="560" t="s">
        <v>2200</v>
      </c>
      <c r="U718" s="560" t="s">
        <v>2118</v>
      </c>
      <c r="AA718" s="27"/>
      <c r="AB718" s="27"/>
      <c r="AC718" s="1039"/>
      <c r="AD718" s="573"/>
    </row>
    <row r="719" spans="3:30" ht="10.5" customHeight="1">
      <c r="C719" s="2388" t="s">
        <v>5217</v>
      </c>
      <c r="D719" s="2385">
        <v>0</v>
      </c>
      <c r="E719" s="2385">
        <v>0</v>
      </c>
      <c r="F719" s="2386">
        <v>0</v>
      </c>
      <c r="G719" s="2412" t="s">
        <v>5217</v>
      </c>
      <c r="H719" s="2383">
        <v>0</v>
      </c>
      <c r="I719" s="2383">
        <v>0</v>
      </c>
      <c r="J719" s="2413">
        <v>0</v>
      </c>
      <c r="K719" s="2387"/>
      <c r="L719" s="2381">
        <v>13063040612</v>
      </c>
      <c r="M719" s="2382">
        <v>0</v>
      </c>
      <c r="N719" s="2382">
        <v>0</v>
      </c>
      <c r="O719" s="2382">
        <v>0</v>
      </c>
      <c r="P719" s="344"/>
      <c r="Q719" s="344"/>
      <c r="R719" s="344"/>
      <c r="S719" s="344"/>
      <c r="T719" s="560" t="s">
        <v>2202</v>
      </c>
      <c r="U719" s="560" t="s">
        <v>2339</v>
      </c>
      <c r="AA719" s="27"/>
      <c r="AB719" s="27"/>
      <c r="AC719" s="1038"/>
      <c r="AD719" s="573"/>
    </row>
    <row r="720" spans="3:30" ht="10.5" customHeight="1">
      <c r="C720" s="2388" t="s">
        <v>5218</v>
      </c>
      <c r="D720" s="2385">
        <v>0</v>
      </c>
      <c r="E720" s="2385">
        <v>0</v>
      </c>
      <c r="F720" s="2386">
        <v>0</v>
      </c>
      <c r="G720" s="2412" t="s">
        <v>5218</v>
      </c>
      <c r="H720" s="2383">
        <v>0</v>
      </c>
      <c r="I720" s="2383">
        <v>1</v>
      </c>
      <c r="J720" s="2413">
        <v>0</v>
      </c>
      <c r="K720" s="2387"/>
      <c r="L720" s="2381">
        <v>13063040613</v>
      </c>
      <c r="M720" s="2382">
        <v>0</v>
      </c>
      <c r="N720" s="2382">
        <v>1</v>
      </c>
      <c r="O720" s="2382">
        <v>0</v>
      </c>
      <c r="P720" s="344"/>
      <c r="Q720" s="344"/>
      <c r="R720" s="344"/>
      <c r="S720" s="344"/>
      <c r="T720" s="560" t="s">
        <v>2775</v>
      </c>
      <c r="U720" s="560" t="s">
        <v>155</v>
      </c>
      <c r="AA720" s="27"/>
      <c r="AB720" s="27"/>
      <c r="AC720" s="1038"/>
      <c r="AD720" s="573"/>
    </row>
    <row r="721" spans="3:30" ht="10.5" customHeight="1">
      <c r="C721" s="2388" t="s">
        <v>5219</v>
      </c>
      <c r="D721" s="2385">
        <v>1</v>
      </c>
      <c r="E721" s="2385">
        <v>0</v>
      </c>
      <c r="F721" s="2386">
        <v>1</v>
      </c>
      <c r="G721" s="2412" t="s">
        <v>5219</v>
      </c>
      <c r="H721" s="2383">
        <v>1</v>
      </c>
      <c r="I721" s="2383">
        <v>0</v>
      </c>
      <c r="J721" s="2413">
        <v>1</v>
      </c>
      <c r="K721" s="2387"/>
      <c r="L721" s="2381">
        <v>13063040614</v>
      </c>
      <c r="M721" s="2382">
        <v>1</v>
      </c>
      <c r="N721" s="2382">
        <v>0</v>
      </c>
      <c r="O721" s="2382">
        <v>1</v>
      </c>
      <c r="P721" s="344"/>
      <c r="Q721" s="344"/>
      <c r="R721" s="344"/>
      <c r="S721" s="344"/>
      <c r="T721" s="560" t="s">
        <v>1094</v>
      </c>
      <c r="U721" s="560" t="s">
        <v>2129</v>
      </c>
      <c r="AA721" s="27"/>
      <c r="AB721" s="27"/>
      <c r="AC721" s="1038"/>
      <c r="AD721" s="573"/>
    </row>
    <row r="722" spans="3:30" ht="10.5" customHeight="1">
      <c r="C722" s="2388" t="s">
        <v>5220</v>
      </c>
      <c r="D722" s="2385">
        <v>1</v>
      </c>
      <c r="E722" s="2385">
        <v>0</v>
      </c>
      <c r="F722" s="2386">
        <v>1</v>
      </c>
      <c r="G722" s="2412" t="s">
        <v>5220</v>
      </c>
      <c r="H722" s="2383">
        <v>1</v>
      </c>
      <c r="I722" s="2383" t="s">
        <v>4493</v>
      </c>
      <c r="J722" s="2413">
        <v>1</v>
      </c>
      <c r="K722" s="2387"/>
      <c r="L722" s="2381">
        <v>13063040615</v>
      </c>
      <c r="M722" s="2382">
        <v>1</v>
      </c>
      <c r="N722" s="2382">
        <v>0</v>
      </c>
      <c r="O722" s="2382">
        <v>1</v>
      </c>
      <c r="P722" s="344"/>
      <c r="Q722" s="344"/>
      <c r="R722" s="344"/>
      <c r="S722" s="344"/>
      <c r="T722" s="560" t="s">
        <v>1096</v>
      </c>
      <c r="U722" s="560" t="s">
        <v>1071</v>
      </c>
      <c r="AA722" s="27"/>
      <c r="AB722" s="27"/>
      <c r="AC722" s="1038"/>
      <c r="AD722" s="573"/>
    </row>
    <row r="723" spans="3:30" ht="10.5" customHeight="1">
      <c r="C723" s="2388" t="s">
        <v>5221</v>
      </c>
      <c r="D723" s="2385">
        <v>0</v>
      </c>
      <c r="E723" s="2385">
        <v>0</v>
      </c>
      <c r="F723" s="2386">
        <v>0</v>
      </c>
      <c r="G723" s="2412" t="s">
        <v>5221</v>
      </c>
      <c r="H723" s="2383">
        <v>1</v>
      </c>
      <c r="I723" s="2383">
        <v>0</v>
      </c>
      <c r="J723" s="2413">
        <v>1</v>
      </c>
      <c r="K723" s="2387"/>
      <c r="L723" s="2381">
        <v>13063040616</v>
      </c>
      <c r="M723" s="2382">
        <v>1</v>
      </c>
      <c r="N723" s="2382">
        <v>0</v>
      </c>
      <c r="O723" s="2382">
        <v>1</v>
      </c>
      <c r="P723" s="344"/>
      <c r="Q723" s="344"/>
      <c r="R723" s="344"/>
      <c r="S723" s="344"/>
      <c r="T723" s="560" t="s">
        <v>2000</v>
      </c>
      <c r="U723" s="560" t="s">
        <v>309</v>
      </c>
      <c r="AA723" s="27"/>
      <c r="AB723" s="27"/>
      <c r="AC723" s="1038"/>
      <c r="AD723" s="573"/>
    </row>
    <row r="724" spans="3:30" ht="10.5" customHeight="1">
      <c r="C724" s="2388" t="s">
        <v>5222</v>
      </c>
      <c r="D724" s="2385">
        <v>0</v>
      </c>
      <c r="E724" s="2385">
        <v>0</v>
      </c>
      <c r="F724" s="2386">
        <v>0</v>
      </c>
      <c r="G724" s="2412" t="s">
        <v>5222</v>
      </c>
      <c r="H724" s="2383">
        <v>0</v>
      </c>
      <c r="I724" s="2383">
        <v>0</v>
      </c>
      <c r="J724" s="2413">
        <v>0</v>
      </c>
      <c r="K724" s="2387"/>
      <c r="L724" s="2381">
        <v>13063040617</v>
      </c>
      <c r="M724" s="2382">
        <v>0</v>
      </c>
      <c r="N724" s="2382">
        <v>0</v>
      </c>
      <c r="O724" s="2382">
        <v>0</v>
      </c>
      <c r="P724" s="344"/>
      <c r="Q724" s="344"/>
      <c r="R724" s="344"/>
      <c r="S724" s="344"/>
      <c r="T724" s="560" t="s">
        <v>1922</v>
      </c>
      <c r="U724" s="560" t="s">
        <v>119</v>
      </c>
      <c r="AA724" s="27"/>
      <c r="AB724" s="27"/>
      <c r="AC724" s="1038"/>
      <c r="AD724" s="573"/>
    </row>
    <row r="725" spans="3:30" ht="10.5" customHeight="1">
      <c r="C725" s="2388" t="s">
        <v>5223</v>
      </c>
      <c r="D725" s="2385">
        <v>0</v>
      </c>
      <c r="E725" s="2385">
        <v>0</v>
      </c>
      <c r="F725" s="2386">
        <v>0</v>
      </c>
      <c r="G725" s="2412" t="s">
        <v>5223</v>
      </c>
      <c r="H725" s="2383">
        <v>1</v>
      </c>
      <c r="I725" s="2383">
        <v>0</v>
      </c>
      <c r="J725" s="2413">
        <v>1</v>
      </c>
      <c r="K725" s="2387"/>
      <c r="L725" s="2381">
        <v>13063040619</v>
      </c>
      <c r="M725" s="2382">
        <v>1</v>
      </c>
      <c r="N725" s="2382">
        <v>0</v>
      </c>
      <c r="O725" s="2382">
        <v>1</v>
      </c>
      <c r="P725" s="344"/>
      <c r="Q725" s="344"/>
      <c r="R725" s="344"/>
      <c r="S725" s="344"/>
      <c r="T725" s="560" t="s">
        <v>1924</v>
      </c>
      <c r="U725" s="560" t="s">
        <v>318</v>
      </c>
      <c r="AA725" s="27"/>
      <c r="AB725" s="27"/>
      <c r="AC725" s="1038"/>
      <c r="AD725" s="573"/>
    </row>
    <row r="726" spans="3:30" ht="10.5" customHeight="1">
      <c r="C726" s="2388" t="s">
        <v>5224</v>
      </c>
      <c r="D726" s="2385">
        <v>0</v>
      </c>
      <c r="E726" s="2385">
        <v>1</v>
      </c>
      <c r="F726" s="2386">
        <v>1</v>
      </c>
      <c r="G726" s="2412" t="s">
        <v>5224</v>
      </c>
      <c r="H726" s="2383">
        <v>1</v>
      </c>
      <c r="I726" s="2383">
        <v>1</v>
      </c>
      <c r="J726" s="2413">
        <v>2</v>
      </c>
      <c r="K726" s="2387"/>
      <c r="L726" s="2381">
        <v>13063040620</v>
      </c>
      <c r="M726" s="2382">
        <v>1</v>
      </c>
      <c r="N726" s="2382">
        <v>1</v>
      </c>
      <c r="O726" s="2382">
        <v>2</v>
      </c>
      <c r="P726" s="344"/>
      <c r="Q726" s="344"/>
      <c r="R726" s="344"/>
      <c r="S726" s="344"/>
      <c r="T726" s="560" t="s">
        <v>1926</v>
      </c>
      <c r="U726" s="560" t="s">
        <v>180</v>
      </c>
      <c r="AA726" s="27"/>
      <c r="AB726" s="27"/>
      <c r="AC726" s="1038"/>
      <c r="AD726" s="573"/>
    </row>
    <row r="727" spans="3:30" ht="10.5" customHeight="1">
      <c r="C727" s="2388" t="s">
        <v>5225</v>
      </c>
      <c r="D727" s="2385">
        <v>0</v>
      </c>
      <c r="E727" s="2385">
        <v>0</v>
      </c>
      <c r="F727" s="2386">
        <v>0</v>
      </c>
      <c r="G727" s="2412" t="s">
        <v>5225</v>
      </c>
      <c r="H727" s="2383">
        <v>0</v>
      </c>
      <c r="I727" s="2383">
        <v>0</v>
      </c>
      <c r="J727" s="2413">
        <v>0</v>
      </c>
      <c r="K727" s="2387"/>
      <c r="L727" s="2381">
        <v>13063040621</v>
      </c>
      <c r="M727" s="2382">
        <v>0</v>
      </c>
      <c r="N727" s="2382">
        <v>0</v>
      </c>
      <c r="O727" s="2382">
        <v>0</v>
      </c>
      <c r="P727" s="344"/>
      <c r="Q727" s="344"/>
      <c r="R727" s="344"/>
      <c r="S727" s="344"/>
      <c r="T727" s="627" t="s">
        <v>2776</v>
      </c>
      <c r="U727" s="627" t="s">
        <v>1864</v>
      </c>
      <c r="AA727" s="27"/>
      <c r="AB727" s="27"/>
      <c r="AC727" s="1038"/>
      <c r="AD727" s="573"/>
    </row>
    <row r="728" spans="3:30" ht="10.5" customHeight="1">
      <c r="C728" s="2388" t="s">
        <v>5226</v>
      </c>
      <c r="D728" s="2385">
        <v>0</v>
      </c>
      <c r="E728" s="2385">
        <v>0</v>
      </c>
      <c r="F728" s="2386">
        <v>0</v>
      </c>
      <c r="G728" s="2412" t="s">
        <v>5226</v>
      </c>
      <c r="H728" s="2383">
        <v>0</v>
      </c>
      <c r="I728" s="2383" t="s">
        <v>4493</v>
      </c>
      <c r="J728" s="2413">
        <v>0</v>
      </c>
      <c r="K728" s="2387"/>
      <c r="L728" s="2381">
        <v>13063040622</v>
      </c>
      <c r="M728" s="2382">
        <v>0</v>
      </c>
      <c r="N728" s="2382">
        <v>0</v>
      </c>
      <c r="O728" s="2382">
        <v>0</v>
      </c>
      <c r="P728" s="344"/>
      <c r="Q728" s="344"/>
      <c r="R728" s="344"/>
      <c r="S728" s="344"/>
      <c r="T728" s="560" t="s">
        <v>445</v>
      </c>
      <c r="U728" s="560" t="s">
        <v>1287</v>
      </c>
      <c r="AA728" s="27"/>
      <c r="AB728" s="27"/>
      <c r="AC728" s="1039"/>
      <c r="AD728" s="573"/>
    </row>
    <row r="729" spans="3:30" ht="10.5" customHeight="1">
      <c r="C729" s="2388" t="s">
        <v>5227</v>
      </c>
      <c r="D729" s="2385" t="s">
        <v>4493</v>
      </c>
      <c r="E729" s="2385" t="s">
        <v>4493</v>
      </c>
      <c r="F729" s="2386">
        <v>0</v>
      </c>
      <c r="G729" s="2412" t="s">
        <v>5227</v>
      </c>
      <c r="H729" s="2383" t="s">
        <v>4493</v>
      </c>
      <c r="I729" s="2383" t="s">
        <v>4493</v>
      </c>
      <c r="J729" s="2413">
        <v>0</v>
      </c>
      <c r="K729" s="2387"/>
      <c r="L729" s="2381">
        <v>13063980000</v>
      </c>
      <c r="M729" s="2382">
        <v>0</v>
      </c>
      <c r="N729" s="2382">
        <v>0</v>
      </c>
      <c r="O729" s="2382">
        <v>0</v>
      </c>
      <c r="P729" s="344"/>
      <c r="Q729" s="344"/>
      <c r="R729" s="344"/>
      <c r="S729" s="344"/>
      <c r="T729" s="560" t="s">
        <v>2050</v>
      </c>
      <c r="U729" s="560" t="s">
        <v>715</v>
      </c>
      <c r="AA729" s="27"/>
      <c r="AB729" s="27"/>
      <c r="AC729" s="1038"/>
      <c r="AD729" s="573"/>
    </row>
    <row r="730" spans="3:30" ht="10.5" customHeight="1">
      <c r="C730" s="2388" t="s">
        <v>5228</v>
      </c>
      <c r="D730" s="2385">
        <v>0</v>
      </c>
      <c r="E730" s="2385">
        <v>0</v>
      </c>
      <c r="F730" s="2386">
        <v>0</v>
      </c>
      <c r="G730" s="2412" t="s">
        <v>5228</v>
      </c>
      <c r="H730" s="2383">
        <v>0</v>
      </c>
      <c r="I730" s="2383">
        <v>0</v>
      </c>
      <c r="J730" s="2413">
        <v>0</v>
      </c>
      <c r="K730" s="2387"/>
      <c r="L730" s="2381">
        <v>13065970100</v>
      </c>
      <c r="M730" s="2382">
        <v>0</v>
      </c>
      <c r="N730" s="2382">
        <v>0</v>
      </c>
      <c r="O730" s="2382">
        <v>0</v>
      </c>
      <c r="P730" s="344"/>
      <c r="Q730" s="344"/>
      <c r="R730" s="344"/>
      <c r="S730" s="344"/>
      <c r="T730" s="560" t="s">
        <v>2075</v>
      </c>
      <c r="U730" s="560" t="s">
        <v>103</v>
      </c>
      <c r="AA730" s="27"/>
      <c r="AB730" s="27"/>
      <c r="AC730" s="1038"/>
      <c r="AD730" s="573"/>
    </row>
    <row r="731" spans="3:30" ht="10.5" customHeight="1">
      <c r="C731" s="2388" t="s">
        <v>5229</v>
      </c>
      <c r="D731" s="2385">
        <v>0</v>
      </c>
      <c r="E731" s="2385">
        <v>0</v>
      </c>
      <c r="F731" s="2386">
        <v>0</v>
      </c>
      <c r="G731" s="2412" t="s">
        <v>5229</v>
      </c>
      <c r="H731" s="2383">
        <v>0</v>
      </c>
      <c r="I731" s="2383">
        <v>0</v>
      </c>
      <c r="J731" s="2413">
        <v>0</v>
      </c>
      <c r="K731" s="2387"/>
      <c r="L731" s="2381">
        <v>13065970200</v>
      </c>
      <c r="M731" s="2382">
        <v>0</v>
      </c>
      <c r="N731" s="2382">
        <v>0</v>
      </c>
      <c r="O731" s="2382">
        <v>0</v>
      </c>
      <c r="P731" s="344"/>
      <c r="Q731" s="344"/>
      <c r="R731" s="344"/>
      <c r="S731" s="344"/>
      <c r="T731" s="560" t="s">
        <v>813</v>
      </c>
      <c r="U731" s="560" t="s">
        <v>1958</v>
      </c>
      <c r="AA731" s="27"/>
      <c r="AB731" s="27"/>
      <c r="AC731" s="1038"/>
      <c r="AD731" s="573"/>
    </row>
    <row r="732" spans="3:30" ht="10.5" customHeight="1">
      <c r="C732" s="2388" t="s">
        <v>5230</v>
      </c>
      <c r="D732" s="2385">
        <v>1</v>
      </c>
      <c r="E732" s="2385">
        <v>1</v>
      </c>
      <c r="F732" s="2386">
        <v>2</v>
      </c>
      <c r="G732" s="2412" t="s">
        <v>5230</v>
      </c>
      <c r="H732" s="2383">
        <v>1</v>
      </c>
      <c r="I732" s="2383">
        <v>1</v>
      </c>
      <c r="J732" s="2413">
        <v>2</v>
      </c>
      <c r="K732" s="2387"/>
      <c r="L732" s="2381">
        <v>13067030101</v>
      </c>
      <c r="M732" s="2382">
        <v>1</v>
      </c>
      <c r="N732" s="2382">
        <v>1</v>
      </c>
      <c r="O732" s="2382">
        <v>2</v>
      </c>
      <c r="P732" s="344"/>
      <c r="Q732" s="344"/>
      <c r="R732" s="344"/>
      <c r="S732" s="344"/>
      <c r="T732" s="560" t="s">
        <v>2076</v>
      </c>
      <c r="U732" s="560" t="s">
        <v>1958</v>
      </c>
      <c r="AA732" s="27"/>
      <c r="AB732" s="27"/>
      <c r="AC732" s="1038"/>
      <c r="AD732" s="573"/>
    </row>
    <row r="733" spans="3:30" ht="10.5" customHeight="1">
      <c r="C733" s="2388" t="s">
        <v>5231</v>
      </c>
      <c r="D733" s="2385">
        <v>1</v>
      </c>
      <c r="E733" s="2385">
        <v>1</v>
      </c>
      <c r="F733" s="2386">
        <v>2</v>
      </c>
      <c r="G733" s="2412" t="s">
        <v>5231</v>
      </c>
      <c r="H733" s="2383">
        <v>1</v>
      </c>
      <c r="I733" s="2383">
        <v>1</v>
      </c>
      <c r="J733" s="2413">
        <v>2</v>
      </c>
      <c r="K733" s="2387"/>
      <c r="L733" s="2381">
        <v>13067030103</v>
      </c>
      <c r="M733" s="2382">
        <v>1</v>
      </c>
      <c r="N733" s="2382">
        <v>1</v>
      </c>
      <c r="O733" s="2382">
        <v>2</v>
      </c>
      <c r="P733" s="344"/>
      <c r="Q733" s="344"/>
      <c r="R733" s="344"/>
      <c r="S733" s="344"/>
      <c r="T733" s="560" t="s">
        <v>2077</v>
      </c>
      <c r="U733" s="560" t="s">
        <v>1627</v>
      </c>
      <c r="AA733" s="27"/>
      <c r="AB733" s="27"/>
      <c r="AC733" s="1038"/>
      <c r="AD733" s="573"/>
    </row>
    <row r="734" spans="3:30" ht="10.5" customHeight="1">
      <c r="C734" s="2388" t="s">
        <v>5232</v>
      </c>
      <c r="D734" s="2385">
        <v>0</v>
      </c>
      <c r="E734" s="2385">
        <v>0</v>
      </c>
      <c r="F734" s="2386">
        <v>0</v>
      </c>
      <c r="G734" s="2412" t="s">
        <v>5232</v>
      </c>
      <c r="H734" s="2383">
        <v>0</v>
      </c>
      <c r="I734" s="2383">
        <v>0</v>
      </c>
      <c r="J734" s="2413">
        <v>0</v>
      </c>
      <c r="K734" s="2387"/>
      <c r="L734" s="2381">
        <v>13067030104</v>
      </c>
      <c r="M734" s="2382">
        <v>0</v>
      </c>
      <c r="N734" s="2382">
        <v>0</v>
      </c>
      <c r="O734" s="2382">
        <v>0</v>
      </c>
      <c r="P734" s="344"/>
      <c r="Q734" s="344"/>
      <c r="R734" s="344"/>
      <c r="S734" s="344"/>
      <c r="T734" s="560" t="s">
        <v>2273</v>
      </c>
      <c r="U734" s="560" t="s">
        <v>1829</v>
      </c>
      <c r="AA734" s="27"/>
      <c r="AB734" s="27"/>
      <c r="AC734" s="1038"/>
      <c r="AD734" s="573"/>
    </row>
    <row r="735" spans="3:30" ht="10.5" customHeight="1">
      <c r="C735" s="2388" t="s">
        <v>5233</v>
      </c>
      <c r="D735" s="2385">
        <v>0</v>
      </c>
      <c r="E735" s="2385">
        <v>0</v>
      </c>
      <c r="F735" s="2386">
        <v>0</v>
      </c>
      <c r="G735" s="2412" t="s">
        <v>5233</v>
      </c>
      <c r="H735" s="2383">
        <v>1</v>
      </c>
      <c r="I735" s="2383">
        <v>0</v>
      </c>
      <c r="J735" s="2413">
        <v>1</v>
      </c>
      <c r="K735" s="2387"/>
      <c r="L735" s="2381">
        <v>13067030106</v>
      </c>
      <c r="M735" s="2382">
        <v>1</v>
      </c>
      <c r="N735" s="2382">
        <v>0</v>
      </c>
      <c r="O735" s="2382">
        <v>1</v>
      </c>
      <c r="P735" s="344"/>
      <c r="Q735" s="344"/>
      <c r="R735" s="344"/>
      <c r="S735" s="344"/>
      <c r="T735" s="560" t="s">
        <v>2274</v>
      </c>
      <c r="U735" s="560" t="s">
        <v>155</v>
      </c>
      <c r="AA735" s="27"/>
      <c r="AB735" s="27"/>
      <c r="AC735" s="1038"/>
      <c r="AD735" s="573"/>
    </row>
    <row r="736" spans="3:30" ht="10.5" customHeight="1">
      <c r="C736" s="2388" t="s">
        <v>5234</v>
      </c>
      <c r="D736" s="2385">
        <v>1</v>
      </c>
      <c r="E736" s="2385">
        <v>1</v>
      </c>
      <c r="F736" s="2386">
        <v>2</v>
      </c>
      <c r="G736" s="2412" t="s">
        <v>5234</v>
      </c>
      <c r="H736" s="2383">
        <v>1</v>
      </c>
      <c r="I736" s="2383">
        <v>1</v>
      </c>
      <c r="J736" s="2413">
        <v>2</v>
      </c>
      <c r="K736" s="2387"/>
      <c r="L736" s="2381">
        <v>13067030107</v>
      </c>
      <c r="M736" s="2382">
        <v>1</v>
      </c>
      <c r="N736" s="2382">
        <v>1</v>
      </c>
      <c r="O736" s="2382">
        <v>2</v>
      </c>
      <c r="P736" s="344"/>
      <c r="Q736" s="344"/>
      <c r="R736" s="344"/>
      <c r="S736" s="344"/>
      <c r="T736" s="627" t="s">
        <v>2275</v>
      </c>
      <c r="U736" s="627" t="s">
        <v>1629</v>
      </c>
      <c r="AA736" s="27"/>
      <c r="AB736" s="27"/>
      <c r="AC736" s="1038"/>
      <c r="AD736" s="573"/>
    </row>
    <row r="737" spans="3:30" ht="10.5" customHeight="1">
      <c r="C737" s="2388" t="s">
        <v>5235</v>
      </c>
      <c r="D737" s="2385">
        <v>1</v>
      </c>
      <c r="E737" s="2385">
        <v>1</v>
      </c>
      <c r="F737" s="2386">
        <v>2</v>
      </c>
      <c r="G737" s="2412" t="s">
        <v>5235</v>
      </c>
      <c r="H737" s="2383">
        <v>1</v>
      </c>
      <c r="I737" s="2383">
        <v>1</v>
      </c>
      <c r="J737" s="2413">
        <v>2</v>
      </c>
      <c r="K737" s="2387"/>
      <c r="L737" s="2381">
        <v>13067030209</v>
      </c>
      <c r="M737" s="2382">
        <v>1</v>
      </c>
      <c r="N737" s="2382">
        <v>1</v>
      </c>
      <c r="O737" s="2382">
        <v>2</v>
      </c>
      <c r="P737" s="344"/>
      <c r="Q737" s="344"/>
      <c r="R737" s="344"/>
      <c r="S737" s="344"/>
      <c r="T737" s="560" t="s">
        <v>2276</v>
      </c>
      <c r="U737" s="560" t="s">
        <v>1083</v>
      </c>
      <c r="AA737" s="27"/>
      <c r="AB737" s="27"/>
      <c r="AC737" s="1039"/>
      <c r="AD737" s="573"/>
    </row>
    <row r="738" spans="3:30" ht="10.5" customHeight="1">
      <c r="C738" s="2388" t="s">
        <v>5236</v>
      </c>
      <c r="D738" s="2385">
        <v>1</v>
      </c>
      <c r="E738" s="2385">
        <v>1</v>
      </c>
      <c r="F738" s="2386">
        <v>2</v>
      </c>
      <c r="G738" s="2412" t="s">
        <v>5236</v>
      </c>
      <c r="H738" s="2383">
        <v>1</v>
      </c>
      <c r="I738" s="2383">
        <v>1</v>
      </c>
      <c r="J738" s="2413">
        <v>2</v>
      </c>
      <c r="K738" s="2387"/>
      <c r="L738" s="2381">
        <v>13067030214</v>
      </c>
      <c r="M738" s="2382">
        <v>1</v>
      </c>
      <c r="N738" s="2382">
        <v>1</v>
      </c>
      <c r="O738" s="2382">
        <v>2</v>
      </c>
      <c r="P738" s="344"/>
      <c r="Q738" s="344"/>
      <c r="R738" s="344"/>
      <c r="S738" s="344"/>
      <c r="T738" s="560" t="s">
        <v>2277</v>
      </c>
      <c r="U738" s="560" t="s">
        <v>2335</v>
      </c>
      <c r="AA738" s="27"/>
      <c r="AB738" s="27"/>
      <c r="AC738" s="1038"/>
      <c r="AD738" s="573"/>
    </row>
    <row r="739" spans="3:30" ht="10.5" customHeight="1">
      <c r="C739" s="2388" t="s">
        <v>5237</v>
      </c>
      <c r="D739" s="2385">
        <v>1</v>
      </c>
      <c r="E739" s="2385">
        <v>1</v>
      </c>
      <c r="F739" s="2386">
        <v>2</v>
      </c>
      <c r="G739" s="2412" t="s">
        <v>5237</v>
      </c>
      <c r="H739" s="2383">
        <v>1</v>
      </c>
      <c r="I739" s="2383">
        <v>1</v>
      </c>
      <c r="J739" s="2413">
        <v>2</v>
      </c>
      <c r="K739" s="2387"/>
      <c r="L739" s="2381">
        <v>13067030215</v>
      </c>
      <c r="M739" s="2382">
        <v>1</v>
      </c>
      <c r="N739" s="2382">
        <v>1</v>
      </c>
      <c r="O739" s="2382">
        <v>2</v>
      </c>
      <c r="P739" s="344"/>
      <c r="Q739" s="344"/>
      <c r="R739" s="344"/>
      <c r="S739" s="344"/>
      <c r="T739" s="560" t="s">
        <v>2203</v>
      </c>
      <c r="U739" s="560" t="s">
        <v>2123</v>
      </c>
      <c r="AA739" s="27"/>
      <c r="AB739" s="27"/>
      <c r="AC739" s="1038"/>
      <c r="AD739" s="573"/>
    </row>
    <row r="740" spans="3:30" ht="10.5" customHeight="1">
      <c r="C740" s="2388" t="s">
        <v>5238</v>
      </c>
      <c r="D740" s="2385">
        <v>1</v>
      </c>
      <c r="E740" s="2385">
        <v>1</v>
      </c>
      <c r="F740" s="2386">
        <v>2</v>
      </c>
      <c r="G740" s="2412" t="s">
        <v>5238</v>
      </c>
      <c r="H740" s="2383">
        <v>1</v>
      </c>
      <c r="I740" s="2383">
        <v>1</v>
      </c>
      <c r="J740" s="2413">
        <v>2</v>
      </c>
      <c r="K740" s="2387"/>
      <c r="L740" s="2381">
        <v>13067030218</v>
      </c>
      <c r="M740" s="2382">
        <v>1</v>
      </c>
      <c r="N740" s="2382">
        <v>1</v>
      </c>
      <c r="O740" s="2382">
        <v>2</v>
      </c>
      <c r="P740" s="344"/>
      <c r="Q740" s="344"/>
      <c r="R740" s="344"/>
      <c r="S740" s="344"/>
      <c r="T740" s="560" t="s">
        <v>1593</v>
      </c>
      <c r="U740" s="560" t="s">
        <v>2337</v>
      </c>
      <c r="AA740" s="27"/>
      <c r="AB740" s="27"/>
      <c r="AC740" s="1038"/>
      <c r="AD740" s="573"/>
    </row>
    <row r="741" spans="3:30" ht="10.5" customHeight="1">
      <c r="C741" s="2388" t="s">
        <v>5239</v>
      </c>
      <c r="D741" s="2385">
        <v>1</v>
      </c>
      <c r="E741" s="2385">
        <v>1</v>
      </c>
      <c r="F741" s="2386">
        <v>2</v>
      </c>
      <c r="G741" s="2412" t="s">
        <v>5239</v>
      </c>
      <c r="H741" s="2383">
        <v>1</v>
      </c>
      <c r="I741" s="2383">
        <v>1</v>
      </c>
      <c r="J741" s="2413">
        <v>2</v>
      </c>
      <c r="K741" s="2387"/>
      <c r="L741" s="2381">
        <v>13067030219</v>
      </c>
      <c r="M741" s="2382">
        <v>1</v>
      </c>
      <c r="N741" s="2382">
        <v>1</v>
      </c>
      <c r="O741" s="2382">
        <v>2</v>
      </c>
      <c r="P741" s="344"/>
      <c r="Q741" s="344"/>
      <c r="R741" s="344"/>
      <c r="S741" s="344"/>
      <c r="T741" s="560" t="s">
        <v>1594</v>
      </c>
      <c r="U741" s="560" t="s">
        <v>190</v>
      </c>
      <c r="AA741" s="27"/>
      <c r="AB741" s="27"/>
      <c r="AC741" s="1038"/>
      <c r="AD741" s="573"/>
    </row>
    <row r="742" spans="3:30" ht="10.5" customHeight="1">
      <c r="C742" s="2388" t="s">
        <v>5240</v>
      </c>
      <c r="D742" s="2385">
        <v>1</v>
      </c>
      <c r="E742" s="2385">
        <v>1</v>
      </c>
      <c r="F742" s="2386">
        <v>2</v>
      </c>
      <c r="G742" s="2412" t="s">
        <v>5240</v>
      </c>
      <c r="H742" s="2383">
        <v>1</v>
      </c>
      <c r="I742" s="2383">
        <v>1</v>
      </c>
      <c r="J742" s="2413">
        <v>2</v>
      </c>
      <c r="K742" s="2387"/>
      <c r="L742" s="2381">
        <v>13067030220</v>
      </c>
      <c r="M742" s="2382">
        <v>1</v>
      </c>
      <c r="N742" s="2382">
        <v>1</v>
      </c>
      <c r="O742" s="2382">
        <v>2</v>
      </c>
      <c r="P742" s="344"/>
      <c r="Q742" s="344"/>
      <c r="R742" s="344"/>
      <c r="S742" s="344"/>
      <c r="T742" s="560" t="s">
        <v>1644</v>
      </c>
      <c r="U742" s="560" t="s">
        <v>158</v>
      </c>
      <c r="AA742" s="27"/>
      <c r="AB742" s="27"/>
      <c r="AC742" s="1038"/>
      <c r="AD742" s="573"/>
    </row>
    <row r="743" spans="3:30" ht="10.5" customHeight="1">
      <c r="C743" s="2388" t="s">
        <v>5241</v>
      </c>
      <c r="D743" s="2385">
        <v>1</v>
      </c>
      <c r="E743" s="2385">
        <v>1</v>
      </c>
      <c r="F743" s="2386">
        <v>2</v>
      </c>
      <c r="G743" s="2412" t="s">
        <v>5241</v>
      </c>
      <c r="H743" s="2383">
        <v>1</v>
      </c>
      <c r="I743" s="2383">
        <v>1</v>
      </c>
      <c r="J743" s="2413">
        <v>2</v>
      </c>
      <c r="K743" s="2387"/>
      <c r="L743" s="2381">
        <v>13067030222</v>
      </c>
      <c r="M743" s="2382">
        <v>1</v>
      </c>
      <c r="N743" s="2382">
        <v>1</v>
      </c>
      <c r="O743" s="2382">
        <v>2</v>
      </c>
      <c r="P743" s="344"/>
      <c r="Q743" s="344"/>
      <c r="R743" s="344"/>
      <c r="S743" s="344"/>
      <c r="T743" s="560" t="s">
        <v>1055</v>
      </c>
      <c r="U743" s="560" t="s">
        <v>610</v>
      </c>
      <c r="AA743" s="27"/>
      <c r="AB743" s="27"/>
      <c r="AC743" s="1038"/>
      <c r="AD743" s="573"/>
    </row>
    <row r="744" spans="3:30" ht="10.5" customHeight="1">
      <c r="C744" s="2388" t="s">
        <v>5242</v>
      </c>
      <c r="D744" s="2385">
        <v>1</v>
      </c>
      <c r="E744" s="2385">
        <v>1</v>
      </c>
      <c r="F744" s="2386">
        <v>2</v>
      </c>
      <c r="G744" s="2412" t="s">
        <v>5242</v>
      </c>
      <c r="H744" s="2383">
        <v>1</v>
      </c>
      <c r="I744" s="2383">
        <v>1</v>
      </c>
      <c r="J744" s="2413">
        <v>2</v>
      </c>
      <c r="K744" s="2387"/>
      <c r="L744" s="2381">
        <v>13067030223</v>
      </c>
      <c r="M744" s="2382">
        <v>1</v>
      </c>
      <c r="N744" s="2382">
        <v>1</v>
      </c>
      <c r="O744" s="2382">
        <v>2</v>
      </c>
      <c r="P744" s="344"/>
      <c r="Q744" s="344"/>
      <c r="R744" s="344"/>
      <c r="S744" s="344"/>
      <c r="T744" s="560" t="s">
        <v>798</v>
      </c>
      <c r="U744" s="560" t="s">
        <v>1903</v>
      </c>
      <c r="AA744" s="27"/>
      <c r="AB744" s="27"/>
      <c r="AC744" s="1038"/>
      <c r="AD744" s="573"/>
    </row>
    <row r="745" spans="3:30" ht="10.5" customHeight="1">
      <c r="C745" s="2388" t="s">
        <v>5243</v>
      </c>
      <c r="D745" s="2385">
        <v>1</v>
      </c>
      <c r="E745" s="2385">
        <v>1</v>
      </c>
      <c r="F745" s="2386">
        <v>2</v>
      </c>
      <c r="G745" s="2412" t="s">
        <v>5243</v>
      </c>
      <c r="H745" s="2383">
        <v>1</v>
      </c>
      <c r="I745" s="2383">
        <v>1</v>
      </c>
      <c r="J745" s="2413">
        <v>2</v>
      </c>
      <c r="K745" s="2387"/>
      <c r="L745" s="2381">
        <v>13067030224</v>
      </c>
      <c r="M745" s="2382">
        <v>1</v>
      </c>
      <c r="N745" s="2382">
        <v>1</v>
      </c>
      <c r="O745" s="2382">
        <v>2</v>
      </c>
      <c r="P745" s="344"/>
      <c r="Q745" s="344"/>
      <c r="R745" s="344"/>
      <c r="S745" s="344"/>
      <c r="T745" s="560" t="s">
        <v>1645</v>
      </c>
      <c r="U745" s="560" t="s">
        <v>2465</v>
      </c>
      <c r="AA745" s="27"/>
      <c r="AB745" s="27"/>
      <c r="AC745" s="1038"/>
      <c r="AD745" s="573"/>
    </row>
    <row r="746" spans="3:30" ht="10.5" customHeight="1">
      <c r="C746" s="2388" t="s">
        <v>5244</v>
      </c>
      <c r="D746" s="2385">
        <v>1</v>
      </c>
      <c r="E746" s="2385">
        <v>1</v>
      </c>
      <c r="F746" s="2386">
        <v>2</v>
      </c>
      <c r="G746" s="2412" t="s">
        <v>5244</v>
      </c>
      <c r="H746" s="2383">
        <v>1</v>
      </c>
      <c r="I746" s="2383">
        <v>1</v>
      </c>
      <c r="J746" s="2413">
        <v>2</v>
      </c>
      <c r="K746" s="2387"/>
      <c r="L746" s="2381">
        <v>13067030226</v>
      </c>
      <c r="M746" s="2382">
        <v>1</v>
      </c>
      <c r="N746" s="2382">
        <v>1</v>
      </c>
      <c r="O746" s="2382">
        <v>2</v>
      </c>
      <c r="P746" s="344"/>
      <c r="Q746" s="344"/>
      <c r="R746" s="344"/>
      <c r="S746" s="344"/>
      <c r="T746" s="560" t="s">
        <v>1646</v>
      </c>
      <c r="U746" s="560" t="s">
        <v>2185</v>
      </c>
      <c r="AA746" s="27"/>
      <c r="AB746" s="27"/>
      <c r="AC746" s="1038"/>
      <c r="AD746" s="573"/>
    </row>
    <row r="747" spans="3:30" ht="10.5" customHeight="1">
      <c r="C747" s="2388" t="s">
        <v>5245</v>
      </c>
      <c r="D747" s="2385">
        <v>1</v>
      </c>
      <c r="E747" s="2385">
        <v>1</v>
      </c>
      <c r="F747" s="2386">
        <v>2</v>
      </c>
      <c r="G747" s="2412" t="s">
        <v>5245</v>
      </c>
      <c r="H747" s="2383">
        <v>1</v>
      </c>
      <c r="I747" s="2383">
        <v>0</v>
      </c>
      <c r="J747" s="2413">
        <v>1</v>
      </c>
      <c r="K747" s="2387"/>
      <c r="L747" s="2381">
        <v>13067030227</v>
      </c>
      <c r="M747" s="2382">
        <v>1</v>
      </c>
      <c r="N747" s="2382">
        <v>1</v>
      </c>
      <c r="O747" s="2382">
        <v>2</v>
      </c>
      <c r="P747" s="344"/>
      <c r="Q747" s="344"/>
      <c r="R747" s="344"/>
      <c r="S747" s="344"/>
      <c r="T747" s="560" t="s">
        <v>1647</v>
      </c>
      <c r="U747" s="560" t="s">
        <v>1629</v>
      </c>
      <c r="AA747" s="27"/>
      <c r="AB747" s="27"/>
      <c r="AC747" s="1038"/>
      <c r="AD747" s="573"/>
    </row>
    <row r="748" spans="3:30" ht="10.5" customHeight="1">
      <c r="C748" s="2388" t="s">
        <v>5246</v>
      </c>
      <c r="D748" s="2385">
        <v>1</v>
      </c>
      <c r="E748" s="2385">
        <v>1</v>
      </c>
      <c r="F748" s="2386">
        <v>2</v>
      </c>
      <c r="G748" s="2412" t="s">
        <v>5246</v>
      </c>
      <c r="H748" s="2383">
        <v>1</v>
      </c>
      <c r="I748" s="2383">
        <v>1</v>
      </c>
      <c r="J748" s="2413">
        <v>2</v>
      </c>
      <c r="K748" s="2387"/>
      <c r="L748" s="2381">
        <v>13067030228</v>
      </c>
      <c r="M748" s="2382">
        <v>1</v>
      </c>
      <c r="N748" s="2382">
        <v>1</v>
      </c>
      <c r="O748" s="2382">
        <v>2</v>
      </c>
      <c r="P748" s="344"/>
      <c r="Q748" s="344"/>
      <c r="R748" s="344"/>
      <c r="S748" s="344"/>
      <c r="T748" s="560" t="s">
        <v>1648</v>
      </c>
      <c r="U748" s="560" t="s">
        <v>155</v>
      </c>
      <c r="AA748" s="27"/>
      <c r="AB748" s="27"/>
      <c r="AC748" s="1038"/>
      <c r="AD748" s="573"/>
    </row>
    <row r="749" spans="3:30" ht="10.5" customHeight="1">
      <c r="C749" s="2388" t="s">
        <v>5247</v>
      </c>
      <c r="D749" s="2385">
        <v>0</v>
      </c>
      <c r="E749" s="2385">
        <v>1</v>
      </c>
      <c r="F749" s="2386">
        <v>1</v>
      </c>
      <c r="G749" s="2412" t="s">
        <v>5247</v>
      </c>
      <c r="H749" s="2383">
        <v>0</v>
      </c>
      <c r="I749" s="2383" t="s">
        <v>4493</v>
      </c>
      <c r="J749" s="2413">
        <v>0</v>
      </c>
      <c r="K749" s="2387"/>
      <c r="L749" s="2381">
        <v>13067030229</v>
      </c>
      <c r="M749" s="2382">
        <v>0</v>
      </c>
      <c r="N749" s="2382">
        <v>1</v>
      </c>
      <c r="O749" s="2382">
        <v>1</v>
      </c>
      <c r="P749" s="344"/>
      <c r="Q749" s="344"/>
      <c r="R749" s="344"/>
      <c r="S749" s="344"/>
      <c r="T749" s="560" t="s">
        <v>1649</v>
      </c>
      <c r="U749" s="560" t="s">
        <v>639</v>
      </c>
      <c r="AA749" s="27"/>
      <c r="AB749" s="27"/>
      <c r="AC749" s="1038"/>
      <c r="AD749" s="573"/>
    </row>
    <row r="750" spans="3:30" ht="10.5" customHeight="1">
      <c r="C750" s="2388" t="s">
        <v>5248</v>
      </c>
      <c r="D750" s="2385">
        <v>1</v>
      </c>
      <c r="E750" s="2385">
        <v>1</v>
      </c>
      <c r="F750" s="2386">
        <v>2</v>
      </c>
      <c r="G750" s="2412" t="s">
        <v>5248</v>
      </c>
      <c r="H750" s="2383">
        <v>1</v>
      </c>
      <c r="I750" s="2383">
        <v>1</v>
      </c>
      <c r="J750" s="2413">
        <v>2</v>
      </c>
      <c r="K750" s="2387"/>
      <c r="L750" s="2381">
        <v>13067030230</v>
      </c>
      <c r="M750" s="2382">
        <v>1</v>
      </c>
      <c r="N750" s="2382">
        <v>1</v>
      </c>
      <c r="O750" s="2382">
        <v>2</v>
      </c>
      <c r="P750" s="344"/>
      <c r="Q750" s="344"/>
      <c r="R750" s="344"/>
      <c r="S750" s="344"/>
      <c r="T750" s="560" t="s">
        <v>1650</v>
      </c>
      <c r="U750" s="560" t="s">
        <v>931</v>
      </c>
      <c r="AA750" s="27"/>
      <c r="AB750" s="27"/>
      <c r="AC750" s="1038"/>
      <c r="AD750" s="573"/>
    </row>
    <row r="751" spans="3:30" ht="10.5" customHeight="1">
      <c r="C751" s="2388" t="s">
        <v>5249</v>
      </c>
      <c r="D751" s="2385">
        <v>1</v>
      </c>
      <c r="E751" s="2385">
        <v>1</v>
      </c>
      <c r="F751" s="2386">
        <v>2</v>
      </c>
      <c r="G751" s="2412" t="s">
        <v>5249</v>
      </c>
      <c r="H751" s="2383">
        <v>1</v>
      </c>
      <c r="I751" s="2383">
        <v>1</v>
      </c>
      <c r="J751" s="2413">
        <v>2</v>
      </c>
      <c r="K751" s="2387"/>
      <c r="L751" s="2381">
        <v>13067030231</v>
      </c>
      <c r="M751" s="2382">
        <v>1</v>
      </c>
      <c r="N751" s="2382">
        <v>1</v>
      </c>
      <c r="O751" s="2382">
        <v>2</v>
      </c>
      <c r="P751" s="344"/>
      <c r="Q751" s="344"/>
      <c r="R751" s="344"/>
      <c r="S751" s="344"/>
      <c r="T751" s="560" t="s">
        <v>1651</v>
      </c>
      <c r="U751" s="560" t="s">
        <v>1180</v>
      </c>
      <c r="AA751" s="27"/>
      <c r="AB751" s="27"/>
      <c r="AC751" s="1038"/>
      <c r="AD751" s="573"/>
    </row>
    <row r="752" spans="3:30" ht="10.5" customHeight="1">
      <c r="C752" s="2388" t="s">
        <v>5250</v>
      </c>
      <c r="D752" s="2385">
        <v>1</v>
      </c>
      <c r="E752" s="2385">
        <v>1</v>
      </c>
      <c r="F752" s="2386">
        <v>2</v>
      </c>
      <c r="G752" s="2412" t="s">
        <v>5250</v>
      </c>
      <c r="H752" s="2383">
        <v>1</v>
      </c>
      <c r="I752" s="2383">
        <v>1</v>
      </c>
      <c r="J752" s="2413">
        <v>2</v>
      </c>
      <c r="K752" s="2387"/>
      <c r="L752" s="2381">
        <v>13067030232</v>
      </c>
      <c r="M752" s="2382">
        <v>1</v>
      </c>
      <c r="N752" s="2382">
        <v>1</v>
      </c>
      <c r="O752" s="2382">
        <v>2</v>
      </c>
      <c r="P752" s="344"/>
      <c r="Q752" s="344"/>
      <c r="R752" s="344"/>
      <c r="S752" s="344"/>
      <c r="T752" s="560" t="s">
        <v>1652</v>
      </c>
      <c r="U752" s="560" t="s">
        <v>653</v>
      </c>
      <c r="AA752" s="27"/>
      <c r="AB752" s="27"/>
      <c r="AC752" s="1038"/>
      <c r="AD752" s="573"/>
    </row>
    <row r="753" spans="3:30" ht="10.5" customHeight="1">
      <c r="C753" s="2388" t="s">
        <v>5251</v>
      </c>
      <c r="D753" s="2385">
        <v>1</v>
      </c>
      <c r="E753" s="2385">
        <v>1</v>
      </c>
      <c r="F753" s="2386">
        <v>2</v>
      </c>
      <c r="G753" s="2412" t="s">
        <v>5251</v>
      </c>
      <c r="H753" s="2383">
        <v>1</v>
      </c>
      <c r="I753" s="2383">
        <v>1</v>
      </c>
      <c r="J753" s="2413">
        <v>2</v>
      </c>
      <c r="K753" s="2387"/>
      <c r="L753" s="2381">
        <v>13067030233</v>
      </c>
      <c r="M753" s="2382">
        <v>1</v>
      </c>
      <c r="N753" s="2382">
        <v>1</v>
      </c>
      <c r="O753" s="2382">
        <v>2</v>
      </c>
      <c r="P753" s="344"/>
      <c r="Q753" s="344"/>
      <c r="R753" s="344"/>
      <c r="S753" s="344"/>
      <c r="T753" s="560" t="s">
        <v>1056</v>
      </c>
      <c r="U753" s="560" t="s">
        <v>1629</v>
      </c>
      <c r="AA753" s="27"/>
      <c r="AB753" s="27"/>
      <c r="AC753" s="1038"/>
      <c r="AD753" s="573"/>
    </row>
    <row r="754" spans="3:30" ht="10.5" customHeight="1">
      <c r="C754" s="2388" t="s">
        <v>5252</v>
      </c>
      <c r="D754" s="2385">
        <v>1</v>
      </c>
      <c r="E754" s="2385">
        <v>1</v>
      </c>
      <c r="F754" s="2386">
        <v>2</v>
      </c>
      <c r="G754" s="2412" t="s">
        <v>5252</v>
      </c>
      <c r="H754" s="2383">
        <v>1</v>
      </c>
      <c r="I754" s="2383" t="s">
        <v>4493</v>
      </c>
      <c r="J754" s="2413">
        <v>1</v>
      </c>
      <c r="K754" s="2387"/>
      <c r="L754" s="2381">
        <v>13067030234</v>
      </c>
      <c r="M754" s="2382">
        <v>1</v>
      </c>
      <c r="N754" s="2382">
        <v>1</v>
      </c>
      <c r="O754" s="2382">
        <v>2</v>
      </c>
      <c r="P754" s="344"/>
      <c r="Q754" s="344"/>
      <c r="R754" s="344"/>
      <c r="S754" s="344"/>
      <c r="T754" s="560" t="s">
        <v>1653</v>
      </c>
      <c r="U754" s="560" t="s">
        <v>180</v>
      </c>
      <c r="AA754" s="27"/>
      <c r="AB754" s="27"/>
      <c r="AC754" s="1038"/>
      <c r="AD754" s="573"/>
    </row>
    <row r="755" spans="3:30" ht="10.5" customHeight="1">
      <c r="C755" s="2388" t="s">
        <v>5253</v>
      </c>
      <c r="D755" s="2385">
        <v>1</v>
      </c>
      <c r="E755" s="2385">
        <v>1</v>
      </c>
      <c r="F755" s="2386">
        <v>2</v>
      </c>
      <c r="G755" s="2412" t="s">
        <v>5253</v>
      </c>
      <c r="H755" s="2383">
        <v>1</v>
      </c>
      <c r="I755" s="2383">
        <v>1</v>
      </c>
      <c r="J755" s="2413">
        <v>2</v>
      </c>
      <c r="K755" s="2387"/>
      <c r="L755" s="2381">
        <v>13067030235</v>
      </c>
      <c r="M755" s="2382">
        <v>1</v>
      </c>
      <c r="N755" s="2382">
        <v>1</v>
      </c>
      <c r="O755" s="2382">
        <v>2</v>
      </c>
      <c r="P755" s="344"/>
      <c r="Q755" s="344"/>
      <c r="R755" s="344"/>
      <c r="S755" s="344"/>
      <c r="T755" s="560" t="s">
        <v>1654</v>
      </c>
      <c r="U755" s="560" t="s">
        <v>171</v>
      </c>
      <c r="AA755" s="27"/>
      <c r="AB755" s="27"/>
      <c r="AC755" s="1038"/>
      <c r="AD755" s="573"/>
    </row>
    <row r="756" spans="3:30" ht="10.5" customHeight="1">
      <c r="C756" s="2388" t="s">
        <v>5254</v>
      </c>
      <c r="D756" s="2385">
        <v>1</v>
      </c>
      <c r="E756" s="2385">
        <v>1</v>
      </c>
      <c r="F756" s="2386">
        <v>2</v>
      </c>
      <c r="G756" s="2412" t="s">
        <v>5254</v>
      </c>
      <c r="H756" s="2383">
        <v>1</v>
      </c>
      <c r="I756" s="2383" t="s">
        <v>4493</v>
      </c>
      <c r="J756" s="2413">
        <v>1</v>
      </c>
      <c r="K756" s="2387"/>
      <c r="L756" s="2381">
        <v>13067030236</v>
      </c>
      <c r="M756" s="2382">
        <v>1</v>
      </c>
      <c r="N756" s="2382">
        <v>1</v>
      </c>
      <c r="O756" s="2382">
        <v>2</v>
      </c>
      <c r="P756" s="344"/>
      <c r="Q756" s="344"/>
      <c r="R756" s="344"/>
      <c r="S756" s="344"/>
      <c r="T756" s="627" t="s">
        <v>1655</v>
      </c>
      <c r="U756" s="627" t="s">
        <v>1903</v>
      </c>
      <c r="AA756" s="27"/>
      <c r="AB756" s="27"/>
      <c r="AC756" s="1038"/>
      <c r="AD756" s="573"/>
    </row>
    <row r="757" spans="3:30" ht="10.5" customHeight="1">
      <c r="C757" s="2388" t="s">
        <v>5255</v>
      </c>
      <c r="D757" s="2385">
        <v>1</v>
      </c>
      <c r="E757" s="2385">
        <v>1</v>
      </c>
      <c r="F757" s="2386">
        <v>2</v>
      </c>
      <c r="G757" s="2412" t="s">
        <v>5255</v>
      </c>
      <c r="H757" s="2383">
        <v>1</v>
      </c>
      <c r="I757" s="2383">
        <v>1</v>
      </c>
      <c r="J757" s="2413">
        <v>2</v>
      </c>
      <c r="K757" s="2387"/>
      <c r="L757" s="2381">
        <v>13067030238</v>
      </c>
      <c r="M757" s="2382">
        <v>1</v>
      </c>
      <c r="N757" s="2382">
        <v>1</v>
      </c>
      <c r="O757" s="2382">
        <v>2</v>
      </c>
      <c r="P757" s="344"/>
      <c r="Q757" s="344"/>
      <c r="R757" s="344"/>
      <c r="S757" s="344"/>
      <c r="T757" s="560" t="s">
        <v>1656</v>
      </c>
      <c r="U757" s="560" t="s">
        <v>155</v>
      </c>
      <c r="AA757" s="27"/>
      <c r="AB757" s="27"/>
      <c r="AC757" s="1039"/>
      <c r="AD757" s="573"/>
    </row>
    <row r="758" spans="3:30" ht="10.5" customHeight="1">
      <c r="C758" s="2388" t="s">
        <v>5256</v>
      </c>
      <c r="D758" s="2385">
        <v>1</v>
      </c>
      <c r="E758" s="2385">
        <v>1</v>
      </c>
      <c r="F758" s="2386">
        <v>2</v>
      </c>
      <c r="G758" s="2412" t="s">
        <v>5256</v>
      </c>
      <c r="H758" s="2383">
        <v>1</v>
      </c>
      <c r="I758" s="2383">
        <v>1</v>
      </c>
      <c r="J758" s="2413">
        <v>2</v>
      </c>
      <c r="K758" s="2387"/>
      <c r="L758" s="2381">
        <v>13067030239</v>
      </c>
      <c r="M758" s="2382">
        <v>1</v>
      </c>
      <c r="N758" s="2382">
        <v>1</v>
      </c>
      <c r="O758" s="2382">
        <v>2</v>
      </c>
      <c r="P758" s="344"/>
      <c r="Q758" s="344"/>
      <c r="R758" s="344"/>
      <c r="S758" s="344"/>
      <c r="T758" s="560" t="s">
        <v>1657</v>
      </c>
      <c r="U758" s="560" t="s">
        <v>1862</v>
      </c>
      <c r="AA758" s="27"/>
      <c r="AB758" s="27"/>
      <c r="AC758" s="1038"/>
      <c r="AD758" s="573"/>
    </row>
    <row r="759" spans="3:30" ht="10.5" customHeight="1">
      <c r="C759" s="2388" t="s">
        <v>5257</v>
      </c>
      <c r="D759" s="2385">
        <v>1</v>
      </c>
      <c r="E759" s="2385">
        <v>1</v>
      </c>
      <c r="F759" s="2386">
        <v>2</v>
      </c>
      <c r="G759" s="2412" t="s">
        <v>5257</v>
      </c>
      <c r="H759" s="2383">
        <v>1</v>
      </c>
      <c r="I759" s="2383">
        <v>0</v>
      </c>
      <c r="J759" s="2413">
        <v>1</v>
      </c>
      <c r="K759" s="2387"/>
      <c r="L759" s="2381">
        <v>13067030310</v>
      </c>
      <c r="M759" s="2382">
        <v>1</v>
      </c>
      <c r="N759" s="2382">
        <v>1</v>
      </c>
      <c r="O759" s="2382">
        <v>2</v>
      </c>
      <c r="P759" s="344"/>
      <c r="Q759" s="344"/>
      <c r="R759" s="344"/>
      <c r="S759" s="344"/>
      <c r="T759" s="560" t="s">
        <v>1658</v>
      </c>
      <c r="U759" s="560" t="s">
        <v>1302</v>
      </c>
      <c r="AA759" s="27"/>
      <c r="AB759" s="27"/>
      <c r="AC759" s="1038"/>
      <c r="AD759" s="573"/>
    </row>
    <row r="760" spans="3:30" ht="10.5" customHeight="1">
      <c r="C760" s="2388" t="s">
        <v>5258</v>
      </c>
      <c r="D760" s="2385">
        <v>1</v>
      </c>
      <c r="E760" s="2385">
        <v>1</v>
      </c>
      <c r="F760" s="2386">
        <v>2</v>
      </c>
      <c r="G760" s="2412" t="s">
        <v>5258</v>
      </c>
      <c r="H760" s="2383">
        <v>1</v>
      </c>
      <c r="I760" s="2383">
        <v>1</v>
      </c>
      <c r="J760" s="2413">
        <v>2</v>
      </c>
      <c r="K760" s="2387"/>
      <c r="L760" s="2381">
        <v>13067030311</v>
      </c>
      <c r="M760" s="2382">
        <v>1</v>
      </c>
      <c r="N760" s="2382">
        <v>1</v>
      </c>
      <c r="O760" s="2382">
        <v>2</v>
      </c>
      <c r="P760" s="344"/>
      <c r="Q760" s="344"/>
      <c r="R760" s="344"/>
      <c r="S760" s="344"/>
      <c r="T760" s="627" t="s">
        <v>1659</v>
      </c>
      <c r="U760" s="627" t="s">
        <v>931</v>
      </c>
      <c r="AA760" s="27"/>
      <c r="AB760" s="27"/>
      <c r="AC760" s="1038"/>
      <c r="AD760" s="573"/>
    </row>
    <row r="761" spans="3:30" ht="10.5" customHeight="1">
      <c r="C761" s="2388" t="s">
        <v>5259</v>
      </c>
      <c r="D761" s="2385">
        <v>1</v>
      </c>
      <c r="E761" s="2385">
        <v>1</v>
      </c>
      <c r="F761" s="2386">
        <v>2</v>
      </c>
      <c r="G761" s="2412" t="s">
        <v>5259</v>
      </c>
      <c r="H761" s="2383">
        <v>1</v>
      </c>
      <c r="I761" s="2383">
        <v>1</v>
      </c>
      <c r="J761" s="2413">
        <v>2</v>
      </c>
      <c r="K761" s="2387"/>
      <c r="L761" s="2381">
        <v>13067030312</v>
      </c>
      <c r="M761" s="2382">
        <v>1</v>
      </c>
      <c r="N761" s="2382">
        <v>1</v>
      </c>
      <c r="O761" s="2382">
        <v>2</v>
      </c>
      <c r="P761" s="344"/>
      <c r="Q761" s="344"/>
      <c r="R761" s="344"/>
      <c r="S761" s="344"/>
      <c r="T761" s="560" t="s">
        <v>1660</v>
      </c>
      <c r="U761" s="560" t="s">
        <v>715</v>
      </c>
      <c r="AA761" s="27"/>
      <c r="AB761" s="27"/>
      <c r="AC761" s="1039"/>
      <c r="AD761" s="573"/>
    </row>
    <row r="762" spans="3:30" ht="10.5" customHeight="1">
      <c r="C762" s="2388" t="s">
        <v>5260</v>
      </c>
      <c r="D762" s="2385">
        <v>1</v>
      </c>
      <c r="E762" s="2385">
        <v>1</v>
      </c>
      <c r="F762" s="2386">
        <v>2</v>
      </c>
      <c r="G762" s="2412" t="s">
        <v>5260</v>
      </c>
      <c r="H762" s="2383">
        <v>1</v>
      </c>
      <c r="I762" s="2383">
        <v>1</v>
      </c>
      <c r="J762" s="2413">
        <v>2</v>
      </c>
      <c r="K762" s="2387"/>
      <c r="L762" s="2381">
        <v>13067030313</v>
      </c>
      <c r="M762" s="2382">
        <v>1</v>
      </c>
      <c r="N762" s="2382">
        <v>1</v>
      </c>
      <c r="O762" s="2382">
        <v>2</v>
      </c>
      <c r="P762" s="344"/>
      <c r="Q762" s="344"/>
      <c r="R762" s="344"/>
      <c r="S762" s="344"/>
      <c r="T762" s="560" t="s">
        <v>1057</v>
      </c>
      <c r="U762" s="560" t="s">
        <v>2422</v>
      </c>
      <c r="AA762" s="27"/>
      <c r="AB762" s="27"/>
      <c r="AC762" s="1038"/>
      <c r="AD762" s="573"/>
    </row>
    <row r="763" spans="3:30" ht="10.5" customHeight="1">
      <c r="C763" s="2388" t="s">
        <v>5261</v>
      </c>
      <c r="D763" s="2385">
        <v>1</v>
      </c>
      <c r="E763" s="2385">
        <v>1</v>
      </c>
      <c r="F763" s="2386">
        <v>2</v>
      </c>
      <c r="G763" s="2412" t="s">
        <v>5261</v>
      </c>
      <c r="H763" s="2383">
        <v>1</v>
      </c>
      <c r="I763" s="2383">
        <v>1</v>
      </c>
      <c r="J763" s="2413">
        <v>2</v>
      </c>
      <c r="K763" s="2387"/>
      <c r="L763" s="2381">
        <v>13067030314</v>
      </c>
      <c r="M763" s="2382">
        <v>1</v>
      </c>
      <c r="N763" s="2382">
        <v>1</v>
      </c>
      <c r="O763" s="2382">
        <v>2</v>
      </c>
      <c r="P763" s="344"/>
      <c r="Q763" s="344"/>
      <c r="R763" s="344"/>
      <c r="S763" s="344"/>
      <c r="T763" s="560" t="s">
        <v>1661</v>
      </c>
      <c r="U763" s="560" t="s">
        <v>309</v>
      </c>
      <c r="AA763" s="27"/>
      <c r="AB763" s="27"/>
      <c r="AC763" s="1038"/>
      <c r="AD763" s="573"/>
    </row>
    <row r="764" spans="3:30" ht="10.5" customHeight="1">
      <c r="C764" s="2388" t="s">
        <v>5262</v>
      </c>
      <c r="D764" s="2385">
        <v>1</v>
      </c>
      <c r="E764" s="2385">
        <v>1</v>
      </c>
      <c r="F764" s="2386">
        <v>2</v>
      </c>
      <c r="G764" s="2412" t="s">
        <v>5262</v>
      </c>
      <c r="H764" s="2383">
        <v>1</v>
      </c>
      <c r="I764" s="2383">
        <v>1</v>
      </c>
      <c r="J764" s="2413">
        <v>2</v>
      </c>
      <c r="K764" s="2387"/>
      <c r="L764" s="2381">
        <v>13067030318</v>
      </c>
      <c r="M764" s="2382">
        <v>1</v>
      </c>
      <c r="N764" s="2382">
        <v>1</v>
      </c>
      <c r="O764" s="2382">
        <v>2</v>
      </c>
      <c r="P764" s="344"/>
      <c r="Q764" s="344"/>
      <c r="R764" s="344"/>
      <c r="S764" s="344"/>
      <c r="T764" s="560" t="s">
        <v>1662</v>
      </c>
      <c r="U764" s="560" t="s">
        <v>323</v>
      </c>
      <c r="AA764" s="27"/>
      <c r="AB764" s="27"/>
      <c r="AC764" s="1038"/>
      <c r="AD764" s="573"/>
    </row>
    <row r="765" spans="3:30" ht="10.5" customHeight="1">
      <c r="C765" s="2388" t="s">
        <v>5263</v>
      </c>
      <c r="D765" s="2385">
        <v>1</v>
      </c>
      <c r="E765" s="2385">
        <v>1</v>
      </c>
      <c r="F765" s="2386">
        <v>2</v>
      </c>
      <c r="G765" s="2412" t="s">
        <v>5263</v>
      </c>
      <c r="H765" s="2383">
        <v>1</v>
      </c>
      <c r="I765" s="2383">
        <v>1</v>
      </c>
      <c r="J765" s="2413">
        <v>2</v>
      </c>
      <c r="K765" s="2387"/>
      <c r="L765" s="2381">
        <v>13067030319</v>
      </c>
      <c r="M765" s="2382">
        <v>1</v>
      </c>
      <c r="N765" s="2382">
        <v>1</v>
      </c>
      <c r="O765" s="2382">
        <v>2</v>
      </c>
      <c r="P765" s="344"/>
      <c r="Q765" s="344"/>
      <c r="R765" s="344"/>
      <c r="S765" s="344"/>
      <c r="T765" s="560" t="s">
        <v>1663</v>
      </c>
      <c r="U765" s="560" t="s">
        <v>160</v>
      </c>
      <c r="AA765" s="27"/>
      <c r="AB765" s="27"/>
      <c r="AC765" s="1038"/>
      <c r="AD765" s="573"/>
    </row>
    <row r="766" spans="3:30" ht="10.5" customHeight="1">
      <c r="C766" s="2388" t="s">
        <v>5264</v>
      </c>
      <c r="D766" s="2385">
        <v>1</v>
      </c>
      <c r="E766" s="2385">
        <v>1</v>
      </c>
      <c r="F766" s="2386">
        <v>2</v>
      </c>
      <c r="G766" s="2412" t="s">
        <v>5264</v>
      </c>
      <c r="H766" s="2383">
        <v>1</v>
      </c>
      <c r="I766" s="2383">
        <v>1</v>
      </c>
      <c r="J766" s="2413">
        <v>2</v>
      </c>
      <c r="K766" s="2387"/>
      <c r="L766" s="2381">
        <v>13067030320</v>
      </c>
      <c r="M766" s="2382">
        <v>1</v>
      </c>
      <c r="N766" s="2382">
        <v>1</v>
      </c>
      <c r="O766" s="2382">
        <v>2</v>
      </c>
      <c r="P766" s="344"/>
      <c r="Q766" s="344"/>
      <c r="R766" s="344"/>
      <c r="S766" s="344"/>
      <c r="T766" s="560" t="s">
        <v>1664</v>
      </c>
      <c r="U766" s="560" t="s">
        <v>1961</v>
      </c>
      <c r="AA766" s="27"/>
      <c r="AB766" s="27"/>
      <c r="AC766" s="1038"/>
      <c r="AD766" s="573"/>
    </row>
    <row r="767" spans="3:30" ht="10.5" customHeight="1">
      <c r="C767" s="2388" t="s">
        <v>5265</v>
      </c>
      <c r="D767" s="2385">
        <v>1</v>
      </c>
      <c r="E767" s="2385">
        <v>1</v>
      </c>
      <c r="F767" s="2386">
        <v>2</v>
      </c>
      <c r="G767" s="2412" t="s">
        <v>5265</v>
      </c>
      <c r="H767" s="2383">
        <v>1</v>
      </c>
      <c r="I767" s="2383">
        <v>1</v>
      </c>
      <c r="J767" s="2413">
        <v>2</v>
      </c>
      <c r="K767" s="2387"/>
      <c r="L767" s="2381">
        <v>13067030322</v>
      </c>
      <c r="M767" s="2382">
        <v>1</v>
      </c>
      <c r="N767" s="2382">
        <v>1</v>
      </c>
      <c r="O767" s="2382">
        <v>2</v>
      </c>
      <c r="P767" s="344"/>
      <c r="Q767" s="344"/>
      <c r="R767" s="344"/>
      <c r="S767" s="344"/>
      <c r="T767" s="560" t="s">
        <v>1665</v>
      </c>
      <c r="U767" s="560" t="s">
        <v>1427</v>
      </c>
      <c r="AA767" s="27"/>
      <c r="AB767" s="27"/>
      <c r="AC767" s="1038"/>
      <c r="AD767" s="573"/>
    </row>
    <row r="768" spans="3:30" ht="10.5" customHeight="1">
      <c r="C768" s="2388" t="s">
        <v>5266</v>
      </c>
      <c r="D768" s="2385">
        <v>1</v>
      </c>
      <c r="E768" s="2385">
        <v>1</v>
      </c>
      <c r="F768" s="2386">
        <v>2</v>
      </c>
      <c r="G768" s="2412" t="s">
        <v>5266</v>
      </c>
      <c r="H768" s="2383">
        <v>1</v>
      </c>
      <c r="I768" s="2383">
        <v>1</v>
      </c>
      <c r="J768" s="2413">
        <v>2</v>
      </c>
      <c r="K768" s="2387"/>
      <c r="L768" s="2381">
        <v>13067030324</v>
      </c>
      <c r="M768" s="2382">
        <v>1</v>
      </c>
      <c r="N768" s="2382">
        <v>1</v>
      </c>
      <c r="O768" s="2382">
        <v>2</v>
      </c>
      <c r="P768" s="344"/>
      <c r="Q768" s="344"/>
      <c r="R768" s="344"/>
      <c r="S768" s="344"/>
      <c r="T768" s="560" t="s">
        <v>1666</v>
      </c>
      <c r="U768" s="560" t="s">
        <v>1831</v>
      </c>
      <c r="AA768" s="27"/>
      <c r="AB768" s="27"/>
      <c r="AC768" s="1038"/>
      <c r="AD768" s="573"/>
    </row>
    <row r="769" spans="3:30" ht="10.5" customHeight="1">
      <c r="C769" s="2388" t="s">
        <v>5267</v>
      </c>
      <c r="D769" s="2385">
        <v>1</v>
      </c>
      <c r="E769" s="2385">
        <v>1</v>
      </c>
      <c r="F769" s="2386">
        <v>2</v>
      </c>
      <c r="G769" s="2412" t="s">
        <v>5267</v>
      </c>
      <c r="H769" s="2383">
        <v>1</v>
      </c>
      <c r="I769" s="2383">
        <v>1</v>
      </c>
      <c r="J769" s="2413">
        <v>2</v>
      </c>
      <c r="K769" s="2387"/>
      <c r="L769" s="2381">
        <v>13067030326</v>
      </c>
      <c r="M769" s="2382">
        <v>1</v>
      </c>
      <c r="N769" s="2382">
        <v>1</v>
      </c>
      <c r="O769" s="2382">
        <v>2</v>
      </c>
      <c r="P769" s="344"/>
      <c r="Q769" s="344"/>
      <c r="R769" s="344"/>
      <c r="S769" s="344"/>
      <c r="T769" s="560" t="s">
        <v>1667</v>
      </c>
      <c r="U769" s="560" t="s">
        <v>315</v>
      </c>
      <c r="AA769" s="27"/>
      <c r="AB769" s="27"/>
      <c r="AC769" s="1038"/>
      <c r="AD769" s="573"/>
    </row>
    <row r="770" spans="3:30" ht="10.5" customHeight="1">
      <c r="C770" s="2388" t="s">
        <v>5268</v>
      </c>
      <c r="D770" s="2385">
        <v>1</v>
      </c>
      <c r="E770" s="2385">
        <v>1</v>
      </c>
      <c r="F770" s="2386">
        <v>2</v>
      </c>
      <c r="G770" s="2412" t="s">
        <v>5268</v>
      </c>
      <c r="H770" s="2383">
        <v>1</v>
      </c>
      <c r="I770" s="2383">
        <v>1</v>
      </c>
      <c r="J770" s="2413">
        <v>2</v>
      </c>
      <c r="K770" s="2387"/>
      <c r="L770" s="2381">
        <v>13067030327</v>
      </c>
      <c r="M770" s="2382">
        <v>1</v>
      </c>
      <c r="N770" s="2382">
        <v>1</v>
      </c>
      <c r="O770" s="2382">
        <v>2</v>
      </c>
      <c r="P770" s="344"/>
      <c r="Q770" s="344"/>
      <c r="R770" s="344"/>
      <c r="S770" s="344"/>
      <c r="T770" s="560" t="s">
        <v>1668</v>
      </c>
      <c r="U770" s="560" t="s">
        <v>101</v>
      </c>
      <c r="AA770" s="27"/>
      <c r="AB770" s="27"/>
      <c r="AC770" s="1038"/>
      <c r="AD770" s="573"/>
    </row>
    <row r="771" spans="3:30" ht="10.5" customHeight="1">
      <c r="C771" s="2388" t="s">
        <v>5269</v>
      </c>
      <c r="D771" s="2385">
        <v>1</v>
      </c>
      <c r="E771" s="2385">
        <v>1</v>
      </c>
      <c r="F771" s="2386">
        <v>2</v>
      </c>
      <c r="G771" s="2412" t="s">
        <v>5269</v>
      </c>
      <c r="H771" s="2383">
        <v>1</v>
      </c>
      <c r="I771" s="2383">
        <v>1</v>
      </c>
      <c r="J771" s="2413">
        <v>2</v>
      </c>
      <c r="K771" s="2387"/>
      <c r="L771" s="2381">
        <v>13067030328</v>
      </c>
      <c r="M771" s="2382">
        <v>1</v>
      </c>
      <c r="N771" s="2382">
        <v>1</v>
      </c>
      <c r="O771" s="2382">
        <v>2</v>
      </c>
      <c r="P771" s="344"/>
      <c r="Q771" s="344"/>
      <c r="R771" s="344"/>
      <c r="S771" s="344"/>
      <c r="T771" s="560" t="s">
        <v>288</v>
      </c>
      <c r="U771" s="560" t="s">
        <v>2339</v>
      </c>
      <c r="AA771" s="27"/>
      <c r="AB771" s="27"/>
      <c r="AC771" s="1038"/>
      <c r="AD771" s="573"/>
    </row>
    <row r="772" spans="3:30" ht="10.5" customHeight="1">
      <c r="C772" s="2388" t="s">
        <v>5270</v>
      </c>
      <c r="D772" s="2385">
        <v>1</v>
      </c>
      <c r="E772" s="2385">
        <v>1</v>
      </c>
      <c r="F772" s="2386">
        <v>2</v>
      </c>
      <c r="G772" s="2412" t="s">
        <v>5270</v>
      </c>
      <c r="H772" s="2383">
        <v>1</v>
      </c>
      <c r="I772" s="2383">
        <v>1</v>
      </c>
      <c r="J772" s="2413">
        <v>2</v>
      </c>
      <c r="K772" s="2387"/>
      <c r="L772" s="2381">
        <v>13067030329</v>
      </c>
      <c r="M772" s="2382">
        <v>1</v>
      </c>
      <c r="N772" s="2382">
        <v>1</v>
      </c>
      <c r="O772" s="2382">
        <v>2</v>
      </c>
      <c r="P772" s="344"/>
      <c r="Q772" s="344"/>
      <c r="R772" s="344"/>
      <c r="S772" s="344"/>
      <c r="T772" s="560" t="s">
        <v>103</v>
      </c>
      <c r="U772" s="560" t="s">
        <v>2335</v>
      </c>
      <c r="AA772" s="27"/>
      <c r="AB772" s="27"/>
      <c r="AC772" s="1038"/>
      <c r="AD772" s="573"/>
    </row>
    <row r="773" spans="3:30" ht="10.5" customHeight="1">
      <c r="C773" s="2388" t="s">
        <v>5271</v>
      </c>
      <c r="D773" s="2385">
        <v>1</v>
      </c>
      <c r="E773" s="2385">
        <v>1</v>
      </c>
      <c r="F773" s="2386">
        <v>2</v>
      </c>
      <c r="G773" s="2412" t="s">
        <v>5271</v>
      </c>
      <c r="H773" s="2383">
        <v>1</v>
      </c>
      <c r="I773" s="2383">
        <v>1</v>
      </c>
      <c r="J773" s="2413">
        <v>2</v>
      </c>
      <c r="K773" s="2387"/>
      <c r="L773" s="2381">
        <v>13067030330</v>
      </c>
      <c r="M773" s="2382">
        <v>1</v>
      </c>
      <c r="N773" s="2382">
        <v>1</v>
      </c>
      <c r="O773" s="2382">
        <v>2</v>
      </c>
      <c r="P773" s="344"/>
      <c r="Q773" s="344"/>
      <c r="R773" s="344"/>
      <c r="S773" s="344"/>
      <c r="T773" s="560" t="s">
        <v>289</v>
      </c>
      <c r="U773" s="560" t="s">
        <v>2523</v>
      </c>
      <c r="AA773" s="27"/>
      <c r="AB773" s="27"/>
      <c r="AC773" s="1038"/>
      <c r="AD773" s="573"/>
    </row>
    <row r="774" spans="3:30" ht="10.5" customHeight="1">
      <c r="C774" s="2388" t="s">
        <v>5272</v>
      </c>
      <c r="D774" s="2385">
        <v>1</v>
      </c>
      <c r="E774" s="2385">
        <v>1</v>
      </c>
      <c r="F774" s="2386">
        <v>2</v>
      </c>
      <c r="G774" s="2412" t="s">
        <v>5272</v>
      </c>
      <c r="H774" s="2383">
        <v>1</v>
      </c>
      <c r="I774" s="2383">
        <v>1</v>
      </c>
      <c r="J774" s="2413">
        <v>2</v>
      </c>
      <c r="K774" s="2387"/>
      <c r="L774" s="2381">
        <v>13067030331</v>
      </c>
      <c r="M774" s="2382">
        <v>1</v>
      </c>
      <c r="N774" s="2382">
        <v>1</v>
      </c>
      <c r="O774" s="2382">
        <v>2</v>
      </c>
      <c r="P774" s="344"/>
      <c r="Q774" s="344"/>
      <c r="R774" s="344"/>
      <c r="S774" s="344"/>
      <c r="T774" s="445" t="s">
        <v>290</v>
      </c>
      <c r="U774" s="445" t="s">
        <v>310</v>
      </c>
      <c r="AA774" s="27"/>
      <c r="AB774" s="27"/>
      <c r="AC774" s="1038"/>
      <c r="AD774" s="573"/>
    </row>
    <row r="775" spans="3:30" ht="10.5" customHeight="1">
      <c r="C775" s="2388" t="s">
        <v>5273</v>
      </c>
      <c r="D775" s="2385">
        <v>1</v>
      </c>
      <c r="E775" s="2385">
        <v>1</v>
      </c>
      <c r="F775" s="2386">
        <v>2</v>
      </c>
      <c r="G775" s="2412" t="s">
        <v>5273</v>
      </c>
      <c r="H775" s="2383">
        <v>1</v>
      </c>
      <c r="I775" s="2383">
        <v>1</v>
      </c>
      <c r="J775" s="2413">
        <v>2</v>
      </c>
      <c r="K775" s="2387"/>
      <c r="L775" s="2381">
        <v>13067030332</v>
      </c>
      <c r="M775" s="2382">
        <v>1</v>
      </c>
      <c r="N775" s="2382">
        <v>1</v>
      </c>
      <c r="O775" s="2382">
        <v>2</v>
      </c>
      <c r="P775" s="344"/>
      <c r="Q775" s="344"/>
      <c r="R775" s="344"/>
      <c r="S775" s="344"/>
      <c r="T775" s="560" t="s">
        <v>291</v>
      </c>
      <c r="U775" s="560" t="s">
        <v>1962</v>
      </c>
      <c r="AA775" s="27"/>
      <c r="AB775" s="27"/>
      <c r="AC775" s="90"/>
      <c r="AD775" s="573"/>
    </row>
    <row r="776" spans="3:30" ht="10.5" customHeight="1">
      <c r="C776" s="2388" t="s">
        <v>5274</v>
      </c>
      <c r="D776" s="2385">
        <v>1</v>
      </c>
      <c r="E776" s="2385">
        <v>1</v>
      </c>
      <c r="F776" s="2386">
        <v>2</v>
      </c>
      <c r="G776" s="2412" t="s">
        <v>5274</v>
      </c>
      <c r="H776" s="2383">
        <v>1</v>
      </c>
      <c r="I776" s="2383">
        <v>1</v>
      </c>
      <c r="J776" s="2413">
        <v>2</v>
      </c>
      <c r="K776" s="2387"/>
      <c r="L776" s="2381">
        <v>13067030333</v>
      </c>
      <c r="M776" s="2382">
        <v>1</v>
      </c>
      <c r="N776" s="2382">
        <v>1</v>
      </c>
      <c r="O776" s="2382">
        <v>2</v>
      </c>
      <c r="P776" s="344"/>
      <c r="Q776" s="344"/>
      <c r="R776" s="344"/>
      <c r="S776" s="344"/>
      <c r="T776" s="560" t="s">
        <v>292</v>
      </c>
      <c r="U776" s="445" t="s">
        <v>1302</v>
      </c>
      <c r="AA776" s="27"/>
      <c r="AB776" s="27"/>
      <c r="AC776" s="1038"/>
      <c r="AD776" s="573"/>
    </row>
    <row r="777" spans="3:30" ht="13.8">
      <c r="C777" s="2388" t="s">
        <v>5275</v>
      </c>
      <c r="D777" s="2385">
        <v>1</v>
      </c>
      <c r="E777" s="2385">
        <v>1</v>
      </c>
      <c r="F777" s="2386">
        <v>2</v>
      </c>
      <c r="G777" s="2412" t="s">
        <v>5275</v>
      </c>
      <c r="H777" s="2383">
        <v>1</v>
      </c>
      <c r="I777" s="2383">
        <v>1</v>
      </c>
      <c r="J777" s="2413">
        <v>2</v>
      </c>
      <c r="K777" s="2387"/>
      <c r="L777" s="2381">
        <v>13067030334</v>
      </c>
      <c r="M777" s="2382">
        <v>1</v>
      </c>
      <c r="N777" s="2382">
        <v>1</v>
      </c>
      <c r="O777" s="2382">
        <v>2</v>
      </c>
      <c r="P777" s="344"/>
      <c r="Q777" s="344"/>
      <c r="R777" s="344"/>
      <c r="S777" s="344"/>
      <c r="T777" s="445" t="s">
        <v>293</v>
      </c>
      <c r="U777" s="445" t="s">
        <v>1868</v>
      </c>
      <c r="AA777" s="27"/>
      <c r="AB777" s="27"/>
      <c r="AC777" s="1038"/>
      <c r="AD777" s="573"/>
    </row>
    <row r="778" spans="3:30" ht="13.8">
      <c r="C778" s="2388" t="s">
        <v>5276</v>
      </c>
      <c r="D778" s="2385">
        <v>1</v>
      </c>
      <c r="E778" s="2385">
        <v>1</v>
      </c>
      <c r="F778" s="2386">
        <v>2</v>
      </c>
      <c r="G778" s="2412" t="s">
        <v>5276</v>
      </c>
      <c r="H778" s="2383">
        <v>1</v>
      </c>
      <c r="I778" s="2383">
        <v>1</v>
      </c>
      <c r="J778" s="2413">
        <v>2</v>
      </c>
      <c r="K778" s="2387"/>
      <c r="L778" s="2381">
        <v>13067030335</v>
      </c>
      <c r="M778" s="2382">
        <v>1</v>
      </c>
      <c r="N778" s="2382">
        <v>1</v>
      </c>
      <c r="O778" s="2382">
        <v>2</v>
      </c>
      <c r="P778" s="344"/>
      <c r="Q778" s="344"/>
      <c r="R778" s="344"/>
      <c r="S778" s="344"/>
      <c r="T778" s="445" t="s">
        <v>294</v>
      </c>
      <c r="U778" s="445" t="s">
        <v>107</v>
      </c>
      <c r="AA778" s="27"/>
      <c r="AB778" s="27"/>
      <c r="AC778" s="90"/>
      <c r="AD778" s="573"/>
    </row>
    <row r="779" spans="3:30" ht="13.8">
      <c r="C779" s="2388" t="s">
        <v>5277</v>
      </c>
      <c r="D779" s="2385">
        <v>1</v>
      </c>
      <c r="E779" s="2385">
        <v>1</v>
      </c>
      <c r="F779" s="2386">
        <v>2</v>
      </c>
      <c r="G779" s="2412" t="s">
        <v>5277</v>
      </c>
      <c r="H779" s="2383">
        <v>1</v>
      </c>
      <c r="I779" s="2383" t="s">
        <v>4493</v>
      </c>
      <c r="J779" s="2413">
        <v>1</v>
      </c>
      <c r="K779" s="2387"/>
      <c r="L779" s="2381">
        <v>13067030336</v>
      </c>
      <c r="M779" s="2382">
        <v>1</v>
      </c>
      <c r="N779" s="2382">
        <v>1</v>
      </c>
      <c r="O779" s="2382">
        <v>2</v>
      </c>
      <c r="P779" s="344"/>
      <c r="Q779" s="344"/>
      <c r="R779" s="344"/>
      <c r="S779" s="344"/>
      <c r="T779" s="445" t="s">
        <v>295</v>
      </c>
      <c r="U779" s="445" t="s">
        <v>651</v>
      </c>
      <c r="AA779" s="27"/>
      <c r="AB779" s="27"/>
      <c r="AC779" s="90"/>
      <c r="AD779" s="573"/>
    </row>
    <row r="780" spans="3:30" ht="13.8">
      <c r="C780" s="2388" t="s">
        <v>5278</v>
      </c>
      <c r="D780" s="2385">
        <v>1</v>
      </c>
      <c r="E780" s="2385">
        <v>1</v>
      </c>
      <c r="F780" s="2386">
        <v>2</v>
      </c>
      <c r="G780" s="2412" t="s">
        <v>5278</v>
      </c>
      <c r="H780" s="2383">
        <v>1</v>
      </c>
      <c r="I780" s="2383">
        <v>1</v>
      </c>
      <c r="J780" s="2413">
        <v>2</v>
      </c>
      <c r="K780" s="2387"/>
      <c r="L780" s="2381">
        <v>13067030337</v>
      </c>
      <c r="M780" s="2382">
        <v>1</v>
      </c>
      <c r="N780" s="2382">
        <v>1</v>
      </c>
      <c r="O780" s="2382">
        <v>2</v>
      </c>
      <c r="P780" s="344"/>
      <c r="Q780" s="344"/>
      <c r="R780" s="344"/>
      <c r="S780" s="344"/>
      <c r="T780" s="445" t="s">
        <v>111</v>
      </c>
      <c r="U780" s="445" t="s">
        <v>1287</v>
      </c>
      <c r="AA780" s="27"/>
      <c r="AB780" s="27"/>
      <c r="AC780" s="90"/>
      <c r="AD780" s="573"/>
    </row>
    <row r="781" spans="3:30" ht="13.8">
      <c r="C781" s="2388" t="s">
        <v>5279</v>
      </c>
      <c r="D781" s="2385">
        <v>1</v>
      </c>
      <c r="E781" s="2385">
        <v>1</v>
      </c>
      <c r="F781" s="2386">
        <v>2</v>
      </c>
      <c r="G781" s="2412" t="s">
        <v>5279</v>
      </c>
      <c r="H781" s="2383">
        <v>1</v>
      </c>
      <c r="I781" s="2383" t="s">
        <v>4493</v>
      </c>
      <c r="J781" s="2413">
        <v>1</v>
      </c>
      <c r="K781" s="2387"/>
      <c r="L781" s="2381">
        <v>13067030339</v>
      </c>
      <c r="M781" s="2382">
        <v>1</v>
      </c>
      <c r="N781" s="2382">
        <v>1</v>
      </c>
      <c r="O781" s="2382">
        <v>2</v>
      </c>
      <c r="P781" s="344"/>
      <c r="Q781" s="344"/>
      <c r="R781" s="344"/>
      <c r="S781" s="344"/>
      <c r="T781" s="445" t="s">
        <v>1506</v>
      </c>
      <c r="U781" s="445" t="s">
        <v>653</v>
      </c>
      <c r="AA781" s="27"/>
      <c r="AB781" s="27"/>
      <c r="AC781" s="90"/>
      <c r="AD781" s="573"/>
    </row>
    <row r="782" spans="3:30" ht="13.8">
      <c r="C782" s="2388" t="s">
        <v>5280</v>
      </c>
      <c r="D782" s="2385">
        <v>1</v>
      </c>
      <c r="E782" s="2385">
        <v>1</v>
      </c>
      <c r="F782" s="2386">
        <v>2</v>
      </c>
      <c r="G782" s="2412" t="s">
        <v>5280</v>
      </c>
      <c r="H782" s="2383">
        <v>1</v>
      </c>
      <c r="I782" s="2383">
        <v>1</v>
      </c>
      <c r="J782" s="2413">
        <v>2</v>
      </c>
      <c r="K782" s="2387"/>
      <c r="L782" s="2381">
        <v>13067030340</v>
      </c>
      <c r="M782" s="2382">
        <v>1</v>
      </c>
      <c r="N782" s="2382">
        <v>1</v>
      </c>
      <c r="O782" s="2382">
        <v>2</v>
      </c>
      <c r="P782" s="344"/>
      <c r="Q782" s="344"/>
      <c r="R782" s="344"/>
      <c r="S782" s="344"/>
      <c r="T782" s="445" t="s">
        <v>1058</v>
      </c>
      <c r="U782" s="445" t="s">
        <v>155</v>
      </c>
      <c r="AA782" s="27"/>
      <c r="AB782" s="27"/>
      <c r="AC782" s="90"/>
      <c r="AD782" s="573"/>
    </row>
    <row r="783" spans="3:30" ht="13.8">
      <c r="C783" s="2388" t="s">
        <v>5281</v>
      </c>
      <c r="D783" s="2385">
        <v>1</v>
      </c>
      <c r="E783" s="2385">
        <v>1</v>
      </c>
      <c r="F783" s="2386">
        <v>2</v>
      </c>
      <c r="G783" s="2412" t="s">
        <v>5281</v>
      </c>
      <c r="H783" s="2383">
        <v>1</v>
      </c>
      <c r="I783" s="2383">
        <v>1</v>
      </c>
      <c r="J783" s="2413">
        <v>2</v>
      </c>
      <c r="K783" s="2387"/>
      <c r="L783" s="2381">
        <v>13067030341</v>
      </c>
      <c r="M783" s="2382">
        <v>1</v>
      </c>
      <c r="N783" s="2382">
        <v>1</v>
      </c>
      <c r="O783" s="2382">
        <v>2</v>
      </c>
      <c r="P783" s="344"/>
      <c r="Q783" s="344"/>
      <c r="R783" s="344"/>
      <c r="S783" s="344"/>
      <c r="T783" s="445" t="s">
        <v>1507</v>
      </c>
      <c r="U783" s="445" t="s">
        <v>715</v>
      </c>
      <c r="AA783" s="27"/>
      <c r="AB783" s="27"/>
      <c r="AC783" s="90"/>
      <c r="AD783" s="573"/>
    </row>
    <row r="784" spans="3:30" ht="13.8">
      <c r="C784" s="2388" t="s">
        <v>5282</v>
      </c>
      <c r="D784" s="2385">
        <v>1</v>
      </c>
      <c r="E784" s="2385">
        <v>1</v>
      </c>
      <c r="F784" s="2386">
        <v>2</v>
      </c>
      <c r="G784" s="2412" t="s">
        <v>5282</v>
      </c>
      <c r="H784" s="2383">
        <v>1</v>
      </c>
      <c r="I784" s="2383">
        <v>1</v>
      </c>
      <c r="J784" s="2413">
        <v>2</v>
      </c>
      <c r="K784" s="2387"/>
      <c r="L784" s="2381">
        <v>13067030342</v>
      </c>
      <c r="M784" s="2382">
        <v>1</v>
      </c>
      <c r="N784" s="2382">
        <v>1</v>
      </c>
      <c r="O784" s="2382">
        <v>2</v>
      </c>
      <c r="P784" s="344"/>
      <c r="Q784" s="344"/>
      <c r="R784" s="344"/>
      <c r="S784" s="344"/>
      <c r="T784" s="445" t="s">
        <v>1508</v>
      </c>
      <c r="U784" s="445" t="s">
        <v>1733</v>
      </c>
      <c r="AA784" s="27"/>
      <c r="AB784" s="27"/>
      <c r="AC784" s="90"/>
      <c r="AD784" s="573"/>
    </row>
    <row r="785" spans="3:30" ht="13.8">
      <c r="C785" s="2388" t="s">
        <v>5283</v>
      </c>
      <c r="D785" s="2385">
        <v>1</v>
      </c>
      <c r="E785" s="2385">
        <v>1</v>
      </c>
      <c r="F785" s="2386">
        <v>2</v>
      </c>
      <c r="G785" s="2412" t="s">
        <v>5283</v>
      </c>
      <c r="H785" s="2383">
        <v>1</v>
      </c>
      <c r="I785" s="2383">
        <v>1</v>
      </c>
      <c r="J785" s="2413">
        <v>2</v>
      </c>
      <c r="K785" s="2387"/>
      <c r="L785" s="2381">
        <v>13067030343</v>
      </c>
      <c r="M785" s="2382">
        <v>1</v>
      </c>
      <c r="N785" s="2382">
        <v>1</v>
      </c>
      <c r="O785" s="2382">
        <v>2</v>
      </c>
      <c r="P785" s="344"/>
      <c r="Q785" s="344"/>
      <c r="R785" s="344"/>
      <c r="S785" s="344"/>
      <c r="T785" s="445" t="s">
        <v>1509</v>
      </c>
      <c r="U785" s="445" t="s">
        <v>1074</v>
      </c>
      <c r="AA785" s="27"/>
      <c r="AB785" s="27"/>
      <c r="AC785" s="90"/>
      <c r="AD785" s="573"/>
    </row>
    <row r="786" spans="3:30" ht="13.8">
      <c r="C786" s="2388" t="s">
        <v>5284</v>
      </c>
      <c r="D786" s="2385">
        <v>1</v>
      </c>
      <c r="E786" s="2385">
        <v>1</v>
      </c>
      <c r="F786" s="2386">
        <v>2</v>
      </c>
      <c r="G786" s="2412" t="s">
        <v>5284</v>
      </c>
      <c r="H786" s="2383">
        <v>1</v>
      </c>
      <c r="I786" s="2383">
        <v>0</v>
      </c>
      <c r="J786" s="2413">
        <v>1</v>
      </c>
      <c r="K786" s="2387"/>
      <c r="L786" s="2381">
        <v>13067030344</v>
      </c>
      <c r="M786" s="2382">
        <v>1</v>
      </c>
      <c r="N786" s="2382">
        <v>1</v>
      </c>
      <c r="O786" s="2382">
        <v>2</v>
      </c>
      <c r="P786" s="344"/>
      <c r="Q786" s="344"/>
      <c r="R786" s="344"/>
      <c r="S786" s="344"/>
      <c r="T786" s="445" t="s">
        <v>1059</v>
      </c>
      <c r="U786" s="445" t="s">
        <v>155</v>
      </c>
      <c r="AA786" s="27"/>
      <c r="AB786" s="27"/>
      <c r="AC786" s="90"/>
      <c r="AD786" s="573"/>
    </row>
    <row r="787" spans="3:30" ht="13.8">
      <c r="C787" s="2388" t="s">
        <v>5285</v>
      </c>
      <c r="D787" s="2385">
        <v>1</v>
      </c>
      <c r="E787" s="2385">
        <v>1</v>
      </c>
      <c r="F787" s="2386">
        <v>2</v>
      </c>
      <c r="G787" s="2412" t="s">
        <v>5285</v>
      </c>
      <c r="H787" s="2383">
        <v>1</v>
      </c>
      <c r="I787" s="2383">
        <v>0</v>
      </c>
      <c r="J787" s="2413">
        <v>1</v>
      </c>
      <c r="K787" s="2387"/>
      <c r="L787" s="2381">
        <v>13067030345</v>
      </c>
      <c r="M787" s="2382">
        <v>1</v>
      </c>
      <c r="N787" s="2382">
        <v>1</v>
      </c>
      <c r="O787" s="2382">
        <v>2</v>
      </c>
      <c r="P787" s="344"/>
      <c r="Q787" s="344"/>
      <c r="R787" s="344"/>
      <c r="S787" s="344"/>
      <c r="T787" s="445" t="s">
        <v>1510</v>
      </c>
      <c r="U787" s="445" t="s">
        <v>1286</v>
      </c>
      <c r="AA787" s="27"/>
      <c r="AB787" s="27"/>
      <c r="AC787" s="90"/>
      <c r="AD787" s="573"/>
    </row>
    <row r="788" spans="3:30" ht="13.8">
      <c r="C788" s="2388" t="s">
        <v>5286</v>
      </c>
      <c r="D788" s="2385">
        <v>1</v>
      </c>
      <c r="E788" s="2385">
        <v>0</v>
      </c>
      <c r="F788" s="2386">
        <v>1</v>
      </c>
      <c r="G788" s="2412" t="s">
        <v>5286</v>
      </c>
      <c r="H788" s="2383">
        <v>1</v>
      </c>
      <c r="I788" s="2383">
        <v>0</v>
      </c>
      <c r="J788" s="2413">
        <v>1</v>
      </c>
      <c r="K788" s="2387"/>
      <c r="L788" s="2381">
        <v>13067030405</v>
      </c>
      <c r="M788" s="2382">
        <v>1</v>
      </c>
      <c r="N788" s="2382">
        <v>0</v>
      </c>
      <c r="O788" s="2382">
        <v>1</v>
      </c>
      <c r="P788" s="344"/>
      <c r="Q788" s="344"/>
      <c r="R788" s="344"/>
      <c r="S788" s="344"/>
      <c r="T788" s="445" t="s">
        <v>1511</v>
      </c>
      <c r="U788" s="445" t="s">
        <v>161</v>
      </c>
      <c r="AA788" s="27"/>
      <c r="AB788" s="27"/>
      <c r="AC788" s="90"/>
      <c r="AD788" s="573"/>
    </row>
    <row r="789" spans="3:30" ht="13.8">
      <c r="C789" s="2388" t="s">
        <v>5287</v>
      </c>
      <c r="D789" s="2385">
        <v>1</v>
      </c>
      <c r="E789" s="2385">
        <v>1</v>
      </c>
      <c r="F789" s="2386">
        <v>2</v>
      </c>
      <c r="G789" s="2412" t="s">
        <v>5287</v>
      </c>
      <c r="H789" s="2383">
        <v>1</v>
      </c>
      <c r="I789" s="2383">
        <v>1</v>
      </c>
      <c r="J789" s="2413">
        <v>2</v>
      </c>
      <c r="K789" s="2387"/>
      <c r="L789" s="2381">
        <v>13067030407</v>
      </c>
      <c r="M789" s="2382">
        <v>1</v>
      </c>
      <c r="N789" s="2382">
        <v>1</v>
      </c>
      <c r="O789" s="2382">
        <v>2</v>
      </c>
      <c r="P789" s="344"/>
      <c r="Q789" s="344"/>
      <c r="R789" s="344"/>
      <c r="S789" s="344"/>
      <c r="T789" s="445" t="s">
        <v>1512</v>
      </c>
      <c r="U789" s="445" t="s">
        <v>1307</v>
      </c>
      <c r="AA789" s="27"/>
      <c r="AB789" s="27"/>
      <c r="AC789" s="90"/>
      <c r="AD789" s="573"/>
    </row>
    <row r="790" spans="3:30" ht="13.8">
      <c r="C790" s="2388" t="s">
        <v>5288</v>
      </c>
      <c r="D790" s="2385">
        <v>1</v>
      </c>
      <c r="E790" s="2385">
        <v>1</v>
      </c>
      <c r="F790" s="2386">
        <v>2</v>
      </c>
      <c r="G790" s="2412" t="s">
        <v>5288</v>
      </c>
      <c r="H790" s="2383">
        <v>1</v>
      </c>
      <c r="I790" s="2383">
        <v>1</v>
      </c>
      <c r="J790" s="2413">
        <v>2</v>
      </c>
      <c r="K790" s="2387"/>
      <c r="L790" s="2381">
        <v>13067030408</v>
      </c>
      <c r="M790" s="2382">
        <v>1</v>
      </c>
      <c r="N790" s="2382">
        <v>1</v>
      </c>
      <c r="O790" s="2382">
        <v>2</v>
      </c>
      <c r="P790" s="344"/>
      <c r="Q790" s="344"/>
      <c r="R790" s="344"/>
      <c r="S790" s="344"/>
      <c r="T790" s="445" t="s">
        <v>1513</v>
      </c>
      <c r="U790" s="445" t="s">
        <v>1831</v>
      </c>
      <c r="AA790" s="27"/>
      <c r="AB790" s="27"/>
      <c r="AC790" s="90"/>
      <c r="AD790" s="573"/>
    </row>
    <row r="791" spans="3:30" ht="13.8">
      <c r="C791" s="2388" t="s">
        <v>5289</v>
      </c>
      <c r="D791" s="2385">
        <v>1</v>
      </c>
      <c r="E791" s="2385">
        <v>1</v>
      </c>
      <c r="F791" s="2386">
        <v>2</v>
      </c>
      <c r="G791" s="2412" t="s">
        <v>5289</v>
      </c>
      <c r="H791" s="2383">
        <v>1</v>
      </c>
      <c r="I791" s="2383">
        <v>1</v>
      </c>
      <c r="J791" s="2413">
        <v>2</v>
      </c>
      <c r="K791" s="2387"/>
      <c r="L791" s="2381">
        <v>13067030409</v>
      </c>
      <c r="M791" s="2382">
        <v>1</v>
      </c>
      <c r="N791" s="2382">
        <v>1</v>
      </c>
      <c r="O791" s="2382">
        <v>2</v>
      </c>
      <c r="P791" s="344"/>
      <c r="Q791" s="344"/>
      <c r="R791" s="344"/>
      <c r="S791" s="344"/>
      <c r="T791" s="445" t="s">
        <v>1514</v>
      </c>
      <c r="U791" s="445" t="s">
        <v>2129</v>
      </c>
      <c r="AA791" s="27"/>
      <c r="AB791" s="27"/>
      <c r="AC791" s="90"/>
      <c r="AD791" s="573"/>
    </row>
    <row r="792" spans="3:30" ht="13.8">
      <c r="C792" s="2388" t="s">
        <v>5290</v>
      </c>
      <c r="D792" s="2385">
        <v>1</v>
      </c>
      <c r="E792" s="2385">
        <v>1</v>
      </c>
      <c r="F792" s="2386">
        <v>2</v>
      </c>
      <c r="G792" s="2412" t="s">
        <v>5290</v>
      </c>
      <c r="H792" s="2383">
        <v>1</v>
      </c>
      <c r="I792" s="2383">
        <v>1</v>
      </c>
      <c r="J792" s="2413">
        <v>2</v>
      </c>
      <c r="K792" s="2387"/>
      <c r="L792" s="2381">
        <v>13067030410</v>
      </c>
      <c r="M792" s="2382">
        <v>1</v>
      </c>
      <c r="N792" s="2382">
        <v>1</v>
      </c>
      <c r="O792" s="2382">
        <v>2</v>
      </c>
      <c r="P792" s="344"/>
      <c r="Q792" s="344"/>
      <c r="R792" s="344"/>
      <c r="S792" s="344"/>
      <c r="T792" s="445" t="s">
        <v>1515</v>
      </c>
      <c r="U792" s="445" t="s">
        <v>160</v>
      </c>
      <c r="AA792" s="27"/>
      <c r="AB792" s="27"/>
      <c r="AC792" s="90"/>
      <c r="AD792" s="573"/>
    </row>
    <row r="793" spans="3:30" ht="13.8">
      <c r="C793" s="2388" t="s">
        <v>5291</v>
      </c>
      <c r="D793" s="2385">
        <v>0</v>
      </c>
      <c r="E793" s="2385">
        <v>0</v>
      </c>
      <c r="F793" s="2386">
        <v>0</v>
      </c>
      <c r="G793" s="2412" t="s">
        <v>5291</v>
      </c>
      <c r="H793" s="2383">
        <v>0</v>
      </c>
      <c r="I793" s="2383" t="s">
        <v>4493</v>
      </c>
      <c r="J793" s="2413">
        <v>0</v>
      </c>
      <c r="K793" s="2387"/>
      <c r="L793" s="2381">
        <v>13067030411</v>
      </c>
      <c r="M793" s="2382">
        <v>0</v>
      </c>
      <c r="N793" s="2382">
        <v>0</v>
      </c>
      <c r="O793" s="2382">
        <v>0</v>
      </c>
      <c r="P793" s="344"/>
      <c r="Q793" s="344"/>
      <c r="R793" s="344"/>
      <c r="S793" s="344"/>
      <c r="T793" s="445" t="s">
        <v>2320</v>
      </c>
      <c r="U793" s="445" t="s">
        <v>653</v>
      </c>
      <c r="AA793" s="27"/>
      <c r="AB793" s="27"/>
      <c r="AC793" s="90"/>
      <c r="AD793" s="573"/>
    </row>
    <row r="794" spans="3:30" ht="13.8">
      <c r="C794" s="2388" t="s">
        <v>5292</v>
      </c>
      <c r="D794" s="2385">
        <v>0</v>
      </c>
      <c r="E794" s="2385">
        <v>0</v>
      </c>
      <c r="F794" s="2386">
        <v>0</v>
      </c>
      <c r="G794" s="2412" t="s">
        <v>5292</v>
      </c>
      <c r="H794" s="2383">
        <v>0</v>
      </c>
      <c r="I794" s="2383">
        <v>0</v>
      </c>
      <c r="J794" s="2413">
        <v>0</v>
      </c>
      <c r="K794" s="2387"/>
      <c r="L794" s="2381">
        <v>13067030412</v>
      </c>
      <c r="M794" s="2382">
        <v>0</v>
      </c>
      <c r="N794" s="2382">
        <v>0</v>
      </c>
      <c r="O794" s="2382">
        <v>0</v>
      </c>
      <c r="P794" s="344"/>
      <c r="Q794" s="344"/>
      <c r="R794" s="344"/>
      <c r="S794" s="344"/>
      <c r="T794" s="445" t="s">
        <v>2321</v>
      </c>
      <c r="U794" s="445" t="s">
        <v>639</v>
      </c>
      <c r="AA794" s="27"/>
      <c r="AB794" s="27"/>
      <c r="AC794" s="90"/>
      <c r="AD794" s="573"/>
    </row>
    <row r="795" spans="3:30" ht="13.8">
      <c r="C795" s="2388" t="s">
        <v>5293</v>
      </c>
      <c r="D795" s="2385">
        <v>0</v>
      </c>
      <c r="E795" s="2385">
        <v>0</v>
      </c>
      <c r="F795" s="2386">
        <v>0</v>
      </c>
      <c r="G795" s="2412" t="s">
        <v>5293</v>
      </c>
      <c r="H795" s="2383">
        <v>1</v>
      </c>
      <c r="I795" s="2383" t="s">
        <v>4493</v>
      </c>
      <c r="J795" s="2413">
        <v>1</v>
      </c>
      <c r="K795" s="2387"/>
      <c r="L795" s="2381">
        <v>13067030413</v>
      </c>
      <c r="M795" s="2382">
        <v>1</v>
      </c>
      <c r="N795" s="2382">
        <v>0</v>
      </c>
      <c r="O795" s="2382">
        <v>1</v>
      </c>
      <c r="P795" s="344"/>
      <c r="Q795" s="344"/>
      <c r="R795" s="344"/>
      <c r="S795" s="344"/>
      <c r="T795" s="445" t="s">
        <v>2322</v>
      </c>
      <c r="U795" s="445" t="s">
        <v>323</v>
      </c>
      <c r="AA795" s="27"/>
      <c r="AB795" s="27"/>
      <c r="AC795" s="90"/>
      <c r="AD795" s="573"/>
    </row>
    <row r="796" spans="3:30" ht="13.8">
      <c r="C796" s="2388" t="s">
        <v>5294</v>
      </c>
      <c r="D796" s="2385">
        <v>0</v>
      </c>
      <c r="E796" s="2385">
        <v>0</v>
      </c>
      <c r="F796" s="2386">
        <v>0</v>
      </c>
      <c r="G796" s="2412" t="s">
        <v>5294</v>
      </c>
      <c r="H796" s="2383">
        <v>0</v>
      </c>
      <c r="I796" s="2383" t="s">
        <v>4493</v>
      </c>
      <c r="J796" s="2413">
        <v>0</v>
      </c>
      <c r="K796" s="2387"/>
      <c r="L796" s="2381">
        <v>13067030414</v>
      </c>
      <c r="M796" s="2382">
        <v>0</v>
      </c>
      <c r="N796" s="2382">
        <v>0</v>
      </c>
      <c r="O796" s="2382">
        <v>0</v>
      </c>
      <c r="P796" s="344"/>
      <c r="Q796" s="344"/>
      <c r="R796" s="344"/>
      <c r="S796" s="344"/>
      <c r="T796" s="445" t="s">
        <v>814</v>
      </c>
      <c r="U796" s="445" t="s">
        <v>327</v>
      </c>
      <c r="AA796" s="27"/>
      <c r="AB796" s="27"/>
      <c r="AC796" s="90"/>
      <c r="AD796" s="573"/>
    </row>
    <row r="797" spans="3:30" ht="13.8">
      <c r="C797" s="2388" t="s">
        <v>5295</v>
      </c>
      <c r="D797" s="2385">
        <v>1</v>
      </c>
      <c r="E797" s="2385">
        <v>1</v>
      </c>
      <c r="F797" s="2386">
        <v>2</v>
      </c>
      <c r="G797" s="2412" t="s">
        <v>5295</v>
      </c>
      <c r="H797" s="2383">
        <v>1</v>
      </c>
      <c r="I797" s="2383">
        <v>1</v>
      </c>
      <c r="J797" s="2413">
        <v>2</v>
      </c>
      <c r="K797" s="2387"/>
      <c r="L797" s="2381">
        <v>13067030502</v>
      </c>
      <c r="M797" s="2382">
        <v>1</v>
      </c>
      <c r="N797" s="2382">
        <v>1</v>
      </c>
      <c r="O797" s="2382">
        <v>2</v>
      </c>
      <c r="P797" s="344"/>
      <c r="Q797" s="344"/>
      <c r="R797" s="344"/>
      <c r="S797" s="344"/>
      <c r="T797" s="445" t="s">
        <v>815</v>
      </c>
      <c r="U797" s="445" t="s">
        <v>1958</v>
      </c>
      <c r="AA797" s="27"/>
      <c r="AB797" s="27"/>
      <c r="AC797" s="90"/>
      <c r="AD797" s="573"/>
    </row>
    <row r="798" spans="3:30" ht="13.8">
      <c r="C798" s="2388" t="s">
        <v>5296</v>
      </c>
      <c r="D798" s="2385">
        <v>1</v>
      </c>
      <c r="E798" s="2385">
        <v>0</v>
      </c>
      <c r="F798" s="2386">
        <v>1</v>
      </c>
      <c r="G798" s="2412" t="s">
        <v>5296</v>
      </c>
      <c r="H798" s="2383">
        <v>1</v>
      </c>
      <c r="I798" s="2383">
        <v>0</v>
      </c>
      <c r="J798" s="2413">
        <v>1</v>
      </c>
      <c r="K798" s="2387"/>
      <c r="L798" s="2381">
        <v>13067030504</v>
      </c>
      <c r="M798" s="2382">
        <v>1</v>
      </c>
      <c r="N798" s="2382">
        <v>0</v>
      </c>
      <c r="O798" s="2382">
        <v>1</v>
      </c>
      <c r="P798" s="344"/>
      <c r="Q798" s="344"/>
      <c r="R798" s="344"/>
      <c r="S798" s="344"/>
      <c r="T798" s="445" t="s">
        <v>2777</v>
      </c>
      <c r="U798" s="445" t="s">
        <v>111</v>
      </c>
      <c r="AA798" s="27"/>
      <c r="AB798" s="27"/>
      <c r="AC798" s="90"/>
      <c r="AD798" s="573"/>
    </row>
    <row r="799" spans="3:30" ht="13.8">
      <c r="C799" s="2388" t="s">
        <v>5297</v>
      </c>
      <c r="D799" s="2385">
        <v>1</v>
      </c>
      <c r="E799" s="2385">
        <v>0</v>
      </c>
      <c r="F799" s="2386">
        <v>1</v>
      </c>
      <c r="G799" s="2412" t="s">
        <v>5297</v>
      </c>
      <c r="H799" s="2383">
        <v>1</v>
      </c>
      <c r="I799" s="2383">
        <v>0</v>
      </c>
      <c r="J799" s="2413">
        <v>1</v>
      </c>
      <c r="K799" s="2387"/>
      <c r="L799" s="2381">
        <v>13067030505</v>
      </c>
      <c r="M799" s="2382">
        <v>1</v>
      </c>
      <c r="N799" s="2382">
        <v>0</v>
      </c>
      <c r="O799" s="2382">
        <v>1</v>
      </c>
      <c r="P799" s="344"/>
      <c r="Q799" s="344"/>
      <c r="R799" s="344"/>
      <c r="S799" s="344"/>
      <c r="T799" s="445" t="s">
        <v>816</v>
      </c>
      <c r="U799" s="445" t="s">
        <v>1864</v>
      </c>
      <c r="AA799" s="27"/>
      <c r="AB799" s="27"/>
      <c r="AC799" s="90"/>
      <c r="AD799" s="573"/>
    </row>
    <row r="800" spans="3:30" ht="13.8">
      <c r="C800" s="2388" t="s">
        <v>5298</v>
      </c>
      <c r="D800" s="2385">
        <v>1</v>
      </c>
      <c r="E800" s="2385">
        <v>1</v>
      </c>
      <c r="F800" s="2386">
        <v>2</v>
      </c>
      <c r="G800" s="2412" t="s">
        <v>5298</v>
      </c>
      <c r="H800" s="2383">
        <v>1</v>
      </c>
      <c r="I800" s="2383">
        <v>0</v>
      </c>
      <c r="J800" s="2413">
        <v>1</v>
      </c>
      <c r="K800" s="2387"/>
      <c r="L800" s="2381">
        <v>13067030506</v>
      </c>
      <c r="M800" s="2382">
        <v>1</v>
      </c>
      <c r="N800" s="2382">
        <v>1</v>
      </c>
      <c r="O800" s="2382">
        <v>2</v>
      </c>
      <c r="P800" s="344"/>
      <c r="Q800" s="344"/>
      <c r="R800" s="344"/>
      <c r="S800" s="344"/>
      <c r="T800" s="445" t="s">
        <v>817</v>
      </c>
      <c r="U800" s="445" t="s">
        <v>1074</v>
      </c>
      <c r="AA800" s="27"/>
      <c r="AB800" s="27"/>
      <c r="AC800" s="90"/>
      <c r="AD800" s="573"/>
    </row>
    <row r="801" spans="3:30" ht="13.8">
      <c r="C801" s="2388" t="s">
        <v>5299</v>
      </c>
      <c r="D801" s="2385">
        <v>1</v>
      </c>
      <c r="E801" s="2385">
        <v>1</v>
      </c>
      <c r="F801" s="2386">
        <v>2</v>
      </c>
      <c r="G801" s="2412" t="s">
        <v>5299</v>
      </c>
      <c r="H801" s="2383">
        <v>1</v>
      </c>
      <c r="I801" s="2383">
        <v>1</v>
      </c>
      <c r="J801" s="2413">
        <v>2</v>
      </c>
      <c r="K801" s="2387"/>
      <c r="L801" s="2381">
        <v>13067030507</v>
      </c>
      <c r="M801" s="2382">
        <v>1</v>
      </c>
      <c r="N801" s="2382">
        <v>1</v>
      </c>
      <c r="O801" s="2382">
        <v>2</v>
      </c>
      <c r="P801" s="344"/>
      <c r="Q801" s="344"/>
      <c r="R801" s="344"/>
      <c r="S801" s="344"/>
      <c r="T801" s="445"/>
      <c r="U801" s="445"/>
      <c r="AA801" s="27"/>
      <c r="AB801" s="27"/>
      <c r="AC801" s="90"/>
      <c r="AD801" s="573"/>
    </row>
    <row r="802" spans="3:30" ht="13.8">
      <c r="C802" s="2388" t="s">
        <v>5300</v>
      </c>
      <c r="D802" s="2385">
        <v>1</v>
      </c>
      <c r="E802" s="2385">
        <v>1</v>
      </c>
      <c r="F802" s="2386">
        <v>2</v>
      </c>
      <c r="G802" s="2412" t="s">
        <v>5300</v>
      </c>
      <c r="H802" s="2383">
        <v>1</v>
      </c>
      <c r="I802" s="2383" t="s">
        <v>4493</v>
      </c>
      <c r="J802" s="2413">
        <v>1</v>
      </c>
      <c r="K802" s="2387"/>
      <c r="L802" s="2381">
        <v>13067030601</v>
      </c>
      <c r="M802" s="2382">
        <v>1</v>
      </c>
      <c r="N802" s="2382">
        <v>1</v>
      </c>
      <c r="O802" s="2382">
        <v>2</v>
      </c>
      <c r="P802" s="344"/>
      <c r="Q802" s="344"/>
      <c r="R802" s="344"/>
      <c r="S802" s="344"/>
      <c r="T802" s="445"/>
      <c r="U802" s="445"/>
      <c r="AA802" s="27"/>
      <c r="AB802" s="27"/>
      <c r="AC802" s="90"/>
      <c r="AD802" s="573"/>
    </row>
    <row r="803" spans="3:30" ht="13.8">
      <c r="C803" s="2388" t="s">
        <v>5301</v>
      </c>
      <c r="D803" s="2385">
        <v>1</v>
      </c>
      <c r="E803" s="2385">
        <v>1</v>
      </c>
      <c r="F803" s="2386">
        <v>2</v>
      </c>
      <c r="G803" s="2412" t="s">
        <v>5301</v>
      </c>
      <c r="H803" s="2383">
        <v>1</v>
      </c>
      <c r="I803" s="2383">
        <v>1</v>
      </c>
      <c r="J803" s="2413">
        <v>2</v>
      </c>
      <c r="K803" s="2387"/>
      <c r="L803" s="2381">
        <v>13067030602</v>
      </c>
      <c r="M803" s="2382">
        <v>1</v>
      </c>
      <c r="N803" s="2382">
        <v>1</v>
      </c>
      <c r="O803" s="2382">
        <v>2</v>
      </c>
      <c r="P803" s="344"/>
      <c r="Q803" s="344"/>
      <c r="R803" s="344"/>
      <c r="S803" s="344"/>
      <c r="T803" s="445"/>
      <c r="U803" s="445"/>
      <c r="AA803" s="27"/>
      <c r="AB803" s="27"/>
      <c r="AC803" s="90"/>
      <c r="AD803" s="573"/>
    </row>
    <row r="804" spans="3:30" ht="13.8">
      <c r="C804" s="2388" t="s">
        <v>5302</v>
      </c>
      <c r="D804" s="2385">
        <v>1</v>
      </c>
      <c r="E804" s="2385">
        <v>0</v>
      </c>
      <c r="F804" s="2386">
        <v>1</v>
      </c>
      <c r="G804" s="2412" t="s">
        <v>5302</v>
      </c>
      <c r="H804" s="2383">
        <v>1</v>
      </c>
      <c r="I804" s="2383">
        <v>0</v>
      </c>
      <c r="J804" s="2413">
        <v>0</v>
      </c>
      <c r="K804" s="2387"/>
      <c r="L804" s="2381">
        <v>13067030700</v>
      </c>
      <c r="M804" s="2382">
        <v>1</v>
      </c>
      <c r="N804" s="2382">
        <v>0</v>
      </c>
      <c r="O804" s="2382">
        <v>1</v>
      </c>
      <c r="P804" s="344"/>
      <c r="T804" s="490"/>
      <c r="U804" s="490"/>
      <c r="AA804" s="27"/>
      <c r="AB804" s="27"/>
      <c r="AC804" s="90"/>
      <c r="AD804" s="573"/>
    </row>
    <row r="805" spans="3:30">
      <c r="C805" s="2388" t="s">
        <v>5303</v>
      </c>
      <c r="D805" s="2385">
        <v>0</v>
      </c>
      <c r="E805" s="2385">
        <v>0</v>
      </c>
      <c r="F805" s="2386">
        <v>0</v>
      </c>
      <c r="G805" s="2412" t="s">
        <v>5303</v>
      </c>
      <c r="H805" s="2383">
        <v>0</v>
      </c>
      <c r="I805" s="2383" t="s">
        <v>4493</v>
      </c>
      <c r="J805" s="2413">
        <v>0</v>
      </c>
      <c r="K805" s="2387"/>
      <c r="L805" s="2381">
        <v>13067030800</v>
      </c>
      <c r="M805" s="2382">
        <v>0</v>
      </c>
      <c r="N805" s="2382">
        <v>0</v>
      </c>
      <c r="O805" s="2382">
        <v>0</v>
      </c>
      <c r="T805" s="490"/>
      <c r="U805" s="490"/>
      <c r="AA805" s="27"/>
      <c r="AB805" s="27"/>
      <c r="AC805" s="573"/>
      <c r="AD805" s="573"/>
    </row>
    <row r="806" spans="3:30">
      <c r="C806" s="2388" t="s">
        <v>5304</v>
      </c>
      <c r="D806" s="2385">
        <v>1</v>
      </c>
      <c r="E806" s="2385">
        <v>1</v>
      </c>
      <c r="F806" s="2386">
        <v>2</v>
      </c>
      <c r="G806" s="2412" t="s">
        <v>5304</v>
      </c>
      <c r="H806" s="2383">
        <v>1</v>
      </c>
      <c r="I806" s="2383">
        <v>1</v>
      </c>
      <c r="J806" s="2413">
        <v>2</v>
      </c>
      <c r="K806" s="2387"/>
      <c r="L806" s="2381">
        <v>13067030901</v>
      </c>
      <c r="M806" s="2382">
        <v>1</v>
      </c>
      <c r="N806" s="2382">
        <v>1</v>
      </c>
      <c r="O806" s="2382">
        <v>2</v>
      </c>
      <c r="T806" s="490"/>
      <c r="U806" s="490"/>
      <c r="AA806" s="27"/>
      <c r="AB806" s="27"/>
      <c r="AC806" s="573"/>
      <c r="AD806" s="573"/>
    </row>
    <row r="807" spans="3:30">
      <c r="C807" s="2388" t="s">
        <v>5305</v>
      </c>
      <c r="D807" s="2385">
        <v>1</v>
      </c>
      <c r="E807" s="2385">
        <v>0</v>
      </c>
      <c r="F807" s="2386">
        <v>1</v>
      </c>
      <c r="G807" s="2412" t="s">
        <v>5305</v>
      </c>
      <c r="H807" s="2383">
        <v>1</v>
      </c>
      <c r="I807" s="2383">
        <v>0</v>
      </c>
      <c r="J807" s="2413">
        <v>1</v>
      </c>
      <c r="K807" s="2387"/>
      <c r="L807" s="2381">
        <v>13067030902</v>
      </c>
      <c r="M807" s="2382">
        <v>1</v>
      </c>
      <c r="N807" s="2382">
        <v>0</v>
      </c>
      <c r="O807" s="2382">
        <v>1</v>
      </c>
      <c r="T807" s="490"/>
      <c r="U807" s="490"/>
      <c r="AA807" s="27"/>
      <c r="AB807" s="27"/>
      <c r="AC807" s="573"/>
      <c r="AD807" s="573"/>
    </row>
    <row r="808" spans="3:30">
      <c r="C808" s="2388" t="s">
        <v>5306</v>
      </c>
      <c r="D808" s="2385">
        <v>0</v>
      </c>
      <c r="E808" s="2385">
        <v>0</v>
      </c>
      <c r="F808" s="2386">
        <v>0</v>
      </c>
      <c r="G808" s="2412" t="s">
        <v>5306</v>
      </c>
      <c r="H808" s="2383">
        <v>0</v>
      </c>
      <c r="I808" s="2383">
        <v>0</v>
      </c>
      <c r="J808" s="2413">
        <v>0</v>
      </c>
      <c r="K808" s="2387"/>
      <c r="L808" s="2381">
        <v>13067030904</v>
      </c>
      <c r="M808" s="2382">
        <v>0</v>
      </c>
      <c r="N808" s="2382">
        <v>0</v>
      </c>
      <c r="O808" s="2382">
        <v>0</v>
      </c>
      <c r="AA808" s="27"/>
      <c r="AB808" s="27"/>
      <c r="AC808" s="573"/>
      <c r="AD808" s="573"/>
    </row>
    <row r="809" spans="3:30">
      <c r="C809" s="2388" t="s">
        <v>5307</v>
      </c>
      <c r="D809" s="2385">
        <v>0</v>
      </c>
      <c r="E809" s="2385">
        <v>0</v>
      </c>
      <c r="F809" s="2386">
        <v>0</v>
      </c>
      <c r="G809" s="2412" t="s">
        <v>5307</v>
      </c>
      <c r="H809" s="2383">
        <v>0</v>
      </c>
      <c r="I809" s="2383">
        <v>0</v>
      </c>
      <c r="J809" s="2413">
        <v>0</v>
      </c>
      <c r="K809" s="2387"/>
      <c r="L809" s="2381">
        <v>13067030905</v>
      </c>
      <c r="M809" s="2382">
        <v>0</v>
      </c>
      <c r="N809" s="2382">
        <v>0</v>
      </c>
      <c r="O809" s="2382">
        <v>0</v>
      </c>
      <c r="AA809" s="27"/>
      <c r="AB809" s="27"/>
      <c r="AC809" s="573"/>
      <c r="AD809" s="573"/>
    </row>
    <row r="810" spans="3:30">
      <c r="C810" s="2388" t="s">
        <v>5308</v>
      </c>
      <c r="D810" s="2385">
        <v>0</v>
      </c>
      <c r="E810" s="2385">
        <v>0</v>
      </c>
      <c r="F810" s="2386">
        <v>0</v>
      </c>
      <c r="G810" s="2412" t="s">
        <v>5308</v>
      </c>
      <c r="H810" s="2383">
        <v>0</v>
      </c>
      <c r="I810" s="2383">
        <v>0</v>
      </c>
      <c r="J810" s="2413">
        <v>0</v>
      </c>
      <c r="K810" s="2387"/>
      <c r="L810" s="2381">
        <v>13067031001</v>
      </c>
      <c r="M810" s="2382">
        <v>0</v>
      </c>
      <c r="N810" s="2382">
        <v>0</v>
      </c>
      <c r="O810" s="2382">
        <v>0</v>
      </c>
      <c r="AA810" s="27"/>
      <c r="AB810" s="27"/>
      <c r="AC810" s="573"/>
      <c r="AD810" s="573"/>
    </row>
    <row r="811" spans="3:30">
      <c r="C811" s="2388" t="s">
        <v>5309</v>
      </c>
      <c r="D811" s="2385">
        <v>0</v>
      </c>
      <c r="E811" s="2385">
        <v>0</v>
      </c>
      <c r="F811" s="2386">
        <v>0</v>
      </c>
      <c r="G811" s="2412" t="s">
        <v>5309</v>
      </c>
      <c r="H811" s="2383">
        <v>0</v>
      </c>
      <c r="I811" s="2383">
        <v>0</v>
      </c>
      <c r="J811" s="2413">
        <v>0</v>
      </c>
      <c r="K811" s="2387"/>
      <c r="L811" s="2381">
        <v>13067031002</v>
      </c>
      <c r="M811" s="2382">
        <v>0</v>
      </c>
      <c r="N811" s="2382">
        <v>0</v>
      </c>
      <c r="O811" s="2382">
        <v>0</v>
      </c>
      <c r="AA811" s="27"/>
      <c r="AB811" s="27"/>
      <c r="AC811" s="573"/>
      <c r="AD811" s="573"/>
    </row>
    <row r="812" spans="3:30">
      <c r="C812" s="2388" t="s">
        <v>5310</v>
      </c>
      <c r="D812" s="2385">
        <v>0</v>
      </c>
      <c r="E812" s="2385">
        <v>0</v>
      </c>
      <c r="F812" s="2386">
        <v>0</v>
      </c>
      <c r="G812" s="2412" t="s">
        <v>5310</v>
      </c>
      <c r="H812" s="2383">
        <v>0</v>
      </c>
      <c r="I812" s="2383">
        <v>0</v>
      </c>
      <c r="J812" s="2413">
        <v>0</v>
      </c>
      <c r="K812" s="2387"/>
      <c r="L812" s="2381">
        <v>13067031004</v>
      </c>
      <c r="M812" s="2382">
        <v>0</v>
      </c>
      <c r="N812" s="2382">
        <v>0</v>
      </c>
      <c r="O812" s="2382">
        <v>0</v>
      </c>
      <c r="AA812" s="27"/>
      <c r="AB812" s="27"/>
      <c r="AC812" s="573"/>
      <c r="AD812" s="573"/>
    </row>
    <row r="813" spans="3:30">
      <c r="C813" s="2388" t="s">
        <v>5311</v>
      </c>
      <c r="D813" s="2385">
        <v>0</v>
      </c>
      <c r="E813" s="2385">
        <v>0</v>
      </c>
      <c r="F813" s="2386">
        <v>0</v>
      </c>
      <c r="G813" s="2412" t="s">
        <v>5311</v>
      </c>
      <c r="H813" s="2383">
        <v>0</v>
      </c>
      <c r="I813" s="2383">
        <v>0</v>
      </c>
      <c r="J813" s="2413">
        <v>0</v>
      </c>
      <c r="K813" s="2387"/>
      <c r="L813" s="2381">
        <v>13067031005</v>
      </c>
      <c r="M813" s="2382">
        <v>0</v>
      </c>
      <c r="N813" s="2382">
        <v>0</v>
      </c>
      <c r="O813" s="2382">
        <v>0</v>
      </c>
      <c r="AA813" s="27"/>
      <c r="AB813" s="27"/>
      <c r="AC813" s="573"/>
      <c r="AD813" s="573"/>
    </row>
    <row r="814" spans="3:30">
      <c r="C814" s="2388" t="s">
        <v>5312</v>
      </c>
      <c r="D814" s="2385">
        <v>0</v>
      </c>
      <c r="E814" s="2385">
        <v>0</v>
      </c>
      <c r="F814" s="2386">
        <v>0</v>
      </c>
      <c r="G814" s="2412" t="s">
        <v>5312</v>
      </c>
      <c r="H814" s="2383">
        <v>0</v>
      </c>
      <c r="I814" s="2383">
        <v>0</v>
      </c>
      <c r="J814" s="2413">
        <v>0</v>
      </c>
      <c r="K814" s="2387"/>
      <c r="L814" s="2381">
        <v>13067031101</v>
      </c>
      <c r="M814" s="2382">
        <v>0</v>
      </c>
      <c r="N814" s="2382">
        <v>0</v>
      </c>
      <c r="O814" s="2382">
        <v>0</v>
      </c>
      <c r="AA814" s="27"/>
      <c r="AB814" s="27"/>
      <c r="AC814" s="573"/>
      <c r="AD814" s="573"/>
    </row>
    <row r="815" spans="3:30">
      <c r="C815" s="2388" t="s">
        <v>5313</v>
      </c>
      <c r="D815" s="2385">
        <v>1</v>
      </c>
      <c r="E815" s="2385">
        <v>0</v>
      </c>
      <c r="F815" s="2386">
        <v>1</v>
      </c>
      <c r="G815" s="2412" t="s">
        <v>5313</v>
      </c>
      <c r="H815" s="2383">
        <v>1</v>
      </c>
      <c r="I815" s="2383">
        <v>1</v>
      </c>
      <c r="J815" s="2413">
        <v>2</v>
      </c>
      <c r="K815" s="2387"/>
      <c r="L815" s="2381">
        <v>13067031106</v>
      </c>
      <c r="M815" s="2382">
        <v>1</v>
      </c>
      <c r="N815" s="2382">
        <v>1</v>
      </c>
      <c r="O815" s="2382">
        <v>2</v>
      </c>
      <c r="AA815" s="27"/>
      <c r="AB815" s="27"/>
      <c r="AC815" s="573"/>
      <c r="AD815" s="573"/>
    </row>
    <row r="816" spans="3:30">
      <c r="C816" s="2388" t="s">
        <v>5314</v>
      </c>
      <c r="D816" s="2385">
        <v>1</v>
      </c>
      <c r="E816" s="2385">
        <v>0</v>
      </c>
      <c r="F816" s="2386">
        <v>1</v>
      </c>
      <c r="G816" s="2412" t="s">
        <v>5314</v>
      </c>
      <c r="H816" s="2383">
        <v>1</v>
      </c>
      <c r="I816" s="2383">
        <v>1</v>
      </c>
      <c r="J816" s="2413">
        <v>2</v>
      </c>
      <c r="K816" s="2387"/>
      <c r="L816" s="2381">
        <v>13067031108</v>
      </c>
      <c r="M816" s="2382">
        <v>1</v>
      </c>
      <c r="N816" s="2382">
        <v>1</v>
      </c>
      <c r="O816" s="2382">
        <v>2</v>
      </c>
      <c r="AA816" s="27"/>
      <c r="AB816" s="27"/>
      <c r="AC816" s="573"/>
      <c r="AD816" s="573"/>
    </row>
    <row r="817" spans="3:30">
      <c r="C817" s="2388" t="s">
        <v>5315</v>
      </c>
      <c r="D817" s="2385">
        <v>1</v>
      </c>
      <c r="E817" s="2385">
        <v>0</v>
      </c>
      <c r="F817" s="2386">
        <v>1</v>
      </c>
      <c r="G817" s="2412" t="s">
        <v>5315</v>
      </c>
      <c r="H817" s="2383">
        <v>1</v>
      </c>
      <c r="I817" s="2383">
        <v>0</v>
      </c>
      <c r="J817" s="2413">
        <v>1</v>
      </c>
      <c r="K817" s="2387"/>
      <c r="L817" s="2381">
        <v>13067031110</v>
      </c>
      <c r="M817" s="2382">
        <v>1</v>
      </c>
      <c r="N817" s="2382">
        <v>0</v>
      </c>
      <c r="O817" s="2382">
        <v>1</v>
      </c>
      <c r="AA817" s="27"/>
      <c r="AB817" s="27"/>
      <c r="AC817" s="573"/>
      <c r="AD817" s="573"/>
    </row>
    <row r="818" spans="3:30">
      <c r="C818" s="2388" t="s">
        <v>5316</v>
      </c>
      <c r="D818" s="2385">
        <v>1</v>
      </c>
      <c r="E818" s="2385">
        <v>1</v>
      </c>
      <c r="F818" s="2386">
        <v>2</v>
      </c>
      <c r="G818" s="2412" t="s">
        <v>5316</v>
      </c>
      <c r="H818" s="2383">
        <v>1</v>
      </c>
      <c r="I818" s="2383">
        <v>1</v>
      </c>
      <c r="J818" s="2413">
        <v>2</v>
      </c>
      <c r="K818" s="2387"/>
      <c r="L818" s="2381">
        <v>13067031111</v>
      </c>
      <c r="M818" s="2382">
        <v>1</v>
      </c>
      <c r="N818" s="2382">
        <v>1</v>
      </c>
      <c r="O818" s="2382">
        <v>2</v>
      </c>
      <c r="AA818" s="27"/>
      <c r="AB818" s="27"/>
      <c r="AC818" s="573"/>
      <c r="AD818" s="573"/>
    </row>
    <row r="819" spans="3:30">
      <c r="C819" s="2388" t="s">
        <v>5317</v>
      </c>
      <c r="D819" s="2385">
        <v>1</v>
      </c>
      <c r="E819" s="2385">
        <v>1</v>
      </c>
      <c r="F819" s="2386">
        <v>2</v>
      </c>
      <c r="G819" s="2412" t="s">
        <v>5317</v>
      </c>
      <c r="H819" s="2383">
        <v>1</v>
      </c>
      <c r="I819" s="2383">
        <v>1</v>
      </c>
      <c r="J819" s="2413">
        <v>2</v>
      </c>
      <c r="K819" s="2387"/>
      <c r="L819" s="2381">
        <v>13067031112</v>
      </c>
      <c r="M819" s="2382">
        <v>1</v>
      </c>
      <c r="N819" s="2382">
        <v>1</v>
      </c>
      <c r="O819" s="2382">
        <v>2</v>
      </c>
      <c r="AA819" s="27"/>
      <c r="AB819" s="27"/>
      <c r="AC819" s="573"/>
      <c r="AD819" s="573"/>
    </row>
    <row r="820" spans="3:30">
      <c r="C820" s="2388" t="s">
        <v>5318</v>
      </c>
      <c r="D820" s="2385">
        <v>0</v>
      </c>
      <c r="E820" s="2385">
        <v>0</v>
      </c>
      <c r="F820" s="2386">
        <v>0</v>
      </c>
      <c r="G820" s="2412" t="s">
        <v>5318</v>
      </c>
      <c r="H820" s="2383">
        <v>1</v>
      </c>
      <c r="I820" s="2383" t="s">
        <v>4493</v>
      </c>
      <c r="J820" s="2413">
        <v>1</v>
      </c>
      <c r="K820" s="2387"/>
      <c r="L820" s="2381">
        <v>13067031113</v>
      </c>
      <c r="M820" s="2382">
        <v>1</v>
      </c>
      <c r="N820" s="2382">
        <v>0</v>
      </c>
      <c r="O820" s="2382">
        <v>1</v>
      </c>
      <c r="AA820" s="27"/>
      <c r="AB820" s="27"/>
      <c r="AC820" s="573"/>
      <c r="AD820" s="573"/>
    </row>
    <row r="821" spans="3:30">
      <c r="C821" s="2388" t="s">
        <v>5319</v>
      </c>
      <c r="D821" s="2385">
        <v>0</v>
      </c>
      <c r="E821" s="2385">
        <v>0</v>
      </c>
      <c r="F821" s="2386">
        <v>0</v>
      </c>
      <c r="G821" s="2412" t="s">
        <v>5319</v>
      </c>
      <c r="H821" s="2383">
        <v>1</v>
      </c>
      <c r="I821" s="2383">
        <v>0</v>
      </c>
      <c r="J821" s="2413">
        <v>1</v>
      </c>
      <c r="K821" s="2387"/>
      <c r="L821" s="2381">
        <v>13067031114</v>
      </c>
      <c r="M821" s="2382">
        <v>1</v>
      </c>
      <c r="N821" s="2382">
        <v>0</v>
      </c>
      <c r="O821" s="2382">
        <v>1</v>
      </c>
      <c r="AA821" s="27"/>
      <c r="AB821" s="27"/>
      <c r="AC821" s="573"/>
      <c r="AD821" s="573"/>
    </row>
    <row r="822" spans="3:30">
      <c r="C822" s="2388" t="s">
        <v>5320</v>
      </c>
      <c r="D822" s="2385">
        <v>1</v>
      </c>
      <c r="E822" s="2385">
        <v>0</v>
      </c>
      <c r="F822" s="2386">
        <v>1</v>
      </c>
      <c r="G822" s="2412" t="s">
        <v>5320</v>
      </c>
      <c r="H822" s="2383">
        <v>1</v>
      </c>
      <c r="I822" s="2383">
        <v>0</v>
      </c>
      <c r="J822" s="2413">
        <v>1</v>
      </c>
      <c r="K822" s="2387"/>
      <c r="L822" s="2381">
        <v>13067031115</v>
      </c>
      <c r="M822" s="2382">
        <v>1</v>
      </c>
      <c r="N822" s="2382">
        <v>0</v>
      </c>
      <c r="O822" s="2382">
        <v>1</v>
      </c>
      <c r="AA822" s="27"/>
      <c r="AB822" s="27"/>
      <c r="AC822" s="573"/>
      <c r="AD822" s="573"/>
    </row>
    <row r="823" spans="3:30">
      <c r="C823" s="2388" t="s">
        <v>5321</v>
      </c>
      <c r="D823" s="2385">
        <v>0</v>
      </c>
      <c r="E823" s="2385">
        <v>0</v>
      </c>
      <c r="F823" s="2386">
        <v>0</v>
      </c>
      <c r="G823" s="2412" t="s">
        <v>5321</v>
      </c>
      <c r="H823" s="2383">
        <v>0</v>
      </c>
      <c r="I823" s="2383" t="s">
        <v>4493</v>
      </c>
      <c r="J823" s="2413">
        <v>0</v>
      </c>
      <c r="K823" s="2387"/>
      <c r="L823" s="2381">
        <v>13067031116</v>
      </c>
      <c r="M823" s="2382">
        <v>0</v>
      </c>
      <c r="N823" s="2382">
        <v>0</v>
      </c>
      <c r="O823" s="2382">
        <v>0</v>
      </c>
      <c r="AA823" s="27"/>
      <c r="AB823" s="27"/>
      <c r="AC823" s="573"/>
      <c r="AD823" s="573"/>
    </row>
    <row r="824" spans="3:30">
      <c r="C824" s="2388" t="s">
        <v>5322</v>
      </c>
      <c r="D824" s="2385">
        <v>1</v>
      </c>
      <c r="E824" s="2385">
        <v>1</v>
      </c>
      <c r="F824" s="2386">
        <v>2</v>
      </c>
      <c r="G824" s="2412" t="s">
        <v>5322</v>
      </c>
      <c r="H824" s="2383">
        <v>1</v>
      </c>
      <c r="I824" s="2383">
        <v>1</v>
      </c>
      <c r="J824" s="2413">
        <v>2</v>
      </c>
      <c r="K824" s="2387"/>
      <c r="L824" s="2381">
        <v>13067031117</v>
      </c>
      <c r="M824" s="2382">
        <v>1</v>
      </c>
      <c r="N824" s="2382">
        <v>1</v>
      </c>
      <c r="O824" s="2382">
        <v>2</v>
      </c>
      <c r="AA824" s="27"/>
      <c r="AB824" s="27"/>
      <c r="AC824" s="573"/>
      <c r="AD824" s="573"/>
    </row>
    <row r="825" spans="3:30">
      <c r="C825" s="2388" t="s">
        <v>5323</v>
      </c>
      <c r="D825" s="2385">
        <v>1</v>
      </c>
      <c r="E825" s="2385">
        <v>1</v>
      </c>
      <c r="F825" s="2386">
        <v>2</v>
      </c>
      <c r="G825" s="2412" t="s">
        <v>5323</v>
      </c>
      <c r="H825" s="2383">
        <v>1</v>
      </c>
      <c r="I825" s="2383">
        <v>1</v>
      </c>
      <c r="J825" s="2413">
        <v>2</v>
      </c>
      <c r="K825" s="2387"/>
      <c r="L825" s="2381">
        <v>13067031118</v>
      </c>
      <c r="M825" s="2382">
        <v>1</v>
      </c>
      <c r="N825" s="2382">
        <v>1</v>
      </c>
      <c r="O825" s="2382">
        <v>2</v>
      </c>
      <c r="AA825" s="27"/>
      <c r="AB825" s="27"/>
      <c r="AC825" s="573"/>
      <c r="AD825" s="573"/>
    </row>
    <row r="826" spans="3:30">
      <c r="C826" s="2388" t="s">
        <v>5324</v>
      </c>
      <c r="D826" s="2385">
        <v>1</v>
      </c>
      <c r="E826" s="2385">
        <v>1</v>
      </c>
      <c r="F826" s="2386">
        <v>2</v>
      </c>
      <c r="G826" s="2412" t="s">
        <v>5324</v>
      </c>
      <c r="H826" s="2383">
        <v>1</v>
      </c>
      <c r="I826" s="2383">
        <v>1</v>
      </c>
      <c r="J826" s="2413">
        <v>2</v>
      </c>
      <c r="K826" s="2387"/>
      <c r="L826" s="2381">
        <v>13067031205</v>
      </c>
      <c r="M826" s="2382">
        <v>1</v>
      </c>
      <c r="N826" s="2382">
        <v>1</v>
      </c>
      <c r="O826" s="2382">
        <v>2</v>
      </c>
      <c r="AA826" s="27"/>
      <c r="AB826" s="27"/>
      <c r="AC826" s="573"/>
      <c r="AD826" s="573"/>
    </row>
    <row r="827" spans="3:30">
      <c r="C827" s="2388" t="s">
        <v>5325</v>
      </c>
      <c r="D827" s="2385">
        <v>1</v>
      </c>
      <c r="E827" s="2385">
        <v>1</v>
      </c>
      <c r="F827" s="2386">
        <v>2</v>
      </c>
      <c r="G827" s="2412" t="s">
        <v>5325</v>
      </c>
      <c r="H827" s="2383">
        <v>1</v>
      </c>
      <c r="I827" s="2383">
        <v>1</v>
      </c>
      <c r="J827" s="2413">
        <v>2</v>
      </c>
      <c r="K827" s="2387"/>
      <c r="L827" s="2381">
        <v>13067031206</v>
      </c>
      <c r="M827" s="2382">
        <v>1</v>
      </c>
      <c r="N827" s="2382">
        <v>1</v>
      </c>
      <c r="O827" s="2382">
        <v>2</v>
      </c>
      <c r="AA827" s="27"/>
      <c r="AB827" s="27"/>
      <c r="AC827" s="573"/>
      <c r="AD827" s="573"/>
    </row>
    <row r="828" spans="3:30">
      <c r="C828" s="2388" t="s">
        <v>5326</v>
      </c>
      <c r="D828" s="2385">
        <v>1</v>
      </c>
      <c r="E828" s="2385">
        <v>1</v>
      </c>
      <c r="F828" s="2386">
        <v>2</v>
      </c>
      <c r="G828" s="2412" t="s">
        <v>5326</v>
      </c>
      <c r="H828" s="2383">
        <v>1</v>
      </c>
      <c r="I828" s="2383" t="s">
        <v>4493</v>
      </c>
      <c r="J828" s="2413">
        <v>1</v>
      </c>
      <c r="K828" s="2387"/>
      <c r="L828" s="2381">
        <v>13067031207</v>
      </c>
      <c r="M828" s="2382">
        <v>1</v>
      </c>
      <c r="N828" s="2382">
        <v>1</v>
      </c>
      <c r="O828" s="2382">
        <v>2</v>
      </c>
      <c r="AA828" s="27"/>
      <c r="AB828" s="27"/>
      <c r="AC828" s="573"/>
      <c r="AD828" s="573"/>
    </row>
    <row r="829" spans="3:30">
      <c r="C829" s="2388" t="s">
        <v>5327</v>
      </c>
      <c r="D829" s="2385">
        <v>1</v>
      </c>
      <c r="E829" s="2385">
        <v>1</v>
      </c>
      <c r="F829" s="2386">
        <v>2</v>
      </c>
      <c r="G829" s="2412" t="s">
        <v>5327</v>
      </c>
      <c r="H829" s="2383">
        <v>1</v>
      </c>
      <c r="I829" s="2383">
        <v>1</v>
      </c>
      <c r="J829" s="2413">
        <v>2</v>
      </c>
      <c r="K829" s="2387"/>
      <c r="L829" s="2381">
        <v>13067031208</v>
      </c>
      <c r="M829" s="2382">
        <v>1</v>
      </c>
      <c r="N829" s="2382">
        <v>1</v>
      </c>
      <c r="O829" s="2382">
        <v>2</v>
      </c>
      <c r="AA829" s="27"/>
      <c r="AB829" s="27"/>
      <c r="AC829" s="573"/>
      <c r="AD829" s="573"/>
    </row>
    <row r="830" spans="3:30">
      <c r="C830" s="2388" t="s">
        <v>5328</v>
      </c>
      <c r="D830" s="2385">
        <v>1</v>
      </c>
      <c r="E830" s="2385">
        <v>1</v>
      </c>
      <c r="F830" s="2386">
        <v>2</v>
      </c>
      <c r="G830" s="2412" t="s">
        <v>5328</v>
      </c>
      <c r="H830" s="2383">
        <v>1</v>
      </c>
      <c r="I830" s="2383">
        <v>1</v>
      </c>
      <c r="J830" s="2413">
        <v>2</v>
      </c>
      <c r="K830" s="2387"/>
      <c r="L830" s="2381">
        <v>13067031209</v>
      </c>
      <c r="M830" s="2382">
        <v>1</v>
      </c>
      <c r="N830" s="2382">
        <v>1</v>
      </c>
      <c r="O830" s="2382">
        <v>2</v>
      </c>
      <c r="AA830" s="27"/>
      <c r="AB830" s="27"/>
      <c r="AC830" s="573"/>
      <c r="AD830" s="573"/>
    </row>
    <row r="831" spans="3:30">
      <c r="C831" s="2388" t="s">
        <v>5329</v>
      </c>
      <c r="D831" s="2385">
        <v>1</v>
      </c>
      <c r="E831" s="2385">
        <v>1</v>
      </c>
      <c r="F831" s="2386">
        <v>2</v>
      </c>
      <c r="G831" s="2412" t="s">
        <v>5329</v>
      </c>
      <c r="H831" s="2383">
        <v>1</v>
      </c>
      <c r="I831" s="2383">
        <v>1</v>
      </c>
      <c r="J831" s="2413">
        <v>2</v>
      </c>
      <c r="K831" s="2387"/>
      <c r="L831" s="2381">
        <v>13067031211</v>
      </c>
      <c r="M831" s="2382">
        <v>1</v>
      </c>
      <c r="N831" s="2382">
        <v>1</v>
      </c>
      <c r="O831" s="2382">
        <v>2</v>
      </c>
      <c r="AA831" s="27"/>
      <c r="AB831" s="27"/>
      <c r="AC831" s="573"/>
      <c r="AD831" s="573"/>
    </row>
    <row r="832" spans="3:30">
      <c r="C832" s="2388" t="s">
        <v>5330</v>
      </c>
      <c r="D832" s="2385">
        <v>1</v>
      </c>
      <c r="E832" s="2385">
        <v>1</v>
      </c>
      <c r="F832" s="2386">
        <v>2</v>
      </c>
      <c r="G832" s="2412" t="s">
        <v>5330</v>
      </c>
      <c r="H832" s="2383">
        <v>1</v>
      </c>
      <c r="I832" s="2383">
        <v>1</v>
      </c>
      <c r="J832" s="2413">
        <v>2</v>
      </c>
      <c r="K832" s="2387"/>
      <c r="L832" s="2381">
        <v>13067031212</v>
      </c>
      <c r="M832" s="2382">
        <v>1</v>
      </c>
      <c r="N832" s="2382">
        <v>1</v>
      </c>
      <c r="O832" s="2382">
        <v>2</v>
      </c>
      <c r="AA832" s="27"/>
      <c r="AB832" s="27"/>
      <c r="AC832" s="573"/>
      <c r="AD832" s="573"/>
    </row>
    <row r="833" spans="3:30">
      <c r="C833" s="2388" t="s">
        <v>5331</v>
      </c>
      <c r="D833" s="2385">
        <v>1</v>
      </c>
      <c r="E833" s="2385">
        <v>0</v>
      </c>
      <c r="F833" s="2386">
        <v>1</v>
      </c>
      <c r="G833" s="2412" t="s">
        <v>5331</v>
      </c>
      <c r="H833" s="2383">
        <v>1</v>
      </c>
      <c r="I833" s="2383">
        <v>0</v>
      </c>
      <c r="J833" s="2413">
        <v>1</v>
      </c>
      <c r="K833" s="2387"/>
      <c r="L833" s="2381">
        <v>13067031306</v>
      </c>
      <c r="M833" s="2382">
        <v>1</v>
      </c>
      <c r="N833" s="2382">
        <v>0</v>
      </c>
      <c r="O833" s="2382">
        <v>1</v>
      </c>
      <c r="AA833" s="27"/>
      <c r="AB833" s="27"/>
      <c r="AC833" s="573"/>
      <c r="AD833" s="573"/>
    </row>
    <row r="834" spans="3:30">
      <c r="C834" s="2388" t="s">
        <v>5332</v>
      </c>
      <c r="D834" s="2385">
        <v>1</v>
      </c>
      <c r="E834" s="2385">
        <v>1</v>
      </c>
      <c r="F834" s="2386">
        <v>2</v>
      </c>
      <c r="G834" s="2412" t="s">
        <v>5332</v>
      </c>
      <c r="H834" s="2383">
        <v>1</v>
      </c>
      <c r="I834" s="2383">
        <v>1</v>
      </c>
      <c r="J834" s="2413">
        <v>2</v>
      </c>
      <c r="K834" s="2387"/>
      <c r="L834" s="2381">
        <v>13067031307</v>
      </c>
      <c r="M834" s="2382">
        <v>1</v>
      </c>
      <c r="N834" s="2382">
        <v>1</v>
      </c>
      <c r="O834" s="2382">
        <v>2</v>
      </c>
      <c r="AA834" s="27"/>
      <c r="AB834" s="27"/>
      <c r="AC834" s="573"/>
      <c r="AD834" s="573"/>
    </row>
    <row r="835" spans="3:30">
      <c r="C835" s="2388" t="s">
        <v>5333</v>
      </c>
      <c r="D835" s="2385">
        <v>0</v>
      </c>
      <c r="E835" s="2385">
        <v>0</v>
      </c>
      <c r="F835" s="2386">
        <v>0</v>
      </c>
      <c r="G835" s="2412" t="s">
        <v>5333</v>
      </c>
      <c r="H835" s="2383">
        <v>0</v>
      </c>
      <c r="I835" s="2383">
        <v>0</v>
      </c>
      <c r="J835" s="2413">
        <v>0</v>
      </c>
      <c r="K835" s="2387"/>
      <c r="L835" s="2381">
        <v>13067031308</v>
      </c>
      <c r="M835" s="2382">
        <v>0</v>
      </c>
      <c r="N835" s="2382">
        <v>0</v>
      </c>
      <c r="O835" s="2382">
        <v>0</v>
      </c>
      <c r="AA835" s="27"/>
      <c r="AB835" s="27"/>
      <c r="AC835" s="573"/>
      <c r="AD835" s="573"/>
    </row>
    <row r="836" spans="3:30">
      <c r="C836" s="2388" t="s">
        <v>5334</v>
      </c>
      <c r="D836" s="2385">
        <v>0</v>
      </c>
      <c r="E836" s="2385">
        <v>0</v>
      </c>
      <c r="F836" s="2386">
        <v>0</v>
      </c>
      <c r="G836" s="2412" t="s">
        <v>5334</v>
      </c>
      <c r="H836" s="2383">
        <v>1</v>
      </c>
      <c r="I836" s="2383">
        <v>0</v>
      </c>
      <c r="J836" s="2413">
        <v>1</v>
      </c>
      <c r="K836" s="2387"/>
      <c r="L836" s="2381">
        <v>13067031309</v>
      </c>
      <c r="M836" s="2382">
        <v>1</v>
      </c>
      <c r="N836" s="2382">
        <v>0</v>
      </c>
      <c r="O836" s="2382">
        <v>1</v>
      </c>
      <c r="AA836" s="27"/>
      <c r="AB836" s="27"/>
      <c r="AC836" s="573"/>
      <c r="AD836" s="573"/>
    </row>
    <row r="837" spans="3:30">
      <c r="C837" s="2388" t="s">
        <v>5335</v>
      </c>
      <c r="D837" s="2385">
        <v>0</v>
      </c>
      <c r="E837" s="2385">
        <v>0</v>
      </c>
      <c r="F837" s="2386">
        <v>0</v>
      </c>
      <c r="G837" s="2412" t="s">
        <v>5335</v>
      </c>
      <c r="H837" s="2383">
        <v>0</v>
      </c>
      <c r="I837" s="2383">
        <v>0</v>
      </c>
      <c r="J837" s="2413">
        <v>0</v>
      </c>
      <c r="K837" s="2387"/>
      <c r="L837" s="2381">
        <v>13067031310</v>
      </c>
      <c r="M837" s="2382">
        <v>0</v>
      </c>
      <c r="N837" s="2382">
        <v>0</v>
      </c>
      <c r="O837" s="2382">
        <v>0</v>
      </c>
      <c r="AA837" s="27"/>
      <c r="AC837" s="573"/>
    </row>
    <row r="838" spans="3:30">
      <c r="C838" s="2388" t="s">
        <v>5336</v>
      </c>
      <c r="D838" s="2385">
        <v>0</v>
      </c>
      <c r="E838" s="2385">
        <v>0</v>
      </c>
      <c r="F838" s="2386">
        <v>0</v>
      </c>
      <c r="G838" s="2412" t="s">
        <v>5336</v>
      </c>
      <c r="H838" s="2383">
        <v>0</v>
      </c>
      <c r="I838" s="2383">
        <v>0</v>
      </c>
      <c r="J838" s="2413">
        <v>0</v>
      </c>
      <c r="K838" s="2387"/>
      <c r="L838" s="2381">
        <v>13067031311</v>
      </c>
      <c r="M838" s="2382">
        <v>0</v>
      </c>
      <c r="N838" s="2382">
        <v>0</v>
      </c>
      <c r="O838" s="2382">
        <v>0</v>
      </c>
      <c r="AA838" s="27"/>
      <c r="AC838" s="573"/>
    </row>
    <row r="839" spans="3:30">
      <c r="C839" s="2388" t="s">
        <v>5337</v>
      </c>
      <c r="D839" s="2385">
        <v>1</v>
      </c>
      <c r="E839" s="2385">
        <v>1</v>
      </c>
      <c r="F839" s="2386">
        <v>2</v>
      </c>
      <c r="G839" s="2412" t="s">
        <v>5337</v>
      </c>
      <c r="H839" s="2383">
        <v>1</v>
      </c>
      <c r="I839" s="2383">
        <v>1</v>
      </c>
      <c r="J839" s="2413">
        <v>2</v>
      </c>
      <c r="K839" s="2387"/>
      <c r="L839" s="2381">
        <v>13067031312</v>
      </c>
      <c r="M839" s="2382">
        <v>1</v>
      </c>
      <c r="N839" s="2382">
        <v>1</v>
      </c>
      <c r="O839" s="2382">
        <v>2</v>
      </c>
      <c r="AA839" s="27"/>
      <c r="AC839" s="573"/>
    </row>
    <row r="840" spans="3:30">
      <c r="C840" s="2388" t="s">
        <v>5338</v>
      </c>
      <c r="D840" s="2385">
        <v>1</v>
      </c>
      <c r="E840" s="2385">
        <v>1</v>
      </c>
      <c r="F840" s="2386">
        <v>2</v>
      </c>
      <c r="G840" s="2412" t="s">
        <v>5338</v>
      </c>
      <c r="H840" s="2383">
        <v>1</v>
      </c>
      <c r="I840" s="2383">
        <v>1</v>
      </c>
      <c r="J840" s="2413">
        <v>2</v>
      </c>
      <c r="K840" s="2387"/>
      <c r="L840" s="2381">
        <v>13067031313</v>
      </c>
      <c r="M840" s="2382">
        <v>1</v>
      </c>
      <c r="N840" s="2382">
        <v>1</v>
      </c>
      <c r="O840" s="2382">
        <v>2</v>
      </c>
      <c r="AA840" s="27"/>
      <c r="AC840" s="573"/>
    </row>
    <row r="841" spans="3:30">
      <c r="C841" s="2388" t="s">
        <v>5339</v>
      </c>
      <c r="D841" s="2385">
        <v>1</v>
      </c>
      <c r="E841" s="2385">
        <v>1</v>
      </c>
      <c r="F841" s="2386">
        <v>2</v>
      </c>
      <c r="G841" s="2412" t="s">
        <v>5339</v>
      </c>
      <c r="H841" s="2383">
        <v>1</v>
      </c>
      <c r="I841" s="2383">
        <v>1</v>
      </c>
      <c r="J841" s="2413">
        <v>2</v>
      </c>
      <c r="K841" s="2387"/>
      <c r="L841" s="2381">
        <v>13067031404</v>
      </c>
      <c r="M841" s="2382">
        <v>1</v>
      </c>
      <c r="N841" s="2382">
        <v>1</v>
      </c>
      <c r="O841" s="2382">
        <v>2</v>
      </c>
      <c r="AA841" s="27"/>
      <c r="AC841" s="573"/>
    </row>
    <row r="842" spans="3:30">
      <c r="C842" s="2388" t="s">
        <v>5340</v>
      </c>
      <c r="D842" s="2385">
        <v>0</v>
      </c>
      <c r="E842" s="2385">
        <v>1</v>
      </c>
      <c r="F842" s="2386">
        <v>1</v>
      </c>
      <c r="G842" s="2412" t="s">
        <v>5340</v>
      </c>
      <c r="H842" s="2383">
        <v>1</v>
      </c>
      <c r="I842" s="2383">
        <v>0</v>
      </c>
      <c r="J842" s="2413">
        <v>1</v>
      </c>
      <c r="K842" s="2387"/>
      <c r="L842" s="2381">
        <v>13067031405</v>
      </c>
      <c r="M842" s="2382">
        <v>1</v>
      </c>
      <c r="N842" s="2382">
        <v>1</v>
      </c>
      <c r="O842" s="2382">
        <v>1</v>
      </c>
      <c r="AA842" s="27"/>
      <c r="AC842" s="573"/>
    </row>
    <row r="843" spans="3:30">
      <c r="C843" s="2388" t="s">
        <v>5341</v>
      </c>
      <c r="D843" s="2385">
        <v>0</v>
      </c>
      <c r="E843" s="2385">
        <v>0</v>
      </c>
      <c r="F843" s="2386">
        <v>0</v>
      </c>
      <c r="G843" s="2412" t="s">
        <v>5341</v>
      </c>
      <c r="H843" s="2383">
        <v>0</v>
      </c>
      <c r="I843" s="2383">
        <v>0</v>
      </c>
      <c r="J843" s="2413">
        <v>0</v>
      </c>
      <c r="K843" s="2387"/>
      <c r="L843" s="2381">
        <v>13067031406</v>
      </c>
      <c r="M843" s="2382">
        <v>0</v>
      </c>
      <c r="N843" s="2382">
        <v>0</v>
      </c>
      <c r="O843" s="2382">
        <v>0</v>
      </c>
      <c r="AA843" s="27"/>
      <c r="AC843" s="573"/>
    </row>
    <row r="844" spans="3:30">
      <c r="C844" s="2388" t="s">
        <v>5342</v>
      </c>
      <c r="D844" s="2385">
        <v>0</v>
      </c>
      <c r="E844" s="2385">
        <v>0</v>
      </c>
      <c r="F844" s="2386">
        <v>0</v>
      </c>
      <c r="G844" s="2412" t="s">
        <v>5342</v>
      </c>
      <c r="H844" s="2383">
        <v>1</v>
      </c>
      <c r="I844" s="2383">
        <v>0</v>
      </c>
      <c r="J844" s="2413">
        <v>0</v>
      </c>
      <c r="K844" s="2387"/>
      <c r="L844" s="2381">
        <v>13067031408</v>
      </c>
      <c r="M844" s="2382">
        <v>1</v>
      </c>
      <c r="N844" s="2382">
        <v>0</v>
      </c>
      <c r="O844" s="2382">
        <v>0</v>
      </c>
      <c r="AA844" s="27"/>
      <c r="AC844" s="573"/>
    </row>
    <row r="845" spans="3:30">
      <c r="C845" s="2388" t="s">
        <v>5343</v>
      </c>
      <c r="D845" s="2385">
        <v>0</v>
      </c>
      <c r="E845" s="2385">
        <v>0</v>
      </c>
      <c r="F845" s="2386">
        <v>0</v>
      </c>
      <c r="G845" s="2412" t="s">
        <v>5343</v>
      </c>
      <c r="H845" s="2383">
        <v>0</v>
      </c>
      <c r="I845" s="2383">
        <v>0</v>
      </c>
      <c r="J845" s="2413">
        <v>0</v>
      </c>
      <c r="K845" s="2387"/>
      <c r="L845" s="2381">
        <v>13067031409</v>
      </c>
      <c r="M845" s="2382">
        <v>0</v>
      </c>
      <c r="N845" s="2382">
        <v>0</v>
      </c>
      <c r="O845" s="2382">
        <v>0</v>
      </c>
      <c r="AA845" s="27"/>
      <c r="AC845" s="573"/>
    </row>
    <row r="846" spans="3:30">
      <c r="C846" s="2388" t="s">
        <v>5344</v>
      </c>
      <c r="D846" s="2385">
        <v>1</v>
      </c>
      <c r="E846" s="2385">
        <v>0</v>
      </c>
      <c r="F846" s="2386">
        <v>1</v>
      </c>
      <c r="G846" s="2412" t="s">
        <v>5344</v>
      </c>
      <c r="H846" s="2383">
        <v>1</v>
      </c>
      <c r="I846" s="2383">
        <v>1</v>
      </c>
      <c r="J846" s="2413">
        <v>2</v>
      </c>
      <c r="K846" s="2387"/>
      <c r="L846" s="2381">
        <v>13067031503</v>
      </c>
      <c r="M846" s="2382">
        <v>1</v>
      </c>
      <c r="N846" s="2382">
        <v>1</v>
      </c>
      <c r="O846" s="2382">
        <v>2</v>
      </c>
      <c r="AA846" s="27"/>
      <c r="AC846" s="573"/>
    </row>
    <row r="847" spans="3:30">
      <c r="C847" s="2388" t="s">
        <v>5345</v>
      </c>
      <c r="D847" s="2385">
        <v>1</v>
      </c>
      <c r="E847" s="2385">
        <v>1</v>
      </c>
      <c r="F847" s="2386">
        <v>2</v>
      </c>
      <c r="G847" s="2412" t="s">
        <v>5345</v>
      </c>
      <c r="H847" s="2383">
        <v>1</v>
      </c>
      <c r="I847" s="2383">
        <v>1</v>
      </c>
      <c r="J847" s="2413">
        <v>2</v>
      </c>
      <c r="K847" s="2387"/>
      <c r="L847" s="2381">
        <v>13067031505</v>
      </c>
      <c r="M847" s="2382">
        <v>1</v>
      </c>
      <c r="N847" s="2382">
        <v>1</v>
      </c>
      <c r="O847" s="2382">
        <v>2</v>
      </c>
      <c r="AA847" s="27"/>
      <c r="AC847" s="573"/>
    </row>
    <row r="848" spans="3:30">
      <c r="C848" s="2388" t="s">
        <v>5346</v>
      </c>
      <c r="D848" s="2385">
        <v>0</v>
      </c>
      <c r="E848" s="2385">
        <v>1</v>
      </c>
      <c r="F848" s="2386">
        <v>1</v>
      </c>
      <c r="G848" s="2412" t="s">
        <v>5346</v>
      </c>
      <c r="H848" s="2383">
        <v>0</v>
      </c>
      <c r="I848" s="2383">
        <v>0</v>
      </c>
      <c r="J848" s="2413">
        <v>0</v>
      </c>
      <c r="K848" s="2387"/>
      <c r="L848" s="2381">
        <v>13067031506</v>
      </c>
      <c r="M848" s="2382">
        <v>0</v>
      </c>
      <c r="N848" s="2382">
        <v>1</v>
      </c>
      <c r="O848" s="2382">
        <v>1</v>
      </c>
      <c r="AA848" s="27"/>
      <c r="AC848" s="573"/>
    </row>
    <row r="849" spans="3:29">
      <c r="C849" s="2388" t="s">
        <v>5347</v>
      </c>
      <c r="D849" s="2385">
        <v>0</v>
      </c>
      <c r="E849" s="2385">
        <v>0</v>
      </c>
      <c r="F849" s="2386">
        <v>0</v>
      </c>
      <c r="G849" s="2412" t="s">
        <v>5347</v>
      </c>
      <c r="H849" s="2383">
        <v>0</v>
      </c>
      <c r="I849" s="2383">
        <v>1</v>
      </c>
      <c r="J849" s="2413">
        <v>1</v>
      </c>
      <c r="K849" s="2387"/>
      <c r="L849" s="2381">
        <v>13067031507</v>
      </c>
      <c r="M849" s="2382">
        <v>0</v>
      </c>
      <c r="N849" s="2382">
        <v>1</v>
      </c>
      <c r="O849" s="2382">
        <v>1</v>
      </c>
      <c r="AA849" s="27"/>
      <c r="AC849" s="573"/>
    </row>
    <row r="850" spans="3:29">
      <c r="C850" s="2388" t="s">
        <v>5348</v>
      </c>
      <c r="D850" s="2385">
        <v>1</v>
      </c>
      <c r="E850" s="2385">
        <v>1</v>
      </c>
      <c r="F850" s="2386">
        <v>2</v>
      </c>
      <c r="G850" s="2412" t="s">
        <v>5348</v>
      </c>
      <c r="H850" s="2383">
        <v>1</v>
      </c>
      <c r="I850" s="2383">
        <v>1</v>
      </c>
      <c r="J850" s="2413">
        <v>2</v>
      </c>
      <c r="K850" s="2387"/>
      <c r="L850" s="2381">
        <v>13067031508</v>
      </c>
      <c r="M850" s="2382">
        <v>1</v>
      </c>
      <c r="N850" s="2382">
        <v>1</v>
      </c>
      <c r="O850" s="2382">
        <v>2</v>
      </c>
      <c r="AA850" s="27"/>
      <c r="AC850" s="573"/>
    </row>
    <row r="851" spans="3:29">
      <c r="C851" s="2388" t="s">
        <v>5349</v>
      </c>
      <c r="D851" s="2385">
        <v>1</v>
      </c>
      <c r="E851" s="2385">
        <v>1</v>
      </c>
      <c r="F851" s="2386">
        <v>2</v>
      </c>
      <c r="G851" s="2412" t="s">
        <v>5349</v>
      </c>
      <c r="H851" s="2383">
        <v>1</v>
      </c>
      <c r="I851" s="2383">
        <v>1</v>
      </c>
      <c r="J851" s="2413">
        <v>2</v>
      </c>
      <c r="K851" s="2387"/>
      <c r="L851" s="2381">
        <v>13067031509</v>
      </c>
      <c r="M851" s="2382">
        <v>1</v>
      </c>
      <c r="N851" s="2382">
        <v>1</v>
      </c>
      <c r="O851" s="2382">
        <v>2</v>
      </c>
      <c r="AA851" s="27"/>
      <c r="AC851" s="573"/>
    </row>
    <row r="852" spans="3:29">
      <c r="C852" s="2388" t="s">
        <v>5350</v>
      </c>
      <c r="D852" s="2385">
        <v>0</v>
      </c>
      <c r="E852" s="2385">
        <v>0</v>
      </c>
      <c r="F852" s="2386">
        <v>0</v>
      </c>
      <c r="G852" s="2412" t="s">
        <v>5350</v>
      </c>
      <c r="H852" s="2383">
        <v>0</v>
      </c>
      <c r="I852" s="2383">
        <v>0</v>
      </c>
      <c r="J852" s="2413">
        <v>0</v>
      </c>
      <c r="K852" s="2387"/>
      <c r="L852" s="2381">
        <v>13069010100</v>
      </c>
      <c r="M852" s="2382">
        <v>0</v>
      </c>
      <c r="N852" s="2382">
        <v>0</v>
      </c>
      <c r="O852" s="2382">
        <v>0</v>
      </c>
      <c r="AA852" s="27"/>
      <c r="AC852" s="573"/>
    </row>
    <row r="853" spans="3:29">
      <c r="C853" s="2388" t="s">
        <v>5351</v>
      </c>
      <c r="D853" s="2385">
        <v>0</v>
      </c>
      <c r="E853" s="2385">
        <v>0</v>
      </c>
      <c r="F853" s="2386">
        <v>0</v>
      </c>
      <c r="G853" s="2412" t="s">
        <v>5351</v>
      </c>
      <c r="H853" s="2383">
        <v>0</v>
      </c>
      <c r="I853" s="2383" t="s">
        <v>4493</v>
      </c>
      <c r="J853" s="2413">
        <v>0</v>
      </c>
      <c r="K853" s="2387"/>
      <c r="L853" s="2381">
        <v>13069010200</v>
      </c>
      <c r="M853" s="2382">
        <v>0</v>
      </c>
      <c r="N853" s="2382">
        <v>0</v>
      </c>
      <c r="O853" s="2382">
        <v>0</v>
      </c>
      <c r="AA853" s="27"/>
      <c r="AC853" s="573"/>
    </row>
    <row r="854" spans="3:29">
      <c r="C854" s="2388" t="s">
        <v>5352</v>
      </c>
      <c r="D854" s="2385">
        <v>0</v>
      </c>
      <c r="E854" s="2385">
        <v>0</v>
      </c>
      <c r="F854" s="2386">
        <v>0</v>
      </c>
      <c r="G854" s="2412" t="s">
        <v>5352</v>
      </c>
      <c r="H854" s="2383">
        <v>0</v>
      </c>
      <c r="I854" s="2383">
        <v>0</v>
      </c>
      <c r="J854" s="2413">
        <v>0</v>
      </c>
      <c r="K854" s="2387"/>
      <c r="L854" s="2381">
        <v>13069010300</v>
      </c>
      <c r="M854" s="2382">
        <v>0</v>
      </c>
      <c r="N854" s="2382">
        <v>0</v>
      </c>
      <c r="O854" s="2382">
        <v>0</v>
      </c>
      <c r="AA854" s="27"/>
      <c r="AC854" s="573"/>
    </row>
    <row r="855" spans="3:29">
      <c r="C855" s="2388" t="s">
        <v>5353</v>
      </c>
      <c r="D855" s="2385">
        <v>0</v>
      </c>
      <c r="E855" s="2385">
        <v>0</v>
      </c>
      <c r="F855" s="2386">
        <v>0</v>
      </c>
      <c r="G855" s="2412" t="s">
        <v>5353</v>
      </c>
      <c r="H855" s="2383">
        <v>0</v>
      </c>
      <c r="I855" s="2383">
        <v>0</v>
      </c>
      <c r="J855" s="2413">
        <v>0</v>
      </c>
      <c r="K855" s="2387"/>
      <c r="L855" s="2381">
        <v>13069010400</v>
      </c>
      <c r="M855" s="2382">
        <v>0</v>
      </c>
      <c r="N855" s="2382">
        <v>0</v>
      </c>
      <c r="O855" s="2382">
        <v>0</v>
      </c>
      <c r="AA855" s="27"/>
      <c r="AC855" s="573"/>
    </row>
    <row r="856" spans="3:29">
      <c r="C856" s="2388" t="s">
        <v>5354</v>
      </c>
      <c r="D856" s="2385">
        <v>0</v>
      </c>
      <c r="E856" s="2385">
        <v>0</v>
      </c>
      <c r="F856" s="2386">
        <v>0</v>
      </c>
      <c r="G856" s="2412" t="s">
        <v>5354</v>
      </c>
      <c r="H856" s="2383">
        <v>0</v>
      </c>
      <c r="I856" s="2383">
        <v>0</v>
      </c>
      <c r="J856" s="2413">
        <v>0</v>
      </c>
      <c r="K856" s="2387"/>
      <c r="L856" s="2381">
        <v>13069010500</v>
      </c>
      <c r="M856" s="2382">
        <v>0</v>
      </c>
      <c r="N856" s="2382">
        <v>0</v>
      </c>
      <c r="O856" s="2382">
        <v>0</v>
      </c>
      <c r="AA856" s="27"/>
      <c r="AC856" s="573"/>
    </row>
    <row r="857" spans="3:29">
      <c r="C857" s="2388" t="s">
        <v>5355</v>
      </c>
      <c r="D857" s="2385">
        <v>1</v>
      </c>
      <c r="E857" s="2385">
        <v>1</v>
      </c>
      <c r="F857" s="2386">
        <v>2</v>
      </c>
      <c r="G857" s="2412" t="s">
        <v>5355</v>
      </c>
      <c r="H857" s="2383">
        <v>0</v>
      </c>
      <c r="I857" s="2383">
        <v>0</v>
      </c>
      <c r="J857" s="2413">
        <v>0</v>
      </c>
      <c r="K857" s="2387"/>
      <c r="L857" s="2381">
        <v>13069010600</v>
      </c>
      <c r="M857" s="2382">
        <v>1</v>
      </c>
      <c r="N857" s="2382">
        <v>1</v>
      </c>
      <c r="O857" s="2382">
        <v>2</v>
      </c>
      <c r="AA857" s="27"/>
      <c r="AC857" s="573"/>
    </row>
    <row r="858" spans="3:29">
      <c r="C858" s="2388" t="s">
        <v>5356</v>
      </c>
      <c r="D858" s="2385">
        <v>0</v>
      </c>
      <c r="E858" s="2385">
        <v>0</v>
      </c>
      <c r="F858" s="2386">
        <v>0</v>
      </c>
      <c r="G858" s="2412" t="s">
        <v>5356</v>
      </c>
      <c r="H858" s="2383">
        <v>0</v>
      </c>
      <c r="I858" s="2383">
        <v>0</v>
      </c>
      <c r="J858" s="2413">
        <v>0</v>
      </c>
      <c r="K858" s="2387"/>
      <c r="L858" s="2381">
        <v>13069010700</v>
      </c>
      <c r="M858" s="2382">
        <v>0</v>
      </c>
      <c r="N858" s="2382">
        <v>0</v>
      </c>
      <c r="O858" s="2382">
        <v>0</v>
      </c>
      <c r="AA858" s="27"/>
      <c r="AC858" s="573"/>
    </row>
    <row r="859" spans="3:29">
      <c r="C859" s="2388" t="s">
        <v>5357</v>
      </c>
      <c r="D859" s="2385">
        <v>0</v>
      </c>
      <c r="E859" s="2385">
        <v>0</v>
      </c>
      <c r="F859" s="2386">
        <v>0</v>
      </c>
      <c r="G859" s="2412" t="s">
        <v>5357</v>
      </c>
      <c r="H859" s="2383">
        <v>0</v>
      </c>
      <c r="I859" s="2383">
        <v>0</v>
      </c>
      <c r="J859" s="2413">
        <v>0</v>
      </c>
      <c r="K859" s="2387"/>
      <c r="L859" s="2381">
        <v>13069010801</v>
      </c>
      <c r="M859" s="2382">
        <v>0</v>
      </c>
      <c r="N859" s="2382">
        <v>0</v>
      </c>
      <c r="O859" s="2382">
        <v>0</v>
      </c>
      <c r="AA859" s="27"/>
      <c r="AC859" s="573"/>
    </row>
    <row r="860" spans="3:29">
      <c r="C860" s="2388" t="s">
        <v>5358</v>
      </c>
      <c r="D860" s="2385">
        <v>0</v>
      </c>
      <c r="E860" s="2385">
        <v>0</v>
      </c>
      <c r="F860" s="2386">
        <v>0</v>
      </c>
      <c r="G860" s="2412" t="s">
        <v>5358</v>
      </c>
      <c r="H860" s="2383">
        <v>0</v>
      </c>
      <c r="I860" s="2383">
        <v>0</v>
      </c>
      <c r="J860" s="2413">
        <v>0</v>
      </c>
      <c r="K860" s="2387"/>
      <c r="L860" s="2381">
        <v>13069010802</v>
      </c>
      <c r="M860" s="2382">
        <v>0</v>
      </c>
      <c r="N860" s="2382">
        <v>0</v>
      </c>
      <c r="O860" s="2382">
        <v>0</v>
      </c>
      <c r="AA860" s="27"/>
      <c r="AC860" s="573"/>
    </row>
    <row r="861" spans="3:29">
      <c r="C861" s="2388" t="s">
        <v>5359</v>
      </c>
      <c r="D861" s="2385">
        <v>0</v>
      </c>
      <c r="E861" s="2385">
        <v>0</v>
      </c>
      <c r="F861" s="2386">
        <v>0</v>
      </c>
      <c r="G861" s="2412" t="s">
        <v>5359</v>
      </c>
      <c r="H861" s="2383">
        <v>0</v>
      </c>
      <c r="I861" s="2383">
        <v>0</v>
      </c>
      <c r="J861" s="2413">
        <v>0</v>
      </c>
      <c r="K861" s="2387"/>
      <c r="L861" s="2381">
        <v>13071970100</v>
      </c>
      <c r="M861" s="2382">
        <v>0</v>
      </c>
      <c r="N861" s="2382">
        <v>0</v>
      </c>
      <c r="O861" s="2382">
        <v>0</v>
      </c>
      <c r="AA861" s="27"/>
      <c r="AC861" s="573"/>
    </row>
    <row r="862" spans="3:29">
      <c r="C862" s="2388" t="s">
        <v>5360</v>
      </c>
      <c r="D862" s="2385">
        <v>0</v>
      </c>
      <c r="E862" s="2385">
        <v>0</v>
      </c>
      <c r="F862" s="2386">
        <v>0</v>
      </c>
      <c r="G862" s="2412" t="s">
        <v>5360</v>
      </c>
      <c r="H862" s="2383">
        <v>0</v>
      </c>
      <c r="I862" s="2383">
        <v>0</v>
      </c>
      <c r="J862" s="2413">
        <v>0</v>
      </c>
      <c r="K862" s="2387"/>
      <c r="L862" s="2381">
        <v>13071970200</v>
      </c>
      <c r="M862" s="2382">
        <v>0</v>
      </c>
      <c r="N862" s="2382">
        <v>0</v>
      </c>
      <c r="O862" s="2382">
        <v>0</v>
      </c>
      <c r="AA862" s="27"/>
      <c r="AC862" s="573"/>
    </row>
    <row r="863" spans="3:29">
      <c r="C863" s="2388" t="s">
        <v>5361</v>
      </c>
      <c r="D863" s="2385">
        <v>0</v>
      </c>
      <c r="E863" s="2385">
        <v>0</v>
      </c>
      <c r="F863" s="2386">
        <v>0</v>
      </c>
      <c r="G863" s="2412" t="s">
        <v>5361</v>
      </c>
      <c r="H863" s="2383">
        <v>0</v>
      </c>
      <c r="I863" s="2383">
        <v>0</v>
      </c>
      <c r="J863" s="2413">
        <v>0</v>
      </c>
      <c r="K863" s="2387"/>
      <c r="L863" s="2381">
        <v>13071970300</v>
      </c>
      <c r="M863" s="2382">
        <v>0</v>
      </c>
      <c r="N863" s="2382">
        <v>0</v>
      </c>
      <c r="O863" s="2382">
        <v>0</v>
      </c>
      <c r="AA863" s="27"/>
      <c r="AC863" s="573"/>
    </row>
    <row r="864" spans="3:29">
      <c r="C864" s="2388" t="s">
        <v>5362</v>
      </c>
      <c r="D864" s="2385">
        <v>0</v>
      </c>
      <c r="E864" s="2385">
        <v>0</v>
      </c>
      <c r="F864" s="2386">
        <v>0</v>
      </c>
      <c r="G864" s="2412" t="s">
        <v>5362</v>
      </c>
      <c r="H864" s="2383">
        <v>0</v>
      </c>
      <c r="I864" s="2383">
        <v>0</v>
      </c>
      <c r="J864" s="2413">
        <v>0</v>
      </c>
      <c r="K864" s="2387"/>
      <c r="L864" s="2381">
        <v>13071970400</v>
      </c>
      <c r="M864" s="2382">
        <v>0</v>
      </c>
      <c r="N864" s="2382">
        <v>0</v>
      </c>
      <c r="O864" s="2382">
        <v>0</v>
      </c>
      <c r="AA864" s="27"/>
      <c r="AC864" s="573"/>
    </row>
    <row r="865" spans="3:29">
      <c r="C865" s="2388" t="s">
        <v>5363</v>
      </c>
      <c r="D865" s="2385">
        <v>0</v>
      </c>
      <c r="E865" s="2385">
        <v>0</v>
      </c>
      <c r="F865" s="2386">
        <v>0</v>
      </c>
      <c r="G865" s="2412" t="s">
        <v>5363</v>
      </c>
      <c r="H865" s="2383">
        <v>0</v>
      </c>
      <c r="I865" s="2383">
        <v>0</v>
      </c>
      <c r="J865" s="2413">
        <v>0</v>
      </c>
      <c r="K865" s="2387"/>
      <c r="L865" s="2381">
        <v>13071970500</v>
      </c>
      <c r="M865" s="2382">
        <v>0</v>
      </c>
      <c r="N865" s="2382">
        <v>0</v>
      </c>
      <c r="O865" s="2382">
        <v>0</v>
      </c>
      <c r="AA865" s="27"/>
      <c r="AC865" s="573"/>
    </row>
    <row r="866" spans="3:29">
      <c r="C866" s="2388" t="s">
        <v>5364</v>
      </c>
      <c r="D866" s="2385">
        <v>0</v>
      </c>
      <c r="E866" s="2385">
        <v>0</v>
      </c>
      <c r="F866" s="2386">
        <v>0</v>
      </c>
      <c r="G866" s="2412" t="s">
        <v>5364</v>
      </c>
      <c r="H866" s="2383">
        <v>0</v>
      </c>
      <c r="I866" s="2383">
        <v>0</v>
      </c>
      <c r="J866" s="2413">
        <v>0</v>
      </c>
      <c r="K866" s="2387"/>
      <c r="L866" s="2381">
        <v>13071970600</v>
      </c>
      <c r="M866" s="2382">
        <v>0</v>
      </c>
      <c r="N866" s="2382">
        <v>0</v>
      </c>
      <c r="O866" s="2382">
        <v>0</v>
      </c>
      <c r="AA866" s="27"/>
      <c r="AC866" s="573"/>
    </row>
    <row r="867" spans="3:29">
      <c r="C867" s="2388" t="s">
        <v>5365</v>
      </c>
      <c r="D867" s="2385">
        <v>0</v>
      </c>
      <c r="E867" s="2385">
        <v>0</v>
      </c>
      <c r="F867" s="2386">
        <v>0</v>
      </c>
      <c r="G867" s="2412" t="s">
        <v>5365</v>
      </c>
      <c r="H867" s="2383">
        <v>0</v>
      </c>
      <c r="I867" s="2383">
        <v>0</v>
      </c>
      <c r="J867" s="2413">
        <v>0</v>
      </c>
      <c r="K867" s="2387"/>
      <c r="L867" s="2381">
        <v>13071970701</v>
      </c>
      <c r="M867" s="2382">
        <v>0</v>
      </c>
      <c r="N867" s="2382">
        <v>0</v>
      </c>
      <c r="O867" s="2382">
        <v>0</v>
      </c>
      <c r="AA867" s="27"/>
      <c r="AC867" s="573"/>
    </row>
    <row r="868" spans="3:29">
      <c r="C868" s="2388" t="s">
        <v>5366</v>
      </c>
      <c r="D868" s="2385">
        <v>0</v>
      </c>
      <c r="E868" s="2385">
        <v>0</v>
      </c>
      <c r="F868" s="2386">
        <v>0</v>
      </c>
      <c r="G868" s="2412" t="s">
        <v>5366</v>
      </c>
      <c r="H868" s="2383">
        <v>0</v>
      </c>
      <c r="I868" s="2383">
        <v>0</v>
      </c>
      <c r="J868" s="2413">
        <v>0</v>
      </c>
      <c r="K868" s="2387"/>
      <c r="L868" s="2381">
        <v>13071970702</v>
      </c>
      <c r="M868" s="2382">
        <v>0</v>
      </c>
      <c r="N868" s="2382">
        <v>0</v>
      </c>
      <c r="O868" s="2382">
        <v>0</v>
      </c>
      <c r="AA868" s="27"/>
      <c r="AC868" s="573"/>
    </row>
    <row r="869" spans="3:29">
      <c r="C869" s="2388" t="s">
        <v>5367</v>
      </c>
      <c r="D869" s="2385">
        <v>0</v>
      </c>
      <c r="E869" s="2385">
        <v>0</v>
      </c>
      <c r="F869" s="2386">
        <v>0</v>
      </c>
      <c r="G869" s="2412" t="s">
        <v>5367</v>
      </c>
      <c r="H869" s="2383">
        <v>0</v>
      </c>
      <c r="I869" s="2383">
        <v>0</v>
      </c>
      <c r="J869" s="2413">
        <v>0</v>
      </c>
      <c r="K869" s="2387"/>
      <c r="L869" s="2381">
        <v>13071970800</v>
      </c>
      <c r="M869" s="2382">
        <v>0</v>
      </c>
      <c r="N869" s="2382">
        <v>0</v>
      </c>
      <c r="O869" s="2382">
        <v>0</v>
      </c>
      <c r="AA869" s="27"/>
      <c r="AC869" s="573"/>
    </row>
    <row r="870" spans="3:29">
      <c r="C870" s="2388" t="s">
        <v>5368</v>
      </c>
      <c r="D870" s="2385">
        <v>0</v>
      </c>
      <c r="E870" s="2385">
        <v>0</v>
      </c>
      <c r="F870" s="2386">
        <v>0</v>
      </c>
      <c r="G870" s="2412" t="s">
        <v>5368</v>
      </c>
      <c r="H870" s="2383">
        <v>0</v>
      </c>
      <c r="I870" s="2383">
        <v>0</v>
      </c>
      <c r="J870" s="2413">
        <v>0</v>
      </c>
      <c r="K870" s="2387"/>
      <c r="L870" s="2381">
        <v>13071970900</v>
      </c>
      <c r="M870" s="2382">
        <v>0</v>
      </c>
      <c r="N870" s="2382">
        <v>0</v>
      </c>
      <c r="O870" s="2382">
        <v>0</v>
      </c>
      <c r="AA870" s="27"/>
      <c r="AC870" s="573"/>
    </row>
    <row r="871" spans="3:29">
      <c r="C871" s="2388" t="s">
        <v>5369</v>
      </c>
      <c r="D871" s="2385">
        <v>1</v>
      </c>
      <c r="E871" s="2385">
        <v>1</v>
      </c>
      <c r="F871" s="2386">
        <v>2</v>
      </c>
      <c r="G871" s="2412" t="s">
        <v>5369</v>
      </c>
      <c r="H871" s="2383">
        <v>1</v>
      </c>
      <c r="I871" s="2383" t="s">
        <v>4493</v>
      </c>
      <c r="J871" s="2413">
        <v>1</v>
      </c>
      <c r="K871" s="2387"/>
      <c r="L871" s="2381">
        <v>13073030102</v>
      </c>
      <c r="M871" s="2382">
        <v>1</v>
      </c>
      <c r="N871" s="2382">
        <v>1</v>
      </c>
      <c r="O871" s="2382">
        <v>2</v>
      </c>
      <c r="AA871" s="27"/>
      <c r="AC871" s="573"/>
    </row>
    <row r="872" spans="3:29">
      <c r="C872" s="2388" t="s">
        <v>5370</v>
      </c>
      <c r="D872" s="2385">
        <v>1</v>
      </c>
      <c r="E872" s="2385">
        <v>1</v>
      </c>
      <c r="F872" s="2386">
        <v>2</v>
      </c>
      <c r="G872" s="2412" t="s">
        <v>5370</v>
      </c>
      <c r="H872" s="2383">
        <v>1</v>
      </c>
      <c r="I872" s="2383">
        <v>1</v>
      </c>
      <c r="J872" s="2413">
        <v>2</v>
      </c>
      <c r="K872" s="2387"/>
      <c r="L872" s="2381">
        <v>13073030103</v>
      </c>
      <c r="M872" s="2382">
        <v>1</v>
      </c>
      <c r="N872" s="2382">
        <v>1</v>
      </c>
      <c r="O872" s="2382">
        <v>2</v>
      </c>
      <c r="AA872" s="27"/>
      <c r="AC872" s="573"/>
    </row>
    <row r="873" spans="3:29">
      <c r="C873" s="2388" t="s">
        <v>5371</v>
      </c>
      <c r="D873" s="2385">
        <v>1</v>
      </c>
      <c r="E873" s="2385">
        <v>1</v>
      </c>
      <c r="F873" s="2386">
        <v>2</v>
      </c>
      <c r="G873" s="2412" t="s">
        <v>5371</v>
      </c>
      <c r="H873" s="2383">
        <v>1</v>
      </c>
      <c r="I873" s="2383">
        <v>1</v>
      </c>
      <c r="J873" s="2413">
        <v>2</v>
      </c>
      <c r="K873" s="2387"/>
      <c r="L873" s="2381">
        <v>13073030105</v>
      </c>
      <c r="M873" s="2382">
        <v>1</v>
      </c>
      <c r="N873" s="2382">
        <v>1</v>
      </c>
      <c r="O873" s="2382">
        <v>2</v>
      </c>
      <c r="AA873" s="27"/>
      <c r="AC873" s="573"/>
    </row>
    <row r="874" spans="3:29">
      <c r="C874" s="2388" t="s">
        <v>5372</v>
      </c>
      <c r="D874" s="2385">
        <v>1</v>
      </c>
      <c r="E874" s="2385">
        <v>1</v>
      </c>
      <c r="F874" s="2386">
        <v>2</v>
      </c>
      <c r="G874" s="2412" t="s">
        <v>5372</v>
      </c>
      <c r="H874" s="2383">
        <v>1</v>
      </c>
      <c r="I874" s="2383">
        <v>1</v>
      </c>
      <c r="J874" s="2413">
        <v>2</v>
      </c>
      <c r="K874" s="2387"/>
      <c r="L874" s="2381">
        <v>13073030106</v>
      </c>
      <c r="M874" s="2382">
        <v>1</v>
      </c>
      <c r="N874" s="2382">
        <v>1</v>
      </c>
      <c r="O874" s="2382">
        <v>2</v>
      </c>
      <c r="AA874" s="27"/>
      <c r="AC874" s="573"/>
    </row>
    <row r="875" spans="3:29">
      <c r="C875" s="2388" t="s">
        <v>5373</v>
      </c>
      <c r="D875" s="2385">
        <v>1</v>
      </c>
      <c r="E875" s="2385">
        <v>1</v>
      </c>
      <c r="F875" s="2386">
        <v>2</v>
      </c>
      <c r="G875" s="2412" t="s">
        <v>5373</v>
      </c>
      <c r="H875" s="2383">
        <v>0</v>
      </c>
      <c r="I875" s="2383">
        <v>1</v>
      </c>
      <c r="J875" s="2413">
        <v>1</v>
      </c>
      <c r="K875" s="2387"/>
      <c r="L875" s="2381">
        <v>13073030201</v>
      </c>
      <c r="M875" s="2382">
        <v>1</v>
      </c>
      <c r="N875" s="2382">
        <v>1</v>
      </c>
      <c r="O875" s="2382">
        <v>2</v>
      </c>
      <c r="AA875" s="27"/>
      <c r="AC875" s="573"/>
    </row>
    <row r="876" spans="3:29">
      <c r="C876" s="2388" t="s">
        <v>5374</v>
      </c>
      <c r="D876" s="2385">
        <v>0</v>
      </c>
      <c r="E876" s="2385">
        <v>1</v>
      </c>
      <c r="F876" s="2386">
        <v>1</v>
      </c>
      <c r="G876" s="2412" t="s">
        <v>5374</v>
      </c>
      <c r="H876" s="2383">
        <v>0</v>
      </c>
      <c r="I876" s="2383">
        <v>1</v>
      </c>
      <c r="J876" s="2413">
        <v>1</v>
      </c>
      <c r="K876" s="2387"/>
      <c r="L876" s="2381">
        <v>13073030202</v>
      </c>
      <c r="M876" s="2382">
        <v>0</v>
      </c>
      <c r="N876" s="2382">
        <v>1</v>
      </c>
      <c r="O876" s="2382">
        <v>1</v>
      </c>
      <c r="AA876" s="27"/>
      <c r="AC876" s="573"/>
    </row>
    <row r="877" spans="3:29">
      <c r="C877" s="2388" t="s">
        <v>5375</v>
      </c>
      <c r="D877" s="2385">
        <v>1</v>
      </c>
      <c r="E877" s="2385">
        <v>1</v>
      </c>
      <c r="F877" s="2386">
        <v>2</v>
      </c>
      <c r="G877" s="2412" t="s">
        <v>5375</v>
      </c>
      <c r="H877" s="2383">
        <v>1</v>
      </c>
      <c r="I877" s="2383">
        <v>1</v>
      </c>
      <c r="J877" s="2413">
        <v>2</v>
      </c>
      <c r="K877" s="2387"/>
      <c r="L877" s="2381">
        <v>13073030203</v>
      </c>
      <c r="M877" s="2382">
        <v>1</v>
      </c>
      <c r="N877" s="2382">
        <v>1</v>
      </c>
      <c r="O877" s="2382">
        <v>2</v>
      </c>
      <c r="AA877" s="27"/>
      <c r="AC877" s="573"/>
    </row>
    <row r="878" spans="3:29">
      <c r="C878" s="2388" t="s">
        <v>5376</v>
      </c>
      <c r="D878" s="2385">
        <v>1</v>
      </c>
      <c r="E878" s="2385">
        <v>1</v>
      </c>
      <c r="F878" s="2386">
        <v>2</v>
      </c>
      <c r="G878" s="2412" t="s">
        <v>5376</v>
      </c>
      <c r="H878" s="2383">
        <v>1</v>
      </c>
      <c r="I878" s="2383">
        <v>1</v>
      </c>
      <c r="J878" s="2413">
        <v>2</v>
      </c>
      <c r="K878" s="2387"/>
      <c r="L878" s="2381">
        <v>13073030302</v>
      </c>
      <c r="M878" s="2382">
        <v>1</v>
      </c>
      <c r="N878" s="2382">
        <v>1</v>
      </c>
      <c r="O878" s="2382">
        <v>2</v>
      </c>
      <c r="AA878" s="27"/>
      <c r="AC878" s="573"/>
    </row>
    <row r="879" spans="3:29">
      <c r="C879" s="2388" t="s">
        <v>5377</v>
      </c>
      <c r="D879" s="2385">
        <v>1</v>
      </c>
      <c r="E879" s="2385">
        <v>1</v>
      </c>
      <c r="F879" s="2386">
        <v>2</v>
      </c>
      <c r="G879" s="2412" t="s">
        <v>5377</v>
      </c>
      <c r="H879" s="2383">
        <v>1</v>
      </c>
      <c r="I879" s="2383">
        <v>1</v>
      </c>
      <c r="J879" s="2413">
        <v>2</v>
      </c>
      <c r="K879" s="2387"/>
      <c r="L879" s="2381">
        <v>13073030304</v>
      </c>
      <c r="M879" s="2382">
        <v>1</v>
      </c>
      <c r="N879" s="2382">
        <v>1</v>
      </c>
      <c r="O879" s="2382">
        <v>2</v>
      </c>
    </row>
    <row r="880" spans="3:29">
      <c r="C880" s="2388" t="s">
        <v>5378</v>
      </c>
      <c r="D880" s="2385">
        <v>1</v>
      </c>
      <c r="E880" s="2385">
        <v>1</v>
      </c>
      <c r="F880" s="2386">
        <v>2</v>
      </c>
      <c r="G880" s="2412" t="s">
        <v>5378</v>
      </c>
      <c r="H880" s="2383">
        <v>1</v>
      </c>
      <c r="I880" s="2383">
        <v>1</v>
      </c>
      <c r="J880" s="2413">
        <v>2</v>
      </c>
      <c r="K880" s="2387"/>
      <c r="L880" s="2381">
        <v>13073030306</v>
      </c>
      <c r="M880" s="2382">
        <v>1</v>
      </c>
      <c r="N880" s="2382">
        <v>1</v>
      </c>
      <c r="O880" s="2382">
        <v>2</v>
      </c>
    </row>
    <row r="881" spans="3:15">
      <c r="C881" s="2388" t="s">
        <v>5379</v>
      </c>
      <c r="D881" s="2385">
        <v>1</v>
      </c>
      <c r="E881" s="2385">
        <v>1</v>
      </c>
      <c r="F881" s="2386">
        <v>2</v>
      </c>
      <c r="G881" s="2412" t="s">
        <v>5379</v>
      </c>
      <c r="H881" s="2383">
        <v>1</v>
      </c>
      <c r="I881" s="2383">
        <v>1</v>
      </c>
      <c r="J881" s="2413">
        <v>2</v>
      </c>
      <c r="K881" s="2387"/>
      <c r="L881" s="2381">
        <v>13073030307</v>
      </c>
      <c r="M881" s="2382">
        <v>1</v>
      </c>
      <c r="N881" s="2382">
        <v>1</v>
      </c>
      <c r="O881" s="2382">
        <v>2</v>
      </c>
    </row>
    <row r="882" spans="3:15">
      <c r="C882" s="2388" t="s">
        <v>5380</v>
      </c>
      <c r="D882" s="2385">
        <v>1</v>
      </c>
      <c r="E882" s="2385">
        <v>1</v>
      </c>
      <c r="F882" s="2386">
        <v>2</v>
      </c>
      <c r="G882" s="2412" t="s">
        <v>5380</v>
      </c>
      <c r="H882" s="2383">
        <v>1</v>
      </c>
      <c r="I882" s="2383">
        <v>1</v>
      </c>
      <c r="J882" s="2413">
        <v>2</v>
      </c>
      <c r="K882" s="2387"/>
      <c r="L882" s="2381">
        <v>13073030308</v>
      </c>
      <c r="M882" s="2382">
        <v>1</v>
      </c>
      <c r="N882" s="2382">
        <v>1</v>
      </c>
      <c r="O882" s="2382">
        <v>2</v>
      </c>
    </row>
    <row r="883" spans="3:15">
      <c r="C883" s="2388" t="s">
        <v>5381</v>
      </c>
      <c r="D883" s="2385">
        <v>1</v>
      </c>
      <c r="E883" s="2385">
        <v>1</v>
      </c>
      <c r="F883" s="2386">
        <v>2</v>
      </c>
      <c r="G883" s="2412" t="s">
        <v>5381</v>
      </c>
      <c r="H883" s="2383">
        <v>1</v>
      </c>
      <c r="I883" s="2383">
        <v>1</v>
      </c>
      <c r="J883" s="2413">
        <v>2</v>
      </c>
      <c r="K883" s="2387"/>
      <c r="L883" s="2381">
        <v>13073030309</v>
      </c>
      <c r="M883" s="2382">
        <v>1</v>
      </c>
      <c r="N883" s="2382">
        <v>1</v>
      </c>
      <c r="O883" s="2382">
        <v>2</v>
      </c>
    </row>
    <row r="884" spans="3:15">
      <c r="C884" s="2388" t="s">
        <v>5382</v>
      </c>
      <c r="D884" s="2385">
        <v>0</v>
      </c>
      <c r="E884" s="2385">
        <v>0</v>
      </c>
      <c r="F884" s="2386">
        <v>0</v>
      </c>
      <c r="G884" s="2412" t="s">
        <v>5382</v>
      </c>
      <c r="H884" s="2383">
        <v>0</v>
      </c>
      <c r="I884" s="2383">
        <v>0</v>
      </c>
      <c r="J884" s="2413">
        <v>0</v>
      </c>
      <c r="K884" s="2387"/>
      <c r="L884" s="2381">
        <v>13073030401</v>
      </c>
      <c r="M884" s="2382">
        <v>0</v>
      </c>
      <c r="N884" s="2382">
        <v>0</v>
      </c>
      <c r="O884" s="2382">
        <v>0</v>
      </c>
    </row>
    <row r="885" spans="3:15">
      <c r="C885" s="2388" t="s">
        <v>5383</v>
      </c>
      <c r="D885" s="2385">
        <v>1</v>
      </c>
      <c r="E885" s="2385">
        <v>1</v>
      </c>
      <c r="F885" s="2386">
        <v>2</v>
      </c>
      <c r="G885" s="2412" t="s">
        <v>5383</v>
      </c>
      <c r="H885" s="2383">
        <v>1</v>
      </c>
      <c r="I885" s="2383">
        <v>1</v>
      </c>
      <c r="J885" s="2413">
        <v>2</v>
      </c>
      <c r="K885" s="2387"/>
      <c r="L885" s="2381">
        <v>13073030402</v>
      </c>
      <c r="M885" s="2382">
        <v>1</v>
      </c>
      <c r="N885" s="2382">
        <v>1</v>
      </c>
      <c r="O885" s="2382">
        <v>2</v>
      </c>
    </row>
    <row r="886" spans="3:15">
      <c r="C886" s="2388" t="s">
        <v>5384</v>
      </c>
      <c r="D886" s="2385">
        <v>1</v>
      </c>
      <c r="E886" s="2385">
        <v>1</v>
      </c>
      <c r="F886" s="2386">
        <v>2</v>
      </c>
      <c r="G886" s="2412" t="s">
        <v>5384</v>
      </c>
      <c r="H886" s="2383">
        <v>1</v>
      </c>
      <c r="I886" s="2383">
        <v>0</v>
      </c>
      <c r="J886" s="2413">
        <v>1</v>
      </c>
      <c r="K886" s="2387"/>
      <c r="L886" s="2381">
        <v>13073030503</v>
      </c>
      <c r="M886" s="2382">
        <v>1</v>
      </c>
      <c r="N886" s="2382">
        <v>1</v>
      </c>
      <c r="O886" s="2382">
        <v>2</v>
      </c>
    </row>
    <row r="887" spans="3:15">
      <c r="C887" s="2388" t="s">
        <v>5385</v>
      </c>
      <c r="D887" s="2385">
        <v>1</v>
      </c>
      <c r="E887" s="2385">
        <v>1</v>
      </c>
      <c r="F887" s="2386">
        <v>2</v>
      </c>
      <c r="G887" s="2412" t="s">
        <v>5385</v>
      </c>
      <c r="H887" s="2383">
        <v>0</v>
      </c>
      <c r="I887" s="2383">
        <v>1</v>
      </c>
      <c r="J887" s="2413">
        <v>1</v>
      </c>
      <c r="K887" s="2387"/>
      <c r="L887" s="2381">
        <v>13073030504</v>
      </c>
      <c r="M887" s="2382">
        <v>1</v>
      </c>
      <c r="N887" s="2382">
        <v>1</v>
      </c>
      <c r="O887" s="2382">
        <v>2</v>
      </c>
    </row>
    <row r="888" spans="3:15">
      <c r="C888" s="2388" t="s">
        <v>5386</v>
      </c>
      <c r="D888" s="2385">
        <v>1</v>
      </c>
      <c r="E888" s="2385">
        <v>1</v>
      </c>
      <c r="F888" s="2386">
        <v>2</v>
      </c>
      <c r="G888" s="2412" t="s">
        <v>5386</v>
      </c>
      <c r="H888" s="2383">
        <v>0</v>
      </c>
      <c r="I888" s="2383" t="s">
        <v>4493</v>
      </c>
      <c r="J888" s="2413">
        <v>0</v>
      </c>
      <c r="K888" s="2387"/>
      <c r="L888" s="2381">
        <v>13073030505</v>
      </c>
      <c r="M888" s="2382">
        <v>1</v>
      </c>
      <c r="N888" s="2382">
        <v>1</v>
      </c>
      <c r="O888" s="2382">
        <v>2</v>
      </c>
    </row>
    <row r="889" spans="3:15">
      <c r="C889" s="2388" t="s">
        <v>5387</v>
      </c>
      <c r="D889" s="2385">
        <v>0</v>
      </c>
      <c r="E889" s="2385">
        <v>1</v>
      </c>
      <c r="F889" s="2386">
        <v>1</v>
      </c>
      <c r="G889" s="2412" t="s">
        <v>5387</v>
      </c>
      <c r="H889" s="2383">
        <v>0</v>
      </c>
      <c r="I889" s="2383">
        <v>0</v>
      </c>
      <c r="J889" s="2413">
        <v>0</v>
      </c>
      <c r="K889" s="2387"/>
      <c r="L889" s="2381">
        <v>13073030506</v>
      </c>
      <c r="M889" s="2382">
        <v>0</v>
      </c>
      <c r="N889" s="2382">
        <v>1</v>
      </c>
      <c r="O889" s="2382">
        <v>1</v>
      </c>
    </row>
    <row r="890" spans="3:15">
      <c r="C890" s="2388" t="s">
        <v>5388</v>
      </c>
      <c r="D890" s="2385">
        <v>0</v>
      </c>
      <c r="E890" s="2385">
        <v>0</v>
      </c>
      <c r="F890" s="2386">
        <v>0</v>
      </c>
      <c r="G890" s="2412" t="s">
        <v>5388</v>
      </c>
      <c r="H890" s="2383">
        <v>0</v>
      </c>
      <c r="I890" s="2383">
        <v>0</v>
      </c>
      <c r="J890" s="2413">
        <v>0</v>
      </c>
      <c r="K890" s="2387"/>
      <c r="L890" s="2381">
        <v>13073030603</v>
      </c>
      <c r="M890" s="2382">
        <v>0</v>
      </c>
      <c r="N890" s="2382">
        <v>0</v>
      </c>
      <c r="O890" s="2382">
        <v>0</v>
      </c>
    </row>
    <row r="891" spans="3:15">
      <c r="C891" s="2388" t="s">
        <v>5389</v>
      </c>
      <c r="D891" s="2385">
        <v>0</v>
      </c>
      <c r="E891" s="2385">
        <v>0</v>
      </c>
      <c r="F891" s="2386">
        <v>0</v>
      </c>
      <c r="G891" s="2412" t="s">
        <v>5389</v>
      </c>
      <c r="H891" s="2383">
        <v>0</v>
      </c>
      <c r="I891" s="2383">
        <v>0</v>
      </c>
      <c r="J891" s="2413">
        <v>0</v>
      </c>
      <c r="K891" s="2387"/>
      <c r="L891" s="2381">
        <v>13075960100</v>
      </c>
      <c r="M891" s="2382">
        <v>0</v>
      </c>
      <c r="N891" s="2382">
        <v>0</v>
      </c>
      <c r="O891" s="2382">
        <v>0</v>
      </c>
    </row>
    <row r="892" spans="3:15">
      <c r="C892" s="2388" t="s">
        <v>5390</v>
      </c>
      <c r="D892" s="2385">
        <v>0</v>
      </c>
      <c r="E892" s="2385">
        <v>0</v>
      </c>
      <c r="F892" s="2386">
        <v>0</v>
      </c>
      <c r="G892" s="2412" t="s">
        <v>5390</v>
      </c>
      <c r="H892" s="2383">
        <v>0</v>
      </c>
      <c r="I892" s="2383">
        <v>0</v>
      </c>
      <c r="J892" s="2413">
        <v>0</v>
      </c>
      <c r="K892" s="2387"/>
      <c r="L892" s="2381">
        <v>13075960200</v>
      </c>
      <c r="M892" s="2382">
        <v>0</v>
      </c>
      <c r="N892" s="2382">
        <v>0</v>
      </c>
      <c r="O892" s="2382">
        <v>0</v>
      </c>
    </row>
    <row r="893" spans="3:15">
      <c r="C893" s="2388" t="s">
        <v>5391</v>
      </c>
      <c r="D893" s="2385">
        <v>0</v>
      </c>
      <c r="E893" s="2385">
        <v>0</v>
      </c>
      <c r="F893" s="2386">
        <v>0</v>
      </c>
      <c r="G893" s="2412" t="s">
        <v>5391</v>
      </c>
      <c r="H893" s="2383">
        <v>0</v>
      </c>
      <c r="I893" s="2383">
        <v>0</v>
      </c>
      <c r="J893" s="2413">
        <v>0</v>
      </c>
      <c r="K893" s="2387"/>
      <c r="L893" s="2381">
        <v>13075960300</v>
      </c>
      <c r="M893" s="2382">
        <v>0</v>
      </c>
      <c r="N893" s="2382">
        <v>0</v>
      </c>
      <c r="O893" s="2382">
        <v>0</v>
      </c>
    </row>
    <row r="894" spans="3:15">
      <c r="C894" s="2388" t="s">
        <v>5392</v>
      </c>
      <c r="D894" s="2385">
        <v>0</v>
      </c>
      <c r="E894" s="2385">
        <v>0</v>
      </c>
      <c r="F894" s="2386">
        <v>0</v>
      </c>
      <c r="G894" s="2412" t="s">
        <v>5392</v>
      </c>
      <c r="H894" s="2383">
        <v>0</v>
      </c>
      <c r="I894" s="2383">
        <v>0</v>
      </c>
      <c r="J894" s="2413">
        <v>0</v>
      </c>
      <c r="K894" s="2387"/>
      <c r="L894" s="2381">
        <v>13075960400</v>
      </c>
      <c r="M894" s="2382">
        <v>0</v>
      </c>
      <c r="N894" s="2382">
        <v>0</v>
      </c>
      <c r="O894" s="2382">
        <v>0</v>
      </c>
    </row>
    <row r="895" spans="3:15">
      <c r="C895" s="2388" t="s">
        <v>5393</v>
      </c>
      <c r="D895" s="2385">
        <v>1</v>
      </c>
      <c r="E895" s="2385">
        <v>1</v>
      </c>
      <c r="F895" s="2386">
        <v>2</v>
      </c>
      <c r="G895" s="2412" t="s">
        <v>5393</v>
      </c>
      <c r="H895" s="2383">
        <v>1</v>
      </c>
      <c r="I895" s="2383">
        <v>0</v>
      </c>
      <c r="J895" s="2413">
        <v>1</v>
      </c>
      <c r="K895" s="2387"/>
      <c r="L895" s="2381">
        <v>13077170100</v>
      </c>
      <c r="M895" s="2382">
        <v>1</v>
      </c>
      <c r="N895" s="2382">
        <v>1</v>
      </c>
      <c r="O895" s="2382">
        <v>2</v>
      </c>
    </row>
    <row r="896" spans="3:15">
      <c r="C896" s="2388" t="s">
        <v>5394</v>
      </c>
      <c r="D896" s="2385">
        <v>1</v>
      </c>
      <c r="E896" s="2385">
        <v>0</v>
      </c>
      <c r="F896" s="2386">
        <v>1</v>
      </c>
      <c r="G896" s="2412" t="s">
        <v>5394</v>
      </c>
      <c r="H896" s="2383">
        <v>1</v>
      </c>
      <c r="I896" s="2383">
        <v>0</v>
      </c>
      <c r="J896" s="2413">
        <v>1</v>
      </c>
      <c r="K896" s="2387"/>
      <c r="L896" s="2381">
        <v>13077170200</v>
      </c>
      <c r="M896" s="2382">
        <v>1</v>
      </c>
      <c r="N896" s="2382">
        <v>0</v>
      </c>
      <c r="O896" s="2382">
        <v>1</v>
      </c>
    </row>
    <row r="897" spans="3:15">
      <c r="C897" s="2388" t="s">
        <v>5395</v>
      </c>
      <c r="D897" s="2385">
        <v>1</v>
      </c>
      <c r="E897" s="2385">
        <v>1</v>
      </c>
      <c r="F897" s="2386">
        <v>2</v>
      </c>
      <c r="G897" s="2412" t="s">
        <v>5395</v>
      </c>
      <c r="H897" s="2383">
        <v>1</v>
      </c>
      <c r="I897" s="2383">
        <v>1</v>
      </c>
      <c r="J897" s="2413">
        <v>2</v>
      </c>
      <c r="K897" s="2387"/>
      <c r="L897" s="2381">
        <v>13077170303</v>
      </c>
      <c r="M897" s="2382">
        <v>1</v>
      </c>
      <c r="N897" s="2382">
        <v>1</v>
      </c>
      <c r="O897" s="2382">
        <v>2</v>
      </c>
    </row>
    <row r="898" spans="3:15">
      <c r="C898" s="2388" t="s">
        <v>5396</v>
      </c>
      <c r="D898" s="2385">
        <v>1</v>
      </c>
      <c r="E898" s="2385">
        <v>1</v>
      </c>
      <c r="F898" s="2386">
        <v>2</v>
      </c>
      <c r="G898" s="2412" t="s">
        <v>5396</v>
      </c>
      <c r="H898" s="2383">
        <v>1</v>
      </c>
      <c r="I898" s="2383">
        <v>1</v>
      </c>
      <c r="J898" s="2413">
        <v>2</v>
      </c>
      <c r="K898" s="2387"/>
      <c r="L898" s="2381">
        <v>13077170304</v>
      </c>
      <c r="M898" s="2382">
        <v>1</v>
      </c>
      <c r="N898" s="2382">
        <v>1</v>
      </c>
      <c r="O898" s="2382">
        <v>2</v>
      </c>
    </row>
    <row r="899" spans="3:15">
      <c r="C899" s="2388" t="s">
        <v>5397</v>
      </c>
      <c r="D899" s="2385">
        <v>0</v>
      </c>
      <c r="E899" s="2385">
        <v>0</v>
      </c>
      <c r="F899" s="2386">
        <v>0</v>
      </c>
      <c r="G899" s="2412" t="s">
        <v>5397</v>
      </c>
      <c r="H899" s="2383">
        <v>0</v>
      </c>
      <c r="I899" s="2383">
        <v>0</v>
      </c>
      <c r="J899" s="2413">
        <v>0</v>
      </c>
      <c r="K899" s="2387"/>
      <c r="L899" s="2381">
        <v>13077170305</v>
      </c>
      <c r="M899" s="2382">
        <v>0</v>
      </c>
      <c r="N899" s="2382">
        <v>0</v>
      </c>
      <c r="O899" s="2382">
        <v>0</v>
      </c>
    </row>
    <row r="900" spans="3:15">
      <c r="C900" s="2388" t="s">
        <v>5398</v>
      </c>
      <c r="D900" s="2385">
        <v>1</v>
      </c>
      <c r="E900" s="2385">
        <v>1</v>
      </c>
      <c r="F900" s="2386">
        <v>2</v>
      </c>
      <c r="G900" s="2412" t="s">
        <v>5398</v>
      </c>
      <c r="H900" s="2383">
        <v>1</v>
      </c>
      <c r="I900" s="2383">
        <v>1</v>
      </c>
      <c r="J900" s="2413">
        <v>2</v>
      </c>
      <c r="K900" s="2387"/>
      <c r="L900" s="2381">
        <v>13077170306</v>
      </c>
      <c r="M900" s="2382">
        <v>1</v>
      </c>
      <c r="N900" s="2382">
        <v>1</v>
      </c>
      <c r="O900" s="2382">
        <v>2</v>
      </c>
    </row>
    <row r="901" spans="3:15">
      <c r="C901" s="2388" t="s">
        <v>5399</v>
      </c>
      <c r="D901" s="2385">
        <v>1</v>
      </c>
      <c r="E901" s="2385">
        <v>1</v>
      </c>
      <c r="F901" s="2386">
        <v>2</v>
      </c>
      <c r="G901" s="2412" t="s">
        <v>5399</v>
      </c>
      <c r="H901" s="2383">
        <v>1</v>
      </c>
      <c r="I901" s="2383">
        <v>1</v>
      </c>
      <c r="J901" s="2413">
        <v>2</v>
      </c>
      <c r="K901" s="2387"/>
      <c r="L901" s="2381">
        <v>13077170402</v>
      </c>
      <c r="M901" s="2382">
        <v>1</v>
      </c>
      <c r="N901" s="2382">
        <v>1</v>
      </c>
      <c r="O901" s="2382">
        <v>2</v>
      </c>
    </row>
    <row r="902" spans="3:15">
      <c r="C902" s="2388" t="s">
        <v>5400</v>
      </c>
      <c r="D902" s="2385">
        <v>1</v>
      </c>
      <c r="E902" s="2385">
        <v>1</v>
      </c>
      <c r="F902" s="2386">
        <v>2</v>
      </c>
      <c r="G902" s="2412" t="s">
        <v>5400</v>
      </c>
      <c r="H902" s="2383">
        <v>1</v>
      </c>
      <c r="I902" s="2383">
        <v>1</v>
      </c>
      <c r="J902" s="2413">
        <v>2</v>
      </c>
      <c r="K902" s="2387"/>
      <c r="L902" s="2381">
        <v>13077170403</v>
      </c>
      <c r="M902" s="2382">
        <v>1</v>
      </c>
      <c r="N902" s="2382">
        <v>1</v>
      </c>
      <c r="O902" s="2382">
        <v>2</v>
      </c>
    </row>
    <row r="903" spans="3:15">
      <c r="C903" s="2388" t="s">
        <v>5401</v>
      </c>
      <c r="D903" s="2385">
        <v>1</v>
      </c>
      <c r="E903" s="2385">
        <v>1</v>
      </c>
      <c r="F903" s="2386">
        <v>2</v>
      </c>
      <c r="G903" s="2412" t="s">
        <v>5401</v>
      </c>
      <c r="H903" s="2383">
        <v>1</v>
      </c>
      <c r="I903" s="2383">
        <v>1</v>
      </c>
      <c r="J903" s="2413">
        <v>2</v>
      </c>
      <c r="K903" s="2387"/>
      <c r="L903" s="2381">
        <v>13077170404</v>
      </c>
      <c r="M903" s="2382">
        <v>1</v>
      </c>
      <c r="N903" s="2382">
        <v>1</v>
      </c>
      <c r="O903" s="2382">
        <v>2</v>
      </c>
    </row>
    <row r="904" spans="3:15">
      <c r="C904" s="2388" t="s">
        <v>5402</v>
      </c>
      <c r="D904" s="2385">
        <v>1</v>
      </c>
      <c r="E904" s="2385">
        <v>1</v>
      </c>
      <c r="F904" s="2386">
        <v>2</v>
      </c>
      <c r="G904" s="2412" t="s">
        <v>5402</v>
      </c>
      <c r="H904" s="2383">
        <v>1</v>
      </c>
      <c r="I904" s="2383">
        <v>1</v>
      </c>
      <c r="J904" s="2413">
        <v>2</v>
      </c>
      <c r="K904" s="2387"/>
      <c r="L904" s="2381">
        <v>13077170405</v>
      </c>
      <c r="M904" s="2382">
        <v>1</v>
      </c>
      <c r="N904" s="2382">
        <v>1</v>
      </c>
      <c r="O904" s="2382">
        <v>2</v>
      </c>
    </row>
    <row r="905" spans="3:15">
      <c r="C905" s="2388" t="s">
        <v>5403</v>
      </c>
      <c r="D905" s="2385">
        <v>1</v>
      </c>
      <c r="E905" s="2385">
        <v>1</v>
      </c>
      <c r="F905" s="2386">
        <v>2</v>
      </c>
      <c r="G905" s="2412" t="s">
        <v>5403</v>
      </c>
      <c r="H905" s="2383">
        <v>1</v>
      </c>
      <c r="I905" s="2383">
        <v>1</v>
      </c>
      <c r="J905" s="2413">
        <v>2</v>
      </c>
      <c r="K905" s="2387"/>
      <c r="L905" s="2381">
        <v>13077170406</v>
      </c>
      <c r="M905" s="2382">
        <v>1</v>
      </c>
      <c r="N905" s="2382">
        <v>1</v>
      </c>
      <c r="O905" s="2382">
        <v>2</v>
      </c>
    </row>
    <row r="906" spans="3:15">
      <c r="C906" s="2388" t="s">
        <v>5404</v>
      </c>
      <c r="D906" s="2385">
        <v>1</v>
      </c>
      <c r="E906" s="2385">
        <v>1</v>
      </c>
      <c r="F906" s="2386">
        <v>2</v>
      </c>
      <c r="G906" s="2412" t="s">
        <v>5404</v>
      </c>
      <c r="H906" s="2383">
        <v>1</v>
      </c>
      <c r="I906" s="2383">
        <v>1</v>
      </c>
      <c r="J906" s="2413">
        <v>2</v>
      </c>
      <c r="K906" s="2387"/>
      <c r="L906" s="2381">
        <v>13077170501</v>
      </c>
      <c r="M906" s="2382">
        <v>1</v>
      </c>
      <c r="N906" s="2382">
        <v>1</v>
      </c>
      <c r="O906" s="2382">
        <v>2</v>
      </c>
    </row>
    <row r="907" spans="3:15">
      <c r="C907" s="2388" t="s">
        <v>5405</v>
      </c>
      <c r="D907" s="2385">
        <v>1</v>
      </c>
      <c r="E907" s="2385">
        <v>1</v>
      </c>
      <c r="F907" s="2386">
        <v>2</v>
      </c>
      <c r="G907" s="2412" t="s">
        <v>5405</v>
      </c>
      <c r="H907" s="2383">
        <v>1</v>
      </c>
      <c r="I907" s="2383">
        <v>1</v>
      </c>
      <c r="J907" s="2413">
        <v>2</v>
      </c>
      <c r="K907" s="2387"/>
      <c r="L907" s="2381">
        <v>13077170502</v>
      </c>
      <c r="M907" s="2382">
        <v>1</v>
      </c>
      <c r="N907" s="2382">
        <v>1</v>
      </c>
      <c r="O907" s="2382">
        <v>2</v>
      </c>
    </row>
    <row r="908" spans="3:15">
      <c r="C908" s="2388" t="s">
        <v>5406</v>
      </c>
      <c r="D908" s="2385">
        <v>1</v>
      </c>
      <c r="E908" s="2385">
        <v>1</v>
      </c>
      <c r="F908" s="2386">
        <v>2</v>
      </c>
      <c r="G908" s="2412" t="s">
        <v>5406</v>
      </c>
      <c r="H908" s="2383">
        <v>1</v>
      </c>
      <c r="I908" s="2383">
        <v>1</v>
      </c>
      <c r="J908" s="2413">
        <v>2</v>
      </c>
      <c r="K908" s="2387"/>
      <c r="L908" s="2381">
        <v>13077170503</v>
      </c>
      <c r="M908" s="2382">
        <v>1</v>
      </c>
      <c r="N908" s="2382">
        <v>1</v>
      </c>
      <c r="O908" s="2382">
        <v>2</v>
      </c>
    </row>
    <row r="909" spans="3:15">
      <c r="C909" s="2388" t="s">
        <v>5407</v>
      </c>
      <c r="D909" s="2385">
        <v>0</v>
      </c>
      <c r="E909" s="2385">
        <v>0</v>
      </c>
      <c r="F909" s="2386">
        <v>0</v>
      </c>
      <c r="G909" s="2412" t="s">
        <v>5407</v>
      </c>
      <c r="H909" s="2383">
        <v>0</v>
      </c>
      <c r="I909" s="2383">
        <v>0</v>
      </c>
      <c r="J909" s="2413">
        <v>0</v>
      </c>
      <c r="K909" s="2387"/>
      <c r="L909" s="2381">
        <v>13077170601</v>
      </c>
      <c r="M909" s="2382">
        <v>0</v>
      </c>
      <c r="N909" s="2382">
        <v>0</v>
      </c>
      <c r="O909" s="2382">
        <v>0</v>
      </c>
    </row>
    <row r="910" spans="3:15">
      <c r="C910" s="2388" t="s">
        <v>5408</v>
      </c>
      <c r="D910" s="2385">
        <v>1</v>
      </c>
      <c r="E910" s="2385">
        <v>1</v>
      </c>
      <c r="F910" s="2386">
        <v>2</v>
      </c>
      <c r="G910" s="2412" t="s">
        <v>5408</v>
      </c>
      <c r="H910" s="2383">
        <v>1</v>
      </c>
      <c r="I910" s="2383" t="s">
        <v>4493</v>
      </c>
      <c r="J910" s="2413">
        <v>1</v>
      </c>
      <c r="K910" s="2387"/>
      <c r="L910" s="2381">
        <v>13077170602</v>
      </c>
      <c r="M910" s="2382">
        <v>1</v>
      </c>
      <c r="N910" s="2382">
        <v>1</v>
      </c>
      <c r="O910" s="2382">
        <v>2</v>
      </c>
    </row>
    <row r="911" spans="3:15">
      <c r="C911" s="2388" t="s">
        <v>5409</v>
      </c>
      <c r="D911" s="2385">
        <v>1</v>
      </c>
      <c r="E911" s="2385">
        <v>1</v>
      </c>
      <c r="F911" s="2386">
        <v>2</v>
      </c>
      <c r="G911" s="2412" t="s">
        <v>5409</v>
      </c>
      <c r="H911" s="2383">
        <v>1</v>
      </c>
      <c r="I911" s="2383">
        <v>1</v>
      </c>
      <c r="J911" s="2413">
        <v>2</v>
      </c>
      <c r="K911" s="2387"/>
      <c r="L911" s="2381">
        <v>13077170603</v>
      </c>
      <c r="M911" s="2382">
        <v>1</v>
      </c>
      <c r="N911" s="2382">
        <v>1</v>
      </c>
      <c r="O911" s="2382">
        <v>2</v>
      </c>
    </row>
    <row r="912" spans="3:15">
      <c r="C912" s="2388" t="s">
        <v>5410</v>
      </c>
      <c r="D912" s="2385">
        <v>0</v>
      </c>
      <c r="E912" s="2385">
        <v>0</v>
      </c>
      <c r="F912" s="2386">
        <v>0</v>
      </c>
      <c r="G912" s="2412" t="s">
        <v>5410</v>
      </c>
      <c r="H912" s="2383">
        <v>0</v>
      </c>
      <c r="I912" s="2383">
        <v>0</v>
      </c>
      <c r="J912" s="2413">
        <v>0</v>
      </c>
      <c r="K912" s="2387"/>
      <c r="L912" s="2381">
        <v>13077170700</v>
      </c>
      <c r="M912" s="2382">
        <v>0</v>
      </c>
      <c r="N912" s="2382">
        <v>0</v>
      </c>
      <c r="O912" s="2382">
        <v>0</v>
      </c>
    </row>
    <row r="913" spans="3:15">
      <c r="C913" s="2388" t="s">
        <v>5411</v>
      </c>
      <c r="D913" s="2385">
        <v>0</v>
      </c>
      <c r="E913" s="2385">
        <v>1</v>
      </c>
      <c r="F913" s="2386">
        <v>1</v>
      </c>
      <c r="G913" s="2412" t="s">
        <v>5411</v>
      </c>
      <c r="H913" s="2383">
        <v>0</v>
      </c>
      <c r="I913" s="2383">
        <v>0</v>
      </c>
      <c r="J913" s="2413">
        <v>0</v>
      </c>
      <c r="K913" s="2387"/>
      <c r="L913" s="2381">
        <v>13077170801</v>
      </c>
      <c r="M913" s="2382">
        <v>0</v>
      </c>
      <c r="N913" s="2382">
        <v>1</v>
      </c>
      <c r="O913" s="2382">
        <v>1</v>
      </c>
    </row>
    <row r="914" spans="3:15">
      <c r="C914" s="2388" t="s">
        <v>5412</v>
      </c>
      <c r="D914" s="2385">
        <v>1</v>
      </c>
      <c r="E914" s="2385">
        <v>1</v>
      </c>
      <c r="F914" s="2386">
        <v>2</v>
      </c>
      <c r="G914" s="2412" t="s">
        <v>5412</v>
      </c>
      <c r="H914" s="2383">
        <v>1</v>
      </c>
      <c r="I914" s="2383">
        <v>1</v>
      </c>
      <c r="J914" s="2413">
        <v>2</v>
      </c>
      <c r="K914" s="2387"/>
      <c r="L914" s="2381">
        <v>13077170802</v>
      </c>
      <c r="M914" s="2382">
        <v>1</v>
      </c>
      <c r="N914" s="2382">
        <v>1</v>
      </c>
      <c r="O914" s="2382">
        <v>2</v>
      </c>
    </row>
    <row r="915" spans="3:15">
      <c r="C915" s="2388" t="s">
        <v>5413</v>
      </c>
      <c r="D915" s="2385">
        <v>0</v>
      </c>
      <c r="E915" s="2385">
        <v>0</v>
      </c>
      <c r="F915" s="2386">
        <v>0</v>
      </c>
      <c r="G915" s="2412" t="s">
        <v>5413</v>
      </c>
      <c r="H915" s="2383">
        <v>0</v>
      </c>
      <c r="I915" s="2383">
        <v>0</v>
      </c>
      <c r="J915" s="2413">
        <v>0</v>
      </c>
      <c r="K915" s="2387"/>
      <c r="L915" s="2381">
        <v>13079070100</v>
      </c>
      <c r="M915" s="2382">
        <v>0</v>
      </c>
      <c r="N915" s="2382">
        <v>0</v>
      </c>
      <c r="O915" s="2382">
        <v>0</v>
      </c>
    </row>
    <row r="916" spans="3:15">
      <c r="C916" s="2388" t="s">
        <v>5414</v>
      </c>
      <c r="D916" s="2385">
        <v>0</v>
      </c>
      <c r="E916" s="2385">
        <v>1</v>
      </c>
      <c r="F916" s="2386">
        <v>1</v>
      </c>
      <c r="G916" s="2412" t="s">
        <v>5414</v>
      </c>
      <c r="H916" s="2383">
        <v>0</v>
      </c>
      <c r="I916" s="2383">
        <v>1</v>
      </c>
      <c r="J916" s="2413">
        <v>1</v>
      </c>
      <c r="K916" s="2387"/>
      <c r="L916" s="2381">
        <v>13079070201</v>
      </c>
      <c r="M916" s="2382">
        <v>0</v>
      </c>
      <c r="N916" s="2382">
        <v>1</v>
      </c>
      <c r="O916" s="2382">
        <v>1</v>
      </c>
    </row>
    <row r="917" spans="3:15">
      <c r="C917" s="2388" t="s">
        <v>5415</v>
      </c>
      <c r="D917" s="2385">
        <v>0</v>
      </c>
      <c r="E917" s="2385">
        <v>1</v>
      </c>
      <c r="F917" s="2386">
        <v>1</v>
      </c>
      <c r="G917" s="2412" t="s">
        <v>5415</v>
      </c>
      <c r="H917" s="2383">
        <v>0</v>
      </c>
      <c r="I917" s="2383">
        <v>0</v>
      </c>
      <c r="J917" s="2413">
        <v>0</v>
      </c>
      <c r="K917" s="2387"/>
      <c r="L917" s="2381">
        <v>13079070202</v>
      </c>
      <c r="M917" s="2382">
        <v>0</v>
      </c>
      <c r="N917" s="2382">
        <v>1</v>
      </c>
      <c r="O917" s="2382">
        <v>1</v>
      </c>
    </row>
    <row r="918" spans="3:15">
      <c r="C918" s="2388" t="s">
        <v>5416</v>
      </c>
      <c r="D918" s="2385">
        <v>0</v>
      </c>
      <c r="E918" s="2385">
        <v>0</v>
      </c>
      <c r="F918" s="2386">
        <v>0</v>
      </c>
      <c r="G918" s="2412" t="s">
        <v>5416</v>
      </c>
      <c r="H918" s="2383">
        <v>0</v>
      </c>
      <c r="I918" s="2383">
        <v>0</v>
      </c>
      <c r="J918" s="2413">
        <v>0</v>
      </c>
      <c r="K918" s="2387"/>
      <c r="L918" s="2381">
        <v>13081010100</v>
      </c>
      <c r="M918" s="2382">
        <v>0</v>
      </c>
      <c r="N918" s="2382">
        <v>0</v>
      </c>
      <c r="O918" s="2382">
        <v>0</v>
      </c>
    </row>
    <row r="919" spans="3:15">
      <c r="C919" s="2388" t="s">
        <v>5417</v>
      </c>
      <c r="D919" s="2385">
        <v>0</v>
      </c>
      <c r="E919" s="2385">
        <v>0</v>
      </c>
      <c r="F919" s="2386">
        <v>0</v>
      </c>
      <c r="G919" s="2412" t="s">
        <v>5417</v>
      </c>
      <c r="H919" s="2383">
        <v>0</v>
      </c>
      <c r="I919" s="2383">
        <v>0</v>
      </c>
      <c r="J919" s="2413">
        <v>0</v>
      </c>
      <c r="K919" s="2387"/>
      <c r="L919" s="2381">
        <v>13081010201</v>
      </c>
      <c r="M919" s="2382">
        <v>0</v>
      </c>
      <c r="N919" s="2382">
        <v>0</v>
      </c>
      <c r="O919" s="2382">
        <v>0</v>
      </c>
    </row>
    <row r="920" spans="3:15">
      <c r="C920" s="2388" t="s">
        <v>5418</v>
      </c>
      <c r="D920" s="2385">
        <v>0</v>
      </c>
      <c r="E920" s="2385">
        <v>0</v>
      </c>
      <c r="F920" s="2386">
        <v>0</v>
      </c>
      <c r="G920" s="2412" t="s">
        <v>5418</v>
      </c>
      <c r="H920" s="2383">
        <v>0</v>
      </c>
      <c r="I920" s="2383">
        <v>0</v>
      </c>
      <c r="J920" s="2413">
        <v>0</v>
      </c>
      <c r="K920" s="2387"/>
      <c r="L920" s="2381">
        <v>13081010202</v>
      </c>
      <c r="M920" s="2382">
        <v>0</v>
      </c>
      <c r="N920" s="2382">
        <v>0</v>
      </c>
      <c r="O920" s="2382">
        <v>0</v>
      </c>
    </row>
    <row r="921" spans="3:15">
      <c r="C921" s="2388" t="s">
        <v>5419</v>
      </c>
      <c r="D921" s="2385">
        <v>0</v>
      </c>
      <c r="E921" s="2385">
        <v>0</v>
      </c>
      <c r="F921" s="2386">
        <v>0</v>
      </c>
      <c r="G921" s="2412" t="s">
        <v>5419</v>
      </c>
      <c r="H921" s="2383">
        <v>0</v>
      </c>
      <c r="I921" s="2383">
        <v>0</v>
      </c>
      <c r="J921" s="2413">
        <v>0</v>
      </c>
      <c r="K921" s="2387"/>
      <c r="L921" s="2381">
        <v>13081010300</v>
      </c>
      <c r="M921" s="2382">
        <v>0</v>
      </c>
      <c r="N921" s="2382">
        <v>0</v>
      </c>
      <c r="O921" s="2382">
        <v>0</v>
      </c>
    </row>
    <row r="922" spans="3:15">
      <c r="C922" s="2388" t="s">
        <v>5420</v>
      </c>
      <c r="D922" s="2385">
        <v>0</v>
      </c>
      <c r="E922" s="2385">
        <v>0</v>
      </c>
      <c r="F922" s="2386">
        <v>0</v>
      </c>
      <c r="G922" s="2412" t="s">
        <v>5420</v>
      </c>
      <c r="H922" s="2383">
        <v>0</v>
      </c>
      <c r="I922" s="2383">
        <v>0</v>
      </c>
      <c r="J922" s="2413">
        <v>0</v>
      </c>
      <c r="K922" s="2387"/>
      <c r="L922" s="2381">
        <v>13081010400</v>
      </c>
      <c r="M922" s="2382">
        <v>0</v>
      </c>
      <c r="N922" s="2382">
        <v>0</v>
      </c>
      <c r="O922" s="2382">
        <v>0</v>
      </c>
    </row>
    <row r="923" spans="3:15">
      <c r="C923" s="2388" t="s">
        <v>5421</v>
      </c>
      <c r="D923" s="2385">
        <v>0</v>
      </c>
      <c r="E923" s="2385">
        <v>0</v>
      </c>
      <c r="F923" s="2386">
        <v>0</v>
      </c>
      <c r="G923" s="2412" t="s">
        <v>5421</v>
      </c>
      <c r="H923" s="2383">
        <v>0</v>
      </c>
      <c r="I923" s="2383">
        <v>0</v>
      </c>
      <c r="J923" s="2413">
        <v>0</v>
      </c>
      <c r="K923" s="2387"/>
      <c r="L923" s="2381">
        <v>13081010500</v>
      </c>
      <c r="M923" s="2382">
        <v>0</v>
      </c>
      <c r="N923" s="2382">
        <v>0</v>
      </c>
      <c r="O923" s="2382">
        <v>0</v>
      </c>
    </row>
    <row r="924" spans="3:15">
      <c r="C924" s="2388" t="s">
        <v>5422</v>
      </c>
      <c r="D924" s="2385">
        <v>0</v>
      </c>
      <c r="E924" s="2385">
        <v>0</v>
      </c>
      <c r="F924" s="2386">
        <v>0</v>
      </c>
      <c r="G924" s="2412" t="s">
        <v>5422</v>
      </c>
      <c r="H924" s="2383">
        <v>0</v>
      </c>
      <c r="I924" s="2383">
        <v>0</v>
      </c>
      <c r="J924" s="2413">
        <v>0</v>
      </c>
      <c r="K924" s="2387"/>
      <c r="L924" s="2381">
        <v>13083040101</v>
      </c>
      <c r="M924" s="2382">
        <v>0</v>
      </c>
      <c r="N924" s="2382">
        <v>0</v>
      </c>
      <c r="O924" s="2382">
        <v>0</v>
      </c>
    </row>
    <row r="925" spans="3:15">
      <c r="C925" s="2388" t="s">
        <v>5423</v>
      </c>
      <c r="D925" s="2385">
        <v>1</v>
      </c>
      <c r="E925" s="2385">
        <v>1</v>
      </c>
      <c r="F925" s="2386">
        <v>2</v>
      </c>
      <c r="G925" s="2412" t="s">
        <v>5423</v>
      </c>
      <c r="H925" s="2383">
        <v>0</v>
      </c>
      <c r="I925" s="2383">
        <v>1</v>
      </c>
      <c r="J925" s="2413">
        <v>1</v>
      </c>
      <c r="K925" s="2387"/>
      <c r="L925" s="2381">
        <v>13083040102</v>
      </c>
      <c r="M925" s="2382">
        <v>1</v>
      </c>
      <c r="N925" s="2382">
        <v>1</v>
      </c>
      <c r="O925" s="2382">
        <v>2</v>
      </c>
    </row>
    <row r="926" spans="3:15">
      <c r="C926" s="2388" t="s">
        <v>5424</v>
      </c>
      <c r="D926" s="2385">
        <v>0</v>
      </c>
      <c r="E926" s="2385">
        <v>0</v>
      </c>
      <c r="F926" s="2386">
        <v>0</v>
      </c>
      <c r="G926" s="2412" t="s">
        <v>5424</v>
      </c>
      <c r="H926" s="2383">
        <v>0</v>
      </c>
      <c r="I926" s="2383">
        <v>0</v>
      </c>
      <c r="J926" s="2413">
        <v>0</v>
      </c>
      <c r="K926" s="2387"/>
      <c r="L926" s="2381">
        <v>13083040200</v>
      </c>
      <c r="M926" s="2382">
        <v>0</v>
      </c>
      <c r="N926" s="2382">
        <v>0</v>
      </c>
      <c r="O926" s="2382">
        <v>0</v>
      </c>
    </row>
    <row r="927" spans="3:15">
      <c r="C927" s="2388" t="s">
        <v>5425</v>
      </c>
      <c r="D927" s="2385">
        <v>1</v>
      </c>
      <c r="E927" s="2385">
        <v>1</v>
      </c>
      <c r="F927" s="2386">
        <v>2</v>
      </c>
      <c r="G927" s="2412" t="s">
        <v>5425</v>
      </c>
      <c r="H927" s="2383">
        <v>0</v>
      </c>
      <c r="I927" s="2383">
        <v>1</v>
      </c>
      <c r="J927" s="2413">
        <v>1</v>
      </c>
      <c r="K927" s="2387"/>
      <c r="L927" s="2381">
        <v>13083040300</v>
      </c>
      <c r="M927" s="2382">
        <v>1</v>
      </c>
      <c r="N927" s="2382">
        <v>1</v>
      </c>
      <c r="O927" s="2382">
        <v>2</v>
      </c>
    </row>
    <row r="928" spans="3:15">
      <c r="C928" s="2388" t="s">
        <v>5426</v>
      </c>
      <c r="D928" s="2385">
        <v>1</v>
      </c>
      <c r="E928" s="2385">
        <v>1</v>
      </c>
      <c r="F928" s="2386">
        <v>2</v>
      </c>
      <c r="G928" s="2412" t="s">
        <v>5426</v>
      </c>
      <c r="H928" s="2383">
        <v>1</v>
      </c>
      <c r="I928" s="2383">
        <v>1</v>
      </c>
      <c r="J928" s="2413">
        <v>2</v>
      </c>
      <c r="K928" s="2387"/>
      <c r="L928" s="2381">
        <v>13085970100</v>
      </c>
      <c r="M928" s="2382">
        <v>1</v>
      </c>
      <c r="N928" s="2382">
        <v>1</v>
      </c>
      <c r="O928" s="2382">
        <v>2</v>
      </c>
    </row>
    <row r="929" spans="3:15">
      <c r="C929" s="2388" t="s">
        <v>5427</v>
      </c>
      <c r="D929" s="2385">
        <v>1</v>
      </c>
      <c r="E929" s="2385">
        <v>1</v>
      </c>
      <c r="F929" s="2386">
        <v>2</v>
      </c>
      <c r="G929" s="2412" t="s">
        <v>5427</v>
      </c>
      <c r="H929" s="2383">
        <v>1</v>
      </c>
      <c r="I929" s="2383">
        <v>1</v>
      </c>
      <c r="J929" s="2413">
        <v>2</v>
      </c>
      <c r="K929" s="2387"/>
      <c r="L929" s="2381">
        <v>13085970201</v>
      </c>
      <c r="M929" s="2382">
        <v>1</v>
      </c>
      <c r="N929" s="2382">
        <v>1</v>
      </c>
      <c r="O929" s="2382">
        <v>2</v>
      </c>
    </row>
    <row r="930" spans="3:15">
      <c r="C930" s="2388" t="s">
        <v>5428</v>
      </c>
      <c r="D930" s="2385">
        <v>0</v>
      </c>
      <c r="E930" s="2385">
        <v>1</v>
      </c>
      <c r="F930" s="2386">
        <v>1</v>
      </c>
      <c r="G930" s="2412" t="s">
        <v>5428</v>
      </c>
      <c r="H930" s="2383">
        <v>1</v>
      </c>
      <c r="I930" s="2383">
        <v>0</v>
      </c>
      <c r="J930" s="2413">
        <v>1</v>
      </c>
      <c r="K930" s="2387"/>
      <c r="L930" s="2381">
        <v>13085970202</v>
      </c>
      <c r="M930" s="2382">
        <v>1</v>
      </c>
      <c r="N930" s="2382">
        <v>1</v>
      </c>
      <c r="O930" s="2382">
        <v>1</v>
      </c>
    </row>
    <row r="931" spans="3:15">
      <c r="C931" s="2388" t="s">
        <v>5429</v>
      </c>
      <c r="D931" s="2385">
        <v>1</v>
      </c>
      <c r="E931" s="2385">
        <v>0</v>
      </c>
      <c r="F931" s="2386">
        <v>1</v>
      </c>
      <c r="G931" s="2412" t="s">
        <v>5429</v>
      </c>
      <c r="H931" s="2383">
        <v>0</v>
      </c>
      <c r="I931" s="2383">
        <v>0</v>
      </c>
      <c r="J931" s="2413">
        <v>0</v>
      </c>
      <c r="K931" s="2387"/>
      <c r="L931" s="2381">
        <v>13087970100</v>
      </c>
      <c r="M931" s="2382">
        <v>1</v>
      </c>
      <c r="N931" s="2382">
        <v>0</v>
      </c>
      <c r="O931" s="2382">
        <v>1</v>
      </c>
    </row>
    <row r="932" spans="3:15">
      <c r="C932" s="2388" t="s">
        <v>5430</v>
      </c>
      <c r="D932" s="2385">
        <v>0</v>
      </c>
      <c r="E932" s="2385">
        <v>0</v>
      </c>
      <c r="F932" s="2386">
        <v>0</v>
      </c>
      <c r="G932" s="2412" t="s">
        <v>5430</v>
      </c>
      <c r="H932" s="2383">
        <v>0</v>
      </c>
      <c r="I932" s="2383">
        <v>0</v>
      </c>
      <c r="J932" s="2413">
        <v>0</v>
      </c>
      <c r="K932" s="2387"/>
      <c r="L932" s="2381">
        <v>13087970200</v>
      </c>
      <c r="M932" s="2382">
        <v>0</v>
      </c>
      <c r="N932" s="2382">
        <v>0</v>
      </c>
      <c r="O932" s="2382">
        <v>0</v>
      </c>
    </row>
    <row r="933" spans="3:15">
      <c r="C933" s="2388" t="s">
        <v>5431</v>
      </c>
      <c r="D933" s="2385">
        <v>0</v>
      </c>
      <c r="E933" s="2385">
        <v>0</v>
      </c>
      <c r="F933" s="2386">
        <v>0</v>
      </c>
      <c r="G933" s="2412" t="s">
        <v>5431</v>
      </c>
      <c r="H933" s="2383">
        <v>0</v>
      </c>
      <c r="I933" s="2383">
        <v>0</v>
      </c>
      <c r="J933" s="2413">
        <v>0</v>
      </c>
      <c r="K933" s="2387"/>
      <c r="L933" s="2381">
        <v>13087970300</v>
      </c>
      <c r="M933" s="2382">
        <v>0</v>
      </c>
      <c r="N933" s="2382">
        <v>0</v>
      </c>
      <c r="O933" s="2382">
        <v>0</v>
      </c>
    </row>
    <row r="934" spans="3:15">
      <c r="C934" s="2388" t="s">
        <v>5432</v>
      </c>
      <c r="D934" s="2385">
        <v>0</v>
      </c>
      <c r="E934" s="2385">
        <v>0</v>
      </c>
      <c r="F934" s="2386">
        <v>0</v>
      </c>
      <c r="G934" s="2412" t="s">
        <v>5432</v>
      </c>
      <c r="H934" s="2383">
        <v>0</v>
      </c>
      <c r="I934" s="2383">
        <v>0</v>
      </c>
      <c r="J934" s="2413">
        <v>0</v>
      </c>
      <c r="K934" s="2387"/>
      <c r="L934" s="2381">
        <v>13087970400</v>
      </c>
      <c r="M934" s="2382">
        <v>0</v>
      </c>
      <c r="N934" s="2382">
        <v>0</v>
      </c>
      <c r="O934" s="2382">
        <v>0</v>
      </c>
    </row>
    <row r="935" spans="3:15">
      <c r="C935" s="2388" t="s">
        <v>5433</v>
      </c>
      <c r="D935" s="2385">
        <v>1</v>
      </c>
      <c r="E935" s="2385">
        <v>0</v>
      </c>
      <c r="F935" s="2386">
        <v>1</v>
      </c>
      <c r="G935" s="2412" t="s">
        <v>5433</v>
      </c>
      <c r="H935" s="2383">
        <v>0</v>
      </c>
      <c r="I935" s="2383">
        <v>1</v>
      </c>
      <c r="J935" s="2413">
        <v>1</v>
      </c>
      <c r="K935" s="2387"/>
      <c r="L935" s="2381">
        <v>13087970600</v>
      </c>
      <c r="M935" s="2382">
        <v>1</v>
      </c>
      <c r="N935" s="2382">
        <v>1</v>
      </c>
      <c r="O935" s="2382">
        <v>1</v>
      </c>
    </row>
    <row r="936" spans="3:15">
      <c r="C936" s="2388" t="s">
        <v>5434</v>
      </c>
      <c r="D936" s="2385">
        <v>0</v>
      </c>
      <c r="E936" s="2385">
        <v>0</v>
      </c>
      <c r="F936" s="2386">
        <v>0</v>
      </c>
      <c r="G936" s="2412" t="s">
        <v>5434</v>
      </c>
      <c r="H936" s="2383">
        <v>0</v>
      </c>
      <c r="I936" s="2383">
        <v>0</v>
      </c>
      <c r="J936" s="2413">
        <v>0</v>
      </c>
      <c r="K936" s="2387"/>
      <c r="L936" s="2381">
        <v>13087970700</v>
      </c>
      <c r="M936" s="2382">
        <v>0</v>
      </c>
      <c r="N936" s="2382">
        <v>0</v>
      </c>
      <c r="O936" s="2382">
        <v>0</v>
      </c>
    </row>
    <row r="937" spans="3:15">
      <c r="C937" s="2388" t="s">
        <v>5435</v>
      </c>
      <c r="D937" s="2385">
        <v>0</v>
      </c>
      <c r="E937" s="2385">
        <v>0</v>
      </c>
      <c r="F937" s="2386">
        <v>0</v>
      </c>
      <c r="G937" s="2412" t="s">
        <v>5435</v>
      </c>
      <c r="H937" s="2383">
        <v>0</v>
      </c>
      <c r="I937" s="2383">
        <v>0</v>
      </c>
      <c r="J937" s="2413">
        <v>0</v>
      </c>
      <c r="K937" s="2387"/>
      <c r="L937" s="2381">
        <v>13087970800</v>
      </c>
      <c r="M937" s="2382">
        <v>0</v>
      </c>
      <c r="N937" s="2382">
        <v>0</v>
      </c>
      <c r="O937" s="2382">
        <v>0</v>
      </c>
    </row>
    <row r="938" spans="3:15">
      <c r="C938" s="2388" t="s">
        <v>5436</v>
      </c>
      <c r="D938" s="2385">
        <v>1</v>
      </c>
      <c r="E938" s="2385">
        <v>1</v>
      </c>
      <c r="F938" s="2386">
        <v>2</v>
      </c>
      <c r="G938" s="2412" t="s">
        <v>5436</v>
      </c>
      <c r="H938" s="2383">
        <v>1</v>
      </c>
      <c r="I938" s="2383">
        <v>1</v>
      </c>
      <c r="J938" s="2413">
        <v>2</v>
      </c>
      <c r="K938" s="2387"/>
      <c r="L938" s="2381">
        <v>13089020100</v>
      </c>
      <c r="M938" s="2382">
        <v>1</v>
      </c>
      <c r="N938" s="2382">
        <v>1</v>
      </c>
      <c r="O938" s="2382">
        <v>2</v>
      </c>
    </row>
    <row r="939" spans="3:15">
      <c r="C939" s="2388" t="s">
        <v>5437</v>
      </c>
      <c r="D939" s="2385">
        <v>1</v>
      </c>
      <c r="E939" s="2385">
        <v>1</v>
      </c>
      <c r="F939" s="2386">
        <v>2</v>
      </c>
      <c r="G939" s="2412" t="s">
        <v>5437</v>
      </c>
      <c r="H939" s="2383">
        <v>1</v>
      </c>
      <c r="I939" s="2383">
        <v>1</v>
      </c>
      <c r="J939" s="2413">
        <v>2</v>
      </c>
      <c r="K939" s="2387"/>
      <c r="L939" s="2381">
        <v>13089020200</v>
      </c>
      <c r="M939" s="2382">
        <v>1</v>
      </c>
      <c r="N939" s="2382">
        <v>1</v>
      </c>
      <c r="O939" s="2382">
        <v>2</v>
      </c>
    </row>
    <row r="940" spans="3:15">
      <c r="C940" s="2388" t="s">
        <v>5438</v>
      </c>
      <c r="D940" s="2385">
        <v>1</v>
      </c>
      <c r="E940" s="2385">
        <v>1</v>
      </c>
      <c r="F940" s="2386">
        <v>2</v>
      </c>
      <c r="G940" s="2412" t="s">
        <v>5438</v>
      </c>
      <c r="H940" s="2383">
        <v>1</v>
      </c>
      <c r="I940" s="2383" t="s">
        <v>4493</v>
      </c>
      <c r="J940" s="2413">
        <v>1</v>
      </c>
      <c r="K940" s="2387"/>
      <c r="L940" s="2381">
        <v>13089020300</v>
      </c>
      <c r="M940" s="2382">
        <v>1</v>
      </c>
      <c r="N940" s="2382">
        <v>1</v>
      </c>
      <c r="O940" s="2382">
        <v>2</v>
      </c>
    </row>
    <row r="941" spans="3:15">
      <c r="C941" s="2388" t="s">
        <v>5439</v>
      </c>
      <c r="D941" s="2385">
        <v>1</v>
      </c>
      <c r="E941" s="2385">
        <v>1</v>
      </c>
      <c r="F941" s="2386">
        <v>2</v>
      </c>
      <c r="G941" s="2412" t="s">
        <v>5439</v>
      </c>
      <c r="H941" s="2383">
        <v>1</v>
      </c>
      <c r="I941" s="2383" t="s">
        <v>4493</v>
      </c>
      <c r="J941" s="2413">
        <v>1</v>
      </c>
      <c r="K941" s="2387"/>
      <c r="L941" s="2381">
        <v>13089020400</v>
      </c>
      <c r="M941" s="2382">
        <v>1</v>
      </c>
      <c r="N941" s="2382">
        <v>1</v>
      </c>
      <c r="O941" s="2382">
        <v>2</v>
      </c>
    </row>
    <row r="942" spans="3:15">
      <c r="C942" s="2388" t="s">
        <v>5440</v>
      </c>
      <c r="D942" s="2385">
        <v>0</v>
      </c>
      <c r="E942" s="2385">
        <v>0</v>
      </c>
      <c r="F942" s="2386">
        <v>0</v>
      </c>
      <c r="G942" s="2412" t="s">
        <v>5440</v>
      </c>
      <c r="H942" s="2383">
        <v>0</v>
      </c>
      <c r="I942" s="2383">
        <v>0</v>
      </c>
      <c r="J942" s="2413">
        <v>0</v>
      </c>
      <c r="K942" s="2387"/>
      <c r="L942" s="2381">
        <v>13089020500</v>
      </c>
      <c r="M942" s="2382">
        <v>0</v>
      </c>
      <c r="N942" s="2382">
        <v>0</v>
      </c>
      <c r="O942" s="2382">
        <v>0</v>
      </c>
    </row>
    <row r="943" spans="3:15">
      <c r="C943" s="2388" t="s">
        <v>5441</v>
      </c>
      <c r="D943" s="2385">
        <v>0</v>
      </c>
      <c r="E943" s="2385">
        <v>0</v>
      </c>
      <c r="F943" s="2386">
        <v>0</v>
      </c>
      <c r="G943" s="2412" t="s">
        <v>5441</v>
      </c>
      <c r="H943" s="2383">
        <v>0</v>
      </c>
      <c r="I943" s="2383">
        <v>0</v>
      </c>
      <c r="J943" s="2413">
        <v>0</v>
      </c>
      <c r="K943" s="2387"/>
      <c r="L943" s="2381">
        <v>13089020600</v>
      </c>
      <c r="M943" s="2382">
        <v>0</v>
      </c>
      <c r="N943" s="2382">
        <v>0</v>
      </c>
      <c r="O943" s="2382">
        <v>0</v>
      </c>
    </row>
    <row r="944" spans="3:15">
      <c r="C944" s="2388" t="s">
        <v>5442</v>
      </c>
      <c r="D944" s="2385">
        <v>1</v>
      </c>
      <c r="E944" s="2385">
        <v>0</v>
      </c>
      <c r="F944" s="2386">
        <v>1</v>
      </c>
      <c r="G944" s="2412" t="s">
        <v>5442</v>
      </c>
      <c r="H944" s="2383">
        <v>1</v>
      </c>
      <c r="I944" s="2383">
        <v>1</v>
      </c>
      <c r="J944" s="2413">
        <v>2</v>
      </c>
      <c r="K944" s="2387"/>
      <c r="L944" s="2381">
        <v>13089020700</v>
      </c>
      <c r="M944" s="2382">
        <v>1</v>
      </c>
      <c r="N944" s="2382">
        <v>1</v>
      </c>
      <c r="O944" s="2382">
        <v>2</v>
      </c>
    </row>
    <row r="945" spans="3:15">
      <c r="C945" s="2388" t="s">
        <v>5443</v>
      </c>
      <c r="D945" s="2385">
        <v>1</v>
      </c>
      <c r="E945" s="2385">
        <v>1</v>
      </c>
      <c r="F945" s="2386">
        <v>2</v>
      </c>
      <c r="G945" s="2412" t="s">
        <v>5443</v>
      </c>
      <c r="H945" s="2383">
        <v>1</v>
      </c>
      <c r="I945" s="2383">
        <v>1</v>
      </c>
      <c r="J945" s="2413">
        <v>2</v>
      </c>
      <c r="K945" s="2387"/>
      <c r="L945" s="2381">
        <v>13089020801</v>
      </c>
      <c r="M945" s="2382">
        <v>1</v>
      </c>
      <c r="N945" s="2382">
        <v>1</v>
      </c>
      <c r="O945" s="2382">
        <v>2</v>
      </c>
    </row>
    <row r="946" spans="3:15">
      <c r="C946" s="2388" t="s">
        <v>5444</v>
      </c>
      <c r="D946" s="2385">
        <v>1</v>
      </c>
      <c r="E946" s="2385">
        <v>0</v>
      </c>
      <c r="F946" s="2386">
        <v>1</v>
      </c>
      <c r="G946" s="2412" t="s">
        <v>5444</v>
      </c>
      <c r="H946" s="2383">
        <v>1</v>
      </c>
      <c r="I946" s="2383">
        <v>0</v>
      </c>
      <c r="J946" s="2413">
        <v>1</v>
      </c>
      <c r="K946" s="2387"/>
      <c r="L946" s="2381">
        <v>13089020802</v>
      </c>
      <c r="M946" s="2382">
        <v>1</v>
      </c>
      <c r="N946" s="2382">
        <v>0</v>
      </c>
      <c r="O946" s="2382">
        <v>1</v>
      </c>
    </row>
    <row r="947" spans="3:15">
      <c r="C947" s="2388" t="s">
        <v>5445</v>
      </c>
      <c r="D947" s="2385">
        <v>1</v>
      </c>
      <c r="E947" s="2385">
        <v>0</v>
      </c>
      <c r="F947" s="2386">
        <v>1</v>
      </c>
      <c r="G947" s="2412" t="s">
        <v>5445</v>
      </c>
      <c r="H947" s="2383">
        <v>1</v>
      </c>
      <c r="I947" s="2383">
        <v>0</v>
      </c>
      <c r="J947" s="2413">
        <v>1</v>
      </c>
      <c r="K947" s="2387"/>
      <c r="L947" s="2381">
        <v>13089020900</v>
      </c>
      <c r="M947" s="2382">
        <v>1</v>
      </c>
      <c r="N947" s="2382">
        <v>0</v>
      </c>
      <c r="O947" s="2382">
        <v>1</v>
      </c>
    </row>
    <row r="948" spans="3:15">
      <c r="C948" s="2388" t="s">
        <v>5446</v>
      </c>
      <c r="D948" s="2385">
        <v>1</v>
      </c>
      <c r="E948" s="2385">
        <v>1</v>
      </c>
      <c r="F948" s="2386">
        <v>2</v>
      </c>
      <c r="G948" s="2412" t="s">
        <v>5446</v>
      </c>
      <c r="H948" s="2383">
        <v>1</v>
      </c>
      <c r="I948" s="2383">
        <v>1</v>
      </c>
      <c r="J948" s="2413">
        <v>2</v>
      </c>
      <c r="K948" s="2387"/>
      <c r="L948" s="2381">
        <v>13089021101</v>
      </c>
      <c r="M948" s="2382">
        <v>1</v>
      </c>
      <c r="N948" s="2382">
        <v>1</v>
      </c>
      <c r="O948" s="2382">
        <v>2</v>
      </c>
    </row>
    <row r="949" spans="3:15">
      <c r="C949" s="2388" t="s">
        <v>5447</v>
      </c>
      <c r="D949" s="2385">
        <v>1</v>
      </c>
      <c r="E949" s="2385">
        <v>1</v>
      </c>
      <c r="F949" s="2386">
        <v>2</v>
      </c>
      <c r="G949" s="2412" t="s">
        <v>5447</v>
      </c>
      <c r="H949" s="2383">
        <v>1</v>
      </c>
      <c r="I949" s="2383">
        <v>1</v>
      </c>
      <c r="J949" s="2413">
        <v>2</v>
      </c>
      <c r="K949" s="2387"/>
      <c r="L949" s="2381">
        <v>13089021102</v>
      </c>
      <c r="M949" s="2382">
        <v>1</v>
      </c>
      <c r="N949" s="2382">
        <v>1</v>
      </c>
      <c r="O949" s="2382">
        <v>2</v>
      </c>
    </row>
    <row r="950" spans="3:15">
      <c r="C950" s="2388" t="s">
        <v>5448</v>
      </c>
      <c r="D950" s="2385">
        <v>1</v>
      </c>
      <c r="E950" s="2385">
        <v>1</v>
      </c>
      <c r="F950" s="2386">
        <v>2</v>
      </c>
      <c r="G950" s="2412" t="s">
        <v>5448</v>
      </c>
      <c r="H950" s="2383">
        <v>1</v>
      </c>
      <c r="I950" s="2383">
        <v>1</v>
      </c>
      <c r="J950" s="2413">
        <v>2</v>
      </c>
      <c r="K950" s="2387"/>
      <c r="L950" s="2381">
        <v>13089021202</v>
      </c>
      <c r="M950" s="2382">
        <v>1</v>
      </c>
      <c r="N950" s="2382">
        <v>1</v>
      </c>
      <c r="O950" s="2382">
        <v>2</v>
      </c>
    </row>
    <row r="951" spans="3:15">
      <c r="C951" s="2388" t="s">
        <v>5449</v>
      </c>
      <c r="D951" s="2385">
        <v>0</v>
      </c>
      <c r="E951" s="2385">
        <v>0</v>
      </c>
      <c r="F951" s="2386">
        <v>0</v>
      </c>
      <c r="G951" s="2412" t="s">
        <v>5449</v>
      </c>
      <c r="H951" s="2383">
        <v>0</v>
      </c>
      <c r="I951" s="2383" t="s">
        <v>4493</v>
      </c>
      <c r="J951" s="2413">
        <v>0</v>
      </c>
      <c r="K951" s="2387"/>
      <c r="L951" s="2381">
        <v>13089021204</v>
      </c>
      <c r="M951" s="2382">
        <v>0</v>
      </c>
      <c r="N951" s="2382">
        <v>0</v>
      </c>
      <c r="O951" s="2382">
        <v>0</v>
      </c>
    </row>
    <row r="952" spans="3:15">
      <c r="C952" s="2388" t="s">
        <v>5450</v>
      </c>
      <c r="D952" s="2385">
        <v>1</v>
      </c>
      <c r="E952" s="2385">
        <v>1</v>
      </c>
      <c r="F952" s="2386">
        <v>2</v>
      </c>
      <c r="G952" s="2412" t="s">
        <v>5450</v>
      </c>
      <c r="H952" s="2383">
        <v>1</v>
      </c>
      <c r="I952" s="2383">
        <v>1</v>
      </c>
      <c r="J952" s="2413">
        <v>2</v>
      </c>
      <c r="K952" s="2387"/>
      <c r="L952" s="2381">
        <v>13089021208</v>
      </c>
      <c r="M952" s="2382">
        <v>1</v>
      </c>
      <c r="N952" s="2382">
        <v>1</v>
      </c>
      <c r="O952" s="2382">
        <v>2</v>
      </c>
    </row>
    <row r="953" spans="3:15">
      <c r="C953" s="2388" t="s">
        <v>5451</v>
      </c>
      <c r="D953" s="2385">
        <v>1</v>
      </c>
      <c r="E953" s="2385">
        <v>1</v>
      </c>
      <c r="F953" s="2386">
        <v>2</v>
      </c>
      <c r="G953" s="2412" t="s">
        <v>5451</v>
      </c>
      <c r="H953" s="2383">
        <v>1</v>
      </c>
      <c r="I953" s="2383">
        <v>1</v>
      </c>
      <c r="J953" s="2413">
        <v>2</v>
      </c>
      <c r="K953" s="2387"/>
      <c r="L953" s="2381">
        <v>13089021209</v>
      </c>
      <c r="M953" s="2382">
        <v>1</v>
      </c>
      <c r="N953" s="2382">
        <v>1</v>
      </c>
      <c r="O953" s="2382">
        <v>2</v>
      </c>
    </row>
    <row r="954" spans="3:15">
      <c r="C954" s="2388" t="s">
        <v>5452</v>
      </c>
      <c r="D954" s="2385">
        <v>1</v>
      </c>
      <c r="E954" s="2385">
        <v>1</v>
      </c>
      <c r="F954" s="2386">
        <v>2</v>
      </c>
      <c r="G954" s="2412" t="s">
        <v>5452</v>
      </c>
      <c r="H954" s="2383">
        <v>1</v>
      </c>
      <c r="I954" s="2383">
        <v>1</v>
      </c>
      <c r="J954" s="2413">
        <v>2</v>
      </c>
      <c r="K954" s="2387"/>
      <c r="L954" s="2381">
        <v>13089021210</v>
      </c>
      <c r="M954" s="2382">
        <v>1</v>
      </c>
      <c r="N954" s="2382">
        <v>1</v>
      </c>
      <c r="O954" s="2382">
        <v>2</v>
      </c>
    </row>
    <row r="955" spans="3:15">
      <c r="C955" s="2388" t="s">
        <v>5453</v>
      </c>
      <c r="D955" s="2385">
        <v>1</v>
      </c>
      <c r="E955" s="2385">
        <v>1</v>
      </c>
      <c r="F955" s="2386">
        <v>2</v>
      </c>
      <c r="G955" s="2412" t="s">
        <v>5453</v>
      </c>
      <c r="H955" s="2383">
        <v>1</v>
      </c>
      <c r="I955" s="2383">
        <v>1</v>
      </c>
      <c r="J955" s="2413">
        <v>2</v>
      </c>
      <c r="K955" s="2387"/>
      <c r="L955" s="2381">
        <v>13089021211</v>
      </c>
      <c r="M955" s="2382">
        <v>1</v>
      </c>
      <c r="N955" s="2382">
        <v>1</v>
      </c>
      <c r="O955" s="2382">
        <v>2</v>
      </c>
    </row>
    <row r="956" spans="3:15">
      <c r="C956" s="2388" t="s">
        <v>5454</v>
      </c>
      <c r="D956" s="2385">
        <v>1</v>
      </c>
      <c r="E956" s="2385">
        <v>1</v>
      </c>
      <c r="F956" s="2386">
        <v>2</v>
      </c>
      <c r="G956" s="2412" t="s">
        <v>5454</v>
      </c>
      <c r="H956" s="2383">
        <v>1</v>
      </c>
      <c r="I956" s="2383">
        <v>1</v>
      </c>
      <c r="J956" s="2413">
        <v>2</v>
      </c>
      <c r="K956" s="2387"/>
      <c r="L956" s="2381">
        <v>13089021213</v>
      </c>
      <c r="M956" s="2382">
        <v>1</v>
      </c>
      <c r="N956" s="2382">
        <v>1</v>
      </c>
      <c r="O956" s="2382">
        <v>2</v>
      </c>
    </row>
    <row r="957" spans="3:15">
      <c r="C957" s="2388" t="s">
        <v>5455</v>
      </c>
      <c r="D957" s="2385">
        <v>1</v>
      </c>
      <c r="E957" s="2385">
        <v>1</v>
      </c>
      <c r="F957" s="2386">
        <v>2</v>
      </c>
      <c r="G957" s="2412" t="s">
        <v>5455</v>
      </c>
      <c r="H957" s="2383">
        <v>1</v>
      </c>
      <c r="I957" s="2383" t="s">
        <v>4493</v>
      </c>
      <c r="J957" s="2413">
        <v>1</v>
      </c>
      <c r="K957" s="2387"/>
      <c r="L957" s="2381">
        <v>13089021214</v>
      </c>
      <c r="M957" s="2382">
        <v>1</v>
      </c>
      <c r="N957" s="2382">
        <v>1</v>
      </c>
      <c r="O957" s="2382">
        <v>2</v>
      </c>
    </row>
    <row r="958" spans="3:15">
      <c r="C958" s="2388" t="s">
        <v>5456</v>
      </c>
      <c r="D958" s="2385">
        <v>1</v>
      </c>
      <c r="E958" s="2385">
        <v>1</v>
      </c>
      <c r="F958" s="2386">
        <v>2</v>
      </c>
      <c r="G958" s="2412" t="s">
        <v>5456</v>
      </c>
      <c r="H958" s="2383">
        <v>1</v>
      </c>
      <c r="I958" s="2383">
        <v>1</v>
      </c>
      <c r="J958" s="2413">
        <v>2</v>
      </c>
      <c r="K958" s="2387"/>
      <c r="L958" s="2381">
        <v>13089021215</v>
      </c>
      <c r="M958" s="2382">
        <v>1</v>
      </c>
      <c r="N958" s="2382">
        <v>1</v>
      </c>
      <c r="O958" s="2382">
        <v>2</v>
      </c>
    </row>
    <row r="959" spans="3:15">
      <c r="C959" s="2388" t="s">
        <v>5457</v>
      </c>
      <c r="D959" s="2385">
        <v>1</v>
      </c>
      <c r="E959" s="2385">
        <v>1</v>
      </c>
      <c r="F959" s="2386">
        <v>2</v>
      </c>
      <c r="G959" s="2412" t="s">
        <v>5457</v>
      </c>
      <c r="H959" s="2383">
        <v>1</v>
      </c>
      <c r="I959" s="2383">
        <v>1</v>
      </c>
      <c r="J959" s="2413">
        <v>2</v>
      </c>
      <c r="K959" s="2387"/>
      <c r="L959" s="2381">
        <v>13089021216</v>
      </c>
      <c r="M959" s="2382">
        <v>1</v>
      </c>
      <c r="N959" s="2382">
        <v>1</v>
      </c>
      <c r="O959" s="2382">
        <v>2</v>
      </c>
    </row>
    <row r="960" spans="3:15">
      <c r="C960" s="2388" t="s">
        <v>5458</v>
      </c>
      <c r="D960" s="2385">
        <v>1</v>
      </c>
      <c r="E960" s="2385">
        <v>1</v>
      </c>
      <c r="F960" s="2386">
        <v>2</v>
      </c>
      <c r="G960" s="2412" t="s">
        <v>5458</v>
      </c>
      <c r="H960" s="2383">
        <v>1</v>
      </c>
      <c r="I960" s="2383">
        <v>1</v>
      </c>
      <c r="J960" s="2413">
        <v>2</v>
      </c>
      <c r="K960" s="2387"/>
      <c r="L960" s="2381">
        <v>13089021217</v>
      </c>
      <c r="M960" s="2382">
        <v>1</v>
      </c>
      <c r="N960" s="2382">
        <v>1</v>
      </c>
      <c r="O960" s="2382">
        <v>2</v>
      </c>
    </row>
    <row r="961" spans="3:15">
      <c r="C961" s="2388" t="s">
        <v>5459</v>
      </c>
      <c r="D961" s="2385">
        <v>1</v>
      </c>
      <c r="E961" s="2385">
        <v>1</v>
      </c>
      <c r="F961" s="2386">
        <v>2</v>
      </c>
      <c r="G961" s="2412" t="s">
        <v>5459</v>
      </c>
      <c r="H961" s="2383">
        <v>1</v>
      </c>
      <c r="I961" s="2383">
        <v>1</v>
      </c>
      <c r="J961" s="2413">
        <v>2</v>
      </c>
      <c r="K961" s="2387"/>
      <c r="L961" s="2381">
        <v>13089021218</v>
      </c>
      <c r="M961" s="2382">
        <v>1</v>
      </c>
      <c r="N961" s="2382">
        <v>1</v>
      </c>
      <c r="O961" s="2382">
        <v>2</v>
      </c>
    </row>
    <row r="962" spans="3:15">
      <c r="C962" s="2388" t="s">
        <v>5460</v>
      </c>
      <c r="D962" s="2385">
        <v>0</v>
      </c>
      <c r="E962" s="2385">
        <v>0</v>
      </c>
      <c r="F962" s="2386">
        <v>0</v>
      </c>
      <c r="G962" s="2412" t="s">
        <v>5460</v>
      </c>
      <c r="H962" s="2383">
        <v>1</v>
      </c>
      <c r="I962" s="2383">
        <v>0</v>
      </c>
      <c r="J962" s="2413">
        <v>1</v>
      </c>
      <c r="K962" s="2387"/>
      <c r="L962" s="2381">
        <v>13089021301</v>
      </c>
      <c r="M962" s="2382">
        <v>1</v>
      </c>
      <c r="N962" s="2382">
        <v>0</v>
      </c>
      <c r="O962" s="2382">
        <v>1</v>
      </c>
    </row>
    <row r="963" spans="3:15">
      <c r="C963" s="2388" t="s">
        <v>5461</v>
      </c>
      <c r="D963" s="2385">
        <v>0</v>
      </c>
      <c r="E963" s="2385">
        <v>0</v>
      </c>
      <c r="F963" s="2386">
        <v>0</v>
      </c>
      <c r="G963" s="2412" t="s">
        <v>5461</v>
      </c>
      <c r="H963" s="2383">
        <v>0</v>
      </c>
      <c r="I963" s="2383">
        <v>0</v>
      </c>
      <c r="J963" s="2413">
        <v>0</v>
      </c>
      <c r="K963" s="2387"/>
      <c r="L963" s="2381">
        <v>13089021303</v>
      </c>
      <c r="M963" s="2382">
        <v>0</v>
      </c>
      <c r="N963" s="2382">
        <v>0</v>
      </c>
      <c r="O963" s="2382">
        <v>0</v>
      </c>
    </row>
    <row r="964" spans="3:15">
      <c r="C964" s="2388" t="s">
        <v>5462</v>
      </c>
      <c r="D964" s="2385">
        <v>0</v>
      </c>
      <c r="E964" s="2385">
        <v>0</v>
      </c>
      <c r="F964" s="2386">
        <v>0</v>
      </c>
      <c r="G964" s="2412" t="s">
        <v>5462</v>
      </c>
      <c r="H964" s="2383">
        <v>1</v>
      </c>
      <c r="I964" s="2383">
        <v>0</v>
      </c>
      <c r="J964" s="2413">
        <v>1</v>
      </c>
      <c r="K964" s="2387"/>
      <c r="L964" s="2381">
        <v>13089021305</v>
      </c>
      <c r="M964" s="2382">
        <v>1</v>
      </c>
      <c r="N964" s="2382">
        <v>0</v>
      </c>
      <c r="O964" s="2382">
        <v>1</v>
      </c>
    </row>
    <row r="965" spans="3:15">
      <c r="C965" s="2388" t="s">
        <v>5463</v>
      </c>
      <c r="D965" s="2385">
        <v>1</v>
      </c>
      <c r="E965" s="2385">
        <v>0</v>
      </c>
      <c r="F965" s="2386">
        <v>1</v>
      </c>
      <c r="G965" s="2412" t="s">
        <v>5463</v>
      </c>
      <c r="H965" s="2383">
        <v>1</v>
      </c>
      <c r="I965" s="2383">
        <v>0</v>
      </c>
      <c r="J965" s="2413">
        <v>1</v>
      </c>
      <c r="K965" s="2387"/>
      <c r="L965" s="2381">
        <v>13089021306</v>
      </c>
      <c r="M965" s="2382">
        <v>1</v>
      </c>
      <c r="N965" s="2382">
        <v>0</v>
      </c>
      <c r="O965" s="2382">
        <v>1</v>
      </c>
    </row>
    <row r="966" spans="3:15">
      <c r="C966" s="2388" t="s">
        <v>5464</v>
      </c>
      <c r="D966" s="2385">
        <v>0</v>
      </c>
      <c r="E966" s="2385">
        <v>0</v>
      </c>
      <c r="F966" s="2386">
        <v>0</v>
      </c>
      <c r="G966" s="2412" t="s">
        <v>5464</v>
      </c>
      <c r="H966" s="2383">
        <v>1</v>
      </c>
      <c r="I966" s="2383">
        <v>0</v>
      </c>
      <c r="J966" s="2413">
        <v>1</v>
      </c>
      <c r="K966" s="2387"/>
      <c r="L966" s="2381">
        <v>13089021307</v>
      </c>
      <c r="M966" s="2382">
        <v>1</v>
      </c>
      <c r="N966" s="2382">
        <v>0</v>
      </c>
      <c r="O966" s="2382">
        <v>1</v>
      </c>
    </row>
    <row r="967" spans="3:15">
      <c r="C967" s="2388" t="s">
        <v>5465</v>
      </c>
      <c r="D967" s="2385">
        <v>1</v>
      </c>
      <c r="E967" s="2385">
        <v>0</v>
      </c>
      <c r="F967" s="2386">
        <v>1</v>
      </c>
      <c r="G967" s="2412" t="s">
        <v>5465</v>
      </c>
      <c r="H967" s="2383">
        <v>1</v>
      </c>
      <c r="I967" s="2383">
        <v>0</v>
      </c>
      <c r="J967" s="2413">
        <v>1</v>
      </c>
      <c r="K967" s="2387"/>
      <c r="L967" s="2381">
        <v>13089021308</v>
      </c>
      <c r="M967" s="2382">
        <v>1</v>
      </c>
      <c r="N967" s="2382">
        <v>0</v>
      </c>
      <c r="O967" s="2382">
        <v>1</v>
      </c>
    </row>
    <row r="968" spans="3:15">
      <c r="C968" s="2388" t="s">
        <v>5466</v>
      </c>
      <c r="D968" s="2385">
        <v>1</v>
      </c>
      <c r="E968" s="2385">
        <v>1</v>
      </c>
      <c r="F968" s="2386">
        <v>2</v>
      </c>
      <c r="G968" s="2412" t="s">
        <v>5466</v>
      </c>
      <c r="H968" s="2383">
        <v>1</v>
      </c>
      <c r="I968" s="2383">
        <v>1</v>
      </c>
      <c r="J968" s="2413">
        <v>2</v>
      </c>
      <c r="K968" s="2387"/>
      <c r="L968" s="2381">
        <v>13089021405</v>
      </c>
      <c r="M968" s="2382">
        <v>1</v>
      </c>
      <c r="N968" s="2382">
        <v>1</v>
      </c>
      <c r="O968" s="2382">
        <v>2</v>
      </c>
    </row>
    <row r="969" spans="3:15">
      <c r="C969" s="2388" t="s">
        <v>5467</v>
      </c>
      <c r="D969" s="2385">
        <v>0</v>
      </c>
      <c r="E969" s="2385">
        <v>0</v>
      </c>
      <c r="F969" s="2386">
        <v>0</v>
      </c>
      <c r="G969" s="2412" t="s">
        <v>5467</v>
      </c>
      <c r="H969" s="2383">
        <v>1</v>
      </c>
      <c r="I969" s="2383" t="s">
        <v>4493</v>
      </c>
      <c r="J969" s="2413">
        <v>1</v>
      </c>
      <c r="K969" s="2387"/>
      <c r="L969" s="2381">
        <v>13089021409</v>
      </c>
      <c r="M969" s="2382">
        <v>1</v>
      </c>
      <c r="N969" s="2382">
        <v>0</v>
      </c>
      <c r="O969" s="2382">
        <v>1</v>
      </c>
    </row>
    <row r="970" spans="3:15">
      <c r="C970" s="2388" t="s">
        <v>5468</v>
      </c>
      <c r="D970" s="2385">
        <v>1</v>
      </c>
      <c r="E970" s="2385">
        <v>0</v>
      </c>
      <c r="F970" s="2386">
        <v>1</v>
      </c>
      <c r="G970" s="2412" t="s">
        <v>5468</v>
      </c>
      <c r="H970" s="2383">
        <v>1</v>
      </c>
      <c r="I970" s="2383" t="s">
        <v>4493</v>
      </c>
      <c r="J970" s="2413">
        <v>1</v>
      </c>
      <c r="K970" s="2387"/>
      <c r="L970" s="2381">
        <v>13089021410</v>
      </c>
      <c r="M970" s="2382">
        <v>1</v>
      </c>
      <c r="N970" s="2382">
        <v>0</v>
      </c>
      <c r="O970" s="2382">
        <v>1</v>
      </c>
    </row>
    <row r="971" spans="3:15">
      <c r="C971" s="2388" t="s">
        <v>5469</v>
      </c>
      <c r="D971" s="2385">
        <v>1</v>
      </c>
      <c r="E971" s="2385">
        <v>1</v>
      </c>
      <c r="F971" s="2386">
        <v>2</v>
      </c>
      <c r="G971" s="2412" t="s">
        <v>5469</v>
      </c>
      <c r="H971" s="2383">
        <v>1</v>
      </c>
      <c r="I971" s="2383">
        <v>1</v>
      </c>
      <c r="J971" s="2413">
        <v>2</v>
      </c>
      <c r="K971" s="2387"/>
      <c r="L971" s="2381">
        <v>13089021411</v>
      </c>
      <c r="M971" s="2382">
        <v>1</v>
      </c>
      <c r="N971" s="2382">
        <v>1</v>
      </c>
      <c r="O971" s="2382">
        <v>2</v>
      </c>
    </row>
    <row r="972" spans="3:15">
      <c r="C972" s="2388" t="s">
        <v>5470</v>
      </c>
      <c r="D972" s="2385">
        <v>1</v>
      </c>
      <c r="E972" s="2385">
        <v>1</v>
      </c>
      <c r="F972" s="2386">
        <v>2</v>
      </c>
      <c r="G972" s="2412" t="s">
        <v>5470</v>
      </c>
      <c r="H972" s="2383">
        <v>1</v>
      </c>
      <c r="I972" s="2383">
        <v>1</v>
      </c>
      <c r="J972" s="2413">
        <v>2</v>
      </c>
      <c r="K972" s="2387"/>
      <c r="L972" s="2381">
        <v>13089021412</v>
      </c>
      <c r="M972" s="2382">
        <v>1</v>
      </c>
      <c r="N972" s="2382">
        <v>1</v>
      </c>
      <c r="O972" s="2382">
        <v>2</v>
      </c>
    </row>
    <row r="973" spans="3:15">
      <c r="C973" s="2388" t="s">
        <v>5471</v>
      </c>
      <c r="D973" s="2385">
        <v>0</v>
      </c>
      <c r="E973" s="2385">
        <v>0</v>
      </c>
      <c r="F973" s="2386">
        <v>0</v>
      </c>
      <c r="G973" s="2412" t="s">
        <v>5471</v>
      </c>
      <c r="H973" s="2383">
        <v>1</v>
      </c>
      <c r="I973" s="2383">
        <v>0</v>
      </c>
      <c r="J973" s="2413">
        <v>1</v>
      </c>
      <c r="K973" s="2387"/>
      <c r="L973" s="2381">
        <v>13089021413</v>
      </c>
      <c r="M973" s="2382">
        <v>1</v>
      </c>
      <c r="N973" s="2382">
        <v>0</v>
      </c>
      <c r="O973" s="2382">
        <v>1</v>
      </c>
    </row>
    <row r="974" spans="3:15">
      <c r="C974" s="2388" t="s">
        <v>5472</v>
      </c>
      <c r="D974" s="2385">
        <v>1</v>
      </c>
      <c r="E974" s="2385">
        <v>0</v>
      </c>
      <c r="F974" s="2386">
        <v>1</v>
      </c>
      <c r="G974" s="2412" t="s">
        <v>5472</v>
      </c>
      <c r="H974" s="2383">
        <v>0</v>
      </c>
      <c r="I974" s="2383">
        <v>0</v>
      </c>
      <c r="J974" s="2413">
        <v>0</v>
      </c>
      <c r="K974" s="2387"/>
      <c r="L974" s="2381">
        <v>13089021414</v>
      </c>
      <c r="M974" s="2382">
        <v>1</v>
      </c>
      <c r="N974" s="2382">
        <v>0</v>
      </c>
      <c r="O974" s="2382">
        <v>1</v>
      </c>
    </row>
    <row r="975" spans="3:15">
      <c r="C975" s="2388" t="s">
        <v>5473</v>
      </c>
      <c r="D975" s="2385">
        <v>1</v>
      </c>
      <c r="E975" s="2385">
        <v>1</v>
      </c>
      <c r="F975" s="2386">
        <v>2</v>
      </c>
      <c r="G975" s="2412" t="s">
        <v>5473</v>
      </c>
      <c r="H975" s="2383">
        <v>1</v>
      </c>
      <c r="I975" s="2383" t="s">
        <v>4493</v>
      </c>
      <c r="J975" s="2413">
        <v>1</v>
      </c>
      <c r="K975" s="2387"/>
      <c r="L975" s="2381">
        <v>13089021415</v>
      </c>
      <c r="M975" s="2382">
        <v>1</v>
      </c>
      <c r="N975" s="2382">
        <v>1</v>
      </c>
      <c r="O975" s="2382">
        <v>2</v>
      </c>
    </row>
    <row r="976" spans="3:15">
      <c r="C976" s="2388" t="s">
        <v>5474</v>
      </c>
      <c r="D976" s="2385">
        <v>1</v>
      </c>
      <c r="E976" s="2385">
        <v>0</v>
      </c>
      <c r="F976" s="2386">
        <v>1</v>
      </c>
      <c r="G976" s="2412" t="s">
        <v>5474</v>
      </c>
      <c r="H976" s="2383">
        <v>1</v>
      </c>
      <c r="I976" s="2383">
        <v>0</v>
      </c>
      <c r="J976" s="2413">
        <v>1</v>
      </c>
      <c r="K976" s="2387"/>
      <c r="L976" s="2381">
        <v>13089021416</v>
      </c>
      <c r="M976" s="2382">
        <v>1</v>
      </c>
      <c r="N976" s="2382">
        <v>0</v>
      </c>
      <c r="O976" s="2382">
        <v>1</v>
      </c>
    </row>
    <row r="977" spans="3:15">
      <c r="C977" s="2388" t="s">
        <v>5475</v>
      </c>
      <c r="D977" s="2385">
        <v>0</v>
      </c>
      <c r="E977" s="2385">
        <v>0</v>
      </c>
      <c r="F977" s="2386">
        <v>0</v>
      </c>
      <c r="G977" s="2412" t="s">
        <v>5475</v>
      </c>
      <c r="H977" s="2383">
        <v>1</v>
      </c>
      <c r="I977" s="2383" t="s">
        <v>4493</v>
      </c>
      <c r="J977" s="2413">
        <v>1</v>
      </c>
      <c r="K977" s="2387"/>
      <c r="L977" s="2381">
        <v>13089021417</v>
      </c>
      <c r="M977" s="2382">
        <v>1</v>
      </c>
      <c r="N977" s="2382">
        <v>0</v>
      </c>
      <c r="O977" s="2382">
        <v>1</v>
      </c>
    </row>
    <row r="978" spans="3:15">
      <c r="C978" s="2388" t="s">
        <v>5476</v>
      </c>
      <c r="D978" s="2385">
        <v>1</v>
      </c>
      <c r="E978" s="2385">
        <v>1</v>
      </c>
      <c r="F978" s="2386">
        <v>2</v>
      </c>
      <c r="G978" s="2412" t="s">
        <v>5476</v>
      </c>
      <c r="H978" s="2383">
        <v>1</v>
      </c>
      <c r="I978" s="2383">
        <v>1</v>
      </c>
      <c r="J978" s="2413">
        <v>2</v>
      </c>
      <c r="K978" s="2387"/>
      <c r="L978" s="2381">
        <v>13089021502</v>
      </c>
      <c r="M978" s="2382">
        <v>1</v>
      </c>
      <c r="N978" s="2382">
        <v>1</v>
      </c>
      <c r="O978" s="2382">
        <v>2</v>
      </c>
    </row>
    <row r="979" spans="3:15">
      <c r="C979" s="2388" t="s">
        <v>5477</v>
      </c>
      <c r="D979" s="2385">
        <v>1</v>
      </c>
      <c r="E979" s="2385">
        <v>0</v>
      </c>
      <c r="F979" s="2386">
        <v>1</v>
      </c>
      <c r="G979" s="2412" t="s">
        <v>5477</v>
      </c>
      <c r="H979" s="2383">
        <v>1</v>
      </c>
      <c r="I979" s="2383">
        <v>1</v>
      </c>
      <c r="J979" s="2413">
        <v>2</v>
      </c>
      <c r="K979" s="2387"/>
      <c r="L979" s="2381">
        <v>13089021503</v>
      </c>
      <c r="M979" s="2382">
        <v>1</v>
      </c>
      <c r="N979" s="2382">
        <v>1</v>
      </c>
      <c r="O979" s="2382">
        <v>2</v>
      </c>
    </row>
    <row r="980" spans="3:15">
      <c r="C980" s="2388" t="s">
        <v>5478</v>
      </c>
      <c r="D980" s="2385">
        <v>1</v>
      </c>
      <c r="E980" s="2385">
        <v>1</v>
      </c>
      <c r="F980" s="2386">
        <v>2</v>
      </c>
      <c r="G980" s="2412" t="s">
        <v>5478</v>
      </c>
      <c r="H980" s="2383">
        <v>1</v>
      </c>
      <c r="I980" s="2383" t="s">
        <v>4493</v>
      </c>
      <c r="J980" s="2413">
        <v>1</v>
      </c>
      <c r="K980" s="2387"/>
      <c r="L980" s="2381">
        <v>13089021504</v>
      </c>
      <c r="M980" s="2382">
        <v>1</v>
      </c>
      <c r="N980" s="2382">
        <v>1</v>
      </c>
      <c r="O980" s="2382">
        <v>2</v>
      </c>
    </row>
    <row r="981" spans="3:15">
      <c r="C981" s="2388" t="s">
        <v>5479</v>
      </c>
      <c r="D981" s="2385">
        <v>1</v>
      </c>
      <c r="E981" s="2385">
        <v>1</v>
      </c>
      <c r="F981" s="2386">
        <v>2</v>
      </c>
      <c r="G981" s="2412" t="s">
        <v>5479</v>
      </c>
      <c r="H981" s="2383">
        <v>1</v>
      </c>
      <c r="I981" s="2383">
        <v>1</v>
      </c>
      <c r="J981" s="2413">
        <v>2</v>
      </c>
      <c r="K981" s="2387"/>
      <c r="L981" s="2381">
        <v>13089021602</v>
      </c>
      <c r="M981" s="2382">
        <v>1</v>
      </c>
      <c r="N981" s="2382">
        <v>1</v>
      </c>
      <c r="O981" s="2382">
        <v>2</v>
      </c>
    </row>
    <row r="982" spans="3:15">
      <c r="C982" s="2388" t="s">
        <v>5480</v>
      </c>
      <c r="D982" s="2385">
        <v>1</v>
      </c>
      <c r="E982" s="2385">
        <v>1</v>
      </c>
      <c r="F982" s="2386">
        <v>2</v>
      </c>
      <c r="G982" s="2412" t="s">
        <v>5480</v>
      </c>
      <c r="H982" s="2383">
        <v>1</v>
      </c>
      <c r="I982" s="2383">
        <v>1</v>
      </c>
      <c r="J982" s="2413">
        <v>2</v>
      </c>
      <c r="K982" s="2387"/>
      <c r="L982" s="2381">
        <v>13089021603</v>
      </c>
      <c r="M982" s="2382">
        <v>1</v>
      </c>
      <c r="N982" s="2382">
        <v>1</v>
      </c>
      <c r="O982" s="2382">
        <v>2</v>
      </c>
    </row>
    <row r="983" spans="3:15">
      <c r="C983" s="2388" t="s">
        <v>5481</v>
      </c>
      <c r="D983" s="2385">
        <v>1</v>
      </c>
      <c r="E983" s="2385">
        <v>1</v>
      </c>
      <c r="F983" s="2386">
        <v>2</v>
      </c>
      <c r="G983" s="2412" t="s">
        <v>5481</v>
      </c>
      <c r="H983" s="2383">
        <v>1</v>
      </c>
      <c r="I983" s="2383">
        <v>1</v>
      </c>
      <c r="J983" s="2413">
        <v>2</v>
      </c>
      <c r="K983" s="2387"/>
      <c r="L983" s="2381">
        <v>13089021604</v>
      </c>
      <c r="M983" s="2382">
        <v>1</v>
      </c>
      <c r="N983" s="2382">
        <v>1</v>
      </c>
      <c r="O983" s="2382">
        <v>2</v>
      </c>
    </row>
    <row r="984" spans="3:15">
      <c r="C984" s="2388" t="s">
        <v>5482</v>
      </c>
      <c r="D984" s="2385">
        <v>1</v>
      </c>
      <c r="E984" s="2385">
        <v>1</v>
      </c>
      <c r="F984" s="2386">
        <v>2</v>
      </c>
      <c r="G984" s="2412" t="s">
        <v>5482</v>
      </c>
      <c r="H984" s="2383">
        <v>1</v>
      </c>
      <c r="I984" s="2383">
        <v>1</v>
      </c>
      <c r="J984" s="2413">
        <v>2</v>
      </c>
      <c r="K984" s="2387"/>
      <c r="L984" s="2381">
        <v>13089021605</v>
      </c>
      <c r="M984" s="2382">
        <v>1</v>
      </c>
      <c r="N984" s="2382">
        <v>1</v>
      </c>
      <c r="O984" s="2382">
        <v>2</v>
      </c>
    </row>
    <row r="985" spans="3:15">
      <c r="C985" s="2388" t="s">
        <v>5483</v>
      </c>
      <c r="D985" s="2385">
        <v>1</v>
      </c>
      <c r="E985" s="2385">
        <v>1</v>
      </c>
      <c r="F985" s="2386">
        <v>2</v>
      </c>
      <c r="G985" s="2412" t="s">
        <v>5483</v>
      </c>
      <c r="H985" s="2383">
        <v>1</v>
      </c>
      <c r="I985" s="2383">
        <v>1</v>
      </c>
      <c r="J985" s="2413">
        <v>2</v>
      </c>
      <c r="K985" s="2387"/>
      <c r="L985" s="2381">
        <v>13089021703</v>
      </c>
      <c r="M985" s="2382">
        <v>1</v>
      </c>
      <c r="N985" s="2382">
        <v>1</v>
      </c>
      <c r="O985" s="2382">
        <v>2</v>
      </c>
    </row>
    <row r="986" spans="3:15">
      <c r="C986" s="2388" t="s">
        <v>5484</v>
      </c>
      <c r="D986" s="2385">
        <v>1</v>
      </c>
      <c r="E986" s="2385">
        <v>1</v>
      </c>
      <c r="F986" s="2386">
        <v>2</v>
      </c>
      <c r="G986" s="2412" t="s">
        <v>5484</v>
      </c>
      <c r="H986" s="2383">
        <v>1</v>
      </c>
      <c r="I986" s="2383">
        <v>1</v>
      </c>
      <c r="J986" s="2413">
        <v>2</v>
      </c>
      <c r="K986" s="2387"/>
      <c r="L986" s="2381">
        <v>13089021704</v>
      </c>
      <c r="M986" s="2382">
        <v>1</v>
      </c>
      <c r="N986" s="2382">
        <v>1</v>
      </c>
      <c r="O986" s="2382">
        <v>2</v>
      </c>
    </row>
    <row r="987" spans="3:15">
      <c r="C987" s="2388" t="s">
        <v>5485</v>
      </c>
      <c r="D987" s="2385">
        <v>1</v>
      </c>
      <c r="E987" s="2385">
        <v>0</v>
      </c>
      <c r="F987" s="2386">
        <v>1</v>
      </c>
      <c r="G987" s="2412" t="s">
        <v>5485</v>
      </c>
      <c r="H987" s="2383">
        <v>1</v>
      </c>
      <c r="I987" s="2383">
        <v>1</v>
      </c>
      <c r="J987" s="2413">
        <v>2</v>
      </c>
      <c r="K987" s="2387"/>
      <c r="L987" s="2381">
        <v>13089021705</v>
      </c>
      <c r="M987" s="2382">
        <v>1</v>
      </c>
      <c r="N987" s="2382">
        <v>1</v>
      </c>
      <c r="O987" s="2382">
        <v>2</v>
      </c>
    </row>
    <row r="988" spans="3:15">
      <c r="C988" s="2388" t="s">
        <v>5486</v>
      </c>
      <c r="D988" s="2385">
        <v>1</v>
      </c>
      <c r="E988" s="2385">
        <v>1</v>
      </c>
      <c r="F988" s="2386">
        <v>2</v>
      </c>
      <c r="G988" s="2412" t="s">
        <v>5486</v>
      </c>
      <c r="H988" s="2383">
        <v>1</v>
      </c>
      <c r="I988" s="2383">
        <v>1</v>
      </c>
      <c r="J988" s="2413">
        <v>2</v>
      </c>
      <c r="K988" s="2387"/>
      <c r="L988" s="2381">
        <v>13089021706</v>
      </c>
      <c r="M988" s="2382">
        <v>1</v>
      </c>
      <c r="N988" s="2382">
        <v>1</v>
      </c>
      <c r="O988" s="2382">
        <v>2</v>
      </c>
    </row>
    <row r="989" spans="3:15">
      <c r="C989" s="2388" t="s">
        <v>5487</v>
      </c>
      <c r="D989" s="2385">
        <v>1</v>
      </c>
      <c r="E989" s="2385">
        <v>0</v>
      </c>
      <c r="F989" s="2386">
        <v>1</v>
      </c>
      <c r="G989" s="2412" t="s">
        <v>5487</v>
      </c>
      <c r="H989" s="2383">
        <v>1</v>
      </c>
      <c r="I989" s="2383">
        <v>0</v>
      </c>
      <c r="J989" s="2413">
        <v>1</v>
      </c>
      <c r="K989" s="2387"/>
      <c r="L989" s="2381">
        <v>13089021805</v>
      </c>
      <c r="M989" s="2382">
        <v>1</v>
      </c>
      <c r="N989" s="2382">
        <v>0</v>
      </c>
      <c r="O989" s="2382">
        <v>1</v>
      </c>
    </row>
    <row r="990" spans="3:15">
      <c r="C990" s="2388" t="s">
        <v>5488</v>
      </c>
      <c r="D990" s="2385">
        <v>1</v>
      </c>
      <c r="E990" s="2385">
        <v>0</v>
      </c>
      <c r="F990" s="2386">
        <v>1</v>
      </c>
      <c r="G990" s="2412" t="s">
        <v>5488</v>
      </c>
      <c r="H990" s="2383">
        <v>1</v>
      </c>
      <c r="I990" s="2383">
        <v>0</v>
      </c>
      <c r="J990" s="2413">
        <v>1</v>
      </c>
      <c r="K990" s="2387"/>
      <c r="L990" s="2381">
        <v>13089021806</v>
      </c>
      <c r="M990" s="2382">
        <v>1</v>
      </c>
      <c r="N990" s="2382">
        <v>0</v>
      </c>
      <c r="O990" s="2382">
        <v>1</v>
      </c>
    </row>
    <row r="991" spans="3:15">
      <c r="C991" s="2388" t="s">
        <v>5489</v>
      </c>
      <c r="D991" s="2385">
        <v>1</v>
      </c>
      <c r="E991" s="2385">
        <v>1</v>
      </c>
      <c r="F991" s="2386">
        <v>2</v>
      </c>
      <c r="G991" s="2412" t="s">
        <v>5489</v>
      </c>
      <c r="H991" s="2383">
        <v>1</v>
      </c>
      <c r="I991" s="2383">
        <v>1</v>
      </c>
      <c r="J991" s="2413">
        <v>2</v>
      </c>
      <c r="K991" s="2387"/>
      <c r="L991" s="2381">
        <v>13089021808</v>
      </c>
      <c r="M991" s="2382">
        <v>1</v>
      </c>
      <c r="N991" s="2382">
        <v>1</v>
      </c>
      <c r="O991" s="2382">
        <v>2</v>
      </c>
    </row>
    <row r="992" spans="3:15">
      <c r="C992" s="2388" t="s">
        <v>5490</v>
      </c>
      <c r="D992" s="2385">
        <v>1</v>
      </c>
      <c r="E992" s="2385">
        <v>1</v>
      </c>
      <c r="F992" s="2386">
        <v>2</v>
      </c>
      <c r="G992" s="2412" t="s">
        <v>5490</v>
      </c>
      <c r="H992" s="2383">
        <v>1</v>
      </c>
      <c r="I992" s="2383">
        <v>1</v>
      </c>
      <c r="J992" s="2413">
        <v>2</v>
      </c>
      <c r="K992" s="2387"/>
      <c r="L992" s="2381">
        <v>13089021809</v>
      </c>
      <c r="M992" s="2382">
        <v>1</v>
      </c>
      <c r="N992" s="2382">
        <v>1</v>
      </c>
      <c r="O992" s="2382">
        <v>2</v>
      </c>
    </row>
    <row r="993" spans="3:15">
      <c r="C993" s="2388" t="s">
        <v>5491</v>
      </c>
      <c r="D993" s="2385">
        <v>1</v>
      </c>
      <c r="E993" s="2385">
        <v>1</v>
      </c>
      <c r="F993" s="2386">
        <v>2</v>
      </c>
      <c r="G993" s="2412" t="s">
        <v>5491</v>
      </c>
      <c r="H993" s="2383">
        <v>1</v>
      </c>
      <c r="I993" s="2383">
        <v>1</v>
      </c>
      <c r="J993" s="2413">
        <v>2</v>
      </c>
      <c r="K993" s="2387"/>
      <c r="L993" s="2381">
        <v>13089021810</v>
      </c>
      <c r="M993" s="2382">
        <v>1</v>
      </c>
      <c r="N993" s="2382">
        <v>1</v>
      </c>
      <c r="O993" s="2382">
        <v>2</v>
      </c>
    </row>
    <row r="994" spans="3:15">
      <c r="C994" s="2388" t="s">
        <v>5492</v>
      </c>
      <c r="D994" s="2385">
        <v>1</v>
      </c>
      <c r="E994" s="2385">
        <v>0</v>
      </c>
      <c r="F994" s="2386">
        <v>1</v>
      </c>
      <c r="G994" s="2412" t="s">
        <v>5492</v>
      </c>
      <c r="H994" s="2383">
        <v>1</v>
      </c>
      <c r="I994" s="2383">
        <v>1</v>
      </c>
      <c r="J994" s="2413">
        <v>2</v>
      </c>
      <c r="K994" s="2387"/>
      <c r="L994" s="2381">
        <v>13089021812</v>
      </c>
      <c r="M994" s="2382">
        <v>1</v>
      </c>
      <c r="N994" s="2382">
        <v>1</v>
      </c>
      <c r="O994" s="2382">
        <v>2</v>
      </c>
    </row>
    <row r="995" spans="3:15">
      <c r="C995" s="2388" t="s">
        <v>5493</v>
      </c>
      <c r="D995" s="2385">
        <v>0</v>
      </c>
      <c r="E995" s="2385">
        <v>0</v>
      </c>
      <c r="F995" s="2386">
        <v>0</v>
      </c>
      <c r="G995" s="2412" t="s">
        <v>5493</v>
      </c>
      <c r="H995" s="2383">
        <v>0</v>
      </c>
      <c r="I995" s="2383" t="s">
        <v>4493</v>
      </c>
      <c r="J995" s="2413">
        <v>0</v>
      </c>
      <c r="K995" s="2387"/>
      <c r="L995" s="2381">
        <v>13089021813</v>
      </c>
      <c r="M995" s="2382">
        <v>0</v>
      </c>
      <c r="N995" s="2382">
        <v>0</v>
      </c>
      <c r="O995" s="2382">
        <v>0</v>
      </c>
    </row>
    <row r="996" spans="3:15">
      <c r="C996" s="2388" t="s">
        <v>5494</v>
      </c>
      <c r="D996" s="2385">
        <v>0</v>
      </c>
      <c r="E996" s="2385">
        <v>0</v>
      </c>
      <c r="F996" s="2386">
        <v>0</v>
      </c>
      <c r="G996" s="2412" t="s">
        <v>5494</v>
      </c>
      <c r="H996" s="2383">
        <v>0</v>
      </c>
      <c r="I996" s="2383">
        <v>0</v>
      </c>
      <c r="J996" s="2413">
        <v>0</v>
      </c>
      <c r="K996" s="2387"/>
      <c r="L996" s="2381">
        <v>13089021814</v>
      </c>
      <c r="M996" s="2382">
        <v>0</v>
      </c>
      <c r="N996" s="2382">
        <v>0</v>
      </c>
      <c r="O996" s="2382">
        <v>0</v>
      </c>
    </row>
    <row r="997" spans="3:15">
      <c r="C997" s="2388" t="s">
        <v>5495</v>
      </c>
      <c r="D997" s="2385">
        <v>0</v>
      </c>
      <c r="E997" s="2385">
        <v>0</v>
      </c>
      <c r="F997" s="2386">
        <v>0</v>
      </c>
      <c r="G997" s="2412" t="s">
        <v>5495</v>
      </c>
      <c r="H997" s="2383">
        <v>0</v>
      </c>
      <c r="I997" s="2383">
        <v>0</v>
      </c>
      <c r="J997" s="2413">
        <v>0</v>
      </c>
      <c r="K997" s="2387"/>
      <c r="L997" s="2381">
        <v>13089021906</v>
      </c>
      <c r="M997" s="2382">
        <v>0</v>
      </c>
      <c r="N997" s="2382">
        <v>0</v>
      </c>
      <c r="O997" s="2382">
        <v>0</v>
      </c>
    </row>
    <row r="998" spans="3:15">
      <c r="C998" s="2388" t="s">
        <v>5496</v>
      </c>
      <c r="D998" s="2385">
        <v>0</v>
      </c>
      <c r="E998" s="2385">
        <v>0</v>
      </c>
      <c r="F998" s="2386">
        <v>0</v>
      </c>
      <c r="G998" s="2412" t="s">
        <v>5496</v>
      </c>
      <c r="H998" s="2383">
        <v>0</v>
      </c>
      <c r="I998" s="2383">
        <v>1</v>
      </c>
      <c r="J998" s="2413">
        <v>1</v>
      </c>
      <c r="K998" s="2387"/>
      <c r="L998" s="2381">
        <v>13089021907</v>
      </c>
      <c r="M998" s="2382">
        <v>0</v>
      </c>
      <c r="N998" s="2382">
        <v>1</v>
      </c>
      <c r="O998" s="2382">
        <v>1</v>
      </c>
    </row>
    <row r="999" spans="3:15">
      <c r="C999" s="2388" t="s">
        <v>5497</v>
      </c>
      <c r="D999" s="2385">
        <v>0</v>
      </c>
      <c r="E999" s="2385">
        <v>0</v>
      </c>
      <c r="F999" s="2386">
        <v>0</v>
      </c>
      <c r="G999" s="2412" t="s">
        <v>5497</v>
      </c>
      <c r="H999" s="2383">
        <v>0</v>
      </c>
      <c r="I999" s="2383">
        <v>0</v>
      </c>
      <c r="J999" s="2413">
        <v>0</v>
      </c>
      <c r="K999" s="2387"/>
      <c r="L999" s="2381">
        <v>13089021908</v>
      </c>
      <c r="M999" s="2382">
        <v>0</v>
      </c>
      <c r="N999" s="2382">
        <v>0</v>
      </c>
      <c r="O999" s="2382">
        <v>0</v>
      </c>
    </row>
    <row r="1000" spans="3:15">
      <c r="C1000" s="2388" t="s">
        <v>5498</v>
      </c>
      <c r="D1000" s="2385">
        <v>0</v>
      </c>
      <c r="E1000" s="2385">
        <v>0</v>
      </c>
      <c r="F1000" s="2386">
        <v>0</v>
      </c>
      <c r="G1000" s="2412" t="s">
        <v>5498</v>
      </c>
      <c r="H1000" s="2383">
        <v>0</v>
      </c>
      <c r="I1000" s="2383">
        <v>0</v>
      </c>
      <c r="J1000" s="2413">
        <v>0</v>
      </c>
      <c r="K1000" s="2387"/>
      <c r="L1000" s="2381">
        <v>13089021909</v>
      </c>
      <c r="M1000" s="2382">
        <v>0</v>
      </c>
      <c r="N1000" s="2382">
        <v>0</v>
      </c>
      <c r="O1000" s="2382">
        <v>0</v>
      </c>
    </row>
    <row r="1001" spans="3:15">
      <c r="C1001" s="2388" t="s">
        <v>5499</v>
      </c>
      <c r="D1001" s="2385">
        <v>0</v>
      </c>
      <c r="E1001" s="2385">
        <v>0</v>
      </c>
      <c r="F1001" s="2386">
        <v>0</v>
      </c>
      <c r="G1001" s="2412" t="s">
        <v>5499</v>
      </c>
      <c r="H1001" s="2383">
        <v>0</v>
      </c>
      <c r="I1001" s="2383">
        <v>0</v>
      </c>
      <c r="J1001" s="2413">
        <v>0</v>
      </c>
      <c r="K1001" s="2387"/>
      <c r="L1001" s="2381">
        <v>13089021910</v>
      </c>
      <c r="M1001" s="2382">
        <v>0</v>
      </c>
      <c r="N1001" s="2382">
        <v>0</v>
      </c>
      <c r="O1001" s="2382">
        <v>0</v>
      </c>
    </row>
    <row r="1002" spans="3:15">
      <c r="C1002" s="2388" t="s">
        <v>5500</v>
      </c>
      <c r="D1002" s="2385">
        <v>0</v>
      </c>
      <c r="E1002" s="2385">
        <v>0</v>
      </c>
      <c r="F1002" s="2386">
        <v>0</v>
      </c>
      <c r="G1002" s="2412" t="s">
        <v>5500</v>
      </c>
      <c r="H1002" s="2383">
        <v>0</v>
      </c>
      <c r="I1002" s="2383" t="s">
        <v>4493</v>
      </c>
      <c r="J1002" s="2413">
        <v>0</v>
      </c>
      <c r="K1002" s="2387"/>
      <c r="L1002" s="2381">
        <v>13089021911</v>
      </c>
      <c r="M1002" s="2382">
        <v>0</v>
      </c>
      <c r="N1002" s="2382">
        <v>0</v>
      </c>
      <c r="O1002" s="2382">
        <v>0</v>
      </c>
    </row>
    <row r="1003" spans="3:15">
      <c r="C1003" s="2388" t="s">
        <v>5501</v>
      </c>
      <c r="D1003" s="2385">
        <v>1</v>
      </c>
      <c r="E1003" s="2385">
        <v>1</v>
      </c>
      <c r="F1003" s="2386">
        <v>2</v>
      </c>
      <c r="G1003" s="2412" t="s">
        <v>5501</v>
      </c>
      <c r="H1003" s="2383">
        <v>1</v>
      </c>
      <c r="I1003" s="2383">
        <v>1</v>
      </c>
      <c r="J1003" s="2413">
        <v>2</v>
      </c>
      <c r="K1003" s="2387"/>
      <c r="L1003" s="2381">
        <v>13089021912</v>
      </c>
      <c r="M1003" s="2382">
        <v>1</v>
      </c>
      <c r="N1003" s="2382">
        <v>1</v>
      </c>
      <c r="O1003" s="2382">
        <v>2</v>
      </c>
    </row>
    <row r="1004" spans="3:15">
      <c r="C1004" s="2388" t="s">
        <v>5502</v>
      </c>
      <c r="D1004" s="2385">
        <v>0</v>
      </c>
      <c r="E1004" s="2385">
        <v>0</v>
      </c>
      <c r="F1004" s="2386">
        <v>0</v>
      </c>
      <c r="G1004" s="2412" t="s">
        <v>5502</v>
      </c>
      <c r="H1004" s="2383">
        <v>0</v>
      </c>
      <c r="I1004" s="2383">
        <v>0</v>
      </c>
      <c r="J1004" s="2413">
        <v>0</v>
      </c>
      <c r="K1004" s="2387"/>
      <c r="L1004" s="2381">
        <v>13089021913</v>
      </c>
      <c r="M1004" s="2382">
        <v>0</v>
      </c>
      <c r="N1004" s="2382">
        <v>0</v>
      </c>
      <c r="O1004" s="2382">
        <v>0</v>
      </c>
    </row>
    <row r="1005" spans="3:15">
      <c r="C1005" s="2388" t="s">
        <v>5503</v>
      </c>
      <c r="D1005" s="2385">
        <v>1</v>
      </c>
      <c r="E1005" s="2385">
        <v>1</v>
      </c>
      <c r="F1005" s="2386">
        <v>2</v>
      </c>
      <c r="G1005" s="2412" t="s">
        <v>5503</v>
      </c>
      <c r="H1005" s="2383">
        <v>1</v>
      </c>
      <c r="I1005" s="2383">
        <v>1</v>
      </c>
      <c r="J1005" s="2413">
        <v>2</v>
      </c>
      <c r="K1005" s="2387"/>
      <c r="L1005" s="2381">
        <v>13089022001</v>
      </c>
      <c r="M1005" s="2382">
        <v>1</v>
      </c>
      <c r="N1005" s="2382">
        <v>1</v>
      </c>
      <c r="O1005" s="2382">
        <v>2</v>
      </c>
    </row>
    <row r="1006" spans="3:15">
      <c r="C1006" s="2388" t="s">
        <v>5504</v>
      </c>
      <c r="D1006" s="2385">
        <v>0</v>
      </c>
      <c r="E1006" s="2385">
        <v>0</v>
      </c>
      <c r="F1006" s="2386">
        <v>0</v>
      </c>
      <c r="G1006" s="2412" t="s">
        <v>5504</v>
      </c>
      <c r="H1006" s="2383">
        <v>0</v>
      </c>
      <c r="I1006" s="2383">
        <v>1</v>
      </c>
      <c r="J1006" s="2413">
        <v>1</v>
      </c>
      <c r="K1006" s="2387"/>
      <c r="L1006" s="2381">
        <v>13089022004</v>
      </c>
      <c r="M1006" s="2382">
        <v>0</v>
      </c>
      <c r="N1006" s="2382">
        <v>1</v>
      </c>
      <c r="O1006" s="2382">
        <v>1</v>
      </c>
    </row>
    <row r="1007" spans="3:15">
      <c r="C1007" s="2388" t="s">
        <v>5505</v>
      </c>
      <c r="D1007" s="2385">
        <v>0</v>
      </c>
      <c r="E1007" s="2385">
        <v>0</v>
      </c>
      <c r="F1007" s="2386">
        <v>0</v>
      </c>
      <c r="G1007" s="2412" t="s">
        <v>5505</v>
      </c>
      <c r="H1007" s="2383">
        <v>0</v>
      </c>
      <c r="I1007" s="2383">
        <v>0</v>
      </c>
      <c r="J1007" s="2413">
        <v>0</v>
      </c>
      <c r="K1007" s="2387"/>
      <c r="L1007" s="2381">
        <v>13089022005</v>
      </c>
      <c r="M1007" s="2382">
        <v>0</v>
      </c>
      <c r="N1007" s="2382">
        <v>0</v>
      </c>
      <c r="O1007" s="2382">
        <v>0</v>
      </c>
    </row>
    <row r="1008" spans="3:15">
      <c r="C1008" s="2388" t="s">
        <v>5506</v>
      </c>
      <c r="D1008" s="2385">
        <v>0</v>
      </c>
      <c r="E1008" s="2385">
        <v>0</v>
      </c>
      <c r="F1008" s="2386">
        <v>0</v>
      </c>
      <c r="G1008" s="2412" t="s">
        <v>5506</v>
      </c>
      <c r="H1008" s="2383">
        <v>0</v>
      </c>
      <c r="I1008" s="2383">
        <v>0</v>
      </c>
      <c r="J1008" s="2413">
        <v>0</v>
      </c>
      <c r="K1008" s="2387"/>
      <c r="L1008" s="2381">
        <v>13089022007</v>
      </c>
      <c r="M1008" s="2382">
        <v>0</v>
      </c>
      <c r="N1008" s="2382">
        <v>0</v>
      </c>
      <c r="O1008" s="2382">
        <v>0</v>
      </c>
    </row>
    <row r="1009" spans="3:15">
      <c r="C1009" s="2388" t="s">
        <v>5507</v>
      </c>
      <c r="D1009" s="2385">
        <v>0</v>
      </c>
      <c r="E1009" s="2385">
        <v>0</v>
      </c>
      <c r="F1009" s="2386">
        <v>0</v>
      </c>
      <c r="G1009" s="2412" t="s">
        <v>5507</v>
      </c>
      <c r="H1009" s="2383">
        <v>0</v>
      </c>
      <c r="I1009" s="2383">
        <v>0</v>
      </c>
      <c r="J1009" s="2413">
        <v>0</v>
      </c>
      <c r="K1009" s="2387"/>
      <c r="L1009" s="2381">
        <v>13089022008</v>
      </c>
      <c r="M1009" s="2382">
        <v>0</v>
      </c>
      <c r="N1009" s="2382">
        <v>0</v>
      </c>
      <c r="O1009" s="2382">
        <v>0</v>
      </c>
    </row>
    <row r="1010" spans="3:15">
      <c r="C1010" s="2388" t="s">
        <v>5508</v>
      </c>
      <c r="D1010" s="2385">
        <v>0</v>
      </c>
      <c r="E1010" s="2385">
        <v>0</v>
      </c>
      <c r="F1010" s="2386">
        <v>0</v>
      </c>
      <c r="G1010" s="2412" t="s">
        <v>5508</v>
      </c>
      <c r="H1010" s="2383">
        <v>0</v>
      </c>
      <c r="I1010" s="2383" t="s">
        <v>4493</v>
      </c>
      <c r="J1010" s="2413">
        <v>0</v>
      </c>
      <c r="K1010" s="2387"/>
      <c r="L1010" s="2381">
        <v>13089022009</v>
      </c>
      <c r="M1010" s="2382">
        <v>0</v>
      </c>
      <c r="N1010" s="2382">
        <v>0</v>
      </c>
      <c r="O1010" s="2382">
        <v>0</v>
      </c>
    </row>
    <row r="1011" spans="3:15">
      <c r="C1011" s="2388" t="s">
        <v>5509</v>
      </c>
      <c r="D1011" s="2385">
        <v>0</v>
      </c>
      <c r="E1011" s="2385">
        <v>0</v>
      </c>
      <c r="F1011" s="2386">
        <v>0</v>
      </c>
      <c r="G1011" s="2412" t="s">
        <v>5509</v>
      </c>
      <c r="H1011" s="2383">
        <v>0</v>
      </c>
      <c r="I1011" s="2383">
        <v>0</v>
      </c>
      <c r="J1011" s="2413">
        <v>0</v>
      </c>
      <c r="K1011" s="2387"/>
      <c r="L1011" s="2381">
        <v>13089022010</v>
      </c>
      <c r="M1011" s="2382">
        <v>0</v>
      </c>
      <c r="N1011" s="2382">
        <v>0</v>
      </c>
      <c r="O1011" s="2382">
        <v>0</v>
      </c>
    </row>
    <row r="1012" spans="3:15">
      <c r="C1012" s="2388" t="s">
        <v>5510</v>
      </c>
      <c r="D1012" s="2385">
        <v>0</v>
      </c>
      <c r="E1012" s="2385">
        <v>0</v>
      </c>
      <c r="F1012" s="2386">
        <v>0</v>
      </c>
      <c r="G1012" s="2412" t="s">
        <v>5510</v>
      </c>
      <c r="H1012" s="2383">
        <v>0</v>
      </c>
      <c r="I1012" s="2383">
        <v>0</v>
      </c>
      <c r="J1012" s="2413">
        <v>0</v>
      </c>
      <c r="K1012" s="2387"/>
      <c r="L1012" s="2381">
        <v>13089022100</v>
      </c>
      <c r="M1012" s="2382">
        <v>0</v>
      </c>
      <c r="N1012" s="2382">
        <v>0</v>
      </c>
      <c r="O1012" s="2382">
        <v>0</v>
      </c>
    </row>
    <row r="1013" spans="3:15">
      <c r="C1013" s="2388" t="s">
        <v>5511</v>
      </c>
      <c r="D1013" s="2385">
        <v>0</v>
      </c>
      <c r="E1013" s="2385">
        <v>0</v>
      </c>
      <c r="F1013" s="2386">
        <v>0</v>
      </c>
      <c r="G1013" s="2412" t="s">
        <v>5511</v>
      </c>
      <c r="H1013" s="2383">
        <v>1</v>
      </c>
      <c r="I1013" s="2383">
        <v>0</v>
      </c>
      <c r="J1013" s="2413">
        <v>1</v>
      </c>
      <c r="K1013" s="2387"/>
      <c r="L1013" s="2381">
        <v>13089022203</v>
      </c>
      <c r="M1013" s="2382">
        <v>1</v>
      </c>
      <c r="N1013" s="2382">
        <v>0</v>
      </c>
      <c r="O1013" s="2382">
        <v>1</v>
      </c>
    </row>
    <row r="1014" spans="3:15">
      <c r="C1014" s="2388" t="s">
        <v>5512</v>
      </c>
      <c r="D1014" s="2385">
        <v>0</v>
      </c>
      <c r="E1014" s="2385">
        <v>0</v>
      </c>
      <c r="F1014" s="2386">
        <v>0</v>
      </c>
      <c r="G1014" s="2412" t="s">
        <v>5512</v>
      </c>
      <c r="H1014" s="2383">
        <v>1</v>
      </c>
      <c r="I1014" s="2383">
        <v>0</v>
      </c>
      <c r="J1014" s="2413">
        <v>1</v>
      </c>
      <c r="K1014" s="2387"/>
      <c r="L1014" s="2381">
        <v>13089022204</v>
      </c>
      <c r="M1014" s="2382">
        <v>1</v>
      </c>
      <c r="N1014" s="2382">
        <v>0</v>
      </c>
      <c r="O1014" s="2382">
        <v>1</v>
      </c>
    </row>
    <row r="1015" spans="3:15">
      <c r="C1015" s="2388" t="s">
        <v>5513</v>
      </c>
      <c r="D1015" s="2385">
        <v>1</v>
      </c>
      <c r="E1015" s="2385">
        <v>1</v>
      </c>
      <c r="F1015" s="2386">
        <v>2</v>
      </c>
      <c r="G1015" s="2412" t="s">
        <v>5513</v>
      </c>
      <c r="H1015" s="2383">
        <v>1</v>
      </c>
      <c r="I1015" s="2383">
        <v>1</v>
      </c>
      <c r="J1015" s="2413">
        <v>2</v>
      </c>
      <c r="K1015" s="2387"/>
      <c r="L1015" s="2381">
        <v>13089022301</v>
      </c>
      <c r="M1015" s="2382">
        <v>1</v>
      </c>
      <c r="N1015" s="2382">
        <v>1</v>
      </c>
      <c r="O1015" s="2382">
        <v>2</v>
      </c>
    </row>
    <row r="1016" spans="3:15">
      <c r="C1016" s="2388" t="s">
        <v>5514</v>
      </c>
      <c r="D1016" s="2385">
        <v>1</v>
      </c>
      <c r="E1016" s="2385">
        <v>1</v>
      </c>
      <c r="F1016" s="2386">
        <v>2</v>
      </c>
      <c r="G1016" s="2412" t="s">
        <v>5514</v>
      </c>
      <c r="H1016" s="2383">
        <v>1</v>
      </c>
      <c r="I1016" s="2383">
        <v>1</v>
      </c>
      <c r="J1016" s="2413">
        <v>2</v>
      </c>
      <c r="K1016" s="2387"/>
      <c r="L1016" s="2381">
        <v>13089022302</v>
      </c>
      <c r="M1016" s="2382">
        <v>1</v>
      </c>
      <c r="N1016" s="2382">
        <v>1</v>
      </c>
      <c r="O1016" s="2382">
        <v>2</v>
      </c>
    </row>
    <row r="1017" spans="3:15">
      <c r="C1017" s="2388" t="s">
        <v>5515</v>
      </c>
      <c r="D1017" s="2385">
        <v>1</v>
      </c>
      <c r="E1017" s="2385">
        <v>1</v>
      </c>
      <c r="F1017" s="2386">
        <v>2</v>
      </c>
      <c r="G1017" s="2412" t="s">
        <v>5515</v>
      </c>
      <c r="H1017" s="2383">
        <v>1</v>
      </c>
      <c r="I1017" s="2383">
        <v>1</v>
      </c>
      <c r="J1017" s="2413">
        <v>2</v>
      </c>
      <c r="K1017" s="2387"/>
      <c r="L1017" s="2381">
        <v>13089022401</v>
      </c>
      <c r="M1017" s="2382">
        <v>1</v>
      </c>
      <c r="N1017" s="2382">
        <v>1</v>
      </c>
      <c r="O1017" s="2382">
        <v>2</v>
      </c>
    </row>
    <row r="1018" spans="3:15">
      <c r="C1018" s="2388" t="s">
        <v>5516</v>
      </c>
      <c r="D1018" s="2385">
        <v>0</v>
      </c>
      <c r="E1018" s="2385">
        <v>0</v>
      </c>
      <c r="F1018" s="2386">
        <v>0</v>
      </c>
      <c r="G1018" s="2412" t="s">
        <v>5516</v>
      </c>
      <c r="H1018" s="2383">
        <v>0</v>
      </c>
      <c r="I1018" s="2383" t="s">
        <v>4493</v>
      </c>
      <c r="J1018" s="2413">
        <v>0</v>
      </c>
      <c r="K1018" s="2387"/>
      <c r="L1018" s="2381">
        <v>13089022402</v>
      </c>
      <c r="M1018" s="2382">
        <v>0</v>
      </c>
      <c r="N1018" s="2382">
        <v>0</v>
      </c>
      <c r="O1018" s="2382">
        <v>0</v>
      </c>
    </row>
    <row r="1019" spans="3:15">
      <c r="C1019" s="2388" t="s">
        <v>5517</v>
      </c>
      <c r="D1019" s="2385">
        <v>1</v>
      </c>
      <c r="E1019" s="2385">
        <v>1</v>
      </c>
      <c r="F1019" s="2386">
        <v>2</v>
      </c>
      <c r="G1019" s="2412" t="s">
        <v>5517</v>
      </c>
      <c r="H1019" s="2383">
        <v>1</v>
      </c>
      <c r="I1019" s="2383">
        <v>1</v>
      </c>
      <c r="J1019" s="2413">
        <v>2</v>
      </c>
      <c r="K1019" s="2387"/>
      <c r="L1019" s="2381">
        <v>13089022403</v>
      </c>
      <c r="M1019" s="2382">
        <v>1</v>
      </c>
      <c r="N1019" s="2382">
        <v>1</v>
      </c>
      <c r="O1019" s="2382">
        <v>2</v>
      </c>
    </row>
    <row r="1020" spans="3:15">
      <c r="C1020" s="2388" t="s">
        <v>5518</v>
      </c>
      <c r="D1020" s="2385">
        <v>1</v>
      </c>
      <c r="E1020" s="2385">
        <v>1</v>
      </c>
      <c r="F1020" s="2386">
        <v>2</v>
      </c>
      <c r="G1020" s="2412" t="s">
        <v>5518</v>
      </c>
      <c r="H1020" s="2383">
        <v>1</v>
      </c>
      <c r="I1020" s="2383">
        <v>1</v>
      </c>
      <c r="J1020" s="2413">
        <v>2</v>
      </c>
      <c r="K1020" s="2387"/>
      <c r="L1020" s="2381">
        <v>13089022500</v>
      </c>
      <c r="M1020" s="2382">
        <v>1</v>
      </c>
      <c r="N1020" s="2382">
        <v>1</v>
      </c>
      <c r="O1020" s="2382">
        <v>2</v>
      </c>
    </row>
    <row r="1021" spans="3:15">
      <c r="C1021" s="2388" t="s">
        <v>5519</v>
      </c>
      <c r="D1021" s="2385">
        <v>1</v>
      </c>
      <c r="E1021" s="2385">
        <v>1</v>
      </c>
      <c r="F1021" s="2386">
        <v>2</v>
      </c>
      <c r="G1021" s="2412" t="s">
        <v>5519</v>
      </c>
      <c r="H1021" s="2383">
        <v>1</v>
      </c>
      <c r="I1021" s="2383">
        <v>1</v>
      </c>
      <c r="J1021" s="2413">
        <v>2</v>
      </c>
      <c r="K1021" s="2387"/>
      <c r="L1021" s="2381">
        <v>13089022600</v>
      </c>
      <c r="M1021" s="2382">
        <v>1</v>
      </c>
      <c r="N1021" s="2382">
        <v>1</v>
      </c>
      <c r="O1021" s="2382">
        <v>2</v>
      </c>
    </row>
    <row r="1022" spans="3:15">
      <c r="C1022" s="2388" t="s">
        <v>5520</v>
      </c>
      <c r="D1022" s="2385">
        <v>1</v>
      </c>
      <c r="E1022" s="2385">
        <v>1</v>
      </c>
      <c r="F1022" s="2386">
        <v>2</v>
      </c>
      <c r="G1022" s="2412" t="s">
        <v>5520</v>
      </c>
      <c r="H1022" s="2383">
        <v>1</v>
      </c>
      <c r="I1022" s="2383">
        <v>1</v>
      </c>
      <c r="J1022" s="2413">
        <v>2</v>
      </c>
      <c r="K1022" s="2387"/>
      <c r="L1022" s="2381">
        <v>13089022700</v>
      </c>
      <c r="M1022" s="2382">
        <v>1</v>
      </c>
      <c r="N1022" s="2382">
        <v>1</v>
      </c>
      <c r="O1022" s="2382">
        <v>2</v>
      </c>
    </row>
    <row r="1023" spans="3:15">
      <c r="C1023" s="2388" t="s">
        <v>5521</v>
      </c>
      <c r="D1023" s="2385">
        <v>1</v>
      </c>
      <c r="E1023" s="2385">
        <v>1</v>
      </c>
      <c r="F1023" s="2386">
        <v>2</v>
      </c>
      <c r="G1023" s="2412" t="s">
        <v>5521</v>
      </c>
      <c r="H1023" s="2383">
        <v>1</v>
      </c>
      <c r="I1023" s="2383">
        <v>1</v>
      </c>
      <c r="J1023" s="2413">
        <v>2</v>
      </c>
      <c r="K1023" s="2387"/>
      <c r="L1023" s="2381">
        <v>13089022800</v>
      </c>
      <c r="M1023" s="2382">
        <v>1</v>
      </c>
      <c r="N1023" s="2382">
        <v>1</v>
      </c>
      <c r="O1023" s="2382">
        <v>2</v>
      </c>
    </row>
    <row r="1024" spans="3:15">
      <c r="C1024" s="2388" t="s">
        <v>5522</v>
      </c>
      <c r="D1024" s="2385">
        <v>1</v>
      </c>
      <c r="E1024" s="2385">
        <v>1</v>
      </c>
      <c r="F1024" s="2386">
        <v>2</v>
      </c>
      <c r="G1024" s="2412" t="s">
        <v>5522</v>
      </c>
      <c r="H1024" s="2383">
        <v>1</v>
      </c>
      <c r="I1024" s="2383">
        <v>1</v>
      </c>
      <c r="J1024" s="2413">
        <v>2</v>
      </c>
      <c r="K1024" s="2387"/>
      <c r="L1024" s="2381">
        <v>13089022900</v>
      </c>
      <c r="M1024" s="2382">
        <v>1</v>
      </c>
      <c r="N1024" s="2382">
        <v>1</v>
      </c>
      <c r="O1024" s="2382">
        <v>2</v>
      </c>
    </row>
    <row r="1025" spans="3:15">
      <c r="C1025" s="2388" t="s">
        <v>5523</v>
      </c>
      <c r="D1025" s="2385">
        <v>1</v>
      </c>
      <c r="E1025" s="2385">
        <v>1</v>
      </c>
      <c r="F1025" s="2386">
        <v>2</v>
      </c>
      <c r="G1025" s="2412" t="s">
        <v>5523</v>
      </c>
      <c r="H1025" s="2383">
        <v>1</v>
      </c>
      <c r="I1025" s="2383">
        <v>1</v>
      </c>
      <c r="J1025" s="2413">
        <v>2</v>
      </c>
      <c r="K1025" s="2387"/>
      <c r="L1025" s="2381">
        <v>13089023000</v>
      </c>
      <c r="M1025" s="2382">
        <v>1</v>
      </c>
      <c r="N1025" s="2382">
        <v>1</v>
      </c>
      <c r="O1025" s="2382">
        <v>2</v>
      </c>
    </row>
    <row r="1026" spans="3:15">
      <c r="C1026" s="2388" t="s">
        <v>5524</v>
      </c>
      <c r="D1026" s="2385">
        <v>0</v>
      </c>
      <c r="E1026" s="2385">
        <v>0</v>
      </c>
      <c r="F1026" s="2386">
        <v>0</v>
      </c>
      <c r="G1026" s="2412" t="s">
        <v>5524</v>
      </c>
      <c r="H1026" s="2383">
        <v>0</v>
      </c>
      <c r="I1026" s="2383">
        <v>0</v>
      </c>
      <c r="J1026" s="2413">
        <v>0</v>
      </c>
      <c r="K1026" s="2387"/>
      <c r="L1026" s="2381">
        <v>13089023101</v>
      </c>
      <c r="M1026" s="2382">
        <v>0</v>
      </c>
      <c r="N1026" s="2382">
        <v>0</v>
      </c>
      <c r="O1026" s="2382">
        <v>0</v>
      </c>
    </row>
    <row r="1027" spans="3:15">
      <c r="C1027" s="2388" t="s">
        <v>5525</v>
      </c>
      <c r="D1027" s="2385">
        <v>0</v>
      </c>
      <c r="E1027" s="2385">
        <v>0</v>
      </c>
      <c r="F1027" s="2386">
        <v>0</v>
      </c>
      <c r="G1027" s="2412" t="s">
        <v>5525</v>
      </c>
      <c r="H1027" s="2383">
        <v>1</v>
      </c>
      <c r="I1027" s="2383">
        <v>0</v>
      </c>
      <c r="J1027" s="2413">
        <v>1</v>
      </c>
      <c r="K1027" s="2387"/>
      <c r="L1027" s="2381">
        <v>13089023102</v>
      </c>
      <c r="M1027" s="2382">
        <v>1</v>
      </c>
      <c r="N1027" s="2382">
        <v>0</v>
      </c>
      <c r="O1027" s="2382">
        <v>1</v>
      </c>
    </row>
    <row r="1028" spans="3:15">
      <c r="C1028" s="2388" t="s">
        <v>5526</v>
      </c>
      <c r="D1028" s="2385">
        <v>0</v>
      </c>
      <c r="E1028" s="2385">
        <v>0</v>
      </c>
      <c r="F1028" s="2386">
        <v>0</v>
      </c>
      <c r="G1028" s="2412" t="s">
        <v>5526</v>
      </c>
      <c r="H1028" s="2383">
        <v>0</v>
      </c>
      <c r="I1028" s="2383">
        <v>0</v>
      </c>
      <c r="J1028" s="2413">
        <v>0</v>
      </c>
      <c r="K1028" s="2387"/>
      <c r="L1028" s="2381">
        <v>13089023107</v>
      </c>
      <c r="M1028" s="2382">
        <v>0</v>
      </c>
      <c r="N1028" s="2382">
        <v>0</v>
      </c>
      <c r="O1028" s="2382">
        <v>0</v>
      </c>
    </row>
    <row r="1029" spans="3:15">
      <c r="C1029" s="2388" t="s">
        <v>5527</v>
      </c>
      <c r="D1029" s="2385">
        <v>0</v>
      </c>
      <c r="E1029" s="2385">
        <v>0</v>
      </c>
      <c r="F1029" s="2386">
        <v>0</v>
      </c>
      <c r="G1029" s="2412" t="s">
        <v>5527</v>
      </c>
      <c r="H1029" s="2383">
        <v>0</v>
      </c>
      <c r="I1029" s="2383">
        <v>0</v>
      </c>
      <c r="J1029" s="2413">
        <v>0</v>
      </c>
      <c r="K1029" s="2387"/>
      <c r="L1029" s="2381">
        <v>13089023108</v>
      </c>
      <c r="M1029" s="2382">
        <v>0</v>
      </c>
      <c r="N1029" s="2382">
        <v>0</v>
      </c>
      <c r="O1029" s="2382">
        <v>0</v>
      </c>
    </row>
    <row r="1030" spans="3:15">
      <c r="C1030" s="2388" t="s">
        <v>5528</v>
      </c>
      <c r="D1030" s="2385">
        <v>0</v>
      </c>
      <c r="E1030" s="2385">
        <v>0</v>
      </c>
      <c r="F1030" s="2386">
        <v>0</v>
      </c>
      <c r="G1030" s="2412" t="s">
        <v>5528</v>
      </c>
      <c r="H1030" s="2383">
        <v>0</v>
      </c>
      <c r="I1030" s="2383">
        <v>0</v>
      </c>
      <c r="J1030" s="2413">
        <v>0</v>
      </c>
      <c r="K1030" s="2387"/>
      <c r="L1030" s="2381">
        <v>13089023111</v>
      </c>
      <c r="M1030" s="2382">
        <v>0</v>
      </c>
      <c r="N1030" s="2382">
        <v>0</v>
      </c>
      <c r="O1030" s="2382">
        <v>0</v>
      </c>
    </row>
    <row r="1031" spans="3:15">
      <c r="C1031" s="2388" t="s">
        <v>5529</v>
      </c>
      <c r="D1031" s="2385">
        <v>0</v>
      </c>
      <c r="E1031" s="2385">
        <v>0</v>
      </c>
      <c r="F1031" s="2386">
        <v>0</v>
      </c>
      <c r="G1031" s="2412" t="s">
        <v>5529</v>
      </c>
      <c r="H1031" s="2383">
        <v>0</v>
      </c>
      <c r="I1031" s="2383" t="s">
        <v>4493</v>
      </c>
      <c r="J1031" s="2413">
        <v>0</v>
      </c>
      <c r="K1031" s="2387"/>
      <c r="L1031" s="2381">
        <v>13089023112</v>
      </c>
      <c r="M1031" s="2382">
        <v>0</v>
      </c>
      <c r="N1031" s="2382">
        <v>0</v>
      </c>
      <c r="O1031" s="2382">
        <v>0</v>
      </c>
    </row>
    <row r="1032" spans="3:15">
      <c r="C1032" s="2388" t="s">
        <v>5530</v>
      </c>
      <c r="D1032" s="2385">
        <v>0</v>
      </c>
      <c r="E1032" s="2385">
        <v>0</v>
      </c>
      <c r="F1032" s="2386">
        <v>0</v>
      </c>
      <c r="G1032" s="2412" t="s">
        <v>5530</v>
      </c>
      <c r="H1032" s="2383">
        <v>0</v>
      </c>
      <c r="I1032" s="2383">
        <v>0</v>
      </c>
      <c r="J1032" s="2413">
        <v>0</v>
      </c>
      <c r="K1032" s="2387"/>
      <c r="L1032" s="2381">
        <v>13089023113</v>
      </c>
      <c r="M1032" s="2382">
        <v>0</v>
      </c>
      <c r="N1032" s="2382">
        <v>0</v>
      </c>
      <c r="O1032" s="2382">
        <v>0</v>
      </c>
    </row>
    <row r="1033" spans="3:15">
      <c r="C1033" s="2388" t="s">
        <v>5531</v>
      </c>
      <c r="D1033" s="2385">
        <v>0</v>
      </c>
      <c r="E1033" s="2385">
        <v>0</v>
      </c>
      <c r="F1033" s="2386">
        <v>0</v>
      </c>
      <c r="G1033" s="2412" t="s">
        <v>5531</v>
      </c>
      <c r="H1033" s="2383">
        <v>0</v>
      </c>
      <c r="I1033" s="2383">
        <v>0</v>
      </c>
      <c r="J1033" s="2413">
        <v>0</v>
      </c>
      <c r="K1033" s="2387"/>
      <c r="L1033" s="2381">
        <v>13089023114</v>
      </c>
      <c r="M1033" s="2382">
        <v>0</v>
      </c>
      <c r="N1033" s="2382">
        <v>0</v>
      </c>
      <c r="O1033" s="2382">
        <v>0</v>
      </c>
    </row>
    <row r="1034" spans="3:15">
      <c r="C1034" s="2388" t="s">
        <v>5532</v>
      </c>
      <c r="D1034" s="2385" t="s">
        <v>4493</v>
      </c>
      <c r="E1034" s="2385" t="s">
        <v>4493</v>
      </c>
      <c r="F1034" s="2386">
        <v>0</v>
      </c>
      <c r="G1034" s="2412" t="s">
        <v>5532</v>
      </c>
      <c r="H1034" s="2383" t="s">
        <v>4493</v>
      </c>
      <c r="I1034" s="2383" t="s">
        <v>4493</v>
      </c>
      <c r="J1034" s="2413">
        <v>0</v>
      </c>
      <c r="K1034" s="2387"/>
      <c r="L1034" s="2381">
        <v>13089023115</v>
      </c>
      <c r="M1034" s="2382">
        <v>0</v>
      </c>
      <c r="N1034" s="2382">
        <v>0</v>
      </c>
      <c r="O1034" s="2382">
        <v>0</v>
      </c>
    </row>
    <row r="1035" spans="3:15">
      <c r="C1035" s="2388" t="s">
        <v>5533</v>
      </c>
      <c r="D1035" s="2385">
        <v>0</v>
      </c>
      <c r="E1035" s="2385">
        <v>0</v>
      </c>
      <c r="F1035" s="2386">
        <v>0</v>
      </c>
      <c r="G1035" s="2412" t="s">
        <v>5533</v>
      </c>
      <c r="H1035" s="2383">
        <v>0</v>
      </c>
      <c r="I1035" s="2383">
        <v>0</v>
      </c>
      <c r="J1035" s="2413">
        <v>0</v>
      </c>
      <c r="K1035" s="2387"/>
      <c r="L1035" s="2381">
        <v>13089023204</v>
      </c>
      <c r="M1035" s="2382">
        <v>0</v>
      </c>
      <c r="N1035" s="2382">
        <v>0</v>
      </c>
      <c r="O1035" s="2382">
        <v>0</v>
      </c>
    </row>
    <row r="1036" spans="3:15">
      <c r="C1036" s="2388" t="s">
        <v>5534</v>
      </c>
      <c r="D1036" s="2385">
        <v>0</v>
      </c>
      <c r="E1036" s="2385">
        <v>0</v>
      </c>
      <c r="F1036" s="2386">
        <v>0</v>
      </c>
      <c r="G1036" s="2412" t="s">
        <v>5534</v>
      </c>
      <c r="H1036" s="2383">
        <v>0</v>
      </c>
      <c r="I1036" s="2383">
        <v>1</v>
      </c>
      <c r="J1036" s="2413">
        <v>1</v>
      </c>
      <c r="K1036" s="2387"/>
      <c r="L1036" s="2381">
        <v>13089023206</v>
      </c>
      <c r="M1036" s="2382">
        <v>0</v>
      </c>
      <c r="N1036" s="2382">
        <v>1</v>
      </c>
      <c r="O1036" s="2382">
        <v>1</v>
      </c>
    </row>
    <row r="1037" spans="3:15">
      <c r="C1037" s="2388" t="s">
        <v>5535</v>
      </c>
      <c r="D1037" s="2385">
        <v>0</v>
      </c>
      <c r="E1037" s="2385">
        <v>0</v>
      </c>
      <c r="F1037" s="2386">
        <v>0</v>
      </c>
      <c r="G1037" s="2412" t="s">
        <v>5535</v>
      </c>
      <c r="H1037" s="2383">
        <v>0</v>
      </c>
      <c r="I1037" s="2383">
        <v>0</v>
      </c>
      <c r="J1037" s="2413">
        <v>0</v>
      </c>
      <c r="K1037" s="2387"/>
      <c r="L1037" s="2381">
        <v>13089023208</v>
      </c>
      <c r="M1037" s="2382">
        <v>0</v>
      </c>
      <c r="N1037" s="2382">
        <v>0</v>
      </c>
      <c r="O1037" s="2382">
        <v>0</v>
      </c>
    </row>
    <row r="1038" spans="3:15">
      <c r="C1038" s="2388" t="s">
        <v>5536</v>
      </c>
      <c r="D1038" s="2385">
        <v>0</v>
      </c>
      <c r="E1038" s="2385">
        <v>0</v>
      </c>
      <c r="F1038" s="2386">
        <v>0</v>
      </c>
      <c r="G1038" s="2412" t="s">
        <v>5536</v>
      </c>
      <c r="H1038" s="2383">
        <v>0</v>
      </c>
      <c r="I1038" s="2383">
        <v>0</v>
      </c>
      <c r="J1038" s="2413">
        <v>0</v>
      </c>
      <c r="K1038" s="2387"/>
      <c r="L1038" s="2381">
        <v>13089023209</v>
      </c>
      <c r="M1038" s="2382">
        <v>0</v>
      </c>
      <c r="N1038" s="2382">
        <v>0</v>
      </c>
      <c r="O1038" s="2382">
        <v>0</v>
      </c>
    </row>
    <row r="1039" spans="3:15">
      <c r="C1039" s="2388" t="s">
        <v>5537</v>
      </c>
      <c r="D1039" s="2385">
        <v>0</v>
      </c>
      <c r="E1039" s="2385">
        <v>0</v>
      </c>
      <c r="F1039" s="2386">
        <v>0</v>
      </c>
      <c r="G1039" s="2412" t="s">
        <v>5537</v>
      </c>
      <c r="H1039" s="2383">
        <v>0</v>
      </c>
      <c r="I1039" s="2383">
        <v>0</v>
      </c>
      <c r="J1039" s="2413">
        <v>0</v>
      </c>
      <c r="K1039" s="2387"/>
      <c r="L1039" s="2381">
        <v>13089023210</v>
      </c>
      <c r="M1039" s="2382">
        <v>0</v>
      </c>
      <c r="N1039" s="2382">
        <v>0</v>
      </c>
      <c r="O1039" s="2382">
        <v>0</v>
      </c>
    </row>
    <row r="1040" spans="3:15">
      <c r="C1040" s="2388" t="s">
        <v>5538</v>
      </c>
      <c r="D1040" s="2385">
        <v>0</v>
      </c>
      <c r="E1040" s="2385">
        <v>0</v>
      </c>
      <c r="F1040" s="2386">
        <v>0</v>
      </c>
      <c r="G1040" s="2412" t="s">
        <v>5538</v>
      </c>
      <c r="H1040" s="2383">
        <v>0</v>
      </c>
      <c r="I1040" s="2383">
        <v>0</v>
      </c>
      <c r="J1040" s="2413">
        <v>0</v>
      </c>
      <c r="K1040" s="2387"/>
      <c r="L1040" s="2381">
        <v>13089023211</v>
      </c>
      <c r="M1040" s="2382">
        <v>0</v>
      </c>
      <c r="N1040" s="2382">
        <v>0</v>
      </c>
      <c r="O1040" s="2382">
        <v>0</v>
      </c>
    </row>
    <row r="1041" spans="3:15">
      <c r="C1041" s="2388" t="s">
        <v>5539</v>
      </c>
      <c r="D1041" s="2385">
        <v>0</v>
      </c>
      <c r="E1041" s="2385">
        <v>0</v>
      </c>
      <c r="F1041" s="2386">
        <v>0</v>
      </c>
      <c r="G1041" s="2412" t="s">
        <v>5539</v>
      </c>
      <c r="H1041" s="2383">
        <v>0</v>
      </c>
      <c r="I1041" s="2383">
        <v>0</v>
      </c>
      <c r="J1041" s="2413">
        <v>0</v>
      </c>
      <c r="K1041" s="2387"/>
      <c r="L1041" s="2381">
        <v>13089023212</v>
      </c>
      <c r="M1041" s="2382">
        <v>0</v>
      </c>
      <c r="N1041" s="2382">
        <v>0</v>
      </c>
      <c r="O1041" s="2382">
        <v>0</v>
      </c>
    </row>
    <row r="1042" spans="3:15">
      <c r="C1042" s="2388" t="s">
        <v>5540</v>
      </c>
      <c r="D1042" s="2385">
        <v>0</v>
      </c>
      <c r="E1042" s="2385">
        <v>0</v>
      </c>
      <c r="F1042" s="2386">
        <v>0</v>
      </c>
      <c r="G1042" s="2412" t="s">
        <v>5540</v>
      </c>
      <c r="H1042" s="2383">
        <v>0</v>
      </c>
      <c r="I1042" s="2383">
        <v>0</v>
      </c>
      <c r="J1042" s="2413">
        <v>0</v>
      </c>
      <c r="K1042" s="2387"/>
      <c r="L1042" s="2381">
        <v>13089023213</v>
      </c>
      <c r="M1042" s="2382">
        <v>0</v>
      </c>
      <c r="N1042" s="2382">
        <v>0</v>
      </c>
      <c r="O1042" s="2382">
        <v>0</v>
      </c>
    </row>
    <row r="1043" spans="3:15">
      <c r="C1043" s="2388" t="s">
        <v>5541</v>
      </c>
      <c r="D1043" s="2385">
        <v>0</v>
      </c>
      <c r="E1043" s="2385">
        <v>0</v>
      </c>
      <c r="F1043" s="2386">
        <v>0</v>
      </c>
      <c r="G1043" s="2412" t="s">
        <v>5541</v>
      </c>
      <c r="H1043" s="2383">
        <v>0</v>
      </c>
      <c r="I1043" s="2383" t="s">
        <v>4493</v>
      </c>
      <c r="J1043" s="2413">
        <v>0</v>
      </c>
      <c r="K1043" s="2387"/>
      <c r="L1043" s="2381">
        <v>13089023214</v>
      </c>
      <c r="M1043" s="2382">
        <v>0</v>
      </c>
      <c r="N1043" s="2382">
        <v>0</v>
      </c>
      <c r="O1043" s="2382">
        <v>0</v>
      </c>
    </row>
    <row r="1044" spans="3:15">
      <c r="C1044" s="2388" t="s">
        <v>5542</v>
      </c>
      <c r="D1044" s="2385">
        <v>0</v>
      </c>
      <c r="E1044" s="2385">
        <v>0</v>
      </c>
      <c r="F1044" s="2386">
        <v>0</v>
      </c>
      <c r="G1044" s="2412" t="s">
        <v>5542</v>
      </c>
      <c r="H1044" s="2383">
        <v>0</v>
      </c>
      <c r="I1044" s="2383">
        <v>0</v>
      </c>
      <c r="J1044" s="2413">
        <v>0</v>
      </c>
      <c r="K1044" s="2387"/>
      <c r="L1044" s="2381">
        <v>13089023303</v>
      </c>
      <c r="M1044" s="2382">
        <v>0</v>
      </c>
      <c r="N1044" s="2382">
        <v>0</v>
      </c>
      <c r="O1044" s="2382">
        <v>0</v>
      </c>
    </row>
    <row r="1045" spans="3:15">
      <c r="C1045" s="2388" t="s">
        <v>5543</v>
      </c>
      <c r="D1045" s="2385">
        <v>1</v>
      </c>
      <c r="E1045" s="2385">
        <v>1</v>
      </c>
      <c r="F1045" s="2386">
        <v>2</v>
      </c>
      <c r="G1045" s="2412" t="s">
        <v>5543</v>
      </c>
      <c r="H1045" s="2383">
        <v>0</v>
      </c>
      <c r="I1045" s="2383">
        <v>1</v>
      </c>
      <c r="J1045" s="2413">
        <v>1</v>
      </c>
      <c r="K1045" s="2387"/>
      <c r="L1045" s="2381">
        <v>13089023306</v>
      </c>
      <c r="M1045" s="2382">
        <v>1</v>
      </c>
      <c r="N1045" s="2382">
        <v>1</v>
      </c>
      <c r="O1045" s="2382">
        <v>2</v>
      </c>
    </row>
    <row r="1046" spans="3:15">
      <c r="C1046" s="2388" t="s">
        <v>5544</v>
      </c>
      <c r="D1046" s="2385">
        <v>0</v>
      </c>
      <c r="E1046" s="2385">
        <v>0</v>
      </c>
      <c r="F1046" s="2386">
        <v>0</v>
      </c>
      <c r="G1046" s="2412" t="s">
        <v>5544</v>
      </c>
      <c r="H1046" s="2383">
        <v>0</v>
      </c>
      <c r="I1046" s="2383">
        <v>0</v>
      </c>
      <c r="J1046" s="2413">
        <v>0</v>
      </c>
      <c r="K1046" s="2387"/>
      <c r="L1046" s="2381">
        <v>13089023309</v>
      </c>
      <c r="M1046" s="2382">
        <v>0</v>
      </c>
      <c r="N1046" s="2382">
        <v>0</v>
      </c>
      <c r="O1046" s="2382">
        <v>0</v>
      </c>
    </row>
    <row r="1047" spans="3:15">
      <c r="C1047" s="2388" t="s">
        <v>5545</v>
      </c>
      <c r="D1047" s="2385">
        <v>0</v>
      </c>
      <c r="E1047" s="2385">
        <v>0</v>
      </c>
      <c r="F1047" s="2386">
        <v>0</v>
      </c>
      <c r="G1047" s="2412" t="s">
        <v>5545</v>
      </c>
      <c r="H1047" s="2383">
        <v>0</v>
      </c>
      <c r="I1047" s="2383">
        <v>0</v>
      </c>
      <c r="J1047" s="2413">
        <v>0</v>
      </c>
      <c r="K1047" s="2387"/>
      <c r="L1047" s="2381">
        <v>13089023310</v>
      </c>
      <c r="M1047" s="2382">
        <v>0</v>
      </c>
      <c r="N1047" s="2382">
        <v>0</v>
      </c>
      <c r="O1047" s="2382">
        <v>0</v>
      </c>
    </row>
    <row r="1048" spans="3:15">
      <c r="C1048" s="2388" t="s">
        <v>5546</v>
      </c>
      <c r="D1048" s="2385">
        <v>1</v>
      </c>
      <c r="E1048" s="2385">
        <v>0</v>
      </c>
      <c r="F1048" s="2386">
        <v>1</v>
      </c>
      <c r="G1048" s="2412" t="s">
        <v>5546</v>
      </c>
      <c r="H1048" s="2383">
        <v>1</v>
      </c>
      <c r="I1048" s="2383">
        <v>0</v>
      </c>
      <c r="J1048" s="2413">
        <v>1</v>
      </c>
      <c r="K1048" s="2387"/>
      <c r="L1048" s="2381">
        <v>13089023311</v>
      </c>
      <c r="M1048" s="2382">
        <v>1</v>
      </c>
      <c r="N1048" s="2382">
        <v>0</v>
      </c>
      <c r="O1048" s="2382">
        <v>1</v>
      </c>
    </row>
    <row r="1049" spans="3:15">
      <c r="C1049" s="2388" t="s">
        <v>5547</v>
      </c>
      <c r="D1049" s="2385">
        <v>0</v>
      </c>
      <c r="E1049" s="2385">
        <v>0</v>
      </c>
      <c r="F1049" s="2386">
        <v>0</v>
      </c>
      <c r="G1049" s="2412" t="s">
        <v>5547</v>
      </c>
      <c r="H1049" s="2383">
        <v>0</v>
      </c>
      <c r="I1049" s="2383">
        <v>0</v>
      </c>
      <c r="J1049" s="2413">
        <v>0</v>
      </c>
      <c r="K1049" s="2387"/>
      <c r="L1049" s="2381">
        <v>13089023312</v>
      </c>
      <c r="M1049" s="2382">
        <v>0</v>
      </c>
      <c r="N1049" s="2382">
        <v>0</v>
      </c>
      <c r="O1049" s="2382">
        <v>0</v>
      </c>
    </row>
    <row r="1050" spans="3:15">
      <c r="C1050" s="2388" t="s">
        <v>5548</v>
      </c>
      <c r="D1050" s="2385">
        <v>0</v>
      </c>
      <c r="E1050" s="2385">
        <v>0</v>
      </c>
      <c r="F1050" s="2386">
        <v>0</v>
      </c>
      <c r="G1050" s="2412" t="s">
        <v>5548</v>
      </c>
      <c r="H1050" s="2383">
        <v>0</v>
      </c>
      <c r="I1050" s="2383">
        <v>0</v>
      </c>
      <c r="J1050" s="2413">
        <v>0</v>
      </c>
      <c r="K1050" s="2387"/>
      <c r="L1050" s="2381">
        <v>13089023313</v>
      </c>
      <c r="M1050" s="2382">
        <v>0</v>
      </c>
      <c r="N1050" s="2382">
        <v>0</v>
      </c>
      <c r="O1050" s="2382">
        <v>0</v>
      </c>
    </row>
    <row r="1051" spans="3:15">
      <c r="C1051" s="2388" t="s">
        <v>5549</v>
      </c>
      <c r="D1051" s="2385">
        <v>0</v>
      </c>
      <c r="E1051" s="2385">
        <v>0</v>
      </c>
      <c r="F1051" s="2386">
        <v>0</v>
      </c>
      <c r="G1051" s="2412" t="s">
        <v>5549</v>
      </c>
      <c r="H1051" s="2383">
        <v>0</v>
      </c>
      <c r="I1051" s="2383">
        <v>0</v>
      </c>
      <c r="J1051" s="2413">
        <v>0</v>
      </c>
      <c r="K1051" s="2387"/>
      <c r="L1051" s="2381">
        <v>13089023314</v>
      </c>
      <c r="M1051" s="2382">
        <v>0</v>
      </c>
      <c r="N1051" s="2382">
        <v>0</v>
      </c>
      <c r="O1051" s="2382">
        <v>0</v>
      </c>
    </row>
    <row r="1052" spans="3:15">
      <c r="C1052" s="2388" t="s">
        <v>5550</v>
      </c>
      <c r="D1052" s="2385">
        <v>1</v>
      </c>
      <c r="E1052" s="2385">
        <v>1</v>
      </c>
      <c r="F1052" s="2386">
        <v>2</v>
      </c>
      <c r="G1052" s="2412" t="s">
        <v>5550</v>
      </c>
      <c r="H1052" s="2383">
        <v>1</v>
      </c>
      <c r="I1052" s="2383">
        <v>0</v>
      </c>
      <c r="J1052" s="2413">
        <v>1</v>
      </c>
      <c r="K1052" s="2387"/>
      <c r="L1052" s="2381">
        <v>13089023315</v>
      </c>
      <c r="M1052" s="2382">
        <v>1</v>
      </c>
      <c r="N1052" s="2382">
        <v>1</v>
      </c>
      <c r="O1052" s="2382">
        <v>2</v>
      </c>
    </row>
    <row r="1053" spans="3:15">
      <c r="C1053" s="2388" t="s">
        <v>5551</v>
      </c>
      <c r="D1053" s="2385">
        <v>0</v>
      </c>
      <c r="E1053" s="2385">
        <v>0</v>
      </c>
      <c r="F1053" s="2386">
        <v>0</v>
      </c>
      <c r="G1053" s="2412" t="s">
        <v>5551</v>
      </c>
      <c r="H1053" s="2383">
        <v>1</v>
      </c>
      <c r="I1053" s="2383">
        <v>1</v>
      </c>
      <c r="J1053" s="2413">
        <v>1</v>
      </c>
      <c r="K1053" s="2387"/>
      <c r="L1053" s="2381">
        <v>13089023316</v>
      </c>
      <c r="M1053" s="2382">
        <v>1</v>
      </c>
      <c r="N1053" s="2382">
        <v>1</v>
      </c>
      <c r="O1053" s="2382">
        <v>1</v>
      </c>
    </row>
    <row r="1054" spans="3:15">
      <c r="C1054" s="2388" t="s">
        <v>5552</v>
      </c>
      <c r="D1054" s="2385">
        <v>0</v>
      </c>
      <c r="E1054" s="2385">
        <v>0</v>
      </c>
      <c r="F1054" s="2386">
        <v>0</v>
      </c>
      <c r="G1054" s="2412" t="s">
        <v>5552</v>
      </c>
      <c r="H1054" s="2383">
        <v>0</v>
      </c>
      <c r="I1054" s="2383">
        <v>0</v>
      </c>
      <c r="J1054" s="2413">
        <v>0</v>
      </c>
      <c r="K1054" s="2387"/>
      <c r="L1054" s="2381">
        <v>13089023410</v>
      </c>
      <c r="M1054" s="2382">
        <v>0</v>
      </c>
      <c r="N1054" s="2382">
        <v>0</v>
      </c>
      <c r="O1054" s="2382">
        <v>0</v>
      </c>
    </row>
    <row r="1055" spans="3:15">
      <c r="C1055" s="2388" t="s">
        <v>5553</v>
      </c>
      <c r="D1055" s="2385">
        <v>0</v>
      </c>
      <c r="E1055" s="2385">
        <v>0</v>
      </c>
      <c r="F1055" s="2386">
        <v>0</v>
      </c>
      <c r="G1055" s="2412" t="s">
        <v>5553</v>
      </c>
      <c r="H1055" s="2383">
        <v>0</v>
      </c>
      <c r="I1055" s="2383" t="s">
        <v>4493</v>
      </c>
      <c r="J1055" s="2413">
        <v>0</v>
      </c>
      <c r="K1055" s="2387"/>
      <c r="L1055" s="2381">
        <v>13089023411</v>
      </c>
      <c r="M1055" s="2382">
        <v>0</v>
      </c>
      <c r="N1055" s="2382">
        <v>0</v>
      </c>
      <c r="O1055" s="2382">
        <v>0</v>
      </c>
    </row>
    <row r="1056" spans="3:15">
      <c r="C1056" s="2388" t="s">
        <v>5554</v>
      </c>
      <c r="D1056" s="2385">
        <v>0</v>
      </c>
      <c r="E1056" s="2385">
        <v>0</v>
      </c>
      <c r="F1056" s="2386">
        <v>0</v>
      </c>
      <c r="G1056" s="2412" t="s">
        <v>5554</v>
      </c>
      <c r="H1056" s="2383">
        <v>0</v>
      </c>
      <c r="I1056" s="2383">
        <v>0</v>
      </c>
      <c r="J1056" s="2413">
        <v>0</v>
      </c>
      <c r="K1056" s="2387"/>
      <c r="L1056" s="2381">
        <v>13089023412</v>
      </c>
      <c r="M1056" s="2382">
        <v>0</v>
      </c>
      <c r="N1056" s="2382">
        <v>0</v>
      </c>
      <c r="O1056" s="2382">
        <v>0</v>
      </c>
    </row>
    <row r="1057" spans="3:15">
      <c r="C1057" s="2388" t="s">
        <v>5555</v>
      </c>
      <c r="D1057" s="2385">
        <v>0</v>
      </c>
      <c r="E1057" s="2385">
        <v>0</v>
      </c>
      <c r="F1057" s="2386">
        <v>0</v>
      </c>
      <c r="G1057" s="2412" t="s">
        <v>5555</v>
      </c>
      <c r="H1057" s="2383">
        <v>0</v>
      </c>
      <c r="I1057" s="2383">
        <v>1</v>
      </c>
      <c r="J1057" s="2413">
        <v>0</v>
      </c>
      <c r="K1057" s="2387"/>
      <c r="L1057" s="2381">
        <v>13089023413</v>
      </c>
      <c r="M1057" s="2382">
        <v>0</v>
      </c>
      <c r="N1057" s="2382">
        <v>1</v>
      </c>
      <c r="O1057" s="2382">
        <v>0</v>
      </c>
    </row>
    <row r="1058" spans="3:15">
      <c r="C1058" s="2388" t="s">
        <v>5556</v>
      </c>
      <c r="D1058" s="2385">
        <v>0</v>
      </c>
      <c r="E1058" s="2385">
        <v>0</v>
      </c>
      <c r="F1058" s="2386">
        <v>0</v>
      </c>
      <c r="G1058" s="2412" t="s">
        <v>5556</v>
      </c>
      <c r="H1058" s="2383">
        <v>1</v>
      </c>
      <c r="I1058" s="2383">
        <v>1</v>
      </c>
      <c r="J1058" s="2413">
        <v>2</v>
      </c>
      <c r="K1058" s="2387"/>
      <c r="L1058" s="2381">
        <v>13089023414</v>
      </c>
      <c r="M1058" s="2382">
        <v>1</v>
      </c>
      <c r="N1058" s="2382">
        <v>1</v>
      </c>
      <c r="O1058" s="2382">
        <v>2</v>
      </c>
    </row>
    <row r="1059" spans="3:15">
      <c r="C1059" s="2388" t="s">
        <v>5557</v>
      </c>
      <c r="D1059" s="2385">
        <v>0</v>
      </c>
      <c r="E1059" s="2385">
        <v>0</v>
      </c>
      <c r="F1059" s="2386">
        <v>0</v>
      </c>
      <c r="G1059" s="2412" t="s">
        <v>5557</v>
      </c>
      <c r="H1059" s="2383">
        <v>0</v>
      </c>
      <c r="I1059" s="2383">
        <v>1</v>
      </c>
      <c r="J1059" s="2413">
        <v>1</v>
      </c>
      <c r="K1059" s="2387"/>
      <c r="L1059" s="2381">
        <v>13089023416</v>
      </c>
      <c r="M1059" s="2382">
        <v>0</v>
      </c>
      <c r="N1059" s="2382">
        <v>1</v>
      </c>
      <c r="O1059" s="2382">
        <v>1</v>
      </c>
    </row>
    <row r="1060" spans="3:15">
      <c r="C1060" s="2388" t="s">
        <v>5558</v>
      </c>
      <c r="D1060" s="2385">
        <v>0</v>
      </c>
      <c r="E1060" s="2385">
        <v>0</v>
      </c>
      <c r="F1060" s="2386">
        <v>0</v>
      </c>
      <c r="G1060" s="2412" t="s">
        <v>5558</v>
      </c>
      <c r="H1060" s="2383">
        <v>0</v>
      </c>
      <c r="I1060" s="2383">
        <v>0</v>
      </c>
      <c r="J1060" s="2413">
        <v>0</v>
      </c>
      <c r="K1060" s="2387"/>
      <c r="L1060" s="2381">
        <v>13089023418</v>
      </c>
      <c r="M1060" s="2382">
        <v>0</v>
      </c>
      <c r="N1060" s="2382">
        <v>0</v>
      </c>
      <c r="O1060" s="2382">
        <v>0</v>
      </c>
    </row>
    <row r="1061" spans="3:15">
      <c r="C1061" s="2388" t="s">
        <v>5559</v>
      </c>
      <c r="D1061" s="2385">
        <v>0</v>
      </c>
      <c r="E1061" s="2385">
        <v>0</v>
      </c>
      <c r="F1061" s="2386">
        <v>0</v>
      </c>
      <c r="G1061" s="2412" t="s">
        <v>5559</v>
      </c>
      <c r="H1061" s="2383">
        <v>1</v>
      </c>
      <c r="I1061" s="2383">
        <v>1</v>
      </c>
      <c r="J1061" s="2413">
        <v>2</v>
      </c>
      <c r="K1061" s="2387"/>
      <c r="L1061" s="2381">
        <v>13089023419</v>
      </c>
      <c r="M1061" s="2382">
        <v>1</v>
      </c>
      <c r="N1061" s="2382">
        <v>1</v>
      </c>
      <c r="O1061" s="2382">
        <v>2</v>
      </c>
    </row>
    <row r="1062" spans="3:15">
      <c r="C1062" s="2388" t="s">
        <v>5560</v>
      </c>
      <c r="D1062" s="2385">
        <v>0</v>
      </c>
      <c r="E1062" s="2385">
        <v>0</v>
      </c>
      <c r="F1062" s="2386">
        <v>0</v>
      </c>
      <c r="G1062" s="2412" t="s">
        <v>5560</v>
      </c>
      <c r="H1062" s="2383">
        <v>0</v>
      </c>
      <c r="I1062" s="2383">
        <v>0</v>
      </c>
      <c r="J1062" s="2413">
        <v>0</v>
      </c>
      <c r="K1062" s="2387"/>
      <c r="L1062" s="2381">
        <v>13089023421</v>
      </c>
      <c r="M1062" s="2382">
        <v>0</v>
      </c>
      <c r="N1062" s="2382">
        <v>0</v>
      </c>
      <c r="O1062" s="2382">
        <v>0</v>
      </c>
    </row>
    <row r="1063" spans="3:15">
      <c r="C1063" s="2388" t="s">
        <v>5561</v>
      </c>
      <c r="D1063" s="2385">
        <v>0</v>
      </c>
      <c r="E1063" s="2385">
        <v>0</v>
      </c>
      <c r="F1063" s="2386">
        <v>0</v>
      </c>
      <c r="G1063" s="2412" t="s">
        <v>5561</v>
      </c>
      <c r="H1063" s="2383">
        <v>0</v>
      </c>
      <c r="I1063" s="2383">
        <v>0</v>
      </c>
      <c r="J1063" s="2413">
        <v>0</v>
      </c>
      <c r="K1063" s="2387"/>
      <c r="L1063" s="2381">
        <v>13089023422</v>
      </c>
      <c r="M1063" s="2382">
        <v>0</v>
      </c>
      <c r="N1063" s="2382">
        <v>0</v>
      </c>
      <c r="O1063" s="2382">
        <v>0</v>
      </c>
    </row>
    <row r="1064" spans="3:15">
      <c r="C1064" s="2388" t="s">
        <v>5562</v>
      </c>
      <c r="D1064" s="2385">
        <v>0</v>
      </c>
      <c r="E1064" s="2385">
        <v>0</v>
      </c>
      <c r="F1064" s="2386">
        <v>0</v>
      </c>
      <c r="G1064" s="2412" t="s">
        <v>5562</v>
      </c>
      <c r="H1064" s="2383">
        <v>1</v>
      </c>
      <c r="I1064" s="2383">
        <v>0</v>
      </c>
      <c r="J1064" s="2413">
        <v>1</v>
      </c>
      <c r="K1064" s="2387"/>
      <c r="L1064" s="2381">
        <v>13089023423</v>
      </c>
      <c r="M1064" s="2382">
        <v>1</v>
      </c>
      <c r="N1064" s="2382">
        <v>0</v>
      </c>
      <c r="O1064" s="2382">
        <v>1</v>
      </c>
    </row>
    <row r="1065" spans="3:15">
      <c r="C1065" s="2388" t="s">
        <v>5563</v>
      </c>
      <c r="D1065" s="2385">
        <v>0</v>
      </c>
      <c r="E1065" s="2385">
        <v>0</v>
      </c>
      <c r="F1065" s="2386">
        <v>0</v>
      </c>
      <c r="G1065" s="2412" t="s">
        <v>5563</v>
      </c>
      <c r="H1065" s="2383">
        <v>0</v>
      </c>
      <c r="I1065" s="2383">
        <v>1</v>
      </c>
      <c r="J1065" s="2413">
        <v>1</v>
      </c>
      <c r="K1065" s="2387"/>
      <c r="L1065" s="2381">
        <v>13089023424</v>
      </c>
      <c r="M1065" s="2382">
        <v>0</v>
      </c>
      <c r="N1065" s="2382">
        <v>1</v>
      </c>
      <c r="O1065" s="2382">
        <v>1</v>
      </c>
    </row>
    <row r="1066" spans="3:15">
      <c r="C1066" s="2388" t="s">
        <v>5564</v>
      </c>
      <c r="D1066" s="2385">
        <v>0</v>
      </c>
      <c r="E1066" s="2385">
        <v>0</v>
      </c>
      <c r="F1066" s="2386">
        <v>0</v>
      </c>
      <c r="G1066" s="2412" t="s">
        <v>5564</v>
      </c>
      <c r="H1066" s="2383">
        <v>0</v>
      </c>
      <c r="I1066" s="2383">
        <v>1</v>
      </c>
      <c r="J1066" s="2413">
        <v>1</v>
      </c>
      <c r="K1066" s="2387"/>
      <c r="L1066" s="2381">
        <v>13089023425</v>
      </c>
      <c r="M1066" s="2382">
        <v>0</v>
      </c>
      <c r="N1066" s="2382">
        <v>1</v>
      </c>
      <c r="O1066" s="2382">
        <v>1</v>
      </c>
    </row>
    <row r="1067" spans="3:15">
      <c r="C1067" s="2388" t="s">
        <v>5565</v>
      </c>
      <c r="D1067" s="2385">
        <v>1</v>
      </c>
      <c r="E1067" s="2385">
        <v>0</v>
      </c>
      <c r="F1067" s="2386">
        <v>1</v>
      </c>
      <c r="G1067" s="2412" t="s">
        <v>5565</v>
      </c>
      <c r="H1067" s="2383">
        <v>1</v>
      </c>
      <c r="I1067" s="2383">
        <v>1</v>
      </c>
      <c r="J1067" s="2413">
        <v>2</v>
      </c>
      <c r="K1067" s="2387"/>
      <c r="L1067" s="2381">
        <v>13089023426</v>
      </c>
      <c r="M1067" s="2382">
        <v>1</v>
      </c>
      <c r="N1067" s="2382">
        <v>1</v>
      </c>
      <c r="O1067" s="2382">
        <v>2</v>
      </c>
    </row>
    <row r="1068" spans="3:15">
      <c r="C1068" s="2388" t="s">
        <v>5566</v>
      </c>
      <c r="D1068" s="2385">
        <v>1</v>
      </c>
      <c r="E1068" s="2385">
        <v>0</v>
      </c>
      <c r="F1068" s="2386">
        <v>1</v>
      </c>
      <c r="G1068" s="2412" t="s">
        <v>5566</v>
      </c>
      <c r="H1068" s="2383">
        <v>1</v>
      </c>
      <c r="I1068" s="2383">
        <v>0</v>
      </c>
      <c r="J1068" s="2413">
        <v>1</v>
      </c>
      <c r="K1068" s="2387"/>
      <c r="L1068" s="2381">
        <v>13089023427</v>
      </c>
      <c r="M1068" s="2382">
        <v>1</v>
      </c>
      <c r="N1068" s="2382">
        <v>0</v>
      </c>
      <c r="O1068" s="2382">
        <v>1</v>
      </c>
    </row>
    <row r="1069" spans="3:15">
      <c r="C1069" s="2388" t="s">
        <v>5567</v>
      </c>
      <c r="D1069" s="2385">
        <v>0</v>
      </c>
      <c r="E1069" s="2385">
        <v>0</v>
      </c>
      <c r="F1069" s="2386">
        <v>0</v>
      </c>
      <c r="G1069" s="2412" t="s">
        <v>5567</v>
      </c>
      <c r="H1069" s="2383">
        <v>0</v>
      </c>
      <c r="I1069" s="2383">
        <v>0</v>
      </c>
      <c r="J1069" s="2413">
        <v>0</v>
      </c>
      <c r="K1069" s="2387"/>
      <c r="L1069" s="2381">
        <v>13089023428</v>
      </c>
      <c r="M1069" s="2382">
        <v>0</v>
      </c>
      <c r="N1069" s="2382">
        <v>0</v>
      </c>
      <c r="O1069" s="2382">
        <v>0</v>
      </c>
    </row>
    <row r="1070" spans="3:15">
      <c r="C1070" s="2388" t="s">
        <v>5568</v>
      </c>
      <c r="D1070" s="2385">
        <v>0</v>
      </c>
      <c r="E1070" s="2385">
        <v>0</v>
      </c>
      <c r="F1070" s="2386">
        <v>0</v>
      </c>
      <c r="G1070" s="2412" t="s">
        <v>5568</v>
      </c>
      <c r="H1070" s="2383">
        <v>0</v>
      </c>
      <c r="I1070" s="2383">
        <v>0</v>
      </c>
      <c r="J1070" s="2413">
        <v>0</v>
      </c>
      <c r="K1070" s="2387"/>
      <c r="L1070" s="2381">
        <v>13089023501</v>
      </c>
      <c r="M1070" s="2382">
        <v>0</v>
      </c>
      <c r="N1070" s="2382">
        <v>0</v>
      </c>
      <c r="O1070" s="2382">
        <v>0</v>
      </c>
    </row>
    <row r="1071" spans="3:15">
      <c r="C1071" s="2388" t="s">
        <v>5569</v>
      </c>
      <c r="D1071" s="2385">
        <v>0</v>
      </c>
      <c r="E1071" s="2385">
        <v>0</v>
      </c>
      <c r="F1071" s="2386">
        <v>0</v>
      </c>
      <c r="G1071" s="2412" t="s">
        <v>5569</v>
      </c>
      <c r="H1071" s="2383">
        <v>0</v>
      </c>
      <c r="I1071" s="2383">
        <v>0</v>
      </c>
      <c r="J1071" s="2413">
        <v>0</v>
      </c>
      <c r="K1071" s="2387"/>
      <c r="L1071" s="2381">
        <v>13089023504</v>
      </c>
      <c r="M1071" s="2382">
        <v>0</v>
      </c>
      <c r="N1071" s="2382">
        <v>0</v>
      </c>
      <c r="O1071" s="2382">
        <v>0</v>
      </c>
    </row>
    <row r="1072" spans="3:15">
      <c r="C1072" s="2388" t="s">
        <v>5570</v>
      </c>
      <c r="D1072" s="2385">
        <v>0</v>
      </c>
      <c r="E1072" s="2385">
        <v>0</v>
      </c>
      <c r="F1072" s="2386">
        <v>0</v>
      </c>
      <c r="G1072" s="2412" t="s">
        <v>5570</v>
      </c>
      <c r="H1072" s="2383">
        <v>0</v>
      </c>
      <c r="I1072" s="2383">
        <v>0</v>
      </c>
      <c r="J1072" s="2413">
        <v>0</v>
      </c>
      <c r="K1072" s="2387"/>
      <c r="L1072" s="2381">
        <v>13089023505</v>
      </c>
      <c r="M1072" s="2382">
        <v>0</v>
      </c>
      <c r="N1072" s="2382">
        <v>0</v>
      </c>
      <c r="O1072" s="2382">
        <v>0</v>
      </c>
    </row>
    <row r="1073" spans="3:15">
      <c r="C1073" s="2388" t="s">
        <v>5571</v>
      </c>
      <c r="D1073" s="2385">
        <v>0</v>
      </c>
      <c r="E1073" s="2385">
        <v>0</v>
      </c>
      <c r="F1073" s="2386">
        <v>0</v>
      </c>
      <c r="G1073" s="2412" t="s">
        <v>5571</v>
      </c>
      <c r="H1073" s="2383">
        <v>0</v>
      </c>
      <c r="I1073" s="2383">
        <v>0</v>
      </c>
      <c r="J1073" s="2413">
        <v>0</v>
      </c>
      <c r="K1073" s="2387"/>
      <c r="L1073" s="2381">
        <v>13089023506</v>
      </c>
      <c r="M1073" s="2382">
        <v>0</v>
      </c>
      <c r="N1073" s="2382">
        <v>0</v>
      </c>
      <c r="O1073" s="2382">
        <v>0</v>
      </c>
    </row>
    <row r="1074" spans="3:15">
      <c r="C1074" s="2388" t="s">
        <v>5572</v>
      </c>
      <c r="D1074" s="2385">
        <v>0</v>
      </c>
      <c r="E1074" s="2385">
        <v>0</v>
      </c>
      <c r="F1074" s="2386">
        <v>0</v>
      </c>
      <c r="G1074" s="2412" t="s">
        <v>5572</v>
      </c>
      <c r="H1074" s="2383">
        <v>0</v>
      </c>
      <c r="I1074" s="2383">
        <v>1</v>
      </c>
      <c r="J1074" s="2413">
        <v>1</v>
      </c>
      <c r="K1074" s="2387"/>
      <c r="L1074" s="2381">
        <v>13089023507</v>
      </c>
      <c r="M1074" s="2382">
        <v>0</v>
      </c>
      <c r="N1074" s="2382">
        <v>1</v>
      </c>
      <c r="O1074" s="2382">
        <v>1</v>
      </c>
    </row>
    <row r="1075" spans="3:15">
      <c r="C1075" s="2388" t="s">
        <v>5573</v>
      </c>
      <c r="D1075" s="2385">
        <v>0</v>
      </c>
      <c r="E1075" s="2385">
        <v>0</v>
      </c>
      <c r="F1075" s="2386">
        <v>0</v>
      </c>
      <c r="G1075" s="2412" t="s">
        <v>5573</v>
      </c>
      <c r="H1075" s="2383">
        <v>0</v>
      </c>
      <c r="I1075" s="2383">
        <v>0</v>
      </c>
      <c r="J1075" s="2413">
        <v>0</v>
      </c>
      <c r="K1075" s="2387"/>
      <c r="L1075" s="2381">
        <v>13089023601</v>
      </c>
      <c r="M1075" s="2382">
        <v>0</v>
      </c>
      <c r="N1075" s="2382">
        <v>0</v>
      </c>
      <c r="O1075" s="2382">
        <v>0</v>
      </c>
    </row>
    <row r="1076" spans="3:15">
      <c r="C1076" s="2388" t="s">
        <v>5574</v>
      </c>
      <c r="D1076" s="2385">
        <v>0</v>
      </c>
      <c r="E1076" s="2385">
        <v>0</v>
      </c>
      <c r="F1076" s="2386">
        <v>0</v>
      </c>
      <c r="G1076" s="2412" t="s">
        <v>5574</v>
      </c>
      <c r="H1076" s="2383">
        <v>0</v>
      </c>
      <c r="I1076" s="2383">
        <v>0</v>
      </c>
      <c r="J1076" s="2413">
        <v>0</v>
      </c>
      <c r="K1076" s="2387"/>
      <c r="L1076" s="2381">
        <v>13089023602</v>
      </c>
      <c r="M1076" s="2382">
        <v>0</v>
      </c>
      <c r="N1076" s="2382">
        <v>0</v>
      </c>
      <c r="O1076" s="2382">
        <v>0</v>
      </c>
    </row>
    <row r="1077" spans="3:15">
      <c r="C1077" s="2388" t="s">
        <v>5575</v>
      </c>
      <c r="D1077" s="2385">
        <v>0</v>
      </c>
      <c r="E1077" s="2385">
        <v>0</v>
      </c>
      <c r="F1077" s="2386">
        <v>0</v>
      </c>
      <c r="G1077" s="2412" t="s">
        <v>5575</v>
      </c>
      <c r="H1077" s="2383">
        <v>0</v>
      </c>
      <c r="I1077" s="2383">
        <v>0</v>
      </c>
      <c r="J1077" s="2413">
        <v>0</v>
      </c>
      <c r="K1077" s="2387"/>
      <c r="L1077" s="2381">
        <v>13089023603</v>
      </c>
      <c r="M1077" s="2382">
        <v>0</v>
      </c>
      <c r="N1077" s="2382">
        <v>0</v>
      </c>
      <c r="O1077" s="2382">
        <v>0</v>
      </c>
    </row>
    <row r="1078" spans="3:15">
      <c r="C1078" s="2388" t="s">
        <v>5576</v>
      </c>
      <c r="D1078" s="2385">
        <v>0</v>
      </c>
      <c r="E1078" s="2385">
        <v>0</v>
      </c>
      <c r="F1078" s="2386">
        <v>0</v>
      </c>
      <c r="G1078" s="2412" t="s">
        <v>5576</v>
      </c>
      <c r="H1078" s="2383">
        <v>0</v>
      </c>
      <c r="I1078" s="2383" t="s">
        <v>4493</v>
      </c>
      <c r="J1078" s="2413">
        <v>0</v>
      </c>
      <c r="K1078" s="2387"/>
      <c r="L1078" s="2381">
        <v>13089023700</v>
      </c>
      <c r="M1078" s="2382">
        <v>0</v>
      </c>
      <c r="N1078" s="2382">
        <v>0</v>
      </c>
      <c r="O1078" s="2382">
        <v>0</v>
      </c>
    </row>
    <row r="1079" spans="3:15">
      <c r="C1079" s="2388" t="s">
        <v>5577</v>
      </c>
      <c r="D1079" s="2385">
        <v>1</v>
      </c>
      <c r="E1079" s="2385">
        <v>0</v>
      </c>
      <c r="F1079" s="2386">
        <v>1</v>
      </c>
      <c r="G1079" s="2412" t="s">
        <v>5577</v>
      </c>
      <c r="H1079" s="2383">
        <v>1</v>
      </c>
      <c r="I1079" s="2383">
        <v>0</v>
      </c>
      <c r="J1079" s="2413">
        <v>1</v>
      </c>
      <c r="K1079" s="2387"/>
      <c r="L1079" s="2381">
        <v>13089023801</v>
      </c>
      <c r="M1079" s="2382">
        <v>1</v>
      </c>
      <c r="N1079" s="2382">
        <v>0</v>
      </c>
      <c r="O1079" s="2382">
        <v>1</v>
      </c>
    </row>
    <row r="1080" spans="3:15">
      <c r="C1080" s="2388" t="s">
        <v>5578</v>
      </c>
      <c r="D1080" s="2385">
        <v>0</v>
      </c>
      <c r="E1080" s="2385">
        <v>0</v>
      </c>
      <c r="F1080" s="2386">
        <v>0</v>
      </c>
      <c r="G1080" s="2412" t="s">
        <v>5578</v>
      </c>
      <c r="H1080" s="2383">
        <v>0</v>
      </c>
      <c r="I1080" s="2383">
        <v>0</v>
      </c>
      <c r="J1080" s="2413">
        <v>0</v>
      </c>
      <c r="K1080" s="2387"/>
      <c r="L1080" s="2381">
        <v>13089023802</v>
      </c>
      <c r="M1080" s="2382">
        <v>0</v>
      </c>
      <c r="N1080" s="2382">
        <v>0</v>
      </c>
      <c r="O1080" s="2382">
        <v>0</v>
      </c>
    </row>
    <row r="1081" spans="3:15">
      <c r="C1081" s="2388" t="s">
        <v>5579</v>
      </c>
      <c r="D1081" s="2385">
        <v>0</v>
      </c>
      <c r="E1081" s="2385">
        <v>0</v>
      </c>
      <c r="F1081" s="2386">
        <v>0</v>
      </c>
      <c r="G1081" s="2412" t="s">
        <v>5579</v>
      </c>
      <c r="H1081" s="2383">
        <v>0</v>
      </c>
      <c r="I1081" s="2383">
        <v>0</v>
      </c>
      <c r="J1081" s="2413">
        <v>0</v>
      </c>
      <c r="K1081" s="2387"/>
      <c r="L1081" s="2381">
        <v>13089023803</v>
      </c>
      <c r="M1081" s="2382">
        <v>0</v>
      </c>
      <c r="N1081" s="2382">
        <v>0</v>
      </c>
      <c r="O1081" s="2382">
        <v>0</v>
      </c>
    </row>
    <row r="1082" spans="3:15">
      <c r="C1082" s="2388" t="s">
        <v>5580</v>
      </c>
      <c r="D1082" s="2385" t="s">
        <v>4493</v>
      </c>
      <c r="E1082" s="2385" t="s">
        <v>4493</v>
      </c>
      <c r="F1082" s="2386">
        <v>0</v>
      </c>
      <c r="G1082" s="2412" t="s">
        <v>5580</v>
      </c>
      <c r="H1082" s="2383" t="s">
        <v>4493</v>
      </c>
      <c r="I1082" s="2383" t="s">
        <v>4493</v>
      </c>
      <c r="J1082" s="2413">
        <v>0</v>
      </c>
      <c r="K1082" s="2387"/>
      <c r="L1082" s="2381">
        <v>13089980000</v>
      </c>
      <c r="M1082" s="2382">
        <v>0</v>
      </c>
      <c r="N1082" s="2382">
        <v>0</v>
      </c>
      <c r="O1082" s="2382">
        <v>0</v>
      </c>
    </row>
    <row r="1083" spans="3:15">
      <c r="C1083" s="2388" t="s">
        <v>5581</v>
      </c>
      <c r="D1083" s="2385">
        <v>0</v>
      </c>
      <c r="E1083" s="2385">
        <v>0</v>
      </c>
      <c r="F1083" s="2386">
        <v>0</v>
      </c>
      <c r="G1083" s="2412" t="s">
        <v>5581</v>
      </c>
      <c r="H1083" s="2383">
        <v>0</v>
      </c>
      <c r="I1083" s="2383">
        <v>1</v>
      </c>
      <c r="J1083" s="2413">
        <v>1</v>
      </c>
      <c r="K1083" s="2387"/>
      <c r="L1083" s="2381">
        <v>13091960100</v>
      </c>
      <c r="M1083" s="2382">
        <v>0</v>
      </c>
      <c r="N1083" s="2382">
        <v>1</v>
      </c>
      <c r="O1083" s="2382">
        <v>1</v>
      </c>
    </row>
    <row r="1084" spans="3:15">
      <c r="C1084" s="2388" t="s">
        <v>5582</v>
      </c>
      <c r="D1084" s="2385">
        <v>0</v>
      </c>
      <c r="E1084" s="2385">
        <v>0</v>
      </c>
      <c r="F1084" s="2386">
        <v>0</v>
      </c>
      <c r="G1084" s="2412" t="s">
        <v>5582</v>
      </c>
      <c r="H1084" s="2383">
        <v>0</v>
      </c>
      <c r="I1084" s="2383">
        <v>0</v>
      </c>
      <c r="J1084" s="2413">
        <v>0</v>
      </c>
      <c r="K1084" s="2387"/>
      <c r="L1084" s="2381">
        <v>13091960200</v>
      </c>
      <c r="M1084" s="2382">
        <v>0</v>
      </c>
      <c r="N1084" s="2382">
        <v>0</v>
      </c>
      <c r="O1084" s="2382">
        <v>0</v>
      </c>
    </row>
    <row r="1085" spans="3:15">
      <c r="C1085" s="2388" t="s">
        <v>5583</v>
      </c>
      <c r="D1085" s="2385">
        <v>0</v>
      </c>
      <c r="E1085" s="2385">
        <v>1</v>
      </c>
      <c r="F1085" s="2386">
        <v>1</v>
      </c>
      <c r="G1085" s="2412" t="s">
        <v>5583</v>
      </c>
      <c r="H1085" s="2383">
        <v>0</v>
      </c>
      <c r="I1085" s="2383">
        <v>1</v>
      </c>
      <c r="J1085" s="2413">
        <v>1</v>
      </c>
      <c r="K1085" s="2387"/>
      <c r="L1085" s="2381">
        <v>13091960300</v>
      </c>
      <c r="M1085" s="2382">
        <v>0</v>
      </c>
      <c r="N1085" s="2382">
        <v>1</v>
      </c>
      <c r="O1085" s="2382">
        <v>1</v>
      </c>
    </row>
    <row r="1086" spans="3:15">
      <c r="C1086" s="2388" t="s">
        <v>5584</v>
      </c>
      <c r="D1086" s="2385">
        <v>0</v>
      </c>
      <c r="E1086" s="2385">
        <v>0</v>
      </c>
      <c r="F1086" s="2386">
        <v>0</v>
      </c>
      <c r="G1086" s="2412" t="s">
        <v>5584</v>
      </c>
      <c r="H1086" s="2383">
        <v>0</v>
      </c>
      <c r="I1086" s="2383">
        <v>0</v>
      </c>
      <c r="J1086" s="2413">
        <v>0</v>
      </c>
      <c r="K1086" s="2387"/>
      <c r="L1086" s="2381">
        <v>13091960400</v>
      </c>
      <c r="M1086" s="2382">
        <v>0</v>
      </c>
      <c r="N1086" s="2382">
        <v>0</v>
      </c>
      <c r="O1086" s="2382">
        <v>0</v>
      </c>
    </row>
    <row r="1087" spans="3:15">
      <c r="C1087" s="2388" t="s">
        <v>5585</v>
      </c>
      <c r="D1087" s="2385">
        <v>0</v>
      </c>
      <c r="E1087" s="2385">
        <v>0</v>
      </c>
      <c r="F1087" s="2386">
        <v>0</v>
      </c>
      <c r="G1087" s="2412" t="s">
        <v>5585</v>
      </c>
      <c r="H1087" s="2383">
        <v>0</v>
      </c>
      <c r="I1087" s="2383" t="s">
        <v>4493</v>
      </c>
      <c r="J1087" s="2413">
        <v>0</v>
      </c>
      <c r="K1087" s="2387"/>
      <c r="L1087" s="2381">
        <v>13091960500</v>
      </c>
      <c r="M1087" s="2382">
        <v>0</v>
      </c>
      <c r="N1087" s="2382">
        <v>0</v>
      </c>
      <c r="O1087" s="2382">
        <v>0</v>
      </c>
    </row>
    <row r="1088" spans="3:15">
      <c r="C1088" s="2388" t="s">
        <v>5586</v>
      </c>
      <c r="D1088" s="2385">
        <v>0</v>
      </c>
      <c r="E1088" s="2385">
        <v>0</v>
      </c>
      <c r="F1088" s="2386">
        <v>0</v>
      </c>
      <c r="G1088" s="2412" t="s">
        <v>5586</v>
      </c>
      <c r="H1088" s="2383">
        <v>0</v>
      </c>
      <c r="I1088" s="2383">
        <v>0</v>
      </c>
      <c r="J1088" s="2413">
        <v>0</v>
      </c>
      <c r="K1088" s="2387"/>
      <c r="L1088" s="2381">
        <v>13091960600</v>
      </c>
      <c r="M1088" s="2382">
        <v>0</v>
      </c>
      <c r="N1088" s="2382">
        <v>0</v>
      </c>
      <c r="O1088" s="2382">
        <v>0</v>
      </c>
    </row>
    <row r="1089" spans="3:15">
      <c r="C1089" s="2388" t="s">
        <v>5587</v>
      </c>
      <c r="D1089" s="2385">
        <v>0</v>
      </c>
      <c r="E1089" s="2385">
        <v>0</v>
      </c>
      <c r="F1089" s="2386">
        <v>0</v>
      </c>
      <c r="G1089" s="2412" t="s">
        <v>5587</v>
      </c>
      <c r="H1089" s="2383">
        <v>0</v>
      </c>
      <c r="I1089" s="2383">
        <v>1</v>
      </c>
      <c r="J1089" s="2413">
        <v>1</v>
      </c>
      <c r="K1089" s="2387"/>
      <c r="L1089" s="2381">
        <v>13093970100</v>
      </c>
      <c r="M1089" s="2382">
        <v>0</v>
      </c>
      <c r="N1089" s="2382">
        <v>1</v>
      </c>
      <c r="O1089" s="2382">
        <v>1</v>
      </c>
    </row>
    <row r="1090" spans="3:15">
      <c r="C1090" s="2388" t="s">
        <v>5588</v>
      </c>
      <c r="D1090" s="2385">
        <v>0</v>
      </c>
      <c r="E1090" s="2385">
        <v>0</v>
      </c>
      <c r="F1090" s="2386">
        <v>0</v>
      </c>
      <c r="G1090" s="2412" t="s">
        <v>5588</v>
      </c>
      <c r="H1090" s="2383">
        <v>0</v>
      </c>
      <c r="I1090" s="2383">
        <v>0</v>
      </c>
      <c r="J1090" s="2413">
        <v>0</v>
      </c>
      <c r="K1090" s="2387"/>
      <c r="L1090" s="2381">
        <v>13093970200</v>
      </c>
      <c r="M1090" s="2382">
        <v>0</v>
      </c>
      <c r="N1090" s="2382">
        <v>0</v>
      </c>
      <c r="O1090" s="2382">
        <v>0</v>
      </c>
    </row>
    <row r="1091" spans="3:15">
      <c r="C1091" s="2388" t="s">
        <v>5589</v>
      </c>
      <c r="D1091" s="2385">
        <v>0</v>
      </c>
      <c r="E1091" s="2385">
        <v>0</v>
      </c>
      <c r="F1091" s="2386">
        <v>0</v>
      </c>
      <c r="G1091" s="2412" t="s">
        <v>5589</v>
      </c>
      <c r="H1091" s="2383">
        <v>0</v>
      </c>
      <c r="I1091" s="2383">
        <v>1</v>
      </c>
      <c r="J1091" s="2413">
        <v>1</v>
      </c>
      <c r="K1091" s="2387"/>
      <c r="L1091" s="2381">
        <v>13093970300</v>
      </c>
      <c r="M1091" s="2382">
        <v>0</v>
      </c>
      <c r="N1091" s="2382">
        <v>1</v>
      </c>
      <c r="O1091" s="2382">
        <v>1</v>
      </c>
    </row>
    <row r="1092" spans="3:15">
      <c r="C1092" s="2388" t="s">
        <v>5590</v>
      </c>
      <c r="D1092" s="2385">
        <v>0</v>
      </c>
      <c r="E1092" s="2385">
        <v>0</v>
      </c>
      <c r="F1092" s="2386">
        <v>0</v>
      </c>
      <c r="G1092" s="2412" t="s">
        <v>5590</v>
      </c>
      <c r="H1092" s="2383">
        <v>0</v>
      </c>
      <c r="I1092" s="2383">
        <v>0</v>
      </c>
      <c r="J1092" s="2413">
        <v>0</v>
      </c>
      <c r="K1092" s="2387"/>
      <c r="L1092" s="2381">
        <v>13095000100</v>
      </c>
      <c r="M1092" s="2382">
        <v>0</v>
      </c>
      <c r="N1092" s="2382">
        <v>0</v>
      </c>
      <c r="O1092" s="2382">
        <v>0</v>
      </c>
    </row>
    <row r="1093" spans="3:15">
      <c r="C1093" s="2388" t="s">
        <v>5591</v>
      </c>
      <c r="D1093" s="2385">
        <v>0</v>
      </c>
      <c r="E1093" s="2385">
        <v>0</v>
      </c>
      <c r="F1093" s="2386">
        <v>0</v>
      </c>
      <c r="G1093" s="2412" t="s">
        <v>5591</v>
      </c>
      <c r="H1093" s="2383">
        <v>0</v>
      </c>
      <c r="I1093" s="2383">
        <v>0</v>
      </c>
      <c r="J1093" s="2413">
        <v>0</v>
      </c>
      <c r="K1093" s="2387"/>
      <c r="L1093" s="2381">
        <v>13095000200</v>
      </c>
      <c r="M1093" s="2382">
        <v>0</v>
      </c>
      <c r="N1093" s="2382">
        <v>0</v>
      </c>
      <c r="O1093" s="2382">
        <v>0</v>
      </c>
    </row>
    <row r="1094" spans="3:15">
      <c r="C1094" s="2388" t="s">
        <v>5592</v>
      </c>
      <c r="D1094" s="2385">
        <v>0</v>
      </c>
      <c r="E1094" s="2385">
        <v>0</v>
      </c>
      <c r="F1094" s="2386">
        <v>0</v>
      </c>
      <c r="G1094" s="2412" t="s">
        <v>5592</v>
      </c>
      <c r="H1094" s="2383">
        <v>0</v>
      </c>
      <c r="I1094" s="2383">
        <v>1</v>
      </c>
      <c r="J1094" s="2413">
        <v>1</v>
      </c>
      <c r="K1094" s="2387"/>
      <c r="L1094" s="2381">
        <v>13095000400</v>
      </c>
      <c r="M1094" s="2382">
        <v>0</v>
      </c>
      <c r="N1094" s="2382">
        <v>1</v>
      </c>
      <c r="O1094" s="2382">
        <v>1</v>
      </c>
    </row>
    <row r="1095" spans="3:15">
      <c r="C1095" s="2388" t="s">
        <v>5593</v>
      </c>
      <c r="D1095" s="2385">
        <v>1</v>
      </c>
      <c r="E1095" s="2385">
        <v>0</v>
      </c>
      <c r="F1095" s="2386">
        <v>1</v>
      </c>
      <c r="G1095" s="2412" t="s">
        <v>5593</v>
      </c>
      <c r="H1095" s="2383">
        <v>1</v>
      </c>
      <c r="I1095" s="2383">
        <v>1</v>
      </c>
      <c r="J1095" s="2413">
        <v>2</v>
      </c>
      <c r="K1095" s="2387"/>
      <c r="L1095" s="2381">
        <v>13095000501</v>
      </c>
      <c r="M1095" s="2382">
        <v>1</v>
      </c>
      <c r="N1095" s="2382">
        <v>1</v>
      </c>
      <c r="O1095" s="2382">
        <v>2</v>
      </c>
    </row>
    <row r="1096" spans="3:15">
      <c r="C1096" s="2388" t="s">
        <v>5594</v>
      </c>
      <c r="D1096" s="2385">
        <v>1</v>
      </c>
      <c r="E1096" s="2385">
        <v>1</v>
      </c>
      <c r="F1096" s="2386">
        <v>2</v>
      </c>
      <c r="G1096" s="2412" t="s">
        <v>5594</v>
      </c>
      <c r="H1096" s="2383">
        <v>1</v>
      </c>
      <c r="I1096" s="2383">
        <v>1</v>
      </c>
      <c r="J1096" s="2413">
        <v>2</v>
      </c>
      <c r="K1096" s="2387"/>
      <c r="L1096" s="2381">
        <v>13095000502</v>
      </c>
      <c r="M1096" s="2382">
        <v>1</v>
      </c>
      <c r="N1096" s="2382">
        <v>1</v>
      </c>
      <c r="O1096" s="2382">
        <v>2</v>
      </c>
    </row>
    <row r="1097" spans="3:15">
      <c r="C1097" s="2388" t="s">
        <v>5595</v>
      </c>
      <c r="D1097" s="2385">
        <v>0</v>
      </c>
      <c r="E1097" s="2385">
        <v>0</v>
      </c>
      <c r="F1097" s="2386">
        <v>0</v>
      </c>
      <c r="G1097" s="2412" t="s">
        <v>5595</v>
      </c>
      <c r="H1097" s="2383">
        <v>0</v>
      </c>
      <c r="I1097" s="2383">
        <v>0</v>
      </c>
      <c r="J1097" s="2413">
        <v>0</v>
      </c>
      <c r="K1097" s="2387"/>
      <c r="L1097" s="2381">
        <v>13095000600</v>
      </c>
      <c r="M1097" s="2382">
        <v>0</v>
      </c>
      <c r="N1097" s="2382">
        <v>0</v>
      </c>
      <c r="O1097" s="2382">
        <v>0</v>
      </c>
    </row>
    <row r="1098" spans="3:15">
      <c r="C1098" s="2388" t="s">
        <v>5596</v>
      </c>
      <c r="D1098" s="2385">
        <v>0</v>
      </c>
      <c r="E1098" s="2385">
        <v>0</v>
      </c>
      <c r="F1098" s="2386">
        <v>0</v>
      </c>
      <c r="G1098" s="2412" t="s">
        <v>5596</v>
      </c>
      <c r="H1098" s="2383">
        <v>1</v>
      </c>
      <c r="I1098" s="2383">
        <v>0</v>
      </c>
      <c r="J1098" s="2413">
        <v>1</v>
      </c>
      <c r="K1098" s="2387"/>
      <c r="L1098" s="2381">
        <v>13095000700</v>
      </c>
      <c r="M1098" s="2382">
        <v>1</v>
      </c>
      <c r="N1098" s="2382">
        <v>0</v>
      </c>
      <c r="O1098" s="2382">
        <v>1</v>
      </c>
    </row>
    <row r="1099" spans="3:15">
      <c r="C1099" s="2388" t="s">
        <v>5597</v>
      </c>
      <c r="D1099" s="2385">
        <v>0</v>
      </c>
      <c r="E1099" s="2385">
        <v>0</v>
      </c>
      <c r="F1099" s="2386">
        <v>0</v>
      </c>
      <c r="G1099" s="2412" t="s">
        <v>5597</v>
      </c>
      <c r="H1099" s="2383">
        <v>0</v>
      </c>
      <c r="I1099" s="2383">
        <v>0</v>
      </c>
      <c r="J1099" s="2413">
        <v>0</v>
      </c>
      <c r="K1099" s="2387"/>
      <c r="L1099" s="2381">
        <v>13095000800</v>
      </c>
      <c r="M1099" s="2382">
        <v>0</v>
      </c>
      <c r="N1099" s="2382">
        <v>0</v>
      </c>
      <c r="O1099" s="2382">
        <v>0</v>
      </c>
    </row>
    <row r="1100" spans="3:15">
      <c r="C1100" s="2388" t="s">
        <v>5598</v>
      </c>
      <c r="D1100" s="2385">
        <v>0</v>
      </c>
      <c r="E1100" s="2385">
        <v>0</v>
      </c>
      <c r="F1100" s="2386">
        <v>0</v>
      </c>
      <c r="G1100" s="2412" t="s">
        <v>5598</v>
      </c>
      <c r="H1100" s="2383">
        <v>0</v>
      </c>
      <c r="I1100" s="2383">
        <v>0</v>
      </c>
      <c r="J1100" s="2413">
        <v>0</v>
      </c>
      <c r="K1100" s="2387"/>
      <c r="L1100" s="2381">
        <v>13095000900</v>
      </c>
      <c r="M1100" s="2382">
        <v>0</v>
      </c>
      <c r="N1100" s="2382">
        <v>0</v>
      </c>
      <c r="O1100" s="2382">
        <v>0</v>
      </c>
    </row>
    <row r="1101" spans="3:15">
      <c r="C1101" s="2388" t="s">
        <v>5599</v>
      </c>
      <c r="D1101" s="2385">
        <v>0</v>
      </c>
      <c r="E1101" s="2385">
        <v>0</v>
      </c>
      <c r="F1101" s="2386">
        <v>0</v>
      </c>
      <c r="G1101" s="2412" t="s">
        <v>5599</v>
      </c>
      <c r="H1101" s="2383">
        <v>0</v>
      </c>
      <c r="I1101" s="2383">
        <v>0</v>
      </c>
      <c r="J1101" s="2413">
        <v>0</v>
      </c>
      <c r="K1101" s="2387"/>
      <c r="L1101" s="2381">
        <v>13095001000</v>
      </c>
      <c r="M1101" s="2382">
        <v>0</v>
      </c>
      <c r="N1101" s="2382">
        <v>0</v>
      </c>
      <c r="O1101" s="2382">
        <v>0</v>
      </c>
    </row>
    <row r="1102" spans="3:15">
      <c r="C1102" s="2388" t="s">
        <v>5600</v>
      </c>
      <c r="D1102" s="2385">
        <v>0</v>
      </c>
      <c r="E1102" s="2385">
        <v>0</v>
      </c>
      <c r="F1102" s="2386">
        <v>0</v>
      </c>
      <c r="G1102" s="2412" t="s">
        <v>5600</v>
      </c>
      <c r="H1102" s="2383">
        <v>0</v>
      </c>
      <c r="I1102" s="2383">
        <v>0</v>
      </c>
      <c r="J1102" s="2413">
        <v>0</v>
      </c>
      <c r="K1102" s="2387"/>
      <c r="L1102" s="2381">
        <v>13095001100</v>
      </c>
      <c r="M1102" s="2382">
        <v>0</v>
      </c>
      <c r="N1102" s="2382">
        <v>0</v>
      </c>
      <c r="O1102" s="2382">
        <v>0</v>
      </c>
    </row>
    <row r="1103" spans="3:15">
      <c r="C1103" s="2388" t="s">
        <v>5601</v>
      </c>
      <c r="D1103" s="2385">
        <v>0</v>
      </c>
      <c r="E1103" s="2385">
        <v>0</v>
      </c>
      <c r="F1103" s="2386">
        <v>0</v>
      </c>
      <c r="G1103" s="2412" t="s">
        <v>5601</v>
      </c>
      <c r="H1103" s="2383">
        <v>0</v>
      </c>
      <c r="I1103" s="2383" t="s">
        <v>4493</v>
      </c>
      <c r="J1103" s="2413">
        <v>0</v>
      </c>
      <c r="K1103" s="2387"/>
      <c r="L1103" s="2381">
        <v>13095001403</v>
      </c>
      <c r="M1103" s="2382">
        <v>0</v>
      </c>
      <c r="N1103" s="2382">
        <v>0</v>
      </c>
      <c r="O1103" s="2382">
        <v>0</v>
      </c>
    </row>
    <row r="1104" spans="3:15">
      <c r="C1104" s="2388" t="s">
        <v>5602</v>
      </c>
      <c r="D1104" s="2385">
        <v>0</v>
      </c>
      <c r="E1104" s="2385">
        <v>0</v>
      </c>
      <c r="F1104" s="2386">
        <v>0</v>
      </c>
      <c r="G1104" s="2412" t="s">
        <v>5602</v>
      </c>
      <c r="H1104" s="2383">
        <v>0</v>
      </c>
      <c r="I1104" s="2383">
        <v>0</v>
      </c>
      <c r="J1104" s="2413">
        <v>0</v>
      </c>
      <c r="K1104" s="2387"/>
      <c r="L1104" s="2381">
        <v>13095001500</v>
      </c>
      <c r="M1104" s="2382">
        <v>0</v>
      </c>
      <c r="N1104" s="2382">
        <v>0</v>
      </c>
      <c r="O1104" s="2382">
        <v>0</v>
      </c>
    </row>
    <row r="1105" spans="3:15">
      <c r="C1105" s="2388" t="s">
        <v>5603</v>
      </c>
      <c r="D1105" s="2385">
        <v>0</v>
      </c>
      <c r="E1105" s="2385">
        <v>0</v>
      </c>
      <c r="F1105" s="2386">
        <v>0</v>
      </c>
      <c r="G1105" s="2412" t="s">
        <v>5603</v>
      </c>
      <c r="H1105" s="2383">
        <v>0</v>
      </c>
      <c r="I1105" s="2383">
        <v>0</v>
      </c>
      <c r="J1105" s="2413">
        <v>0</v>
      </c>
      <c r="K1105" s="2387"/>
      <c r="L1105" s="2381">
        <v>13095010302</v>
      </c>
      <c r="M1105" s="2382">
        <v>0</v>
      </c>
      <c r="N1105" s="2382">
        <v>0</v>
      </c>
      <c r="O1105" s="2382">
        <v>0</v>
      </c>
    </row>
    <row r="1106" spans="3:15">
      <c r="C1106" s="2388" t="s">
        <v>5604</v>
      </c>
      <c r="D1106" s="2385">
        <v>1</v>
      </c>
      <c r="E1106" s="2385">
        <v>1</v>
      </c>
      <c r="F1106" s="2386">
        <v>2</v>
      </c>
      <c r="G1106" s="2412" t="s">
        <v>5604</v>
      </c>
      <c r="H1106" s="2383">
        <v>1</v>
      </c>
      <c r="I1106" s="2383">
        <v>1</v>
      </c>
      <c r="J1106" s="2413">
        <v>2</v>
      </c>
      <c r="K1106" s="2387"/>
      <c r="L1106" s="2381">
        <v>13095010401</v>
      </c>
      <c r="M1106" s="2382">
        <v>1</v>
      </c>
      <c r="N1106" s="2382">
        <v>1</v>
      </c>
      <c r="O1106" s="2382">
        <v>2</v>
      </c>
    </row>
    <row r="1107" spans="3:15">
      <c r="C1107" s="2388" t="s">
        <v>5605</v>
      </c>
      <c r="D1107" s="2385">
        <v>0</v>
      </c>
      <c r="E1107" s="2385">
        <v>0</v>
      </c>
      <c r="F1107" s="2386">
        <v>0</v>
      </c>
      <c r="G1107" s="2412" t="s">
        <v>5605</v>
      </c>
      <c r="H1107" s="2383">
        <v>0</v>
      </c>
      <c r="I1107" s="2383">
        <v>1</v>
      </c>
      <c r="J1107" s="2413">
        <v>1</v>
      </c>
      <c r="K1107" s="2387"/>
      <c r="L1107" s="2381">
        <v>13095010402</v>
      </c>
      <c r="M1107" s="2382">
        <v>0</v>
      </c>
      <c r="N1107" s="2382">
        <v>1</v>
      </c>
      <c r="O1107" s="2382">
        <v>1</v>
      </c>
    </row>
    <row r="1108" spans="3:15">
      <c r="C1108" s="2388" t="s">
        <v>5606</v>
      </c>
      <c r="D1108" s="2385">
        <v>1</v>
      </c>
      <c r="E1108" s="2385">
        <v>1</v>
      </c>
      <c r="F1108" s="2386">
        <v>2</v>
      </c>
      <c r="G1108" s="2412" t="s">
        <v>5606</v>
      </c>
      <c r="H1108" s="2383">
        <v>1</v>
      </c>
      <c r="I1108" s="2383">
        <v>0</v>
      </c>
      <c r="J1108" s="2413">
        <v>1</v>
      </c>
      <c r="K1108" s="2387"/>
      <c r="L1108" s="2381">
        <v>13095010403</v>
      </c>
      <c r="M1108" s="2382">
        <v>1</v>
      </c>
      <c r="N1108" s="2382">
        <v>1</v>
      </c>
      <c r="O1108" s="2382">
        <v>2</v>
      </c>
    </row>
    <row r="1109" spans="3:15">
      <c r="C1109" s="2388" t="s">
        <v>5607</v>
      </c>
      <c r="D1109" s="2385">
        <v>0</v>
      </c>
      <c r="E1109" s="2385">
        <v>0</v>
      </c>
      <c r="F1109" s="2386">
        <v>0</v>
      </c>
      <c r="G1109" s="2412" t="s">
        <v>5607</v>
      </c>
      <c r="H1109" s="2383">
        <v>0</v>
      </c>
      <c r="I1109" s="2383">
        <v>0</v>
      </c>
      <c r="J1109" s="2413">
        <v>0</v>
      </c>
      <c r="K1109" s="2387"/>
      <c r="L1109" s="2381">
        <v>13095010500</v>
      </c>
      <c r="M1109" s="2382">
        <v>0</v>
      </c>
      <c r="N1109" s="2382">
        <v>0</v>
      </c>
      <c r="O1109" s="2382">
        <v>0</v>
      </c>
    </row>
    <row r="1110" spans="3:15">
      <c r="C1110" s="2388" t="s">
        <v>5608</v>
      </c>
      <c r="D1110" s="2385">
        <v>0</v>
      </c>
      <c r="E1110" s="2385">
        <v>0</v>
      </c>
      <c r="F1110" s="2386">
        <v>0</v>
      </c>
      <c r="G1110" s="2412" t="s">
        <v>5608</v>
      </c>
      <c r="H1110" s="2383">
        <v>0</v>
      </c>
      <c r="I1110" s="2383">
        <v>0</v>
      </c>
      <c r="J1110" s="2413">
        <v>0</v>
      </c>
      <c r="K1110" s="2387"/>
      <c r="L1110" s="2381">
        <v>13095010601</v>
      </c>
      <c r="M1110" s="2382">
        <v>0</v>
      </c>
      <c r="N1110" s="2382">
        <v>0</v>
      </c>
      <c r="O1110" s="2382">
        <v>0</v>
      </c>
    </row>
    <row r="1111" spans="3:15">
      <c r="C1111" s="2388" t="s">
        <v>5609</v>
      </c>
      <c r="D1111" s="2385">
        <v>0</v>
      </c>
      <c r="E1111" s="2385">
        <v>0</v>
      </c>
      <c r="F1111" s="2386">
        <v>0</v>
      </c>
      <c r="G1111" s="2412" t="s">
        <v>5609</v>
      </c>
      <c r="H1111" s="2383">
        <v>0</v>
      </c>
      <c r="I1111" s="2383">
        <v>0</v>
      </c>
      <c r="J1111" s="2413">
        <v>0</v>
      </c>
      <c r="K1111" s="2387"/>
      <c r="L1111" s="2381">
        <v>13095010602</v>
      </c>
      <c r="M1111" s="2382">
        <v>0</v>
      </c>
      <c r="N1111" s="2382">
        <v>0</v>
      </c>
      <c r="O1111" s="2382">
        <v>0</v>
      </c>
    </row>
    <row r="1112" spans="3:15">
      <c r="C1112" s="2388" t="s">
        <v>5610</v>
      </c>
      <c r="D1112" s="2385">
        <v>0</v>
      </c>
      <c r="E1112" s="2385">
        <v>0</v>
      </c>
      <c r="F1112" s="2386">
        <v>0</v>
      </c>
      <c r="G1112" s="2412" t="s">
        <v>5610</v>
      </c>
      <c r="H1112" s="2383">
        <v>0</v>
      </c>
      <c r="I1112" s="2383">
        <v>0</v>
      </c>
      <c r="J1112" s="2413">
        <v>0</v>
      </c>
      <c r="K1112" s="2387"/>
      <c r="L1112" s="2381">
        <v>13095010700</v>
      </c>
      <c r="M1112" s="2382">
        <v>0</v>
      </c>
      <c r="N1112" s="2382">
        <v>0</v>
      </c>
      <c r="O1112" s="2382">
        <v>0</v>
      </c>
    </row>
    <row r="1113" spans="3:15">
      <c r="C1113" s="2388" t="s">
        <v>5611</v>
      </c>
      <c r="D1113" s="2385">
        <v>0</v>
      </c>
      <c r="E1113" s="2385">
        <v>0</v>
      </c>
      <c r="F1113" s="2386">
        <v>0</v>
      </c>
      <c r="G1113" s="2412" t="s">
        <v>5611</v>
      </c>
      <c r="H1113" s="2383">
        <v>0</v>
      </c>
      <c r="I1113" s="2383">
        <v>1</v>
      </c>
      <c r="J1113" s="2413">
        <v>1</v>
      </c>
      <c r="K1113" s="2387"/>
      <c r="L1113" s="2381">
        <v>13095010900</v>
      </c>
      <c r="M1113" s="2382">
        <v>0</v>
      </c>
      <c r="N1113" s="2382">
        <v>1</v>
      </c>
      <c r="O1113" s="2382">
        <v>1</v>
      </c>
    </row>
    <row r="1114" spans="3:15">
      <c r="C1114" s="2388" t="s">
        <v>5612</v>
      </c>
      <c r="D1114" s="2385">
        <v>0</v>
      </c>
      <c r="E1114" s="2385">
        <v>0</v>
      </c>
      <c r="F1114" s="2386">
        <v>0</v>
      </c>
      <c r="G1114" s="2412" t="s">
        <v>5612</v>
      </c>
      <c r="H1114" s="2383">
        <v>0</v>
      </c>
      <c r="I1114" s="2383">
        <v>0</v>
      </c>
      <c r="J1114" s="2413">
        <v>0</v>
      </c>
      <c r="K1114" s="2387"/>
      <c r="L1114" s="2381">
        <v>13095011000</v>
      </c>
      <c r="M1114" s="2382">
        <v>0</v>
      </c>
      <c r="N1114" s="2382">
        <v>0</v>
      </c>
      <c r="O1114" s="2382">
        <v>0</v>
      </c>
    </row>
    <row r="1115" spans="3:15">
      <c r="C1115" s="2388" t="s">
        <v>5613</v>
      </c>
      <c r="D1115" s="2385">
        <v>0</v>
      </c>
      <c r="E1115" s="2385">
        <v>0</v>
      </c>
      <c r="F1115" s="2386">
        <v>0</v>
      </c>
      <c r="G1115" s="2412" t="s">
        <v>5613</v>
      </c>
      <c r="H1115" s="2383">
        <v>0</v>
      </c>
      <c r="I1115" s="2383">
        <v>0</v>
      </c>
      <c r="J1115" s="2413">
        <v>0</v>
      </c>
      <c r="K1115" s="2387"/>
      <c r="L1115" s="2381">
        <v>13095011200</v>
      </c>
      <c r="M1115" s="2382">
        <v>0</v>
      </c>
      <c r="N1115" s="2382">
        <v>0</v>
      </c>
      <c r="O1115" s="2382">
        <v>0</v>
      </c>
    </row>
    <row r="1116" spans="3:15">
      <c r="C1116" s="2388" t="s">
        <v>5614</v>
      </c>
      <c r="D1116" s="2385">
        <v>0</v>
      </c>
      <c r="E1116" s="2385">
        <v>0</v>
      </c>
      <c r="F1116" s="2386">
        <v>0</v>
      </c>
      <c r="G1116" s="2412" t="s">
        <v>5614</v>
      </c>
      <c r="H1116" s="2383">
        <v>0</v>
      </c>
      <c r="I1116" s="2383">
        <v>0</v>
      </c>
      <c r="J1116" s="2413">
        <v>0</v>
      </c>
      <c r="K1116" s="2387"/>
      <c r="L1116" s="2381">
        <v>13095011300</v>
      </c>
      <c r="M1116" s="2382">
        <v>0</v>
      </c>
      <c r="N1116" s="2382">
        <v>0</v>
      </c>
      <c r="O1116" s="2382">
        <v>0</v>
      </c>
    </row>
    <row r="1117" spans="3:15">
      <c r="C1117" s="2388" t="s">
        <v>5615</v>
      </c>
      <c r="D1117" s="2385">
        <v>0</v>
      </c>
      <c r="E1117" s="2385">
        <v>0</v>
      </c>
      <c r="F1117" s="2386">
        <v>0</v>
      </c>
      <c r="G1117" s="2412" t="s">
        <v>5615</v>
      </c>
      <c r="H1117" s="2383">
        <v>0</v>
      </c>
      <c r="I1117" s="2383">
        <v>0</v>
      </c>
      <c r="J1117" s="2413">
        <v>0</v>
      </c>
      <c r="K1117" s="2387"/>
      <c r="L1117" s="2381">
        <v>13095011400</v>
      </c>
      <c r="M1117" s="2382">
        <v>0</v>
      </c>
      <c r="N1117" s="2382">
        <v>0</v>
      </c>
      <c r="O1117" s="2382">
        <v>0</v>
      </c>
    </row>
    <row r="1118" spans="3:15">
      <c r="C1118" s="2388" t="s">
        <v>5616</v>
      </c>
      <c r="D1118" s="2385">
        <v>0</v>
      </c>
      <c r="E1118" s="2385">
        <v>1</v>
      </c>
      <c r="F1118" s="2386">
        <v>1</v>
      </c>
      <c r="G1118" s="2412" t="s">
        <v>5616</v>
      </c>
      <c r="H1118" s="2383">
        <v>0</v>
      </c>
      <c r="I1118" s="2383">
        <v>0</v>
      </c>
      <c r="J1118" s="2413">
        <v>0</v>
      </c>
      <c r="K1118" s="2387"/>
      <c r="L1118" s="2381">
        <v>13095011600</v>
      </c>
      <c r="M1118" s="2382">
        <v>0</v>
      </c>
      <c r="N1118" s="2382">
        <v>1</v>
      </c>
      <c r="O1118" s="2382">
        <v>1</v>
      </c>
    </row>
    <row r="1119" spans="3:15">
      <c r="C1119" s="2388" t="s">
        <v>5617</v>
      </c>
      <c r="D1119" s="2385">
        <v>0</v>
      </c>
      <c r="E1119" s="2385">
        <v>1</v>
      </c>
      <c r="F1119" s="2386">
        <v>1</v>
      </c>
      <c r="G1119" s="2412" t="s">
        <v>5617</v>
      </c>
      <c r="H1119" s="2383">
        <v>1</v>
      </c>
      <c r="I1119" s="2383">
        <v>1</v>
      </c>
      <c r="J1119" s="2413">
        <v>2</v>
      </c>
      <c r="K1119" s="2387"/>
      <c r="L1119" s="2381">
        <v>13097080102</v>
      </c>
      <c r="M1119" s="2382">
        <v>1</v>
      </c>
      <c r="N1119" s="2382">
        <v>1</v>
      </c>
      <c r="O1119" s="2382">
        <v>2</v>
      </c>
    </row>
    <row r="1120" spans="3:15">
      <c r="C1120" s="2388" t="s">
        <v>5618</v>
      </c>
      <c r="D1120" s="2385">
        <v>0</v>
      </c>
      <c r="E1120" s="2385">
        <v>0</v>
      </c>
      <c r="F1120" s="2386">
        <v>0</v>
      </c>
      <c r="G1120" s="2412" t="s">
        <v>5618</v>
      </c>
      <c r="H1120" s="2383">
        <v>1</v>
      </c>
      <c r="I1120" s="2383">
        <v>0</v>
      </c>
      <c r="J1120" s="2413">
        <v>1</v>
      </c>
      <c r="K1120" s="2387"/>
      <c r="L1120" s="2381">
        <v>13097080103</v>
      </c>
      <c r="M1120" s="2382">
        <v>1</v>
      </c>
      <c r="N1120" s="2382">
        <v>0</v>
      </c>
      <c r="O1120" s="2382">
        <v>1</v>
      </c>
    </row>
    <row r="1121" spans="3:15">
      <c r="C1121" s="2388" t="s">
        <v>5619</v>
      </c>
      <c r="D1121" s="2385">
        <v>0</v>
      </c>
      <c r="E1121" s="2385">
        <v>1</v>
      </c>
      <c r="F1121" s="2386">
        <v>1</v>
      </c>
      <c r="G1121" s="2412" t="s">
        <v>5619</v>
      </c>
      <c r="H1121" s="2383">
        <v>0</v>
      </c>
      <c r="I1121" s="2383">
        <v>0</v>
      </c>
      <c r="J1121" s="2413">
        <v>0</v>
      </c>
      <c r="K1121" s="2387"/>
      <c r="L1121" s="2381">
        <v>13097080201</v>
      </c>
      <c r="M1121" s="2382">
        <v>0</v>
      </c>
      <c r="N1121" s="2382">
        <v>1</v>
      </c>
      <c r="O1121" s="2382">
        <v>1</v>
      </c>
    </row>
    <row r="1122" spans="3:15">
      <c r="C1122" s="2388" t="s">
        <v>5620</v>
      </c>
      <c r="D1122" s="2385">
        <v>0</v>
      </c>
      <c r="E1122" s="2385">
        <v>0</v>
      </c>
      <c r="F1122" s="2386">
        <v>0</v>
      </c>
      <c r="G1122" s="2412" t="s">
        <v>5620</v>
      </c>
      <c r="H1122" s="2383">
        <v>0</v>
      </c>
      <c r="I1122" s="2383">
        <v>0</v>
      </c>
      <c r="J1122" s="2413">
        <v>0</v>
      </c>
      <c r="K1122" s="2387"/>
      <c r="L1122" s="2381">
        <v>13097080202</v>
      </c>
      <c r="M1122" s="2382">
        <v>0</v>
      </c>
      <c r="N1122" s="2382">
        <v>0</v>
      </c>
      <c r="O1122" s="2382">
        <v>0</v>
      </c>
    </row>
    <row r="1123" spans="3:15">
      <c r="C1123" s="2388" t="s">
        <v>5621</v>
      </c>
      <c r="D1123" s="2385">
        <v>0</v>
      </c>
      <c r="E1123" s="2385">
        <v>0</v>
      </c>
      <c r="F1123" s="2386">
        <v>0</v>
      </c>
      <c r="G1123" s="2412" t="s">
        <v>5621</v>
      </c>
      <c r="H1123" s="2383">
        <v>0</v>
      </c>
      <c r="I1123" s="2383">
        <v>0</v>
      </c>
      <c r="J1123" s="2413">
        <v>0</v>
      </c>
      <c r="K1123" s="2387"/>
      <c r="L1123" s="2381">
        <v>13097080301</v>
      </c>
      <c r="M1123" s="2382">
        <v>0</v>
      </c>
      <c r="N1123" s="2382">
        <v>0</v>
      </c>
      <c r="O1123" s="2382">
        <v>0</v>
      </c>
    </row>
    <row r="1124" spans="3:15">
      <c r="C1124" s="2388" t="s">
        <v>5622</v>
      </c>
      <c r="D1124" s="2385">
        <v>0</v>
      </c>
      <c r="E1124" s="2385">
        <v>0</v>
      </c>
      <c r="F1124" s="2386">
        <v>0</v>
      </c>
      <c r="G1124" s="2412" t="s">
        <v>5622</v>
      </c>
      <c r="H1124" s="2383">
        <v>1</v>
      </c>
      <c r="I1124" s="2383">
        <v>0</v>
      </c>
      <c r="J1124" s="2413">
        <v>1</v>
      </c>
      <c r="K1124" s="2387"/>
      <c r="L1124" s="2381">
        <v>13097080303</v>
      </c>
      <c r="M1124" s="2382">
        <v>1</v>
      </c>
      <c r="N1124" s="2382">
        <v>0</v>
      </c>
      <c r="O1124" s="2382">
        <v>1</v>
      </c>
    </row>
    <row r="1125" spans="3:15">
      <c r="C1125" s="2388" t="s">
        <v>5623</v>
      </c>
      <c r="D1125" s="2385">
        <v>0</v>
      </c>
      <c r="E1125" s="2385">
        <v>0</v>
      </c>
      <c r="F1125" s="2386">
        <v>0</v>
      </c>
      <c r="G1125" s="2412" t="s">
        <v>5623</v>
      </c>
      <c r="H1125" s="2383">
        <v>0</v>
      </c>
      <c r="I1125" s="2383">
        <v>0</v>
      </c>
      <c r="J1125" s="2413">
        <v>0</v>
      </c>
      <c r="K1125" s="2387"/>
      <c r="L1125" s="2381">
        <v>13097080304</v>
      </c>
      <c r="M1125" s="2382">
        <v>0</v>
      </c>
      <c r="N1125" s="2382">
        <v>0</v>
      </c>
      <c r="O1125" s="2382">
        <v>0</v>
      </c>
    </row>
    <row r="1126" spans="3:15">
      <c r="C1126" s="2388" t="s">
        <v>5624</v>
      </c>
      <c r="D1126" s="2385">
        <v>1</v>
      </c>
      <c r="E1126" s="2385">
        <v>1</v>
      </c>
      <c r="F1126" s="2386">
        <v>2</v>
      </c>
      <c r="G1126" s="2412" t="s">
        <v>5624</v>
      </c>
      <c r="H1126" s="2383">
        <v>1</v>
      </c>
      <c r="I1126" s="2383">
        <v>1</v>
      </c>
      <c r="J1126" s="2413">
        <v>2</v>
      </c>
      <c r="K1126" s="2387"/>
      <c r="L1126" s="2381">
        <v>13097080402</v>
      </c>
      <c r="M1126" s="2382">
        <v>1</v>
      </c>
      <c r="N1126" s="2382">
        <v>1</v>
      </c>
      <c r="O1126" s="2382">
        <v>2</v>
      </c>
    </row>
    <row r="1127" spans="3:15">
      <c r="C1127" s="2388" t="s">
        <v>5625</v>
      </c>
      <c r="D1127" s="2385">
        <v>1</v>
      </c>
      <c r="E1127" s="2385">
        <v>1</v>
      </c>
      <c r="F1127" s="2386">
        <v>2</v>
      </c>
      <c r="G1127" s="2412" t="s">
        <v>5625</v>
      </c>
      <c r="H1127" s="2383">
        <v>1</v>
      </c>
      <c r="I1127" s="2383">
        <v>1</v>
      </c>
      <c r="J1127" s="2413">
        <v>2</v>
      </c>
      <c r="K1127" s="2387"/>
      <c r="L1127" s="2381">
        <v>13097080403</v>
      </c>
      <c r="M1127" s="2382">
        <v>1</v>
      </c>
      <c r="N1127" s="2382">
        <v>1</v>
      </c>
      <c r="O1127" s="2382">
        <v>2</v>
      </c>
    </row>
    <row r="1128" spans="3:15">
      <c r="C1128" s="2388" t="s">
        <v>5626</v>
      </c>
      <c r="D1128" s="2385">
        <v>0</v>
      </c>
      <c r="E1128" s="2385">
        <v>0</v>
      </c>
      <c r="F1128" s="2386">
        <v>0</v>
      </c>
      <c r="G1128" s="2412" t="s">
        <v>5626</v>
      </c>
      <c r="H1128" s="2383">
        <v>0</v>
      </c>
      <c r="I1128" s="2383">
        <v>0</v>
      </c>
      <c r="J1128" s="2413">
        <v>0</v>
      </c>
      <c r="K1128" s="2387"/>
      <c r="L1128" s="2381">
        <v>13097080404</v>
      </c>
      <c r="M1128" s="2382">
        <v>0</v>
      </c>
      <c r="N1128" s="2382">
        <v>0</v>
      </c>
      <c r="O1128" s="2382">
        <v>0</v>
      </c>
    </row>
    <row r="1129" spans="3:15">
      <c r="C1129" s="2388" t="s">
        <v>5627</v>
      </c>
      <c r="D1129" s="2385">
        <v>0</v>
      </c>
      <c r="E1129" s="2385">
        <v>1</v>
      </c>
      <c r="F1129" s="2386">
        <v>1</v>
      </c>
      <c r="G1129" s="2412" t="s">
        <v>5627</v>
      </c>
      <c r="H1129" s="2383">
        <v>0</v>
      </c>
      <c r="I1129" s="2383">
        <v>0</v>
      </c>
      <c r="J1129" s="2413">
        <v>0</v>
      </c>
      <c r="K1129" s="2387"/>
      <c r="L1129" s="2381">
        <v>13097080505</v>
      </c>
      <c r="M1129" s="2382">
        <v>0</v>
      </c>
      <c r="N1129" s="2382">
        <v>1</v>
      </c>
      <c r="O1129" s="2382">
        <v>1</v>
      </c>
    </row>
    <row r="1130" spans="3:15">
      <c r="C1130" s="2388" t="s">
        <v>5628</v>
      </c>
      <c r="D1130" s="2385">
        <v>1</v>
      </c>
      <c r="E1130" s="2385">
        <v>1</v>
      </c>
      <c r="F1130" s="2386">
        <v>2</v>
      </c>
      <c r="G1130" s="2412" t="s">
        <v>5628</v>
      </c>
      <c r="H1130" s="2383">
        <v>0</v>
      </c>
      <c r="I1130" s="2383">
        <v>0</v>
      </c>
      <c r="J1130" s="2413">
        <v>0</v>
      </c>
      <c r="K1130" s="2387"/>
      <c r="L1130" s="2381">
        <v>13097080506</v>
      </c>
      <c r="M1130" s="2382">
        <v>1</v>
      </c>
      <c r="N1130" s="2382">
        <v>1</v>
      </c>
      <c r="O1130" s="2382">
        <v>2</v>
      </c>
    </row>
    <row r="1131" spans="3:15">
      <c r="C1131" s="2388" t="s">
        <v>5629</v>
      </c>
      <c r="D1131" s="2385">
        <v>1</v>
      </c>
      <c r="E1131" s="2385">
        <v>1</v>
      </c>
      <c r="F1131" s="2386">
        <v>2</v>
      </c>
      <c r="G1131" s="2412" t="s">
        <v>5629</v>
      </c>
      <c r="H1131" s="2383">
        <v>1</v>
      </c>
      <c r="I1131" s="2383">
        <v>0</v>
      </c>
      <c r="J1131" s="2413">
        <v>1</v>
      </c>
      <c r="K1131" s="2387"/>
      <c r="L1131" s="2381">
        <v>13097080507</v>
      </c>
      <c r="M1131" s="2382">
        <v>1</v>
      </c>
      <c r="N1131" s="2382">
        <v>1</v>
      </c>
      <c r="O1131" s="2382">
        <v>2</v>
      </c>
    </row>
    <row r="1132" spans="3:15">
      <c r="C1132" s="2388" t="s">
        <v>5630</v>
      </c>
      <c r="D1132" s="2385">
        <v>0</v>
      </c>
      <c r="E1132" s="2385">
        <v>1</v>
      </c>
      <c r="F1132" s="2386">
        <v>1</v>
      </c>
      <c r="G1132" s="2412" t="s">
        <v>5630</v>
      </c>
      <c r="H1132" s="2383">
        <v>0</v>
      </c>
      <c r="I1132" s="2383">
        <v>0</v>
      </c>
      <c r="J1132" s="2413">
        <v>0</v>
      </c>
      <c r="K1132" s="2387"/>
      <c r="L1132" s="2381">
        <v>13097080508</v>
      </c>
      <c r="M1132" s="2382">
        <v>0</v>
      </c>
      <c r="N1132" s="2382">
        <v>1</v>
      </c>
      <c r="O1132" s="2382">
        <v>1</v>
      </c>
    </row>
    <row r="1133" spans="3:15">
      <c r="C1133" s="2388" t="s">
        <v>5631</v>
      </c>
      <c r="D1133" s="2385">
        <v>1</v>
      </c>
      <c r="E1133" s="2385">
        <v>1</v>
      </c>
      <c r="F1133" s="2386">
        <v>2</v>
      </c>
      <c r="G1133" s="2412" t="s">
        <v>5631</v>
      </c>
      <c r="H1133" s="2383">
        <v>1</v>
      </c>
      <c r="I1133" s="2383">
        <v>1</v>
      </c>
      <c r="J1133" s="2413">
        <v>2</v>
      </c>
      <c r="K1133" s="2387"/>
      <c r="L1133" s="2381">
        <v>13097080509</v>
      </c>
      <c r="M1133" s="2382">
        <v>1</v>
      </c>
      <c r="N1133" s="2382">
        <v>1</v>
      </c>
      <c r="O1133" s="2382">
        <v>2</v>
      </c>
    </row>
    <row r="1134" spans="3:15">
      <c r="C1134" s="2388" t="s">
        <v>5632</v>
      </c>
      <c r="D1134" s="2385">
        <v>1</v>
      </c>
      <c r="E1134" s="2385">
        <v>1</v>
      </c>
      <c r="F1134" s="2386">
        <v>2</v>
      </c>
      <c r="G1134" s="2412" t="s">
        <v>5632</v>
      </c>
      <c r="H1134" s="2383">
        <v>0</v>
      </c>
      <c r="I1134" s="2383">
        <v>1</v>
      </c>
      <c r="J1134" s="2413">
        <v>1</v>
      </c>
      <c r="K1134" s="2387"/>
      <c r="L1134" s="2381">
        <v>13097080510</v>
      </c>
      <c r="M1134" s="2382">
        <v>1</v>
      </c>
      <c r="N1134" s="2382">
        <v>1</v>
      </c>
      <c r="O1134" s="2382">
        <v>2</v>
      </c>
    </row>
    <row r="1135" spans="3:15">
      <c r="C1135" s="2388" t="s">
        <v>5633</v>
      </c>
      <c r="D1135" s="2385">
        <v>1</v>
      </c>
      <c r="E1135" s="2385">
        <v>1</v>
      </c>
      <c r="F1135" s="2386">
        <v>2</v>
      </c>
      <c r="G1135" s="2412" t="s">
        <v>5633</v>
      </c>
      <c r="H1135" s="2383">
        <v>1</v>
      </c>
      <c r="I1135" s="2383">
        <v>1</v>
      </c>
      <c r="J1135" s="2413">
        <v>2</v>
      </c>
      <c r="K1135" s="2387"/>
      <c r="L1135" s="2381">
        <v>13097080511</v>
      </c>
      <c r="M1135" s="2382">
        <v>1</v>
      </c>
      <c r="N1135" s="2382">
        <v>1</v>
      </c>
      <c r="O1135" s="2382">
        <v>2</v>
      </c>
    </row>
    <row r="1136" spans="3:15">
      <c r="C1136" s="2388" t="s">
        <v>5634</v>
      </c>
      <c r="D1136" s="2385">
        <v>1</v>
      </c>
      <c r="E1136" s="2385">
        <v>1</v>
      </c>
      <c r="F1136" s="2386">
        <v>2</v>
      </c>
      <c r="G1136" s="2412" t="s">
        <v>5634</v>
      </c>
      <c r="H1136" s="2383">
        <v>1</v>
      </c>
      <c r="I1136" s="2383">
        <v>1</v>
      </c>
      <c r="J1136" s="2413">
        <v>1</v>
      </c>
      <c r="K1136" s="2387"/>
      <c r="L1136" s="2381">
        <v>13097080602</v>
      </c>
      <c r="M1136" s="2382">
        <v>1</v>
      </c>
      <c r="N1136" s="2382">
        <v>1</v>
      </c>
      <c r="O1136" s="2382">
        <v>2</v>
      </c>
    </row>
    <row r="1137" spans="3:15">
      <c r="C1137" s="2388" t="s">
        <v>5635</v>
      </c>
      <c r="D1137" s="2385">
        <v>1</v>
      </c>
      <c r="E1137" s="2385">
        <v>1</v>
      </c>
      <c r="F1137" s="2386">
        <v>2</v>
      </c>
      <c r="G1137" s="2412" t="s">
        <v>5635</v>
      </c>
      <c r="H1137" s="2383">
        <v>1</v>
      </c>
      <c r="I1137" s="2383">
        <v>0</v>
      </c>
      <c r="J1137" s="2413">
        <v>1</v>
      </c>
      <c r="K1137" s="2387"/>
      <c r="L1137" s="2381">
        <v>13097080603</v>
      </c>
      <c r="M1137" s="2382">
        <v>1</v>
      </c>
      <c r="N1137" s="2382">
        <v>1</v>
      </c>
      <c r="O1137" s="2382">
        <v>2</v>
      </c>
    </row>
    <row r="1138" spans="3:15">
      <c r="C1138" s="2388" t="s">
        <v>5636</v>
      </c>
      <c r="D1138" s="2385">
        <v>1</v>
      </c>
      <c r="E1138" s="2385">
        <v>1</v>
      </c>
      <c r="F1138" s="2386">
        <v>2</v>
      </c>
      <c r="G1138" s="2412" t="s">
        <v>5636</v>
      </c>
      <c r="H1138" s="2383">
        <v>1</v>
      </c>
      <c r="I1138" s="2383">
        <v>0</v>
      </c>
      <c r="J1138" s="2413">
        <v>1</v>
      </c>
      <c r="K1138" s="2387"/>
      <c r="L1138" s="2381">
        <v>13097080604</v>
      </c>
      <c r="M1138" s="2382">
        <v>1</v>
      </c>
      <c r="N1138" s="2382">
        <v>1</v>
      </c>
      <c r="O1138" s="2382">
        <v>2</v>
      </c>
    </row>
    <row r="1139" spans="3:15">
      <c r="C1139" s="2388" t="s">
        <v>5637</v>
      </c>
      <c r="D1139" s="2385">
        <v>0</v>
      </c>
      <c r="E1139" s="2385">
        <v>0</v>
      </c>
      <c r="F1139" s="2386">
        <v>0</v>
      </c>
      <c r="G1139" s="2412" t="s">
        <v>5637</v>
      </c>
      <c r="H1139" s="2383">
        <v>0</v>
      </c>
      <c r="I1139" s="2383">
        <v>0</v>
      </c>
      <c r="J1139" s="2413">
        <v>0</v>
      </c>
      <c r="K1139" s="2387"/>
      <c r="L1139" s="2381">
        <v>13099090100</v>
      </c>
      <c r="M1139" s="2382">
        <v>0</v>
      </c>
      <c r="N1139" s="2382">
        <v>0</v>
      </c>
      <c r="O1139" s="2382">
        <v>0</v>
      </c>
    </row>
    <row r="1140" spans="3:15">
      <c r="C1140" s="2388" t="s">
        <v>5638</v>
      </c>
      <c r="D1140" s="2385">
        <v>0</v>
      </c>
      <c r="E1140" s="2385">
        <v>0</v>
      </c>
      <c r="F1140" s="2386">
        <v>0</v>
      </c>
      <c r="G1140" s="2412" t="s">
        <v>5638</v>
      </c>
      <c r="H1140" s="2383">
        <v>0</v>
      </c>
      <c r="I1140" s="2383">
        <v>0</v>
      </c>
      <c r="J1140" s="2413">
        <v>0</v>
      </c>
      <c r="K1140" s="2387"/>
      <c r="L1140" s="2381">
        <v>13099090200</v>
      </c>
      <c r="M1140" s="2382">
        <v>0</v>
      </c>
      <c r="N1140" s="2382">
        <v>0</v>
      </c>
      <c r="O1140" s="2382">
        <v>0</v>
      </c>
    </row>
    <row r="1141" spans="3:15">
      <c r="C1141" s="2388" t="s">
        <v>5639</v>
      </c>
      <c r="D1141" s="2385">
        <v>1</v>
      </c>
      <c r="E1141" s="2385">
        <v>0</v>
      </c>
      <c r="F1141" s="2386">
        <v>1</v>
      </c>
      <c r="G1141" s="2412" t="s">
        <v>5639</v>
      </c>
      <c r="H1141" s="2383">
        <v>0</v>
      </c>
      <c r="I1141" s="2383">
        <v>0</v>
      </c>
      <c r="J1141" s="2413">
        <v>0</v>
      </c>
      <c r="K1141" s="2387"/>
      <c r="L1141" s="2381">
        <v>13099090300</v>
      </c>
      <c r="M1141" s="2382">
        <v>1</v>
      </c>
      <c r="N1141" s="2382">
        <v>0</v>
      </c>
      <c r="O1141" s="2382">
        <v>1</v>
      </c>
    </row>
    <row r="1142" spans="3:15">
      <c r="C1142" s="2388" t="s">
        <v>5640</v>
      </c>
      <c r="D1142" s="2385">
        <v>0</v>
      </c>
      <c r="E1142" s="2385">
        <v>0</v>
      </c>
      <c r="F1142" s="2386">
        <v>0</v>
      </c>
      <c r="G1142" s="2412" t="s">
        <v>5640</v>
      </c>
      <c r="H1142" s="2383">
        <v>0</v>
      </c>
      <c r="I1142" s="2383">
        <v>0</v>
      </c>
      <c r="J1142" s="2413">
        <v>0</v>
      </c>
      <c r="K1142" s="2387"/>
      <c r="L1142" s="2381">
        <v>13099090400</v>
      </c>
      <c r="M1142" s="2382">
        <v>0</v>
      </c>
      <c r="N1142" s="2382">
        <v>0</v>
      </c>
      <c r="O1142" s="2382">
        <v>0</v>
      </c>
    </row>
    <row r="1143" spans="3:15">
      <c r="C1143" s="2388" t="s">
        <v>5641</v>
      </c>
      <c r="D1143" s="2385">
        <v>0</v>
      </c>
      <c r="E1143" s="2385">
        <v>0</v>
      </c>
      <c r="F1143" s="2386">
        <v>0</v>
      </c>
      <c r="G1143" s="2412" t="s">
        <v>5641</v>
      </c>
      <c r="H1143" s="2383">
        <v>0</v>
      </c>
      <c r="I1143" s="2383">
        <v>0</v>
      </c>
      <c r="J1143" s="2413">
        <v>0</v>
      </c>
      <c r="K1143" s="2387"/>
      <c r="L1143" s="2381">
        <v>13099090500</v>
      </c>
      <c r="M1143" s="2382">
        <v>0</v>
      </c>
      <c r="N1143" s="2382">
        <v>0</v>
      </c>
      <c r="O1143" s="2382">
        <v>0</v>
      </c>
    </row>
    <row r="1144" spans="3:15">
      <c r="C1144" s="2388" t="s">
        <v>5642</v>
      </c>
      <c r="D1144" s="2385">
        <v>0</v>
      </c>
      <c r="E1144" s="2385">
        <v>0</v>
      </c>
      <c r="F1144" s="2386">
        <v>0</v>
      </c>
      <c r="G1144" s="2412" t="s">
        <v>5642</v>
      </c>
      <c r="H1144" s="2383">
        <v>0</v>
      </c>
      <c r="I1144" s="2383">
        <v>0</v>
      </c>
      <c r="J1144" s="2413">
        <v>0</v>
      </c>
      <c r="K1144" s="2387"/>
      <c r="L1144" s="2381">
        <v>13101880100</v>
      </c>
      <c r="M1144" s="2382">
        <v>0</v>
      </c>
      <c r="N1144" s="2382">
        <v>0</v>
      </c>
      <c r="O1144" s="2382">
        <v>0</v>
      </c>
    </row>
    <row r="1145" spans="3:15">
      <c r="C1145" s="2388" t="s">
        <v>5643</v>
      </c>
      <c r="D1145" s="2385">
        <v>0</v>
      </c>
      <c r="E1145" s="2385">
        <v>0</v>
      </c>
      <c r="F1145" s="2386">
        <v>0</v>
      </c>
      <c r="G1145" s="2412" t="s">
        <v>5643</v>
      </c>
      <c r="H1145" s="2383">
        <v>0</v>
      </c>
      <c r="I1145" s="2383">
        <v>0</v>
      </c>
      <c r="J1145" s="2413">
        <v>0</v>
      </c>
      <c r="K1145" s="2387"/>
      <c r="L1145" s="2381">
        <v>13101880200</v>
      </c>
      <c r="M1145" s="2382">
        <v>0</v>
      </c>
      <c r="N1145" s="2382">
        <v>0</v>
      </c>
      <c r="O1145" s="2382">
        <v>0</v>
      </c>
    </row>
    <row r="1146" spans="3:15">
      <c r="C1146" s="2388" t="s">
        <v>5644</v>
      </c>
      <c r="D1146" s="2385">
        <v>1</v>
      </c>
      <c r="E1146" s="2385">
        <v>1</v>
      </c>
      <c r="F1146" s="2386">
        <v>2</v>
      </c>
      <c r="G1146" s="2412" t="s">
        <v>5644</v>
      </c>
      <c r="H1146" s="2383">
        <v>0</v>
      </c>
      <c r="I1146" s="2383">
        <v>0</v>
      </c>
      <c r="J1146" s="2413">
        <v>0</v>
      </c>
      <c r="K1146" s="2387"/>
      <c r="L1146" s="2381">
        <v>13103030100</v>
      </c>
      <c r="M1146" s="2382">
        <v>1</v>
      </c>
      <c r="N1146" s="2382">
        <v>1</v>
      </c>
      <c r="O1146" s="2382">
        <v>2</v>
      </c>
    </row>
    <row r="1147" spans="3:15">
      <c r="C1147" s="2388" t="s">
        <v>5645</v>
      </c>
      <c r="D1147" s="2385">
        <v>1</v>
      </c>
      <c r="E1147" s="2385">
        <v>1</v>
      </c>
      <c r="F1147" s="2386">
        <v>2</v>
      </c>
      <c r="G1147" s="2412" t="s">
        <v>5645</v>
      </c>
      <c r="H1147" s="2383">
        <v>1</v>
      </c>
      <c r="I1147" s="2383">
        <v>0</v>
      </c>
      <c r="J1147" s="2413">
        <v>1</v>
      </c>
      <c r="K1147" s="2387"/>
      <c r="L1147" s="2381">
        <v>13103030202</v>
      </c>
      <c r="M1147" s="2382">
        <v>1</v>
      </c>
      <c r="N1147" s="2382">
        <v>1</v>
      </c>
      <c r="O1147" s="2382">
        <v>2</v>
      </c>
    </row>
    <row r="1148" spans="3:15">
      <c r="C1148" s="2388" t="s">
        <v>5646</v>
      </c>
      <c r="D1148" s="2385">
        <v>1</v>
      </c>
      <c r="E1148" s="2385">
        <v>1</v>
      </c>
      <c r="F1148" s="2386">
        <v>2</v>
      </c>
      <c r="G1148" s="2412" t="s">
        <v>5646</v>
      </c>
      <c r="H1148" s="2383">
        <v>1</v>
      </c>
      <c r="I1148" s="2383">
        <v>0</v>
      </c>
      <c r="J1148" s="2413">
        <v>1</v>
      </c>
      <c r="K1148" s="2387"/>
      <c r="L1148" s="2381">
        <v>13103030203</v>
      </c>
      <c r="M1148" s="2382">
        <v>1</v>
      </c>
      <c r="N1148" s="2382">
        <v>1</v>
      </c>
      <c r="O1148" s="2382">
        <v>2</v>
      </c>
    </row>
    <row r="1149" spans="3:15">
      <c r="C1149" s="2388" t="s">
        <v>5647</v>
      </c>
      <c r="D1149" s="2385">
        <v>0</v>
      </c>
      <c r="E1149" s="2385">
        <v>0</v>
      </c>
      <c r="F1149" s="2386">
        <v>0</v>
      </c>
      <c r="G1149" s="2412" t="s">
        <v>5647</v>
      </c>
      <c r="H1149" s="2383">
        <v>0</v>
      </c>
      <c r="I1149" s="2383">
        <v>1</v>
      </c>
      <c r="J1149" s="2413">
        <v>1</v>
      </c>
      <c r="K1149" s="2387"/>
      <c r="L1149" s="2381">
        <v>13103030204</v>
      </c>
      <c r="M1149" s="2382">
        <v>0</v>
      </c>
      <c r="N1149" s="2382">
        <v>1</v>
      </c>
      <c r="O1149" s="2382">
        <v>1</v>
      </c>
    </row>
    <row r="1150" spans="3:15">
      <c r="C1150" s="2388" t="s">
        <v>5648</v>
      </c>
      <c r="D1150" s="2385">
        <v>1</v>
      </c>
      <c r="E1150" s="2385">
        <v>1</v>
      </c>
      <c r="F1150" s="2386">
        <v>2</v>
      </c>
      <c r="G1150" s="2412" t="s">
        <v>5648</v>
      </c>
      <c r="H1150" s="2383">
        <v>1</v>
      </c>
      <c r="I1150" s="2383">
        <v>1</v>
      </c>
      <c r="J1150" s="2413">
        <v>2</v>
      </c>
      <c r="K1150" s="2387"/>
      <c r="L1150" s="2381">
        <v>13103030301</v>
      </c>
      <c r="M1150" s="2382">
        <v>1</v>
      </c>
      <c r="N1150" s="2382">
        <v>1</v>
      </c>
      <c r="O1150" s="2382">
        <v>2</v>
      </c>
    </row>
    <row r="1151" spans="3:15">
      <c r="C1151" s="2388" t="s">
        <v>5649</v>
      </c>
      <c r="D1151" s="2385">
        <v>0</v>
      </c>
      <c r="E1151" s="2385">
        <v>1</v>
      </c>
      <c r="F1151" s="2386">
        <v>1</v>
      </c>
      <c r="G1151" s="2412" t="s">
        <v>5649</v>
      </c>
      <c r="H1151" s="2383">
        <v>1</v>
      </c>
      <c r="I1151" s="2383">
        <v>0</v>
      </c>
      <c r="J1151" s="2413">
        <v>1</v>
      </c>
      <c r="K1151" s="2387"/>
      <c r="L1151" s="2381">
        <v>13103030303</v>
      </c>
      <c r="M1151" s="2382">
        <v>1</v>
      </c>
      <c r="N1151" s="2382">
        <v>1</v>
      </c>
      <c r="O1151" s="2382">
        <v>1</v>
      </c>
    </row>
    <row r="1152" spans="3:15">
      <c r="C1152" s="2388" t="s">
        <v>5650</v>
      </c>
      <c r="D1152" s="2385">
        <v>1</v>
      </c>
      <c r="E1152" s="2385">
        <v>1</v>
      </c>
      <c r="F1152" s="2386">
        <v>2</v>
      </c>
      <c r="G1152" s="2412" t="s">
        <v>5650</v>
      </c>
      <c r="H1152" s="2383">
        <v>1</v>
      </c>
      <c r="I1152" s="2383">
        <v>0</v>
      </c>
      <c r="J1152" s="2413">
        <v>1</v>
      </c>
      <c r="K1152" s="2387"/>
      <c r="L1152" s="2381">
        <v>13103030304</v>
      </c>
      <c r="M1152" s="2382">
        <v>1</v>
      </c>
      <c r="N1152" s="2382">
        <v>1</v>
      </c>
      <c r="O1152" s="2382">
        <v>2</v>
      </c>
    </row>
    <row r="1153" spans="3:15">
      <c r="C1153" s="2388" t="s">
        <v>5651</v>
      </c>
      <c r="D1153" s="2385">
        <v>1</v>
      </c>
      <c r="E1153" s="2385">
        <v>1</v>
      </c>
      <c r="F1153" s="2386">
        <v>2</v>
      </c>
      <c r="G1153" s="2412" t="s">
        <v>5651</v>
      </c>
      <c r="H1153" s="2383">
        <v>1</v>
      </c>
      <c r="I1153" s="2383">
        <v>1</v>
      </c>
      <c r="J1153" s="2413">
        <v>2</v>
      </c>
      <c r="K1153" s="2387"/>
      <c r="L1153" s="2381">
        <v>13103030305</v>
      </c>
      <c r="M1153" s="2382">
        <v>1</v>
      </c>
      <c r="N1153" s="2382">
        <v>1</v>
      </c>
      <c r="O1153" s="2382">
        <v>2</v>
      </c>
    </row>
    <row r="1154" spans="3:15">
      <c r="C1154" s="2388" t="s">
        <v>5652</v>
      </c>
      <c r="D1154" s="2385">
        <v>1</v>
      </c>
      <c r="E1154" s="2385">
        <v>1</v>
      </c>
      <c r="F1154" s="2386">
        <v>2</v>
      </c>
      <c r="G1154" s="2412" t="s">
        <v>5652</v>
      </c>
      <c r="H1154" s="2383">
        <v>1</v>
      </c>
      <c r="I1154" s="2383">
        <v>1</v>
      </c>
      <c r="J1154" s="2413">
        <v>2</v>
      </c>
      <c r="K1154" s="2387"/>
      <c r="L1154" s="2381">
        <v>13103030401</v>
      </c>
      <c r="M1154" s="2382">
        <v>1</v>
      </c>
      <c r="N1154" s="2382">
        <v>1</v>
      </c>
      <c r="O1154" s="2382">
        <v>2</v>
      </c>
    </row>
    <row r="1155" spans="3:15">
      <c r="C1155" s="2388" t="s">
        <v>5653</v>
      </c>
      <c r="D1155" s="2385">
        <v>1</v>
      </c>
      <c r="E1155" s="2385">
        <v>1</v>
      </c>
      <c r="F1155" s="2386">
        <v>2</v>
      </c>
      <c r="G1155" s="2412" t="s">
        <v>5653</v>
      </c>
      <c r="H1155" s="2383">
        <v>1</v>
      </c>
      <c r="I1155" s="2383">
        <v>1</v>
      </c>
      <c r="J1155" s="2413">
        <v>2</v>
      </c>
      <c r="K1155" s="2387"/>
      <c r="L1155" s="2381">
        <v>13103030402</v>
      </c>
      <c r="M1155" s="2382">
        <v>1</v>
      </c>
      <c r="N1155" s="2382">
        <v>1</v>
      </c>
      <c r="O1155" s="2382">
        <v>2</v>
      </c>
    </row>
    <row r="1156" spans="3:15">
      <c r="C1156" s="2388" t="s">
        <v>5654</v>
      </c>
      <c r="D1156" s="2385">
        <v>0</v>
      </c>
      <c r="E1156" s="2385">
        <v>0</v>
      </c>
      <c r="F1156" s="2386">
        <v>0</v>
      </c>
      <c r="G1156" s="2412" t="s">
        <v>5654</v>
      </c>
      <c r="H1156" s="2383">
        <v>0</v>
      </c>
      <c r="I1156" s="2383">
        <v>0</v>
      </c>
      <c r="J1156" s="2413">
        <v>0</v>
      </c>
      <c r="K1156" s="2387"/>
      <c r="L1156" s="2381">
        <v>13105000100</v>
      </c>
      <c r="M1156" s="2382">
        <v>0</v>
      </c>
      <c r="N1156" s="2382">
        <v>0</v>
      </c>
      <c r="O1156" s="2382">
        <v>0</v>
      </c>
    </row>
    <row r="1157" spans="3:15">
      <c r="C1157" s="2388" t="s">
        <v>5655</v>
      </c>
      <c r="D1157" s="2385">
        <v>0</v>
      </c>
      <c r="E1157" s="2385">
        <v>0</v>
      </c>
      <c r="F1157" s="2386">
        <v>0</v>
      </c>
      <c r="G1157" s="2412" t="s">
        <v>5655</v>
      </c>
      <c r="H1157" s="2383">
        <v>0</v>
      </c>
      <c r="I1157" s="2383">
        <v>0</v>
      </c>
      <c r="J1157" s="2413">
        <v>0</v>
      </c>
      <c r="K1157" s="2387"/>
      <c r="L1157" s="2381">
        <v>13105000200</v>
      </c>
      <c r="M1157" s="2382">
        <v>0</v>
      </c>
      <c r="N1157" s="2382">
        <v>0</v>
      </c>
      <c r="O1157" s="2382">
        <v>0</v>
      </c>
    </row>
    <row r="1158" spans="3:15">
      <c r="C1158" s="2388" t="s">
        <v>5656</v>
      </c>
      <c r="D1158" s="2385">
        <v>0</v>
      </c>
      <c r="E1158" s="2385">
        <v>0</v>
      </c>
      <c r="F1158" s="2386">
        <v>0</v>
      </c>
      <c r="G1158" s="2412" t="s">
        <v>5656</v>
      </c>
      <c r="H1158" s="2383">
        <v>0</v>
      </c>
      <c r="I1158" s="2383">
        <v>0</v>
      </c>
      <c r="J1158" s="2413">
        <v>0</v>
      </c>
      <c r="K1158" s="2387"/>
      <c r="L1158" s="2381">
        <v>13105000300</v>
      </c>
      <c r="M1158" s="2382">
        <v>0</v>
      </c>
      <c r="N1158" s="2382">
        <v>0</v>
      </c>
      <c r="O1158" s="2382">
        <v>0</v>
      </c>
    </row>
    <row r="1159" spans="3:15">
      <c r="C1159" s="2388" t="s">
        <v>5657</v>
      </c>
      <c r="D1159" s="2385">
        <v>0</v>
      </c>
      <c r="E1159" s="2385">
        <v>0</v>
      </c>
      <c r="F1159" s="2386">
        <v>0</v>
      </c>
      <c r="G1159" s="2412" t="s">
        <v>5657</v>
      </c>
      <c r="H1159" s="2383">
        <v>0</v>
      </c>
      <c r="I1159" s="2383">
        <v>0</v>
      </c>
      <c r="J1159" s="2413">
        <v>0</v>
      </c>
      <c r="K1159" s="2387"/>
      <c r="L1159" s="2381">
        <v>13105000400</v>
      </c>
      <c r="M1159" s="2382">
        <v>0</v>
      </c>
      <c r="N1159" s="2382">
        <v>0</v>
      </c>
      <c r="O1159" s="2382">
        <v>0</v>
      </c>
    </row>
    <row r="1160" spans="3:15">
      <c r="C1160" s="2388" t="s">
        <v>5658</v>
      </c>
      <c r="D1160" s="2385">
        <v>0</v>
      </c>
      <c r="E1160" s="2385">
        <v>0</v>
      </c>
      <c r="F1160" s="2386">
        <v>0</v>
      </c>
      <c r="G1160" s="2412" t="s">
        <v>5658</v>
      </c>
      <c r="H1160" s="2383">
        <v>0</v>
      </c>
      <c r="I1160" s="2383">
        <v>1</v>
      </c>
      <c r="J1160" s="2413">
        <v>1</v>
      </c>
      <c r="K1160" s="2387"/>
      <c r="L1160" s="2381">
        <v>13105000500</v>
      </c>
      <c r="M1160" s="2382">
        <v>0</v>
      </c>
      <c r="N1160" s="2382">
        <v>1</v>
      </c>
      <c r="O1160" s="2382">
        <v>1</v>
      </c>
    </row>
    <row r="1161" spans="3:15">
      <c r="C1161" s="2388" t="s">
        <v>5659</v>
      </c>
      <c r="D1161" s="2385">
        <v>0</v>
      </c>
      <c r="E1161" s="2385">
        <v>0</v>
      </c>
      <c r="F1161" s="2386">
        <v>0</v>
      </c>
      <c r="G1161" s="2412" t="s">
        <v>5659</v>
      </c>
      <c r="H1161" s="2383">
        <v>0</v>
      </c>
      <c r="I1161" s="2383">
        <v>0</v>
      </c>
      <c r="J1161" s="2413">
        <v>0</v>
      </c>
      <c r="K1161" s="2387"/>
      <c r="L1161" s="2381">
        <v>13107970100</v>
      </c>
      <c r="M1161" s="2382">
        <v>0</v>
      </c>
      <c r="N1161" s="2382">
        <v>0</v>
      </c>
      <c r="O1161" s="2382">
        <v>0</v>
      </c>
    </row>
    <row r="1162" spans="3:15">
      <c r="C1162" s="2388" t="s">
        <v>5660</v>
      </c>
      <c r="D1162" s="2385">
        <v>0</v>
      </c>
      <c r="E1162" s="2385">
        <v>0</v>
      </c>
      <c r="F1162" s="2386">
        <v>0</v>
      </c>
      <c r="G1162" s="2412" t="s">
        <v>5660</v>
      </c>
      <c r="H1162" s="2383">
        <v>0</v>
      </c>
      <c r="I1162" s="2383">
        <v>0</v>
      </c>
      <c r="J1162" s="2413">
        <v>0</v>
      </c>
      <c r="K1162" s="2387"/>
      <c r="L1162" s="2381">
        <v>13107970200</v>
      </c>
      <c r="M1162" s="2382">
        <v>0</v>
      </c>
      <c r="N1162" s="2382">
        <v>0</v>
      </c>
      <c r="O1162" s="2382">
        <v>0</v>
      </c>
    </row>
    <row r="1163" spans="3:15">
      <c r="C1163" s="2388" t="s">
        <v>5661</v>
      </c>
      <c r="D1163" s="2385">
        <v>0</v>
      </c>
      <c r="E1163" s="2385">
        <v>0</v>
      </c>
      <c r="F1163" s="2386">
        <v>0</v>
      </c>
      <c r="G1163" s="2412" t="s">
        <v>5661</v>
      </c>
      <c r="H1163" s="2383">
        <v>0</v>
      </c>
      <c r="I1163" s="2383">
        <v>0</v>
      </c>
      <c r="J1163" s="2413">
        <v>0</v>
      </c>
      <c r="K1163" s="2387"/>
      <c r="L1163" s="2381">
        <v>13107970300</v>
      </c>
      <c r="M1163" s="2382">
        <v>0</v>
      </c>
      <c r="N1163" s="2382">
        <v>0</v>
      </c>
      <c r="O1163" s="2382">
        <v>0</v>
      </c>
    </row>
    <row r="1164" spans="3:15">
      <c r="C1164" s="2388" t="s">
        <v>5662</v>
      </c>
      <c r="D1164" s="2385">
        <v>0</v>
      </c>
      <c r="E1164" s="2385">
        <v>0</v>
      </c>
      <c r="F1164" s="2386">
        <v>0</v>
      </c>
      <c r="G1164" s="2412" t="s">
        <v>5662</v>
      </c>
      <c r="H1164" s="2383">
        <v>0</v>
      </c>
      <c r="I1164" s="2383">
        <v>0</v>
      </c>
      <c r="J1164" s="2413">
        <v>0</v>
      </c>
      <c r="K1164" s="2387"/>
      <c r="L1164" s="2381">
        <v>13107970400</v>
      </c>
      <c r="M1164" s="2382">
        <v>0</v>
      </c>
      <c r="N1164" s="2382">
        <v>0</v>
      </c>
      <c r="O1164" s="2382">
        <v>0</v>
      </c>
    </row>
    <row r="1165" spans="3:15">
      <c r="C1165" s="2388" t="s">
        <v>5663</v>
      </c>
      <c r="D1165" s="2385">
        <v>0</v>
      </c>
      <c r="E1165" s="2385">
        <v>0</v>
      </c>
      <c r="F1165" s="2386">
        <v>0</v>
      </c>
      <c r="G1165" s="2412" t="s">
        <v>5663</v>
      </c>
      <c r="H1165" s="2383">
        <v>0</v>
      </c>
      <c r="I1165" s="2383">
        <v>0</v>
      </c>
      <c r="J1165" s="2413">
        <v>0</v>
      </c>
      <c r="K1165" s="2387"/>
      <c r="L1165" s="2381">
        <v>13107970500</v>
      </c>
      <c r="M1165" s="2382">
        <v>0</v>
      </c>
      <c r="N1165" s="2382">
        <v>0</v>
      </c>
      <c r="O1165" s="2382">
        <v>0</v>
      </c>
    </row>
    <row r="1166" spans="3:15">
      <c r="C1166" s="2388" t="s">
        <v>5664</v>
      </c>
      <c r="D1166" s="2385">
        <v>0</v>
      </c>
      <c r="E1166" s="2385">
        <v>0</v>
      </c>
      <c r="F1166" s="2386">
        <v>0</v>
      </c>
      <c r="G1166" s="2412" t="s">
        <v>5664</v>
      </c>
      <c r="H1166" s="2383">
        <v>0</v>
      </c>
      <c r="I1166" s="2383">
        <v>0</v>
      </c>
      <c r="J1166" s="2413">
        <v>0</v>
      </c>
      <c r="K1166" s="2387"/>
      <c r="L1166" s="2381">
        <v>13107970600</v>
      </c>
      <c r="M1166" s="2382">
        <v>0</v>
      </c>
      <c r="N1166" s="2382">
        <v>0</v>
      </c>
      <c r="O1166" s="2382">
        <v>0</v>
      </c>
    </row>
    <row r="1167" spans="3:15">
      <c r="C1167" s="2388" t="s">
        <v>5665</v>
      </c>
      <c r="D1167" s="2385">
        <v>0</v>
      </c>
      <c r="E1167" s="2385">
        <v>0</v>
      </c>
      <c r="F1167" s="2386">
        <v>0</v>
      </c>
      <c r="G1167" s="2412" t="s">
        <v>5665</v>
      </c>
      <c r="H1167" s="2383">
        <v>0</v>
      </c>
      <c r="I1167" s="2383">
        <v>0</v>
      </c>
      <c r="J1167" s="2413">
        <v>0</v>
      </c>
      <c r="K1167" s="2387"/>
      <c r="L1167" s="2381">
        <v>13109970100</v>
      </c>
      <c r="M1167" s="2382">
        <v>0</v>
      </c>
      <c r="N1167" s="2382">
        <v>0</v>
      </c>
      <c r="O1167" s="2382">
        <v>0</v>
      </c>
    </row>
    <row r="1168" spans="3:15">
      <c r="C1168" s="2388" t="s">
        <v>5666</v>
      </c>
      <c r="D1168" s="2385">
        <v>0</v>
      </c>
      <c r="E1168" s="2385">
        <v>0</v>
      </c>
      <c r="F1168" s="2386">
        <v>0</v>
      </c>
      <c r="G1168" s="2412" t="s">
        <v>5666</v>
      </c>
      <c r="H1168" s="2383">
        <v>0</v>
      </c>
      <c r="I1168" s="2383">
        <v>0</v>
      </c>
      <c r="J1168" s="2413">
        <v>0</v>
      </c>
      <c r="K1168" s="2387"/>
      <c r="L1168" s="2381">
        <v>13109970200</v>
      </c>
      <c r="M1168" s="2382">
        <v>0</v>
      </c>
      <c r="N1168" s="2382">
        <v>0</v>
      </c>
      <c r="O1168" s="2382">
        <v>0</v>
      </c>
    </row>
    <row r="1169" spans="3:15">
      <c r="C1169" s="2388" t="s">
        <v>5667</v>
      </c>
      <c r="D1169" s="2385">
        <v>0</v>
      </c>
      <c r="E1169" s="2385">
        <v>0</v>
      </c>
      <c r="F1169" s="2386">
        <v>0</v>
      </c>
      <c r="G1169" s="2412" t="s">
        <v>5667</v>
      </c>
      <c r="H1169" s="2383">
        <v>0</v>
      </c>
      <c r="I1169" s="2383">
        <v>0</v>
      </c>
      <c r="J1169" s="2413">
        <v>0</v>
      </c>
      <c r="K1169" s="2387"/>
      <c r="L1169" s="2381">
        <v>13109970300</v>
      </c>
      <c r="M1169" s="2382">
        <v>0</v>
      </c>
      <c r="N1169" s="2382">
        <v>0</v>
      </c>
      <c r="O1169" s="2382">
        <v>0</v>
      </c>
    </row>
    <row r="1170" spans="3:15">
      <c r="C1170" s="2388" t="s">
        <v>5668</v>
      </c>
      <c r="D1170" s="2385">
        <v>0</v>
      </c>
      <c r="E1170" s="2385">
        <v>0</v>
      </c>
      <c r="F1170" s="2386">
        <v>0</v>
      </c>
      <c r="G1170" s="2412" t="s">
        <v>5668</v>
      </c>
      <c r="H1170" s="2383">
        <v>0</v>
      </c>
      <c r="I1170" s="2383">
        <v>0</v>
      </c>
      <c r="J1170" s="2413">
        <v>0</v>
      </c>
      <c r="K1170" s="2387"/>
      <c r="L1170" s="2381">
        <v>13111050100</v>
      </c>
      <c r="M1170" s="2382">
        <v>0</v>
      </c>
      <c r="N1170" s="2382">
        <v>0</v>
      </c>
      <c r="O1170" s="2382">
        <v>0</v>
      </c>
    </row>
    <row r="1171" spans="3:15">
      <c r="C1171" s="2388" t="s">
        <v>5669</v>
      </c>
      <c r="D1171" s="2385">
        <v>0</v>
      </c>
      <c r="E1171" s="2385">
        <v>0</v>
      </c>
      <c r="F1171" s="2386">
        <v>0</v>
      </c>
      <c r="G1171" s="2412" t="s">
        <v>5669</v>
      </c>
      <c r="H1171" s="2383">
        <v>0</v>
      </c>
      <c r="I1171" s="2383">
        <v>0</v>
      </c>
      <c r="J1171" s="2413">
        <v>0</v>
      </c>
      <c r="K1171" s="2387"/>
      <c r="L1171" s="2381">
        <v>13111050200</v>
      </c>
      <c r="M1171" s="2382">
        <v>0</v>
      </c>
      <c r="N1171" s="2382">
        <v>0</v>
      </c>
      <c r="O1171" s="2382">
        <v>0</v>
      </c>
    </row>
    <row r="1172" spans="3:15">
      <c r="C1172" s="2388" t="s">
        <v>5670</v>
      </c>
      <c r="D1172" s="2385">
        <v>0</v>
      </c>
      <c r="E1172" s="2385">
        <v>0</v>
      </c>
      <c r="F1172" s="2386">
        <v>0</v>
      </c>
      <c r="G1172" s="2412" t="s">
        <v>5670</v>
      </c>
      <c r="H1172" s="2383">
        <v>0</v>
      </c>
      <c r="I1172" s="2383" t="s">
        <v>4493</v>
      </c>
      <c r="J1172" s="2413">
        <v>0</v>
      </c>
      <c r="K1172" s="2387"/>
      <c r="L1172" s="2381">
        <v>13111050300</v>
      </c>
      <c r="M1172" s="2382">
        <v>0</v>
      </c>
      <c r="N1172" s="2382">
        <v>0</v>
      </c>
      <c r="O1172" s="2382">
        <v>0</v>
      </c>
    </row>
    <row r="1173" spans="3:15">
      <c r="C1173" s="2388" t="s">
        <v>5671</v>
      </c>
      <c r="D1173" s="2385">
        <v>0</v>
      </c>
      <c r="E1173" s="2385">
        <v>0</v>
      </c>
      <c r="F1173" s="2386">
        <v>0</v>
      </c>
      <c r="G1173" s="2412" t="s">
        <v>5671</v>
      </c>
      <c r="H1173" s="2383">
        <v>0</v>
      </c>
      <c r="I1173" s="2383">
        <v>1</v>
      </c>
      <c r="J1173" s="2413">
        <v>1</v>
      </c>
      <c r="K1173" s="2387"/>
      <c r="L1173" s="2381">
        <v>13111050400</v>
      </c>
      <c r="M1173" s="2382">
        <v>0</v>
      </c>
      <c r="N1173" s="2382">
        <v>1</v>
      </c>
      <c r="O1173" s="2382">
        <v>1</v>
      </c>
    </row>
    <row r="1174" spans="3:15">
      <c r="C1174" s="2388" t="s">
        <v>5672</v>
      </c>
      <c r="D1174" s="2385">
        <v>0</v>
      </c>
      <c r="E1174" s="2385">
        <v>0</v>
      </c>
      <c r="F1174" s="2386">
        <v>0</v>
      </c>
      <c r="G1174" s="2412" t="s">
        <v>5672</v>
      </c>
      <c r="H1174" s="2383">
        <v>1</v>
      </c>
      <c r="I1174" s="2383">
        <v>0</v>
      </c>
      <c r="J1174" s="2413">
        <v>1</v>
      </c>
      <c r="K1174" s="2387"/>
      <c r="L1174" s="2381">
        <v>13111050500</v>
      </c>
      <c r="M1174" s="2382">
        <v>1</v>
      </c>
      <c r="N1174" s="2382">
        <v>0</v>
      </c>
      <c r="O1174" s="2382">
        <v>1</v>
      </c>
    </row>
    <row r="1175" spans="3:15">
      <c r="C1175" s="2388" t="s">
        <v>5673</v>
      </c>
      <c r="D1175" s="2385">
        <v>1</v>
      </c>
      <c r="E1175" s="2385">
        <v>0</v>
      </c>
      <c r="F1175" s="2386">
        <v>1</v>
      </c>
      <c r="G1175" s="2412" t="s">
        <v>5673</v>
      </c>
      <c r="H1175" s="2383">
        <v>1</v>
      </c>
      <c r="I1175" s="2383">
        <v>1</v>
      </c>
      <c r="J1175" s="2413">
        <v>2</v>
      </c>
      <c r="K1175" s="2387"/>
      <c r="L1175" s="2381">
        <v>13113140101</v>
      </c>
      <c r="M1175" s="2382">
        <v>1</v>
      </c>
      <c r="N1175" s="2382">
        <v>1</v>
      </c>
      <c r="O1175" s="2382">
        <v>2</v>
      </c>
    </row>
    <row r="1176" spans="3:15">
      <c r="C1176" s="2388" t="s">
        <v>5674</v>
      </c>
      <c r="D1176" s="2385">
        <v>1</v>
      </c>
      <c r="E1176" s="2385">
        <v>1</v>
      </c>
      <c r="F1176" s="2386">
        <v>2</v>
      </c>
      <c r="G1176" s="2412" t="s">
        <v>5674</v>
      </c>
      <c r="H1176" s="2383">
        <v>1</v>
      </c>
      <c r="I1176" s="2383">
        <v>1</v>
      </c>
      <c r="J1176" s="2413">
        <v>2</v>
      </c>
      <c r="K1176" s="2387"/>
      <c r="L1176" s="2381">
        <v>13113140102</v>
      </c>
      <c r="M1176" s="2382">
        <v>1</v>
      </c>
      <c r="N1176" s="2382">
        <v>1</v>
      </c>
      <c r="O1176" s="2382">
        <v>2</v>
      </c>
    </row>
    <row r="1177" spans="3:15">
      <c r="C1177" s="2388" t="s">
        <v>5675</v>
      </c>
      <c r="D1177" s="2385">
        <v>1</v>
      </c>
      <c r="E1177" s="2385">
        <v>1</v>
      </c>
      <c r="F1177" s="2386">
        <v>2</v>
      </c>
      <c r="G1177" s="2412" t="s">
        <v>5675</v>
      </c>
      <c r="H1177" s="2383">
        <v>1</v>
      </c>
      <c r="I1177" s="2383">
        <v>1</v>
      </c>
      <c r="J1177" s="2413">
        <v>2</v>
      </c>
      <c r="K1177" s="2387"/>
      <c r="L1177" s="2381">
        <v>13113140203</v>
      </c>
      <c r="M1177" s="2382">
        <v>1</v>
      </c>
      <c r="N1177" s="2382">
        <v>1</v>
      </c>
      <c r="O1177" s="2382">
        <v>2</v>
      </c>
    </row>
    <row r="1178" spans="3:15">
      <c r="C1178" s="2388" t="s">
        <v>5676</v>
      </c>
      <c r="D1178" s="2385">
        <v>1</v>
      </c>
      <c r="E1178" s="2385">
        <v>1</v>
      </c>
      <c r="F1178" s="2386">
        <v>2</v>
      </c>
      <c r="G1178" s="2412" t="s">
        <v>5676</v>
      </c>
      <c r="H1178" s="2383">
        <v>1</v>
      </c>
      <c r="I1178" s="2383">
        <v>1</v>
      </c>
      <c r="J1178" s="2413">
        <v>2</v>
      </c>
      <c r="K1178" s="2387"/>
      <c r="L1178" s="2381">
        <v>13113140204</v>
      </c>
      <c r="M1178" s="2382">
        <v>1</v>
      </c>
      <c r="N1178" s="2382">
        <v>1</v>
      </c>
      <c r="O1178" s="2382">
        <v>2</v>
      </c>
    </row>
    <row r="1179" spans="3:15">
      <c r="C1179" s="2388" t="s">
        <v>5677</v>
      </c>
      <c r="D1179" s="2385">
        <v>1</v>
      </c>
      <c r="E1179" s="2385">
        <v>1</v>
      </c>
      <c r="F1179" s="2386">
        <v>2</v>
      </c>
      <c r="G1179" s="2412" t="s">
        <v>5677</v>
      </c>
      <c r="H1179" s="2383">
        <v>1</v>
      </c>
      <c r="I1179" s="2383">
        <v>1</v>
      </c>
      <c r="J1179" s="2413">
        <v>2</v>
      </c>
      <c r="K1179" s="2387"/>
      <c r="L1179" s="2381">
        <v>13113140206</v>
      </c>
      <c r="M1179" s="2382">
        <v>1</v>
      </c>
      <c r="N1179" s="2382">
        <v>1</v>
      </c>
      <c r="O1179" s="2382">
        <v>2</v>
      </c>
    </row>
    <row r="1180" spans="3:15">
      <c r="C1180" s="2388" t="s">
        <v>5678</v>
      </c>
      <c r="D1180" s="2385">
        <v>1</v>
      </c>
      <c r="E1180" s="2385">
        <v>1</v>
      </c>
      <c r="F1180" s="2386">
        <v>2</v>
      </c>
      <c r="G1180" s="2412" t="s">
        <v>5678</v>
      </c>
      <c r="H1180" s="2383">
        <v>1</v>
      </c>
      <c r="I1180" s="2383">
        <v>1</v>
      </c>
      <c r="J1180" s="2413">
        <v>2</v>
      </c>
      <c r="K1180" s="2387"/>
      <c r="L1180" s="2381">
        <v>13113140207</v>
      </c>
      <c r="M1180" s="2382">
        <v>1</v>
      </c>
      <c r="N1180" s="2382">
        <v>1</v>
      </c>
      <c r="O1180" s="2382">
        <v>2</v>
      </c>
    </row>
    <row r="1181" spans="3:15">
      <c r="C1181" s="2388" t="s">
        <v>5679</v>
      </c>
      <c r="D1181" s="2385">
        <v>1</v>
      </c>
      <c r="E1181" s="2385">
        <v>1</v>
      </c>
      <c r="F1181" s="2386">
        <v>2</v>
      </c>
      <c r="G1181" s="2412" t="s">
        <v>5679</v>
      </c>
      <c r="H1181" s="2383">
        <v>1</v>
      </c>
      <c r="I1181" s="2383">
        <v>1</v>
      </c>
      <c r="J1181" s="2413">
        <v>2</v>
      </c>
      <c r="K1181" s="2387"/>
      <c r="L1181" s="2381">
        <v>13113140208</v>
      </c>
      <c r="M1181" s="2382">
        <v>1</v>
      </c>
      <c r="N1181" s="2382">
        <v>1</v>
      </c>
      <c r="O1181" s="2382">
        <v>2</v>
      </c>
    </row>
    <row r="1182" spans="3:15">
      <c r="C1182" s="2388" t="s">
        <v>5680</v>
      </c>
      <c r="D1182" s="2385">
        <v>1</v>
      </c>
      <c r="E1182" s="2385">
        <v>1</v>
      </c>
      <c r="F1182" s="2386">
        <v>2</v>
      </c>
      <c r="G1182" s="2412" t="s">
        <v>5680</v>
      </c>
      <c r="H1182" s="2383">
        <v>1</v>
      </c>
      <c r="I1182" s="2383">
        <v>1</v>
      </c>
      <c r="J1182" s="2413">
        <v>2</v>
      </c>
      <c r="K1182" s="2387"/>
      <c r="L1182" s="2381">
        <v>13113140303</v>
      </c>
      <c r="M1182" s="2382">
        <v>1</v>
      </c>
      <c r="N1182" s="2382">
        <v>1</v>
      </c>
      <c r="O1182" s="2382">
        <v>2</v>
      </c>
    </row>
    <row r="1183" spans="3:15">
      <c r="C1183" s="2388" t="s">
        <v>5681</v>
      </c>
      <c r="D1183" s="2385">
        <v>1</v>
      </c>
      <c r="E1183" s="2385">
        <v>1</v>
      </c>
      <c r="F1183" s="2386">
        <v>2</v>
      </c>
      <c r="G1183" s="2412" t="s">
        <v>5681</v>
      </c>
      <c r="H1183" s="2383">
        <v>1</v>
      </c>
      <c r="I1183" s="2383">
        <v>1</v>
      </c>
      <c r="J1183" s="2413">
        <v>2</v>
      </c>
      <c r="K1183" s="2387"/>
      <c r="L1183" s="2381">
        <v>13113140304</v>
      </c>
      <c r="M1183" s="2382">
        <v>1</v>
      </c>
      <c r="N1183" s="2382">
        <v>1</v>
      </c>
      <c r="O1183" s="2382">
        <v>2</v>
      </c>
    </row>
    <row r="1184" spans="3:15">
      <c r="C1184" s="2388" t="s">
        <v>5682</v>
      </c>
      <c r="D1184" s="2385">
        <v>1</v>
      </c>
      <c r="E1184" s="2385">
        <v>1</v>
      </c>
      <c r="F1184" s="2386">
        <v>2</v>
      </c>
      <c r="G1184" s="2412" t="s">
        <v>5682</v>
      </c>
      <c r="H1184" s="2383">
        <v>1</v>
      </c>
      <c r="I1184" s="2383">
        <v>1</v>
      </c>
      <c r="J1184" s="2413">
        <v>2</v>
      </c>
      <c r="K1184" s="2387"/>
      <c r="L1184" s="2381">
        <v>13113140305</v>
      </c>
      <c r="M1184" s="2382">
        <v>1</v>
      </c>
      <c r="N1184" s="2382">
        <v>1</v>
      </c>
      <c r="O1184" s="2382">
        <v>2</v>
      </c>
    </row>
    <row r="1185" spans="3:15">
      <c r="C1185" s="2388" t="s">
        <v>5683</v>
      </c>
      <c r="D1185" s="2385">
        <v>1</v>
      </c>
      <c r="E1185" s="2385">
        <v>1</v>
      </c>
      <c r="F1185" s="2386">
        <v>2</v>
      </c>
      <c r="G1185" s="2412" t="s">
        <v>5683</v>
      </c>
      <c r="H1185" s="2383">
        <v>1</v>
      </c>
      <c r="I1185" s="2383">
        <v>1</v>
      </c>
      <c r="J1185" s="2413">
        <v>2</v>
      </c>
      <c r="K1185" s="2387"/>
      <c r="L1185" s="2381">
        <v>13113140306</v>
      </c>
      <c r="M1185" s="2382">
        <v>1</v>
      </c>
      <c r="N1185" s="2382">
        <v>1</v>
      </c>
      <c r="O1185" s="2382">
        <v>2</v>
      </c>
    </row>
    <row r="1186" spans="3:15">
      <c r="C1186" s="2388" t="s">
        <v>5684</v>
      </c>
      <c r="D1186" s="2385">
        <v>1</v>
      </c>
      <c r="E1186" s="2385">
        <v>1</v>
      </c>
      <c r="F1186" s="2386">
        <v>2</v>
      </c>
      <c r="G1186" s="2412" t="s">
        <v>5684</v>
      </c>
      <c r="H1186" s="2383">
        <v>1</v>
      </c>
      <c r="I1186" s="2383">
        <v>1</v>
      </c>
      <c r="J1186" s="2413">
        <v>2</v>
      </c>
      <c r="K1186" s="2387"/>
      <c r="L1186" s="2381">
        <v>13113140307</v>
      </c>
      <c r="M1186" s="2382">
        <v>1</v>
      </c>
      <c r="N1186" s="2382">
        <v>1</v>
      </c>
      <c r="O1186" s="2382">
        <v>2</v>
      </c>
    </row>
    <row r="1187" spans="3:15">
      <c r="C1187" s="2388" t="s">
        <v>5685</v>
      </c>
      <c r="D1187" s="2385">
        <v>1</v>
      </c>
      <c r="E1187" s="2385">
        <v>1</v>
      </c>
      <c r="F1187" s="2386">
        <v>2</v>
      </c>
      <c r="G1187" s="2412" t="s">
        <v>5685</v>
      </c>
      <c r="H1187" s="2383">
        <v>1</v>
      </c>
      <c r="I1187" s="2383">
        <v>1</v>
      </c>
      <c r="J1187" s="2413">
        <v>2</v>
      </c>
      <c r="K1187" s="2387"/>
      <c r="L1187" s="2381">
        <v>13113140403</v>
      </c>
      <c r="M1187" s="2382">
        <v>1</v>
      </c>
      <c r="N1187" s="2382">
        <v>1</v>
      </c>
      <c r="O1187" s="2382">
        <v>2</v>
      </c>
    </row>
    <row r="1188" spans="3:15">
      <c r="C1188" s="2388" t="s">
        <v>5686</v>
      </c>
      <c r="D1188" s="2385">
        <v>1</v>
      </c>
      <c r="E1188" s="2385">
        <v>1</v>
      </c>
      <c r="F1188" s="2386">
        <v>2</v>
      </c>
      <c r="G1188" s="2412" t="s">
        <v>5686</v>
      </c>
      <c r="H1188" s="2383">
        <v>1</v>
      </c>
      <c r="I1188" s="2383">
        <v>1</v>
      </c>
      <c r="J1188" s="2413">
        <v>2</v>
      </c>
      <c r="K1188" s="2387"/>
      <c r="L1188" s="2381">
        <v>13113140404</v>
      </c>
      <c r="M1188" s="2382">
        <v>1</v>
      </c>
      <c r="N1188" s="2382">
        <v>1</v>
      </c>
      <c r="O1188" s="2382">
        <v>2</v>
      </c>
    </row>
    <row r="1189" spans="3:15">
      <c r="C1189" s="2388" t="s">
        <v>5687</v>
      </c>
      <c r="D1189" s="2385">
        <v>1</v>
      </c>
      <c r="E1189" s="2385">
        <v>1</v>
      </c>
      <c r="F1189" s="2386">
        <v>2</v>
      </c>
      <c r="G1189" s="2412" t="s">
        <v>5687</v>
      </c>
      <c r="H1189" s="2383">
        <v>1</v>
      </c>
      <c r="I1189" s="2383">
        <v>1</v>
      </c>
      <c r="J1189" s="2413">
        <v>2</v>
      </c>
      <c r="K1189" s="2387"/>
      <c r="L1189" s="2381">
        <v>13113140405</v>
      </c>
      <c r="M1189" s="2382">
        <v>1</v>
      </c>
      <c r="N1189" s="2382">
        <v>1</v>
      </c>
      <c r="O1189" s="2382">
        <v>2</v>
      </c>
    </row>
    <row r="1190" spans="3:15">
      <c r="C1190" s="2388" t="s">
        <v>5688</v>
      </c>
      <c r="D1190" s="2385">
        <v>0</v>
      </c>
      <c r="E1190" s="2385">
        <v>1</v>
      </c>
      <c r="F1190" s="2386">
        <v>1</v>
      </c>
      <c r="G1190" s="2412" t="s">
        <v>5688</v>
      </c>
      <c r="H1190" s="2383">
        <v>0</v>
      </c>
      <c r="I1190" s="2383">
        <v>1</v>
      </c>
      <c r="J1190" s="2413">
        <v>1</v>
      </c>
      <c r="K1190" s="2387"/>
      <c r="L1190" s="2381">
        <v>13113140406</v>
      </c>
      <c r="M1190" s="2382">
        <v>0</v>
      </c>
      <c r="N1190" s="2382">
        <v>1</v>
      </c>
      <c r="O1190" s="2382">
        <v>1</v>
      </c>
    </row>
    <row r="1191" spans="3:15">
      <c r="C1191" s="2388" t="s">
        <v>5689</v>
      </c>
      <c r="D1191" s="2385">
        <v>1</v>
      </c>
      <c r="E1191" s="2385">
        <v>1</v>
      </c>
      <c r="F1191" s="2386">
        <v>2</v>
      </c>
      <c r="G1191" s="2412" t="s">
        <v>5689</v>
      </c>
      <c r="H1191" s="2383">
        <v>1</v>
      </c>
      <c r="I1191" s="2383">
        <v>1</v>
      </c>
      <c r="J1191" s="2413">
        <v>2</v>
      </c>
      <c r="K1191" s="2387"/>
      <c r="L1191" s="2381">
        <v>13113140407</v>
      </c>
      <c r="M1191" s="2382">
        <v>1</v>
      </c>
      <c r="N1191" s="2382">
        <v>1</v>
      </c>
      <c r="O1191" s="2382">
        <v>2</v>
      </c>
    </row>
    <row r="1192" spans="3:15">
      <c r="C1192" s="2388" t="s">
        <v>5690</v>
      </c>
      <c r="D1192" s="2385">
        <v>1</v>
      </c>
      <c r="E1192" s="2385">
        <v>1</v>
      </c>
      <c r="F1192" s="2386">
        <v>2</v>
      </c>
      <c r="G1192" s="2412" t="s">
        <v>5690</v>
      </c>
      <c r="H1192" s="2383">
        <v>1</v>
      </c>
      <c r="I1192" s="2383">
        <v>1</v>
      </c>
      <c r="J1192" s="2413">
        <v>2</v>
      </c>
      <c r="K1192" s="2387"/>
      <c r="L1192" s="2381">
        <v>13113140408</v>
      </c>
      <c r="M1192" s="2382">
        <v>1</v>
      </c>
      <c r="N1192" s="2382">
        <v>1</v>
      </c>
      <c r="O1192" s="2382">
        <v>2</v>
      </c>
    </row>
    <row r="1193" spans="3:15">
      <c r="C1193" s="2388" t="s">
        <v>5691</v>
      </c>
      <c r="D1193" s="2385">
        <v>1</v>
      </c>
      <c r="E1193" s="2385">
        <v>1</v>
      </c>
      <c r="F1193" s="2386">
        <v>2</v>
      </c>
      <c r="G1193" s="2412" t="s">
        <v>5691</v>
      </c>
      <c r="H1193" s="2383">
        <v>1</v>
      </c>
      <c r="I1193" s="2383">
        <v>1</v>
      </c>
      <c r="J1193" s="2413">
        <v>2</v>
      </c>
      <c r="K1193" s="2387"/>
      <c r="L1193" s="2381">
        <v>13113140501</v>
      </c>
      <c r="M1193" s="2382">
        <v>1</v>
      </c>
      <c r="N1193" s="2382">
        <v>1</v>
      </c>
      <c r="O1193" s="2382">
        <v>2</v>
      </c>
    </row>
    <row r="1194" spans="3:15">
      <c r="C1194" s="2388" t="s">
        <v>5692</v>
      </c>
      <c r="D1194" s="2385">
        <v>1</v>
      </c>
      <c r="E1194" s="2385">
        <v>1</v>
      </c>
      <c r="F1194" s="2386">
        <v>2</v>
      </c>
      <c r="G1194" s="2412" t="s">
        <v>5692</v>
      </c>
      <c r="H1194" s="2383">
        <v>1</v>
      </c>
      <c r="I1194" s="2383">
        <v>1</v>
      </c>
      <c r="J1194" s="2413">
        <v>2</v>
      </c>
      <c r="K1194" s="2387"/>
      <c r="L1194" s="2381">
        <v>13113140502</v>
      </c>
      <c r="M1194" s="2382">
        <v>1</v>
      </c>
      <c r="N1194" s="2382">
        <v>1</v>
      </c>
      <c r="O1194" s="2382">
        <v>2</v>
      </c>
    </row>
    <row r="1195" spans="3:15">
      <c r="C1195" s="2388" t="s">
        <v>5693</v>
      </c>
      <c r="D1195" s="2385">
        <v>0</v>
      </c>
      <c r="E1195" s="2385">
        <v>0</v>
      </c>
      <c r="F1195" s="2386">
        <v>0</v>
      </c>
      <c r="G1195" s="2412" t="s">
        <v>5693</v>
      </c>
      <c r="H1195" s="2383">
        <v>0</v>
      </c>
      <c r="I1195" s="2383">
        <v>1</v>
      </c>
      <c r="J1195" s="2413">
        <v>1</v>
      </c>
      <c r="K1195" s="2387"/>
      <c r="L1195" s="2381">
        <v>13115000100</v>
      </c>
      <c r="M1195" s="2382">
        <v>0</v>
      </c>
      <c r="N1195" s="2382">
        <v>1</v>
      </c>
      <c r="O1195" s="2382">
        <v>1</v>
      </c>
    </row>
    <row r="1196" spans="3:15">
      <c r="C1196" s="2388" t="s">
        <v>5694</v>
      </c>
      <c r="D1196" s="2385">
        <v>1</v>
      </c>
      <c r="E1196" s="2385">
        <v>1</v>
      </c>
      <c r="F1196" s="2386">
        <v>2</v>
      </c>
      <c r="G1196" s="2412" t="s">
        <v>5694</v>
      </c>
      <c r="H1196" s="2383">
        <v>1</v>
      </c>
      <c r="I1196" s="2383">
        <v>0</v>
      </c>
      <c r="J1196" s="2413">
        <v>1</v>
      </c>
      <c r="K1196" s="2387"/>
      <c r="L1196" s="2381">
        <v>13115000201</v>
      </c>
      <c r="M1196" s="2382">
        <v>1</v>
      </c>
      <c r="N1196" s="2382">
        <v>1</v>
      </c>
      <c r="O1196" s="2382">
        <v>2</v>
      </c>
    </row>
    <row r="1197" spans="3:15">
      <c r="C1197" s="2388" t="s">
        <v>5695</v>
      </c>
      <c r="D1197" s="2385">
        <v>1</v>
      </c>
      <c r="E1197" s="2385">
        <v>1</v>
      </c>
      <c r="F1197" s="2386">
        <v>2</v>
      </c>
      <c r="G1197" s="2412" t="s">
        <v>5695</v>
      </c>
      <c r="H1197" s="2383">
        <v>1</v>
      </c>
      <c r="I1197" s="2383">
        <v>1</v>
      </c>
      <c r="J1197" s="2413">
        <v>2</v>
      </c>
      <c r="K1197" s="2387"/>
      <c r="L1197" s="2381">
        <v>13115000202</v>
      </c>
      <c r="M1197" s="2382">
        <v>1</v>
      </c>
      <c r="N1197" s="2382">
        <v>1</v>
      </c>
      <c r="O1197" s="2383">
        <v>2</v>
      </c>
    </row>
    <row r="1198" spans="3:15">
      <c r="C1198" s="2388" t="s">
        <v>5696</v>
      </c>
      <c r="D1198" s="2385">
        <v>1</v>
      </c>
      <c r="E1198" s="2385">
        <v>1</v>
      </c>
      <c r="F1198" s="2386">
        <v>2</v>
      </c>
      <c r="G1198" s="2412" t="s">
        <v>5696</v>
      </c>
      <c r="H1198" s="2383">
        <v>1</v>
      </c>
      <c r="I1198" s="2383">
        <v>1</v>
      </c>
      <c r="J1198" s="2413">
        <v>2</v>
      </c>
      <c r="K1198" s="2387"/>
      <c r="L1198" s="2381">
        <v>13115000300</v>
      </c>
      <c r="M1198" s="2382">
        <v>1</v>
      </c>
      <c r="N1198" s="2382">
        <v>1</v>
      </c>
      <c r="O1198" s="2383">
        <v>2</v>
      </c>
    </row>
    <row r="1199" spans="3:15">
      <c r="C1199" s="2388" t="s">
        <v>5697</v>
      </c>
      <c r="D1199" s="2385">
        <v>0</v>
      </c>
      <c r="E1199" s="2385">
        <v>0</v>
      </c>
      <c r="F1199" s="2386">
        <v>0</v>
      </c>
      <c r="G1199" s="2412" t="s">
        <v>5697</v>
      </c>
      <c r="H1199" s="2383">
        <v>0</v>
      </c>
      <c r="I1199" s="2383">
        <v>1</v>
      </c>
      <c r="J1199" s="2413">
        <v>1</v>
      </c>
      <c r="K1199" s="2387"/>
      <c r="L1199" s="2381">
        <v>13115000400</v>
      </c>
      <c r="M1199" s="2382">
        <v>0</v>
      </c>
      <c r="N1199" s="2382">
        <v>1</v>
      </c>
      <c r="O1199" s="2383">
        <v>1</v>
      </c>
    </row>
    <row r="1200" spans="3:15">
      <c r="C1200" s="2388" t="s">
        <v>5698</v>
      </c>
      <c r="D1200" s="2385">
        <v>0</v>
      </c>
      <c r="E1200" s="2385">
        <v>0</v>
      </c>
      <c r="F1200" s="2386">
        <v>0</v>
      </c>
      <c r="G1200" s="2412" t="s">
        <v>5698</v>
      </c>
      <c r="H1200" s="2383">
        <v>0</v>
      </c>
      <c r="I1200" s="2383">
        <v>0</v>
      </c>
      <c r="J1200" s="2413">
        <v>0</v>
      </c>
      <c r="K1200" s="2387"/>
      <c r="L1200" s="2381">
        <v>13115000500</v>
      </c>
      <c r="M1200" s="2382">
        <v>0</v>
      </c>
      <c r="N1200" s="2382">
        <v>0</v>
      </c>
      <c r="O1200" s="2383">
        <v>0</v>
      </c>
    </row>
    <row r="1201" spans="3:15">
      <c r="C1201" s="2388" t="s">
        <v>5699</v>
      </c>
      <c r="D1201" s="2385">
        <v>0</v>
      </c>
      <c r="E1201" s="2385">
        <v>0</v>
      </c>
      <c r="F1201" s="2386">
        <v>0</v>
      </c>
      <c r="G1201" s="2412" t="s">
        <v>5699</v>
      </c>
      <c r="H1201" s="2383">
        <v>0</v>
      </c>
      <c r="I1201" s="2383">
        <v>0</v>
      </c>
      <c r="J1201" s="2413">
        <v>0</v>
      </c>
      <c r="K1201" s="2387"/>
      <c r="L1201" s="2381">
        <v>13115000600</v>
      </c>
      <c r="M1201" s="2382">
        <v>0</v>
      </c>
      <c r="N1201" s="2382">
        <v>0</v>
      </c>
      <c r="O1201" s="2383">
        <v>0</v>
      </c>
    </row>
    <row r="1202" spans="3:15">
      <c r="C1202" s="2388" t="s">
        <v>5700</v>
      </c>
      <c r="D1202" s="2385">
        <v>1</v>
      </c>
      <c r="E1202" s="2385">
        <v>1</v>
      </c>
      <c r="F1202" s="2386">
        <v>2</v>
      </c>
      <c r="G1202" s="2412" t="s">
        <v>5700</v>
      </c>
      <c r="H1202" s="2383">
        <v>0</v>
      </c>
      <c r="I1202" s="2383">
        <v>1</v>
      </c>
      <c r="J1202" s="2413">
        <v>1</v>
      </c>
      <c r="K1202" s="2387"/>
      <c r="L1202" s="2381">
        <v>13115000700</v>
      </c>
      <c r="M1202" s="2382">
        <v>1</v>
      </c>
      <c r="N1202" s="2382">
        <v>1</v>
      </c>
      <c r="O1202" s="2383">
        <v>2</v>
      </c>
    </row>
    <row r="1203" spans="3:15">
      <c r="C1203" s="2388" t="s">
        <v>5701</v>
      </c>
      <c r="D1203" s="2385">
        <v>1</v>
      </c>
      <c r="E1203" s="2385">
        <v>1</v>
      </c>
      <c r="F1203" s="2386">
        <v>2</v>
      </c>
      <c r="G1203" s="2412" t="s">
        <v>5701</v>
      </c>
      <c r="H1203" s="2383">
        <v>1</v>
      </c>
      <c r="I1203" s="2383">
        <v>1</v>
      </c>
      <c r="J1203" s="2413">
        <v>2</v>
      </c>
      <c r="K1203" s="2387"/>
      <c r="L1203" s="2381">
        <v>13115000800</v>
      </c>
      <c r="M1203" s="2382">
        <v>1</v>
      </c>
      <c r="N1203" s="2382">
        <v>1</v>
      </c>
      <c r="O1203" s="2383">
        <v>2</v>
      </c>
    </row>
    <row r="1204" spans="3:15">
      <c r="C1204" s="2388" t="s">
        <v>5702</v>
      </c>
      <c r="D1204" s="2385">
        <v>0</v>
      </c>
      <c r="E1204" s="2385">
        <v>1</v>
      </c>
      <c r="F1204" s="2386">
        <v>1</v>
      </c>
      <c r="G1204" s="2412" t="s">
        <v>5702</v>
      </c>
      <c r="H1204" s="2383">
        <v>0</v>
      </c>
      <c r="I1204" s="2383">
        <v>1</v>
      </c>
      <c r="J1204" s="2413">
        <v>1</v>
      </c>
      <c r="K1204" s="2387"/>
      <c r="L1204" s="2381">
        <v>13115000900</v>
      </c>
      <c r="M1204" s="2382">
        <v>0</v>
      </c>
      <c r="N1204" s="2382">
        <v>1</v>
      </c>
      <c r="O1204" s="2383">
        <v>1</v>
      </c>
    </row>
    <row r="1205" spans="3:15">
      <c r="C1205" s="2388" t="s">
        <v>5703</v>
      </c>
      <c r="D1205" s="2385">
        <v>0</v>
      </c>
      <c r="E1205" s="2385">
        <v>0</v>
      </c>
      <c r="F1205" s="2386">
        <v>0</v>
      </c>
      <c r="G1205" s="2412" t="s">
        <v>5703</v>
      </c>
      <c r="H1205" s="2383">
        <v>0</v>
      </c>
      <c r="I1205" s="2383">
        <v>0</v>
      </c>
      <c r="J1205" s="2413">
        <v>0</v>
      </c>
      <c r="K1205" s="2387"/>
      <c r="L1205" s="2381">
        <v>13115001100</v>
      </c>
      <c r="M1205" s="2382">
        <v>0</v>
      </c>
      <c r="N1205" s="2382">
        <v>0</v>
      </c>
      <c r="O1205" s="2383">
        <v>0</v>
      </c>
    </row>
    <row r="1206" spans="3:15">
      <c r="C1206" s="2388" t="s">
        <v>5704</v>
      </c>
      <c r="D1206" s="2385">
        <v>0</v>
      </c>
      <c r="E1206" s="2385">
        <v>0</v>
      </c>
      <c r="F1206" s="2386">
        <v>0</v>
      </c>
      <c r="G1206" s="2412" t="s">
        <v>5704</v>
      </c>
      <c r="H1206" s="2383">
        <v>0</v>
      </c>
      <c r="I1206" s="2383">
        <v>0</v>
      </c>
      <c r="J1206" s="2413">
        <v>0</v>
      </c>
      <c r="K1206" s="2387"/>
      <c r="L1206" s="2381">
        <v>13115001200</v>
      </c>
      <c r="M1206" s="2382">
        <v>0</v>
      </c>
      <c r="N1206" s="2382">
        <v>0</v>
      </c>
      <c r="O1206" s="2383">
        <v>0</v>
      </c>
    </row>
    <row r="1207" spans="3:15">
      <c r="C1207" s="2388" t="s">
        <v>5705</v>
      </c>
      <c r="D1207" s="2385">
        <v>0</v>
      </c>
      <c r="E1207" s="2385">
        <v>0</v>
      </c>
      <c r="F1207" s="2386">
        <v>0</v>
      </c>
      <c r="G1207" s="2412" t="s">
        <v>5705</v>
      </c>
      <c r="H1207" s="2383">
        <v>0</v>
      </c>
      <c r="I1207" s="2383">
        <v>0</v>
      </c>
      <c r="J1207" s="2413">
        <v>0</v>
      </c>
      <c r="K1207" s="2387"/>
      <c r="L1207" s="2381">
        <v>13115001300</v>
      </c>
      <c r="M1207" s="2382">
        <v>0</v>
      </c>
      <c r="N1207" s="2382">
        <v>0</v>
      </c>
      <c r="O1207" s="2383">
        <v>0</v>
      </c>
    </row>
    <row r="1208" spans="3:15">
      <c r="C1208" s="2388" t="s">
        <v>5706</v>
      </c>
      <c r="D1208" s="2385">
        <v>1</v>
      </c>
      <c r="E1208" s="2385">
        <v>1</v>
      </c>
      <c r="F1208" s="2386">
        <v>2</v>
      </c>
      <c r="G1208" s="2412" t="s">
        <v>5706</v>
      </c>
      <c r="H1208" s="2383">
        <v>0</v>
      </c>
      <c r="I1208" s="2383">
        <v>1</v>
      </c>
      <c r="J1208" s="2413">
        <v>1</v>
      </c>
      <c r="K1208" s="2387"/>
      <c r="L1208" s="2381">
        <v>13115001400</v>
      </c>
      <c r="M1208" s="2382">
        <v>1</v>
      </c>
      <c r="N1208" s="2382">
        <v>1</v>
      </c>
      <c r="O1208" s="2383">
        <v>2</v>
      </c>
    </row>
    <row r="1209" spans="3:15">
      <c r="C1209" s="2388" t="s">
        <v>5707</v>
      </c>
      <c r="D1209" s="2385">
        <v>0</v>
      </c>
      <c r="E1209" s="2385">
        <v>0</v>
      </c>
      <c r="F1209" s="2386">
        <v>0</v>
      </c>
      <c r="G1209" s="2412" t="s">
        <v>5707</v>
      </c>
      <c r="H1209" s="2383">
        <v>0</v>
      </c>
      <c r="I1209" s="2383">
        <v>0</v>
      </c>
      <c r="J1209" s="2413">
        <v>0</v>
      </c>
      <c r="K1209" s="2387"/>
      <c r="L1209" s="2381">
        <v>13115001600</v>
      </c>
      <c r="M1209" s="2382">
        <v>0</v>
      </c>
      <c r="N1209" s="2382">
        <v>0</v>
      </c>
      <c r="O1209" s="2383">
        <v>0</v>
      </c>
    </row>
    <row r="1210" spans="3:15">
      <c r="C1210" s="2388" t="s">
        <v>5708</v>
      </c>
      <c r="D1210" s="2385">
        <v>1</v>
      </c>
      <c r="E1210" s="2385">
        <v>0</v>
      </c>
      <c r="F1210" s="2386">
        <v>1</v>
      </c>
      <c r="G1210" s="2412" t="s">
        <v>5708</v>
      </c>
      <c r="H1210" s="2383">
        <v>1</v>
      </c>
      <c r="I1210" s="2383">
        <v>1</v>
      </c>
      <c r="J1210" s="2413">
        <v>2</v>
      </c>
      <c r="K1210" s="2387"/>
      <c r="L1210" s="2381">
        <v>13115001701</v>
      </c>
      <c r="M1210" s="2382">
        <v>1</v>
      </c>
      <c r="N1210" s="2382">
        <v>1</v>
      </c>
      <c r="O1210" s="2383">
        <v>2</v>
      </c>
    </row>
    <row r="1211" spans="3:15">
      <c r="C1211" s="2388" t="s">
        <v>5709</v>
      </c>
      <c r="D1211" s="2385">
        <v>1</v>
      </c>
      <c r="E1211" s="2385">
        <v>1</v>
      </c>
      <c r="F1211" s="2386">
        <v>2</v>
      </c>
      <c r="G1211" s="2412" t="s">
        <v>5709</v>
      </c>
      <c r="H1211" s="2383">
        <v>0</v>
      </c>
      <c r="I1211" s="2383">
        <v>0</v>
      </c>
      <c r="J1211" s="2413">
        <v>0</v>
      </c>
      <c r="K1211" s="2387"/>
      <c r="L1211" s="2381">
        <v>13115001702</v>
      </c>
      <c r="M1211" s="2382">
        <v>1</v>
      </c>
      <c r="N1211" s="2382">
        <v>1</v>
      </c>
      <c r="O1211" s="2383">
        <v>2</v>
      </c>
    </row>
    <row r="1212" spans="3:15">
      <c r="C1212" s="2388" t="s">
        <v>5710</v>
      </c>
      <c r="D1212" s="2385">
        <v>0</v>
      </c>
      <c r="E1212" s="2385">
        <v>0</v>
      </c>
      <c r="F1212" s="2386">
        <v>0</v>
      </c>
      <c r="G1212" s="2412" t="s">
        <v>5710</v>
      </c>
      <c r="H1212" s="2383">
        <v>0</v>
      </c>
      <c r="I1212" s="2383">
        <v>0</v>
      </c>
      <c r="J1212" s="2413">
        <v>0</v>
      </c>
      <c r="K1212" s="2387"/>
      <c r="L1212" s="2381">
        <v>13115001800</v>
      </c>
      <c r="M1212" s="2382">
        <v>0</v>
      </c>
      <c r="N1212" s="2382">
        <v>0</v>
      </c>
      <c r="O1212" s="2383">
        <v>0</v>
      </c>
    </row>
    <row r="1213" spans="3:15">
      <c r="C1213" s="2388" t="s">
        <v>5711</v>
      </c>
      <c r="D1213" s="2385">
        <v>0</v>
      </c>
      <c r="E1213" s="2385">
        <v>0</v>
      </c>
      <c r="F1213" s="2386">
        <v>0</v>
      </c>
      <c r="G1213" s="2412" t="s">
        <v>5711</v>
      </c>
      <c r="H1213" s="2383">
        <v>0</v>
      </c>
      <c r="I1213" s="2383">
        <v>0</v>
      </c>
      <c r="J1213" s="2413">
        <v>0</v>
      </c>
      <c r="K1213" s="2387"/>
      <c r="L1213" s="2381">
        <v>13115002000</v>
      </c>
      <c r="M1213" s="2382">
        <v>0</v>
      </c>
      <c r="N1213" s="2382">
        <v>0</v>
      </c>
      <c r="O1213" s="2383">
        <v>0</v>
      </c>
    </row>
    <row r="1214" spans="3:15">
      <c r="C1214" s="2388" t="s">
        <v>5712</v>
      </c>
      <c r="D1214" s="2385">
        <v>0</v>
      </c>
      <c r="E1214" s="2385">
        <v>0</v>
      </c>
      <c r="F1214" s="2386">
        <v>0</v>
      </c>
      <c r="G1214" s="2412" t="s">
        <v>5712</v>
      </c>
      <c r="H1214" s="2383">
        <v>0</v>
      </c>
      <c r="I1214" s="2383">
        <v>0</v>
      </c>
      <c r="J1214" s="2413">
        <v>0</v>
      </c>
      <c r="K1214" s="2387"/>
      <c r="L1214" s="2381">
        <v>13115002100</v>
      </c>
      <c r="M1214" s="2382">
        <v>0</v>
      </c>
      <c r="N1214" s="2382">
        <v>0</v>
      </c>
      <c r="O1214" s="2383">
        <v>0</v>
      </c>
    </row>
    <row r="1215" spans="3:15">
      <c r="C1215" s="2388" t="s">
        <v>5713</v>
      </c>
      <c r="D1215" s="2385">
        <v>1</v>
      </c>
      <c r="E1215" s="2385">
        <v>1</v>
      </c>
      <c r="F1215" s="2386">
        <v>2</v>
      </c>
      <c r="G1215" s="2412" t="s">
        <v>5713</v>
      </c>
      <c r="H1215" s="2383">
        <v>1</v>
      </c>
      <c r="I1215" s="2383">
        <v>1</v>
      </c>
      <c r="J1215" s="2413">
        <v>2</v>
      </c>
      <c r="K1215" s="2387"/>
      <c r="L1215" s="2381">
        <v>13117130101</v>
      </c>
      <c r="M1215" s="2382">
        <v>1</v>
      </c>
      <c r="N1215" s="2382">
        <v>1</v>
      </c>
      <c r="O1215" s="2383">
        <v>2</v>
      </c>
    </row>
    <row r="1216" spans="3:15">
      <c r="C1216" s="2388" t="s">
        <v>5714</v>
      </c>
      <c r="D1216" s="2385">
        <v>1</v>
      </c>
      <c r="E1216" s="2385">
        <v>1</v>
      </c>
      <c r="F1216" s="2386">
        <v>2</v>
      </c>
      <c r="G1216" s="2412" t="s">
        <v>5714</v>
      </c>
      <c r="H1216" s="2383">
        <v>1</v>
      </c>
      <c r="I1216" s="2383">
        <v>1</v>
      </c>
      <c r="J1216" s="2413">
        <v>2</v>
      </c>
      <c r="K1216" s="2387"/>
      <c r="L1216" s="2381">
        <v>13117130102</v>
      </c>
      <c r="M1216" s="2382">
        <v>1</v>
      </c>
      <c r="N1216" s="2382">
        <v>1</v>
      </c>
      <c r="O1216" s="2383">
        <v>2</v>
      </c>
    </row>
    <row r="1217" spans="3:15">
      <c r="C1217" s="2388" t="s">
        <v>5715</v>
      </c>
      <c r="D1217" s="2385">
        <v>1</v>
      </c>
      <c r="E1217" s="2385">
        <v>1</v>
      </c>
      <c r="F1217" s="2386">
        <v>2</v>
      </c>
      <c r="G1217" s="2412" t="s">
        <v>5715</v>
      </c>
      <c r="H1217" s="2383">
        <v>1</v>
      </c>
      <c r="I1217" s="2383">
        <v>0</v>
      </c>
      <c r="J1217" s="2413">
        <v>1</v>
      </c>
      <c r="K1217" s="2387"/>
      <c r="L1217" s="2381">
        <v>13117130103</v>
      </c>
      <c r="M1217" s="2382">
        <v>1</v>
      </c>
      <c r="N1217" s="2382">
        <v>1</v>
      </c>
      <c r="O1217" s="2383">
        <v>2</v>
      </c>
    </row>
    <row r="1218" spans="3:15">
      <c r="C1218" s="2388" t="s">
        <v>5716</v>
      </c>
      <c r="D1218" s="2385">
        <v>1</v>
      </c>
      <c r="E1218" s="2385">
        <v>1</v>
      </c>
      <c r="F1218" s="2386">
        <v>2</v>
      </c>
      <c r="G1218" s="2412" t="s">
        <v>5716</v>
      </c>
      <c r="H1218" s="2383">
        <v>1</v>
      </c>
      <c r="I1218" s="2383">
        <v>1</v>
      </c>
      <c r="J1218" s="2413">
        <v>2</v>
      </c>
      <c r="K1218" s="2387"/>
      <c r="L1218" s="2381">
        <v>13117130104</v>
      </c>
      <c r="M1218" s="2382">
        <v>1</v>
      </c>
      <c r="N1218" s="2382">
        <v>1</v>
      </c>
      <c r="O1218" s="2383">
        <v>2</v>
      </c>
    </row>
    <row r="1219" spans="3:15">
      <c r="C1219" s="2388" t="s">
        <v>5717</v>
      </c>
      <c r="D1219" s="2385">
        <v>0</v>
      </c>
      <c r="E1219" s="2385">
        <v>0</v>
      </c>
      <c r="F1219" s="2386">
        <v>0</v>
      </c>
      <c r="G1219" s="2412" t="s">
        <v>5717</v>
      </c>
      <c r="H1219" s="2383">
        <v>0</v>
      </c>
      <c r="I1219" s="2383">
        <v>1</v>
      </c>
      <c r="J1219" s="2413">
        <v>1</v>
      </c>
      <c r="K1219" s="2387"/>
      <c r="L1219" s="2381">
        <v>13117130105</v>
      </c>
      <c r="M1219" s="2382">
        <v>0</v>
      </c>
      <c r="N1219" s="2382">
        <v>1</v>
      </c>
      <c r="O1219" s="2383">
        <v>1</v>
      </c>
    </row>
    <row r="1220" spans="3:15">
      <c r="C1220" s="2388" t="s">
        <v>5718</v>
      </c>
      <c r="D1220" s="2385">
        <v>1</v>
      </c>
      <c r="E1220" s="2385">
        <v>1</v>
      </c>
      <c r="F1220" s="2386">
        <v>2</v>
      </c>
      <c r="G1220" s="2412" t="s">
        <v>5718</v>
      </c>
      <c r="H1220" s="2383">
        <v>1</v>
      </c>
      <c r="I1220" s="2383">
        <v>1</v>
      </c>
      <c r="J1220" s="2413">
        <v>2</v>
      </c>
      <c r="K1220" s="2387"/>
      <c r="L1220" s="2381">
        <v>13117130201</v>
      </c>
      <c r="M1220" s="2382">
        <v>1</v>
      </c>
      <c r="N1220" s="2382">
        <v>1</v>
      </c>
      <c r="O1220" s="2383">
        <v>2</v>
      </c>
    </row>
    <row r="1221" spans="3:15">
      <c r="C1221" s="2388" t="s">
        <v>5719</v>
      </c>
      <c r="D1221" s="2385">
        <v>1</v>
      </c>
      <c r="E1221" s="2385">
        <v>1</v>
      </c>
      <c r="F1221" s="2386">
        <v>2</v>
      </c>
      <c r="G1221" s="2412" t="s">
        <v>5719</v>
      </c>
      <c r="H1221" s="2383">
        <v>1</v>
      </c>
      <c r="I1221" s="2383" t="s">
        <v>4493</v>
      </c>
      <c r="J1221" s="2413">
        <v>1</v>
      </c>
      <c r="K1221" s="2387"/>
      <c r="L1221" s="2381">
        <v>13117130202</v>
      </c>
      <c r="M1221" s="2382">
        <v>1</v>
      </c>
      <c r="N1221" s="2382">
        <v>1</v>
      </c>
      <c r="O1221" s="2383">
        <v>2</v>
      </c>
    </row>
    <row r="1222" spans="3:15">
      <c r="C1222" s="2388" t="s">
        <v>5720</v>
      </c>
      <c r="D1222" s="2385">
        <v>1</v>
      </c>
      <c r="E1222" s="2385">
        <v>1</v>
      </c>
      <c r="F1222" s="2386">
        <v>2</v>
      </c>
      <c r="G1222" s="2412" t="s">
        <v>5720</v>
      </c>
      <c r="H1222" s="2383">
        <v>1</v>
      </c>
      <c r="I1222" s="2383">
        <v>1</v>
      </c>
      <c r="J1222" s="2413">
        <v>2</v>
      </c>
      <c r="K1222" s="2387"/>
      <c r="L1222" s="2381">
        <v>13117130203</v>
      </c>
      <c r="M1222" s="2382">
        <v>1</v>
      </c>
      <c r="N1222" s="2382">
        <v>1</v>
      </c>
      <c r="O1222" s="2383">
        <v>2</v>
      </c>
    </row>
    <row r="1223" spans="3:15">
      <c r="C1223" s="2388" t="s">
        <v>5721</v>
      </c>
      <c r="D1223" s="2385">
        <v>1</v>
      </c>
      <c r="E1223" s="2385">
        <v>0</v>
      </c>
      <c r="F1223" s="2386">
        <v>1</v>
      </c>
      <c r="G1223" s="2412" t="s">
        <v>5721</v>
      </c>
      <c r="H1223" s="2383">
        <v>1</v>
      </c>
      <c r="I1223" s="2383">
        <v>0</v>
      </c>
      <c r="J1223" s="2413">
        <v>1</v>
      </c>
      <c r="K1223" s="2387"/>
      <c r="L1223" s="2381">
        <v>13117130204</v>
      </c>
      <c r="M1223" s="2382">
        <v>1</v>
      </c>
      <c r="N1223" s="2382">
        <v>0</v>
      </c>
      <c r="O1223" s="2383">
        <v>1</v>
      </c>
    </row>
    <row r="1224" spans="3:15">
      <c r="C1224" s="2388" t="s">
        <v>5722</v>
      </c>
      <c r="D1224" s="2385">
        <v>1</v>
      </c>
      <c r="E1224" s="2385">
        <v>1</v>
      </c>
      <c r="F1224" s="2386">
        <v>2</v>
      </c>
      <c r="G1224" s="2412" t="s">
        <v>5722</v>
      </c>
      <c r="H1224" s="2383">
        <v>1</v>
      </c>
      <c r="I1224" s="2383" t="s">
        <v>4493</v>
      </c>
      <c r="J1224" s="2413">
        <v>1</v>
      </c>
      <c r="K1224" s="2387"/>
      <c r="L1224" s="2381">
        <v>13117130205</v>
      </c>
      <c r="M1224" s="2382">
        <v>1</v>
      </c>
      <c r="N1224" s="2382">
        <v>1</v>
      </c>
      <c r="O1224" s="2383">
        <v>2</v>
      </c>
    </row>
    <row r="1225" spans="3:15">
      <c r="C1225" s="2388" t="s">
        <v>5723</v>
      </c>
      <c r="D1225" s="2385">
        <v>1</v>
      </c>
      <c r="E1225" s="2385">
        <v>1</v>
      </c>
      <c r="F1225" s="2386">
        <v>2</v>
      </c>
      <c r="G1225" s="2412" t="s">
        <v>5723</v>
      </c>
      <c r="H1225" s="2383">
        <v>1</v>
      </c>
      <c r="I1225" s="2383">
        <v>1</v>
      </c>
      <c r="J1225" s="2413">
        <v>2</v>
      </c>
      <c r="K1225" s="2387"/>
      <c r="L1225" s="2381">
        <v>13117130301</v>
      </c>
      <c r="M1225" s="2382">
        <v>1</v>
      </c>
      <c r="N1225" s="2382">
        <v>1</v>
      </c>
      <c r="O1225" s="2383">
        <v>2</v>
      </c>
    </row>
    <row r="1226" spans="3:15">
      <c r="C1226" s="2388" t="s">
        <v>5724</v>
      </c>
      <c r="D1226" s="2385">
        <v>1</v>
      </c>
      <c r="E1226" s="2385">
        <v>1</v>
      </c>
      <c r="F1226" s="2386">
        <v>2</v>
      </c>
      <c r="G1226" s="2412" t="s">
        <v>5724</v>
      </c>
      <c r="H1226" s="2383">
        <v>1</v>
      </c>
      <c r="I1226" s="2383">
        <v>1</v>
      </c>
      <c r="J1226" s="2413">
        <v>2</v>
      </c>
      <c r="K1226" s="2387"/>
      <c r="L1226" s="2381">
        <v>13117130302</v>
      </c>
      <c r="M1226" s="2382">
        <v>1</v>
      </c>
      <c r="N1226" s="2382">
        <v>1</v>
      </c>
      <c r="O1226" s="2383">
        <v>2</v>
      </c>
    </row>
    <row r="1227" spans="3:15">
      <c r="C1227" s="2388" t="s">
        <v>5725</v>
      </c>
      <c r="D1227" s="2385">
        <v>1</v>
      </c>
      <c r="E1227" s="2385">
        <v>1</v>
      </c>
      <c r="F1227" s="2386">
        <v>2</v>
      </c>
      <c r="G1227" s="2412" t="s">
        <v>5725</v>
      </c>
      <c r="H1227" s="2383">
        <v>1</v>
      </c>
      <c r="I1227" s="2383">
        <v>1</v>
      </c>
      <c r="J1227" s="2413">
        <v>2</v>
      </c>
      <c r="K1227" s="2387"/>
      <c r="L1227" s="2381">
        <v>13117130303</v>
      </c>
      <c r="M1227" s="2382">
        <v>1</v>
      </c>
      <c r="N1227" s="2382">
        <v>1</v>
      </c>
      <c r="O1227" s="2383">
        <v>2</v>
      </c>
    </row>
    <row r="1228" spans="3:15">
      <c r="C1228" s="2388" t="s">
        <v>5726</v>
      </c>
      <c r="D1228" s="2385">
        <v>1</v>
      </c>
      <c r="E1228" s="2385">
        <v>1</v>
      </c>
      <c r="F1228" s="2386">
        <v>2</v>
      </c>
      <c r="G1228" s="2412" t="s">
        <v>5726</v>
      </c>
      <c r="H1228" s="2383">
        <v>1</v>
      </c>
      <c r="I1228" s="2383">
        <v>1</v>
      </c>
      <c r="J1228" s="2413">
        <v>2</v>
      </c>
      <c r="K1228" s="2387"/>
      <c r="L1228" s="2381">
        <v>13117130304</v>
      </c>
      <c r="M1228" s="2382">
        <v>1</v>
      </c>
      <c r="N1228" s="2382">
        <v>1</v>
      </c>
      <c r="O1228" s="2383">
        <v>2</v>
      </c>
    </row>
    <row r="1229" spans="3:15">
      <c r="C1229" s="2388" t="s">
        <v>5727</v>
      </c>
      <c r="D1229" s="2385">
        <v>1</v>
      </c>
      <c r="E1229" s="2385">
        <v>1</v>
      </c>
      <c r="F1229" s="2386">
        <v>2</v>
      </c>
      <c r="G1229" s="2412" t="s">
        <v>5727</v>
      </c>
      <c r="H1229" s="2383">
        <v>1</v>
      </c>
      <c r="I1229" s="2383">
        <v>1</v>
      </c>
      <c r="J1229" s="2413">
        <v>2</v>
      </c>
      <c r="K1229" s="2387"/>
      <c r="L1229" s="2381">
        <v>13117130305</v>
      </c>
      <c r="M1229" s="2382">
        <v>1</v>
      </c>
      <c r="N1229" s="2382">
        <v>1</v>
      </c>
      <c r="O1229" s="2383">
        <v>2</v>
      </c>
    </row>
    <row r="1230" spans="3:15">
      <c r="C1230" s="2388" t="s">
        <v>5728</v>
      </c>
      <c r="D1230" s="2385">
        <v>1</v>
      </c>
      <c r="E1230" s="2385">
        <v>1</v>
      </c>
      <c r="F1230" s="2386">
        <v>2</v>
      </c>
      <c r="G1230" s="2412" t="s">
        <v>5728</v>
      </c>
      <c r="H1230" s="2383">
        <v>1</v>
      </c>
      <c r="I1230" s="2383">
        <v>1</v>
      </c>
      <c r="J1230" s="2413">
        <v>2</v>
      </c>
      <c r="K1230" s="2387"/>
      <c r="L1230" s="2381">
        <v>13117130306</v>
      </c>
      <c r="M1230" s="2382">
        <v>1</v>
      </c>
      <c r="N1230" s="2382">
        <v>1</v>
      </c>
      <c r="O1230" s="2383">
        <v>2</v>
      </c>
    </row>
    <row r="1231" spans="3:15">
      <c r="C1231" s="2388" t="s">
        <v>5729</v>
      </c>
      <c r="D1231" s="2385">
        <v>1</v>
      </c>
      <c r="E1231" s="2385">
        <v>1</v>
      </c>
      <c r="F1231" s="2386">
        <v>2</v>
      </c>
      <c r="G1231" s="2412" t="s">
        <v>5729</v>
      </c>
      <c r="H1231" s="2383">
        <v>1</v>
      </c>
      <c r="I1231" s="2383">
        <v>1</v>
      </c>
      <c r="J1231" s="2413">
        <v>2</v>
      </c>
      <c r="K1231" s="2387"/>
      <c r="L1231" s="2381">
        <v>13117130307</v>
      </c>
      <c r="M1231" s="2382">
        <v>1</v>
      </c>
      <c r="N1231" s="2382">
        <v>1</v>
      </c>
      <c r="O1231" s="2383">
        <v>2</v>
      </c>
    </row>
    <row r="1232" spans="3:15">
      <c r="C1232" s="2388" t="s">
        <v>5730</v>
      </c>
      <c r="D1232" s="2385">
        <v>1</v>
      </c>
      <c r="E1232" s="2385">
        <v>1</v>
      </c>
      <c r="F1232" s="2386">
        <v>2</v>
      </c>
      <c r="G1232" s="2412" t="s">
        <v>5730</v>
      </c>
      <c r="H1232" s="2383">
        <v>1</v>
      </c>
      <c r="I1232" s="2383">
        <v>1</v>
      </c>
      <c r="J1232" s="2413">
        <v>2</v>
      </c>
      <c r="K1232" s="2387"/>
      <c r="L1232" s="2381">
        <v>13117130403</v>
      </c>
      <c r="M1232" s="2382">
        <v>1</v>
      </c>
      <c r="N1232" s="2382">
        <v>1</v>
      </c>
      <c r="O1232" s="2383">
        <v>2</v>
      </c>
    </row>
    <row r="1233" spans="3:15">
      <c r="C1233" s="2388" t="s">
        <v>5731</v>
      </c>
      <c r="D1233" s="2385">
        <v>1</v>
      </c>
      <c r="E1233" s="2385">
        <v>1</v>
      </c>
      <c r="F1233" s="2386">
        <v>2</v>
      </c>
      <c r="G1233" s="2412" t="s">
        <v>5731</v>
      </c>
      <c r="H1233" s="2383">
        <v>1</v>
      </c>
      <c r="I1233" s="2383">
        <v>1</v>
      </c>
      <c r="J1233" s="2413">
        <v>2</v>
      </c>
      <c r="K1233" s="2387"/>
      <c r="L1233" s="2381">
        <v>13117130404</v>
      </c>
      <c r="M1233" s="2382">
        <v>1</v>
      </c>
      <c r="N1233" s="2382">
        <v>1</v>
      </c>
      <c r="O1233" s="2383">
        <v>2</v>
      </c>
    </row>
    <row r="1234" spans="3:15">
      <c r="C1234" s="2388" t="s">
        <v>5732</v>
      </c>
      <c r="D1234" s="2385">
        <v>1</v>
      </c>
      <c r="E1234" s="2385">
        <v>1</v>
      </c>
      <c r="F1234" s="2386">
        <v>2</v>
      </c>
      <c r="G1234" s="2412" t="s">
        <v>5732</v>
      </c>
      <c r="H1234" s="2383">
        <v>1</v>
      </c>
      <c r="I1234" s="2383">
        <v>1</v>
      </c>
      <c r="J1234" s="2413">
        <v>2</v>
      </c>
      <c r="K1234" s="2387"/>
      <c r="L1234" s="2381">
        <v>13117130405</v>
      </c>
      <c r="M1234" s="2382">
        <v>1</v>
      </c>
      <c r="N1234" s="2382">
        <v>1</v>
      </c>
      <c r="O1234" s="2383">
        <v>2</v>
      </c>
    </row>
    <row r="1235" spans="3:15">
      <c r="C1235" s="2388" t="s">
        <v>5733</v>
      </c>
      <c r="D1235" s="2385">
        <v>1</v>
      </c>
      <c r="E1235" s="2385">
        <v>0</v>
      </c>
      <c r="F1235" s="2386">
        <v>1</v>
      </c>
      <c r="G1235" s="2412" t="s">
        <v>5733</v>
      </c>
      <c r="H1235" s="2383">
        <v>1</v>
      </c>
      <c r="I1235" s="2383">
        <v>0</v>
      </c>
      <c r="J1235" s="2413">
        <v>1</v>
      </c>
      <c r="K1235" s="2387"/>
      <c r="L1235" s="2381">
        <v>13117130406</v>
      </c>
      <c r="M1235" s="2382">
        <v>1</v>
      </c>
      <c r="N1235" s="2382">
        <v>0</v>
      </c>
      <c r="O1235" s="2383">
        <v>1</v>
      </c>
    </row>
    <row r="1236" spans="3:15">
      <c r="C1236" s="2388" t="s">
        <v>5734</v>
      </c>
      <c r="D1236" s="2385">
        <v>1</v>
      </c>
      <c r="E1236" s="2385">
        <v>0</v>
      </c>
      <c r="F1236" s="2386">
        <v>1</v>
      </c>
      <c r="G1236" s="2412" t="s">
        <v>5734</v>
      </c>
      <c r="H1236" s="2383">
        <v>0</v>
      </c>
      <c r="I1236" s="2383">
        <v>0</v>
      </c>
      <c r="J1236" s="2413">
        <v>0</v>
      </c>
      <c r="K1236" s="2387"/>
      <c r="L1236" s="2381">
        <v>13117130408</v>
      </c>
      <c r="M1236" s="2382">
        <v>1</v>
      </c>
      <c r="N1236" s="2382">
        <v>0</v>
      </c>
      <c r="O1236" s="2383">
        <v>1</v>
      </c>
    </row>
    <row r="1237" spans="3:15">
      <c r="C1237" s="2388" t="s">
        <v>5735</v>
      </c>
      <c r="D1237" s="2385">
        <v>1</v>
      </c>
      <c r="E1237" s="2385">
        <v>1</v>
      </c>
      <c r="F1237" s="2386">
        <v>2</v>
      </c>
      <c r="G1237" s="2412" t="s">
        <v>5735</v>
      </c>
      <c r="H1237" s="2383">
        <v>1</v>
      </c>
      <c r="I1237" s="2383">
        <v>0</v>
      </c>
      <c r="J1237" s="2413">
        <v>1</v>
      </c>
      <c r="K1237" s="2387"/>
      <c r="L1237" s="2381">
        <v>13117130409</v>
      </c>
      <c r="M1237" s="2382">
        <v>1</v>
      </c>
      <c r="N1237" s="2382">
        <v>1</v>
      </c>
      <c r="O1237" s="2383">
        <v>2</v>
      </c>
    </row>
    <row r="1238" spans="3:15">
      <c r="C1238" s="2388" t="s">
        <v>5736</v>
      </c>
      <c r="D1238" s="2385">
        <v>1</v>
      </c>
      <c r="E1238" s="2385">
        <v>1</v>
      </c>
      <c r="F1238" s="2386">
        <v>2</v>
      </c>
      <c r="G1238" s="2412" t="s">
        <v>5736</v>
      </c>
      <c r="H1238" s="2383">
        <v>1</v>
      </c>
      <c r="I1238" s="2383">
        <v>1</v>
      </c>
      <c r="J1238" s="2413">
        <v>1</v>
      </c>
      <c r="K1238" s="2387"/>
      <c r="L1238" s="2381">
        <v>13117130410</v>
      </c>
      <c r="M1238" s="2382">
        <v>1</v>
      </c>
      <c r="N1238" s="2382">
        <v>1</v>
      </c>
      <c r="O1238" s="2383">
        <v>2</v>
      </c>
    </row>
    <row r="1239" spans="3:15">
      <c r="C1239" s="2388" t="s">
        <v>5737</v>
      </c>
      <c r="D1239" s="2385">
        <v>1</v>
      </c>
      <c r="E1239" s="2385">
        <v>1</v>
      </c>
      <c r="F1239" s="2386">
        <v>2</v>
      </c>
      <c r="G1239" s="2412" t="s">
        <v>5737</v>
      </c>
      <c r="H1239" s="2383">
        <v>1</v>
      </c>
      <c r="I1239" s="2383">
        <v>0</v>
      </c>
      <c r="J1239" s="2413">
        <v>1</v>
      </c>
      <c r="K1239" s="2387"/>
      <c r="L1239" s="2381">
        <v>13117130503</v>
      </c>
      <c r="M1239" s="2382">
        <v>1</v>
      </c>
      <c r="N1239" s="2382">
        <v>1</v>
      </c>
      <c r="O1239" s="2383">
        <v>2</v>
      </c>
    </row>
    <row r="1240" spans="3:15">
      <c r="C1240" s="2388" t="s">
        <v>5738</v>
      </c>
      <c r="D1240" s="2385">
        <v>1</v>
      </c>
      <c r="E1240" s="2385">
        <v>1</v>
      </c>
      <c r="F1240" s="2386">
        <v>2</v>
      </c>
      <c r="G1240" s="2412" t="s">
        <v>5738</v>
      </c>
      <c r="H1240" s="2383">
        <v>1</v>
      </c>
      <c r="I1240" s="2383">
        <v>0</v>
      </c>
      <c r="J1240" s="2413">
        <v>1</v>
      </c>
      <c r="K1240" s="2387"/>
      <c r="L1240" s="2381">
        <v>13117130504</v>
      </c>
      <c r="M1240" s="2382">
        <v>1</v>
      </c>
      <c r="N1240" s="2382">
        <v>1</v>
      </c>
      <c r="O1240" s="2383">
        <v>2</v>
      </c>
    </row>
    <row r="1241" spans="3:15">
      <c r="C1241" s="2388" t="s">
        <v>5739</v>
      </c>
      <c r="D1241" s="2385">
        <v>1</v>
      </c>
      <c r="E1241" s="2385">
        <v>1</v>
      </c>
      <c r="F1241" s="2386">
        <v>2</v>
      </c>
      <c r="G1241" s="2412" t="s">
        <v>5739</v>
      </c>
      <c r="H1241" s="2383">
        <v>1</v>
      </c>
      <c r="I1241" s="2383" t="s">
        <v>4493</v>
      </c>
      <c r="J1241" s="2413">
        <v>1</v>
      </c>
      <c r="K1241" s="2387"/>
      <c r="L1241" s="2381">
        <v>13117130505</v>
      </c>
      <c r="M1241" s="2382">
        <v>1</v>
      </c>
      <c r="N1241" s="2382">
        <v>1</v>
      </c>
      <c r="O1241" s="2383">
        <v>2</v>
      </c>
    </row>
    <row r="1242" spans="3:15">
      <c r="C1242" s="2388" t="s">
        <v>5740</v>
      </c>
      <c r="D1242" s="2385">
        <v>1</v>
      </c>
      <c r="E1242" s="2385">
        <v>1</v>
      </c>
      <c r="F1242" s="2386">
        <v>2</v>
      </c>
      <c r="G1242" s="2412" t="s">
        <v>5740</v>
      </c>
      <c r="H1242" s="2383">
        <v>1</v>
      </c>
      <c r="I1242" s="2383">
        <v>1</v>
      </c>
      <c r="J1242" s="2413">
        <v>2</v>
      </c>
      <c r="K1242" s="2387"/>
      <c r="L1242" s="2381">
        <v>13117130506</v>
      </c>
      <c r="M1242" s="2382">
        <v>1</v>
      </c>
      <c r="N1242" s="2382">
        <v>1</v>
      </c>
      <c r="O1242" s="2383">
        <v>2</v>
      </c>
    </row>
    <row r="1243" spans="3:15">
      <c r="C1243" s="2388" t="s">
        <v>5741</v>
      </c>
      <c r="D1243" s="2385">
        <v>1</v>
      </c>
      <c r="E1243" s="2385">
        <v>1</v>
      </c>
      <c r="F1243" s="2386">
        <v>2</v>
      </c>
      <c r="G1243" s="2412" t="s">
        <v>5741</v>
      </c>
      <c r="H1243" s="2383">
        <v>1</v>
      </c>
      <c r="I1243" s="2383">
        <v>1</v>
      </c>
      <c r="J1243" s="2413">
        <v>2</v>
      </c>
      <c r="K1243" s="2387"/>
      <c r="L1243" s="2381">
        <v>13117130507</v>
      </c>
      <c r="M1243" s="2382">
        <v>1</v>
      </c>
      <c r="N1243" s="2382">
        <v>1</v>
      </c>
      <c r="O1243" s="2383">
        <v>2</v>
      </c>
    </row>
    <row r="1244" spans="3:15">
      <c r="C1244" s="2388" t="s">
        <v>5742</v>
      </c>
      <c r="D1244" s="2385">
        <v>1</v>
      </c>
      <c r="E1244" s="2385">
        <v>1</v>
      </c>
      <c r="F1244" s="2386">
        <v>2</v>
      </c>
      <c r="G1244" s="2412" t="s">
        <v>5742</v>
      </c>
      <c r="H1244" s="2383">
        <v>1</v>
      </c>
      <c r="I1244" s="2383">
        <v>1</v>
      </c>
      <c r="J1244" s="2413">
        <v>2</v>
      </c>
      <c r="K1244" s="2387"/>
      <c r="L1244" s="2381">
        <v>13117130508</v>
      </c>
      <c r="M1244" s="2382">
        <v>1</v>
      </c>
      <c r="N1244" s="2382">
        <v>1</v>
      </c>
      <c r="O1244" s="2383">
        <v>2</v>
      </c>
    </row>
    <row r="1245" spans="3:15">
      <c r="C1245" s="2388" t="s">
        <v>5743</v>
      </c>
      <c r="D1245" s="2385">
        <v>1</v>
      </c>
      <c r="E1245" s="2385">
        <v>1</v>
      </c>
      <c r="F1245" s="2386">
        <v>2</v>
      </c>
      <c r="G1245" s="2412" t="s">
        <v>5743</v>
      </c>
      <c r="H1245" s="2383">
        <v>1</v>
      </c>
      <c r="I1245" s="2383">
        <v>1</v>
      </c>
      <c r="J1245" s="2413">
        <v>2</v>
      </c>
      <c r="K1245" s="2387"/>
      <c r="L1245" s="2381">
        <v>13117130509</v>
      </c>
      <c r="M1245" s="2382">
        <v>1</v>
      </c>
      <c r="N1245" s="2382">
        <v>1</v>
      </c>
      <c r="O1245" s="2383">
        <v>2</v>
      </c>
    </row>
    <row r="1246" spans="3:15">
      <c r="C1246" s="2388" t="s">
        <v>5744</v>
      </c>
      <c r="D1246" s="2385">
        <v>1</v>
      </c>
      <c r="E1246" s="2385">
        <v>1</v>
      </c>
      <c r="F1246" s="2386">
        <v>2</v>
      </c>
      <c r="G1246" s="2412" t="s">
        <v>5744</v>
      </c>
      <c r="H1246" s="2383">
        <v>1</v>
      </c>
      <c r="I1246" s="2383">
        <v>1</v>
      </c>
      <c r="J1246" s="2413">
        <v>2</v>
      </c>
      <c r="K1246" s="2387"/>
      <c r="L1246" s="2381">
        <v>13117130510</v>
      </c>
      <c r="M1246" s="2382">
        <v>1</v>
      </c>
      <c r="N1246" s="2382">
        <v>1</v>
      </c>
      <c r="O1246" s="2383">
        <v>2</v>
      </c>
    </row>
    <row r="1247" spans="3:15">
      <c r="C1247" s="2388" t="s">
        <v>5745</v>
      </c>
      <c r="D1247" s="2385">
        <v>1</v>
      </c>
      <c r="E1247" s="2385">
        <v>1</v>
      </c>
      <c r="F1247" s="2386">
        <v>2</v>
      </c>
      <c r="G1247" s="2412" t="s">
        <v>5745</v>
      </c>
      <c r="H1247" s="2383">
        <v>1</v>
      </c>
      <c r="I1247" s="2383">
        <v>1</v>
      </c>
      <c r="J1247" s="2413">
        <v>2</v>
      </c>
      <c r="K1247" s="2387"/>
      <c r="L1247" s="2381">
        <v>13117130601</v>
      </c>
      <c r="M1247" s="2382">
        <v>1</v>
      </c>
      <c r="N1247" s="2382">
        <v>1</v>
      </c>
      <c r="O1247" s="2383">
        <v>2</v>
      </c>
    </row>
    <row r="1248" spans="3:15">
      <c r="C1248" s="2388" t="s">
        <v>5746</v>
      </c>
      <c r="D1248" s="2385">
        <v>1</v>
      </c>
      <c r="E1248" s="2385">
        <v>1</v>
      </c>
      <c r="F1248" s="2386">
        <v>2</v>
      </c>
      <c r="G1248" s="2412" t="s">
        <v>5746</v>
      </c>
      <c r="H1248" s="2383">
        <v>1</v>
      </c>
      <c r="I1248" s="2383">
        <v>0</v>
      </c>
      <c r="J1248" s="2413">
        <v>1</v>
      </c>
      <c r="K1248" s="2387"/>
      <c r="L1248" s="2381">
        <v>13117130602</v>
      </c>
      <c r="M1248" s="2382">
        <v>1</v>
      </c>
      <c r="N1248" s="2382">
        <v>1</v>
      </c>
      <c r="O1248" s="2383">
        <v>2</v>
      </c>
    </row>
    <row r="1249" spans="3:15">
      <c r="C1249" s="2388" t="s">
        <v>5747</v>
      </c>
      <c r="D1249" s="2385">
        <v>1</v>
      </c>
      <c r="E1249" s="2385">
        <v>1</v>
      </c>
      <c r="F1249" s="2386">
        <v>2</v>
      </c>
      <c r="G1249" s="2412" t="s">
        <v>5747</v>
      </c>
      <c r="H1249" s="2383">
        <v>1</v>
      </c>
      <c r="I1249" s="2383" t="s">
        <v>4493</v>
      </c>
      <c r="J1249" s="2413">
        <v>1</v>
      </c>
      <c r="K1249" s="2387"/>
      <c r="L1249" s="2381">
        <v>13117130603</v>
      </c>
      <c r="M1249" s="2382">
        <v>1</v>
      </c>
      <c r="N1249" s="2382">
        <v>1</v>
      </c>
      <c r="O1249" s="2383">
        <v>2</v>
      </c>
    </row>
    <row r="1250" spans="3:15">
      <c r="C1250" s="2388" t="s">
        <v>5748</v>
      </c>
      <c r="D1250" s="2385">
        <v>1</v>
      </c>
      <c r="E1250" s="2385">
        <v>1</v>
      </c>
      <c r="F1250" s="2386">
        <v>2</v>
      </c>
      <c r="G1250" s="2412" t="s">
        <v>5748</v>
      </c>
      <c r="H1250" s="2383">
        <v>1</v>
      </c>
      <c r="I1250" s="2383">
        <v>1</v>
      </c>
      <c r="J1250" s="2413">
        <v>2</v>
      </c>
      <c r="K1250" s="2387"/>
      <c r="L1250" s="2381">
        <v>13117130604</v>
      </c>
      <c r="M1250" s="2382">
        <v>1</v>
      </c>
      <c r="N1250" s="2382">
        <v>1</v>
      </c>
      <c r="O1250" s="2383">
        <v>2</v>
      </c>
    </row>
    <row r="1251" spans="3:15">
      <c r="C1251" s="2388" t="s">
        <v>5749</v>
      </c>
      <c r="D1251" s="2385">
        <v>1</v>
      </c>
      <c r="E1251" s="2385">
        <v>1</v>
      </c>
      <c r="F1251" s="2386">
        <v>2</v>
      </c>
      <c r="G1251" s="2412" t="s">
        <v>5749</v>
      </c>
      <c r="H1251" s="2383">
        <v>1</v>
      </c>
      <c r="I1251" s="2383">
        <v>1</v>
      </c>
      <c r="J1251" s="2413">
        <v>2</v>
      </c>
      <c r="K1251" s="2387"/>
      <c r="L1251" s="2381">
        <v>13117130605</v>
      </c>
      <c r="M1251" s="2382">
        <v>1</v>
      </c>
      <c r="N1251" s="2382">
        <v>1</v>
      </c>
      <c r="O1251" s="2383">
        <v>2</v>
      </c>
    </row>
    <row r="1252" spans="3:15">
      <c r="C1252" s="2388" t="s">
        <v>5750</v>
      </c>
      <c r="D1252" s="2385">
        <v>1</v>
      </c>
      <c r="E1252" s="2385">
        <v>1</v>
      </c>
      <c r="F1252" s="2386">
        <v>2</v>
      </c>
      <c r="G1252" s="2412" t="s">
        <v>5750</v>
      </c>
      <c r="H1252" s="2383">
        <v>1</v>
      </c>
      <c r="I1252" s="2383">
        <v>1</v>
      </c>
      <c r="J1252" s="2413">
        <v>2</v>
      </c>
      <c r="K1252" s="2387"/>
      <c r="L1252" s="2381">
        <v>13117130606</v>
      </c>
      <c r="M1252" s="2382">
        <v>1</v>
      </c>
      <c r="N1252" s="2382">
        <v>1</v>
      </c>
      <c r="O1252" s="2383">
        <v>2</v>
      </c>
    </row>
    <row r="1253" spans="3:15">
      <c r="C1253" s="2388" t="s">
        <v>5751</v>
      </c>
      <c r="D1253" s="2385">
        <v>1</v>
      </c>
      <c r="E1253" s="2385">
        <v>1</v>
      </c>
      <c r="F1253" s="2386">
        <v>2</v>
      </c>
      <c r="G1253" s="2412" t="s">
        <v>5751</v>
      </c>
      <c r="H1253" s="2383">
        <v>1</v>
      </c>
      <c r="I1253" s="2383">
        <v>1</v>
      </c>
      <c r="J1253" s="2413">
        <v>2</v>
      </c>
      <c r="K1253" s="2387"/>
      <c r="L1253" s="2381">
        <v>13117130607</v>
      </c>
      <c r="M1253" s="2382">
        <v>1</v>
      </c>
      <c r="N1253" s="2382">
        <v>1</v>
      </c>
      <c r="O1253" s="2383">
        <v>2</v>
      </c>
    </row>
    <row r="1254" spans="3:15">
      <c r="C1254" s="2388" t="s">
        <v>5752</v>
      </c>
      <c r="D1254" s="2385">
        <v>1</v>
      </c>
      <c r="E1254" s="2385">
        <v>1</v>
      </c>
      <c r="F1254" s="2386">
        <v>2</v>
      </c>
      <c r="G1254" s="2412" t="s">
        <v>5752</v>
      </c>
      <c r="H1254" s="2383">
        <v>1</v>
      </c>
      <c r="I1254" s="2383">
        <v>1</v>
      </c>
      <c r="J1254" s="2413">
        <v>2</v>
      </c>
      <c r="K1254" s="2387"/>
      <c r="L1254" s="2381">
        <v>13117130608</v>
      </c>
      <c r="M1254" s="2382">
        <v>1</v>
      </c>
      <c r="N1254" s="2382">
        <v>1</v>
      </c>
      <c r="O1254" s="2383">
        <v>2</v>
      </c>
    </row>
    <row r="1255" spans="3:15">
      <c r="C1255" s="2388" t="s">
        <v>5753</v>
      </c>
      <c r="D1255" s="2385">
        <v>1</v>
      </c>
      <c r="E1255" s="2385">
        <v>1</v>
      </c>
      <c r="F1255" s="2386">
        <v>2</v>
      </c>
      <c r="G1255" s="2412" t="s">
        <v>5753</v>
      </c>
      <c r="H1255" s="2383">
        <v>1</v>
      </c>
      <c r="I1255" s="2383">
        <v>1</v>
      </c>
      <c r="J1255" s="2413">
        <v>2</v>
      </c>
      <c r="K1255" s="2387"/>
      <c r="L1255" s="2381">
        <v>13117130609</v>
      </c>
      <c r="M1255" s="2382">
        <v>1</v>
      </c>
      <c r="N1255" s="2382">
        <v>1</v>
      </c>
      <c r="O1255" s="2383">
        <v>2</v>
      </c>
    </row>
    <row r="1256" spans="3:15">
      <c r="C1256" s="2388" t="s">
        <v>5754</v>
      </c>
      <c r="D1256" s="2385">
        <v>1</v>
      </c>
      <c r="E1256" s="2385">
        <v>1</v>
      </c>
      <c r="F1256" s="2386">
        <v>2</v>
      </c>
      <c r="G1256" s="2412" t="s">
        <v>5754</v>
      </c>
      <c r="H1256" s="2383">
        <v>1</v>
      </c>
      <c r="I1256" s="2383">
        <v>1</v>
      </c>
      <c r="J1256" s="2413">
        <v>2</v>
      </c>
      <c r="K1256" s="2387"/>
      <c r="L1256" s="2381">
        <v>13117130610</v>
      </c>
      <c r="M1256" s="2382">
        <v>1</v>
      </c>
      <c r="N1256" s="2382">
        <v>1</v>
      </c>
      <c r="O1256" s="2383">
        <v>2</v>
      </c>
    </row>
    <row r="1257" spans="3:15">
      <c r="C1257" s="2388" t="s">
        <v>5755</v>
      </c>
      <c r="D1257" s="2385">
        <v>1</v>
      </c>
      <c r="E1257" s="2385">
        <v>1</v>
      </c>
      <c r="F1257" s="2386">
        <v>2</v>
      </c>
      <c r="G1257" s="2412" t="s">
        <v>5755</v>
      </c>
      <c r="H1257" s="2383">
        <v>1</v>
      </c>
      <c r="I1257" s="2383">
        <v>1</v>
      </c>
      <c r="J1257" s="2413">
        <v>2</v>
      </c>
      <c r="K1257" s="2387"/>
      <c r="L1257" s="2381">
        <v>13117130611</v>
      </c>
      <c r="M1257" s="2382">
        <v>1</v>
      </c>
      <c r="N1257" s="2382">
        <v>1</v>
      </c>
      <c r="O1257" s="2383">
        <v>2</v>
      </c>
    </row>
    <row r="1258" spans="3:15">
      <c r="C1258" s="2388" t="s">
        <v>5756</v>
      </c>
      <c r="D1258" s="2385">
        <v>1</v>
      </c>
      <c r="E1258" s="2385">
        <v>1</v>
      </c>
      <c r="F1258" s="2386">
        <v>2</v>
      </c>
      <c r="G1258" s="2412" t="s">
        <v>5756</v>
      </c>
      <c r="H1258" s="2383">
        <v>1</v>
      </c>
      <c r="I1258" s="2383">
        <v>1</v>
      </c>
      <c r="J1258" s="2413">
        <v>2</v>
      </c>
      <c r="K1258" s="2387"/>
      <c r="L1258" s="2381">
        <v>13117130612</v>
      </c>
      <c r="M1258" s="2382">
        <v>1</v>
      </c>
      <c r="N1258" s="2382">
        <v>1</v>
      </c>
      <c r="O1258" s="2383">
        <v>2</v>
      </c>
    </row>
    <row r="1259" spans="3:15">
      <c r="C1259" s="2388" t="s">
        <v>5757</v>
      </c>
      <c r="D1259" s="2385">
        <v>1</v>
      </c>
      <c r="E1259" s="2385">
        <v>1</v>
      </c>
      <c r="F1259" s="2386">
        <v>2</v>
      </c>
      <c r="G1259" s="2412" t="s">
        <v>5757</v>
      </c>
      <c r="H1259" s="2383">
        <v>1</v>
      </c>
      <c r="I1259" s="2383" t="s">
        <v>4493</v>
      </c>
      <c r="J1259" s="2413">
        <v>1</v>
      </c>
      <c r="K1259" s="2387"/>
      <c r="L1259" s="2381">
        <v>13117130613</v>
      </c>
      <c r="M1259" s="2382">
        <v>1</v>
      </c>
      <c r="N1259" s="2382">
        <v>1</v>
      </c>
      <c r="O1259" s="2383">
        <v>2</v>
      </c>
    </row>
    <row r="1260" spans="3:15">
      <c r="C1260" s="2388" t="s">
        <v>5758</v>
      </c>
      <c r="D1260" s="2385">
        <v>0</v>
      </c>
      <c r="E1260" s="2385">
        <v>0</v>
      </c>
      <c r="F1260" s="2386">
        <v>0</v>
      </c>
      <c r="G1260" s="2412" t="s">
        <v>5758</v>
      </c>
      <c r="H1260" s="2383">
        <v>0</v>
      </c>
      <c r="I1260" s="2383">
        <v>0</v>
      </c>
      <c r="J1260" s="2413">
        <v>0</v>
      </c>
      <c r="K1260" s="2387"/>
      <c r="L1260" s="2381">
        <v>13119890101</v>
      </c>
      <c r="M1260" s="2382">
        <v>0</v>
      </c>
      <c r="N1260" s="2382">
        <v>0</v>
      </c>
      <c r="O1260" s="2383">
        <v>0</v>
      </c>
    </row>
    <row r="1261" spans="3:15">
      <c r="C1261" s="2388" t="s">
        <v>5759</v>
      </c>
      <c r="D1261" s="2385">
        <v>0</v>
      </c>
      <c r="E1261" s="2385">
        <v>1</v>
      </c>
      <c r="F1261" s="2386">
        <v>1</v>
      </c>
      <c r="G1261" s="2412" t="s">
        <v>5759</v>
      </c>
      <c r="H1261" s="2383">
        <v>0</v>
      </c>
      <c r="I1261" s="2383">
        <v>0</v>
      </c>
      <c r="J1261" s="2413">
        <v>0</v>
      </c>
      <c r="K1261" s="2387"/>
      <c r="L1261" s="2381">
        <v>13119890102</v>
      </c>
      <c r="M1261" s="2382">
        <v>0</v>
      </c>
      <c r="N1261" s="2382">
        <v>1</v>
      </c>
      <c r="O1261" s="2383">
        <v>1</v>
      </c>
    </row>
    <row r="1262" spans="3:15">
      <c r="C1262" s="2388" t="s">
        <v>5760</v>
      </c>
      <c r="D1262" s="2385">
        <v>0</v>
      </c>
      <c r="E1262" s="2385">
        <v>0</v>
      </c>
      <c r="F1262" s="2386">
        <v>0</v>
      </c>
      <c r="G1262" s="2412" t="s">
        <v>5760</v>
      </c>
      <c r="H1262" s="2383">
        <v>0</v>
      </c>
      <c r="I1262" s="2383">
        <v>0</v>
      </c>
      <c r="J1262" s="2413">
        <v>0</v>
      </c>
      <c r="K1262" s="2387"/>
      <c r="L1262" s="2381">
        <v>13119890200</v>
      </c>
      <c r="M1262" s="2382">
        <v>0</v>
      </c>
      <c r="N1262" s="2382">
        <v>0</v>
      </c>
      <c r="O1262" s="2383">
        <v>0</v>
      </c>
    </row>
    <row r="1263" spans="3:15">
      <c r="C1263" s="2388" t="s">
        <v>5761</v>
      </c>
      <c r="D1263" s="2385">
        <v>0</v>
      </c>
      <c r="E1263" s="2385">
        <v>0</v>
      </c>
      <c r="F1263" s="2386">
        <v>0</v>
      </c>
      <c r="G1263" s="2412" t="s">
        <v>5761</v>
      </c>
      <c r="H1263" s="2383">
        <v>0</v>
      </c>
      <c r="I1263" s="2383">
        <v>0</v>
      </c>
      <c r="J1263" s="2413">
        <v>0</v>
      </c>
      <c r="K1263" s="2387"/>
      <c r="L1263" s="2381">
        <v>13119890300</v>
      </c>
      <c r="M1263" s="2382">
        <v>0</v>
      </c>
      <c r="N1263" s="2382">
        <v>0</v>
      </c>
      <c r="O1263" s="2383">
        <v>0</v>
      </c>
    </row>
    <row r="1264" spans="3:15">
      <c r="C1264" s="2388" t="s">
        <v>5762</v>
      </c>
      <c r="D1264" s="2385">
        <v>0</v>
      </c>
      <c r="E1264" s="2385">
        <v>0</v>
      </c>
      <c r="F1264" s="2386">
        <v>0</v>
      </c>
      <c r="G1264" s="2412" t="s">
        <v>5762</v>
      </c>
      <c r="H1264" s="2383">
        <v>0</v>
      </c>
      <c r="I1264" s="2383">
        <v>0</v>
      </c>
      <c r="J1264" s="2413">
        <v>0</v>
      </c>
      <c r="K1264" s="2387"/>
      <c r="L1264" s="2381">
        <v>13119890400</v>
      </c>
      <c r="M1264" s="2382">
        <v>0</v>
      </c>
      <c r="N1264" s="2382">
        <v>0</v>
      </c>
      <c r="O1264" s="2383">
        <v>0</v>
      </c>
    </row>
    <row r="1265" spans="3:15">
      <c r="C1265" s="2388" t="s">
        <v>5763</v>
      </c>
      <c r="D1265" s="2385">
        <v>1</v>
      </c>
      <c r="E1265" s="2385">
        <v>1</v>
      </c>
      <c r="F1265" s="2386">
        <v>2</v>
      </c>
      <c r="G1265" s="2412" t="s">
        <v>5763</v>
      </c>
      <c r="H1265" s="2383">
        <v>1</v>
      </c>
      <c r="I1265" s="2383">
        <v>1</v>
      </c>
      <c r="J1265" s="2413">
        <v>2</v>
      </c>
      <c r="K1265" s="2387"/>
      <c r="L1265" s="2381">
        <v>13121000100</v>
      </c>
      <c r="M1265" s="2382">
        <v>1</v>
      </c>
      <c r="N1265" s="2382">
        <v>1</v>
      </c>
      <c r="O1265" s="2383">
        <v>2</v>
      </c>
    </row>
    <row r="1266" spans="3:15">
      <c r="C1266" s="2388" t="s">
        <v>5764</v>
      </c>
      <c r="D1266" s="2385">
        <v>1</v>
      </c>
      <c r="E1266" s="2385">
        <v>1</v>
      </c>
      <c r="F1266" s="2386">
        <v>2</v>
      </c>
      <c r="G1266" s="2412" t="s">
        <v>5764</v>
      </c>
      <c r="H1266" s="2383">
        <v>1</v>
      </c>
      <c r="I1266" s="2383">
        <v>1</v>
      </c>
      <c r="J1266" s="2413">
        <v>2</v>
      </c>
      <c r="K1266" s="2387"/>
      <c r="L1266" s="2381">
        <v>13121000200</v>
      </c>
      <c r="M1266" s="2382">
        <v>1</v>
      </c>
      <c r="N1266" s="2382">
        <v>1</v>
      </c>
      <c r="O1266" s="2383">
        <v>2</v>
      </c>
    </row>
    <row r="1267" spans="3:15">
      <c r="C1267" s="2388" t="s">
        <v>5765</v>
      </c>
      <c r="D1267" s="2385">
        <v>1</v>
      </c>
      <c r="E1267" s="2385">
        <v>1</v>
      </c>
      <c r="F1267" s="2386">
        <v>2</v>
      </c>
      <c r="G1267" s="2412" t="s">
        <v>5765</v>
      </c>
      <c r="H1267" s="2383">
        <v>1</v>
      </c>
      <c r="I1267" s="2383">
        <v>1</v>
      </c>
      <c r="J1267" s="2413">
        <v>2</v>
      </c>
      <c r="K1267" s="2387"/>
      <c r="L1267" s="2381">
        <v>13121000400</v>
      </c>
      <c r="M1267" s="2382">
        <v>1</v>
      </c>
      <c r="N1267" s="2382">
        <v>1</v>
      </c>
      <c r="O1267" s="2383">
        <v>2</v>
      </c>
    </row>
    <row r="1268" spans="3:15">
      <c r="C1268" s="2388" t="s">
        <v>5766</v>
      </c>
      <c r="D1268" s="2385">
        <v>1</v>
      </c>
      <c r="E1268" s="2385">
        <v>1</v>
      </c>
      <c r="F1268" s="2386">
        <v>2</v>
      </c>
      <c r="G1268" s="2412" t="s">
        <v>5766</v>
      </c>
      <c r="H1268" s="2383">
        <v>1</v>
      </c>
      <c r="I1268" s="2383" t="s">
        <v>4493</v>
      </c>
      <c r="J1268" s="2413">
        <v>1</v>
      </c>
      <c r="K1268" s="2387"/>
      <c r="L1268" s="2381">
        <v>13121000500</v>
      </c>
      <c r="M1268" s="2382">
        <v>1</v>
      </c>
      <c r="N1268" s="2382">
        <v>1</v>
      </c>
      <c r="O1268" s="2383">
        <v>2</v>
      </c>
    </row>
    <row r="1269" spans="3:15">
      <c r="C1269" s="2388" t="s">
        <v>5767</v>
      </c>
      <c r="D1269" s="2385">
        <v>0</v>
      </c>
      <c r="E1269" s="2385">
        <v>1</v>
      </c>
      <c r="F1269" s="2386">
        <v>1</v>
      </c>
      <c r="G1269" s="2412" t="s">
        <v>5767</v>
      </c>
      <c r="H1269" s="2383">
        <v>0</v>
      </c>
      <c r="I1269" s="2383" t="s">
        <v>4493</v>
      </c>
      <c r="J1269" s="2413">
        <v>0</v>
      </c>
      <c r="K1269" s="2387"/>
      <c r="L1269" s="2381">
        <v>13121000600</v>
      </c>
      <c r="M1269" s="2382">
        <v>0</v>
      </c>
      <c r="N1269" s="2382">
        <v>1</v>
      </c>
      <c r="O1269" s="2383">
        <v>1</v>
      </c>
    </row>
    <row r="1270" spans="3:15">
      <c r="C1270" s="2388" t="s">
        <v>5768</v>
      </c>
      <c r="D1270" s="2385">
        <v>0</v>
      </c>
      <c r="E1270" s="2385">
        <v>0</v>
      </c>
      <c r="F1270" s="2386">
        <v>0</v>
      </c>
      <c r="G1270" s="2412" t="s">
        <v>5768</v>
      </c>
      <c r="H1270" s="2383">
        <v>0</v>
      </c>
      <c r="I1270" s="2383" t="s">
        <v>4493</v>
      </c>
      <c r="J1270" s="2413">
        <v>0</v>
      </c>
      <c r="K1270" s="2387"/>
      <c r="L1270" s="2381">
        <v>13121000700</v>
      </c>
      <c r="M1270" s="2382">
        <v>0</v>
      </c>
      <c r="N1270" s="2382">
        <v>0</v>
      </c>
      <c r="O1270" s="2383">
        <v>0</v>
      </c>
    </row>
    <row r="1271" spans="3:15">
      <c r="C1271" s="2388" t="s">
        <v>5769</v>
      </c>
      <c r="D1271" s="2385">
        <v>1</v>
      </c>
      <c r="E1271" s="2385">
        <v>1</v>
      </c>
      <c r="F1271" s="2386">
        <v>2</v>
      </c>
      <c r="G1271" s="2412" t="s">
        <v>5769</v>
      </c>
      <c r="H1271" s="2383">
        <v>1</v>
      </c>
      <c r="I1271" s="2383" t="s">
        <v>4493</v>
      </c>
      <c r="J1271" s="2413">
        <v>1</v>
      </c>
      <c r="K1271" s="2387"/>
      <c r="L1271" s="2381">
        <v>13121001001</v>
      </c>
      <c r="M1271" s="2382">
        <v>1</v>
      </c>
      <c r="N1271" s="2382">
        <v>1</v>
      </c>
      <c r="O1271" s="2383">
        <v>2</v>
      </c>
    </row>
    <row r="1272" spans="3:15">
      <c r="C1272" s="2388" t="s">
        <v>5770</v>
      </c>
      <c r="D1272" s="2385">
        <v>0</v>
      </c>
      <c r="E1272" s="2385">
        <v>1</v>
      </c>
      <c r="F1272" s="2386">
        <v>1</v>
      </c>
      <c r="G1272" s="2412" t="s">
        <v>5770</v>
      </c>
      <c r="H1272" s="2383">
        <v>0</v>
      </c>
      <c r="I1272" s="2383" t="s">
        <v>4493</v>
      </c>
      <c r="J1272" s="2413">
        <v>0</v>
      </c>
      <c r="K1272" s="2387"/>
      <c r="L1272" s="2381">
        <v>13121001002</v>
      </c>
      <c r="M1272" s="2382">
        <v>0</v>
      </c>
      <c r="N1272" s="2382">
        <v>1</v>
      </c>
      <c r="O1272" s="2383">
        <v>1</v>
      </c>
    </row>
    <row r="1273" spans="3:15">
      <c r="C1273" s="2388" t="s">
        <v>5771</v>
      </c>
      <c r="D1273" s="2385">
        <v>1</v>
      </c>
      <c r="E1273" s="2385">
        <v>1</v>
      </c>
      <c r="F1273" s="2386">
        <v>2</v>
      </c>
      <c r="G1273" s="2412" t="s">
        <v>5771</v>
      </c>
      <c r="H1273" s="2383">
        <v>1</v>
      </c>
      <c r="I1273" s="2383" t="s">
        <v>4493</v>
      </c>
      <c r="J1273" s="2413">
        <v>1</v>
      </c>
      <c r="K1273" s="2387"/>
      <c r="L1273" s="2381">
        <v>13121001100</v>
      </c>
      <c r="M1273" s="2382">
        <v>1</v>
      </c>
      <c r="N1273" s="2382">
        <v>1</v>
      </c>
      <c r="O1273" s="2383">
        <v>2</v>
      </c>
    </row>
    <row r="1274" spans="3:15">
      <c r="C1274" s="2388" t="s">
        <v>5772</v>
      </c>
      <c r="D1274" s="2385">
        <v>1</v>
      </c>
      <c r="E1274" s="2385">
        <v>1</v>
      </c>
      <c r="F1274" s="2386">
        <v>2</v>
      </c>
      <c r="G1274" s="2412" t="s">
        <v>5772</v>
      </c>
      <c r="H1274" s="2383">
        <v>1</v>
      </c>
      <c r="I1274" s="2383">
        <v>1</v>
      </c>
      <c r="J1274" s="2413">
        <v>2</v>
      </c>
      <c r="K1274" s="2387"/>
      <c r="L1274" s="2381">
        <v>13121001201</v>
      </c>
      <c r="M1274" s="2382">
        <v>1</v>
      </c>
      <c r="N1274" s="2382">
        <v>1</v>
      </c>
      <c r="O1274" s="2383">
        <v>2</v>
      </c>
    </row>
    <row r="1275" spans="3:15">
      <c r="C1275" s="2388" t="s">
        <v>5773</v>
      </c>
      <c r="D1275" s="2385">
        <v>1</v>
      </c>
      <c r="E1275" s="2385">
        <v>1</v>
      </c>
      <c r="F1275" s="2386">
        <v>2</v>
      </c>
      <c r="G1275" s="2412" t="s">
        <v>5773</v>
      </c>
      <c r="H1275" s="2383">
        <v>1</v>
      </c>
      <c r="I1275" s="2383" t="s">
        <v>4493</v>
      </c>
      <c r="J1275" s="2413">
        <v>1</v>
      </c>
      <c r="K1275" s="2387"/>
      <c r="L1275" s="2381">
        <v>13121001202</v>
      </c>
      <c r="M1275" s="2382">
        <v>1</v>
      </c>
      <c r="N1275" s="2382">
        <v>1</v>
      </c>
      <c r="O1275" s="2383">
        <v>2</v>
      </c>
    </row>
    <row r="1276" spans="3:15">
      <c r="C1276" s="2388" t="s">
        <v>5774</v>
      </c>
      <c r="D1276" s="2385">
        <v>1</v>
      </c>
      <c r="E1276" s="2385">
        <v>1</v>
      </c>
      <c r="F1276" s="2386">
        <v>2</v>
      </c>
      <c r="G1276" s="2412" t="s">
        <v>5774</v>
      </c>
      <c r="H1276" s="2383">
        <v>1</v>
      </c>
      <c r="I1276" s="2383">
        <v>1</v>
      </c>
      <c r="J1276" s="2413">
        <v>2</v>
      </c>
      <c r="K1276" s="2387"/>
      <c r="L1276" s="2381">
        <v>13121001300</v>
      </c>
      <c r="M1276" s="2382">
        <v>1</v>
      </c>
      <c r="N1276" s="2382">
        <v>1</v>
      </c>
      <c r="O1276" s="2383">
        <v>2</v>
      </c>
    </row>
    <row r="1277" spans="3:15">
      <c r="C1277" s="2388" t="s">
        <v>5775</v>
      </c>
      <c r="D1277" s="2385">
        <v>1</v>
      </c>
      <c r="E1277" s="2385">
        <v>1</v>
      </c>
      <c r="F1277" s="2386">
        <v>2</v>
      </c>
      <c r="G1277" s="2412" t="s">
        <v>5775</v>
      </c>
      <c r="H1277" s="2383">
        <v>1</v>
      </c>
      <c r="I1277" s="2383" t="s">
        <v>4493</v>
      </c>
      <c r="J1277" s="2413">
        <v>1</v>
      </c>
      <c r="K1277" s="2387"/>
      <c r="L1277" s="2381">
        <v>13121001400</v>
      </c>
      <c r="M1277" s="2382">
        <v>1</v>
      </c>
      <c r="N1277" s="2382">
        <v>1</v>
      </c>
      <c r="O1277" s="2383">
        <v>2</v>
      </c>
    </row>
    <row r="1278" spans="3:15">
      <c r="C1278" s="2388" t="s">
        <v>5776</v>
      </c>
      <c r="D1278" s="2385">
        <v>1</v>
      </c>
      <c r="E1278" s="2385">
        <v>1</v>
      </c>
      <c r="F1278" s="2386">
        <v>2</v>
      </c>
      <c r="G1278" s="2412" t="s">
        <v>5776</v>
      </c>
      <c r="H1278" s="2383">
        <v>1</v>
      </c>
      <c r="I1278" s="2383">
        <v>0</v>
      </c>
      <c r="J1278" s="2413">
        <v>1</v>
      </c>
      <c r="K1278" s="2387"/>
      <c r="L1278" s="2381">
        <v>13121001500</v>
      </c>
      <c r="M1278" s="2382">
        <v>1</v>
      </c>
      <c r="N1278" s="2382">
        <v>1</v>
      </c>
      <c r="O1278" s="2383">
        <v>2</v>
      </c>
    </row>
    <row r="1279" spans="3:15">
      <c r="C1279" s="2388" t="s">
        <v>5777</v>
      </c>
      <c r="D1279" s="2385">
        <v>1</v>
      </c>
      <c r="E1279" s="2385">
        <v>1</v>
      </c>
      <c r="F1279" s="2386">
        <v>2</v>
      </c>
      <c r="G1279" s="2412" t="s">
        <v>5777</v>
      </c>
      <c r="H1279" s="2383">
        <v>1</v>
      </c>
      <c r="I1279" s="2383" t="s">
        <v>4493</v>
      </c>
      <c r="J1279" s="2413">
        <v>1</v>
      </c>
      <c r="K1279" s="2387"/>
      <c r="L1279" s="2381">
        <v>13121001600</v>
      </c>
      <c r="M1279" s="2382">
        <v>1</v>
      </c>
      <c r="N1279" s="2382">
        <v>1</v>
      </c>
      <c r="O1279" s="2383">
        <v>2</v>
      </c>
    </row>
    <row r="1280" spans="3:15">
      <c r="C1280" s="2388" t="s">
        <v>5778</v>
      </c>
      <c r="D1280" s="2385">
        <v>1</v>
      </c>
      <c r="E1280" s="2385">
        <v>0</v>
      </c>
      <c r="F1280" s="2386">
        <v>1</v>
      </c>
      <c r="G1280" s="2412" t="s">
        <v>5778</v>
      </c>
      <c r="H1280" s="2383">
        <v>1</v>
      </c>
      <c r="I1280" s="2383">
        <v>1</v>
      </c>
      <c r="J1280" s="2413">
        <v>2</v>
      </c>
      <c r="K1280" s="2387"/>
      <c r="L1280" s="2381">
        <v>13121001700</v>
      </c>
      <c r="M1280" s="2382">
        <v>1</v>
      </c>
      <c r="N1280" s="2382">
        <v>1</v>
      </c>
      <c r="O1280" s="2383">
        <v>2</v>
      </c>
    </row>
    <row r="1281" spans="3:15">
      <c r="C1281" s="2388" t="s">
        <v>5779</v>
      </c>
      <c r="D1281" s="2385">
        <v>0</v>
      </c>
      <c r="E1281" s="2385">
        <v>0</v>
      </c>
      <c r="F1281" s="2386">
        <v>0</v>
      </c>
      <c r="G1281" s="2412" t="s">
        <v>5779</v>
      </c>
      <c r="H1281" s="2383">
        <v>0</v>
      </c>
      <c r="I1281" s="2383">
        <v>1</v>
      </c>
      <c r="J1281" s="2413">
        <v>1</v>
      </c>
      <c r="K1281" s="2387"/>
      <c r="L1281" s="2381">
        <v>13121001800</v>
      </c>
      <c r="M1281" s="2382">
        <v>0</v>
      </c>
      <c r="N1281" s="2382">
        <v>1</v>
      </c>
      <c r="O1281" s="2383">
        <v>1</v>
      </c>
    </row>
    <row r="1282" spans="3:15">
      <c r="C1282" s="2388" t="s">
        <v>5780</v>
      </c>
      <c r="D1282" s="2385">
        <v>0</v>
      </c>
      <c r="E1282" s="2385">
        <v>1</v>
      </c>
      <c r="F1282" s="2386">
        <v>1</v>
      </c>
      <c r="G1282" s="2412" t="s">
        <v>5780</v>
      </c>
      <c r="H1282" s="2383">
        <v>0</v>
      </c>
      <c r="I1282" s="2383" t="s">
        <v>4493</v>
      </c>
      <c r="J1282" s="2413">
        <v>0</v>
      </c>
      <c r="K1282" s="2387"/>
      <c r="L1282" s="2381">
        <v>13121001900</v>
      </c>
      <c r="M1282" s="2382">
        <v>0</v>
      </c>
      <c r="N1282" s="2382">
        <v>1</v>
      </c>
      <c r="O1282" s="2383">
        <v>1</v>
      </c>
    </row>
    <row r="1283" spans="3:15">
      <c r="C1283" s="2388" t="s">
        <v>5781</v>
      </c>
      <c r="D1283" s="2385">
        <v>0</v>
      </c>
      <c r="E1283" s="2385">
        <v>0</v>
      </c>
      <c r="F1283" s="2386">
        <v>0</v>
      </c>
      <c r="G1283" s="2412" t="s">
        <v>5781</v>
      </c>
      <c r="H1283" s="2383">
        <v>0</v>
      </c>
      <c r="I1283" s="2383" t="s">
        <v>4493</v>
      </c>
      <c r="J1283" s="2413">
        <v>0</v>
      </c>
      <c r="K1283" s="2387"/>
      <c r="L1283" s="2381">
        <v>13121002100</v>
      </c>
      <c r="M1283" s="2382">
        <v>0</v>
      </c>
      <c r="N1283" s="2382">
        <v>0</v>
      </c>
      <c r="O1283" s="2383">
        <v>0</v>
      </c>
    </row>
    <row r="1284" spans="3:15">
      <c r="C1284" s="2388" t="s">
        <v>5782</v>
      </c>
      <c r="D1284" s="2385">
        <v>0</v>
      </c>
      <c r="E1284" s="2385">
        <v>0</v>
      </c>
      <c r="F1284" s="2386">
        <v>0</v>
      </c>
      <c r="G1284" s="2412" t="s">
        <v>5782</v>
      </c>
      <c r="H1284" s="2383">
        <v>0</v>
      </c>
      <c r="I1284" s="2383">
        <v>0</v>
      </c>
      <c r="J1284" s="2413">
        <v>0</v>
      </c>
      <c r="K1284" s="2387"/>
      <c r="L1284" s="2381">
        <v>13121002300</v>
      </c>
      <c r="M1284" s="2382">
        <v>0</v>
      </c>
      <c r="N1284" s="2382">
        <v>0</v>
      </c>
      <c r="O1284" s="2383">
        <v>0</v>
      </c>
    </row>
    <row r="1285" spans="3:15">
      <c r="C1285" s="2388" t="s">
        <v>5783</v>
      </c>
      <c r="D1285" s="2385">
        <v>0</v>
      </c>
      <c r="E1285" s="2385">
        <v>0</v>
      </c>
      <c r="F1285" s="2386">
        <v>0</v>
      </c>
      <c r="G1285" s="2412" t="s">
        <v>5783</v>
      </c>
      <c r="H1285" s="2383">
        <v>0</v>
      </c>
      <c r="I1285" s="2383">
        <v>0</v>
      </c>
      <c r="J1285" s="2413">
        <v>0</v>
      </c>
      <c r="K1285" s="2387"/>
      <c r="L1285" s="2381">
        <v>13121002400</v>
      </c>
      <c r="M1285" s="2382">
        <v>0</v>
      </c>
      <c r="N1285" s="2382">
        <v>0</v>
      </c>
      <c r="O1285" s="2383">
        <v>0</v>
      </c>
    </row>
    <row r="1286" spans="3:15">
      <c r="C1286" s="2388" t="s">
        <v>5784</v>
      </c>
      <c r="D1286" s="2385">
        <v>0</v>
      </c>
      <c r="E1286" s="2385">
        <v>0</v>
      </c>
      <c r="F1286" s="2386">
        <v>0</v>
      </c>
      <c r="G1286" s="2412" t="s">
        <v>5784</v>
      </c>
      <c r="H1286" s="2383">
        <v>0</v>
      </c>
      <c r="I1286" s="2383">
        <v>0</v>
      </c>
      <c r="J1286" s="2413">
        <v>0</v>
      </c>
      <c r="K1286" s="2387"/>
      <c r="L1286" s="2381">
        <v>13121002500</v>
      </c>
      <c r="M1286" s="2382">
        <v>0</v>
      </c>
      <c r="N1286" s="2382">
        <v>0</v>
      </c>
      <c r="O1286" s="2383">
        <v>0</v>
      </c>
    </row>
    <row r="1287" spans="3:15">
      <c r="C1287" s="2388" t="s">
        <v>5785</v>
      </c>
      <c r="D1287" s="2385">
        <v>0</v>
      </c>
      <c r="E1287" s="2385">
        <v>0</v>
      </c>
      <c r="F1287" s="2386">
        <v>0</v>
      </c>
      <c r="G1287" s="2412" t="s">
        <v>5785</v>
      </c>
      <c r="H1287" s="2383">
        <v>0</v>
      </c>
      <c r="I1287" s="2383" t="s">
        <v>4493</v>
      </c>
      <c r="J1287" s="2413">
        <v>0</v>
      </c>
      <c r="K1287" s="2387"/>
      <c r="L1287" s="2381">
        <v>13121002600</v>
      </c>
      <c r="M1287" s="2382">
        <v>0</v>
      </c>
      <c r="N1287" s="2382">
        <v>0</v>
      </c>
      <c r="O1287" s="2383">
        <v>0</v>
      </c>
    </row>
    <row r="1288" spans="3:15">
      <c r="C1288" s="2388" t="s">
        <v>5786</v>
      </c>
      <c r="D1288" s="2385">
        <v>0</v>
      </c>
      <c r="E1288" s="2385">
        <v>0</v>
      </c>
      <c r="F1288" s="2386">
        <v>0</v>
      </c>
      <c r="G1288" s="2412" t="s">
        <v>5786</v>
      </c>
      <c r="H1288" s="2383">
        <v>0</v>
      </c>
      <c r="I1288" s="2383" t="s">
        <v>4493</v>
      </c>
      <c r="J1288" s="2413">
        <v>0</v>
      </c>
      <c r="K1288" s="2387"/>
      <c r="L1288" s="2381">
        <v>13121002800</v>
      </c>
      <c r="M1288" s="2382">
        <v>0</v>
      </c>
      <c r="N1288" s="2382">
        <v>0</v>
      </c>
      <c r="O1288" s="2383">
        <v>0</v>
      </c>
    </row>
    <row r="1289" spans="3:15">
      <c r="C1289" s="2388" t="s">
        <v>5787</v>
      </c>
      <c r="D1289" s="2385">
        <v>1</v>
      </c>
      <c r="E1289" s="2385">
        <v>1</v>
      </c>
      <c r="F1289" s="2386">
        <v>2</v>
      </c>
      <c r="G1289" s="2412" t="s">
        <v>5787</v>
      </c>
      <c r="H1289" s="2383">
        <v>1</v>
      </c>
      <c r="I1289" s="2383">
        <v>1</v>
      </c>
      <c r="J1289" s="2413">
        <v>2</v>
      </c>
      <c r="K1289" s="2387"/>
      <c r="L1289" s="2381">
        <v>13121002900</v>
      </c>
      <c r="M1289" s="2382">
        <v>1</v>
      </c>
      <c r="N1289" s="2382">
        <v>1</v>
      </c>
      <c r="O1289" s="2383">
        <v>2</v>
      </c>
    </row>
    <row r="1290" spans="3:15">
      <c r="C1290" s="2388" t="s">
        <v>5788</v>
      </c>
      <c r="D1290" s="2385">
        <v>1</v>
      </c>
      <c r="E1290" s="2385">
        <v>1</v>
      </c>
      <c r="F1290" s="2386">
        <v>2</v>
      </c>
      <c r="G1290" s="2412" t="s">
        <v>5788</v>
      </c>
      <c r="H1290" s="2383">
        <v>1</v>
      </c>
      <c r="I1290" s="2383" t="s">
        <v>4493</v>
      </c>
      <c r="J1290" s="2413">
        <v>1</v>
      </c>
      <c r="K1290" s="2387"/>
      <c r="L1290" s="2381">
        <v>13121003000</v>
      </c>
      <c r="M1290" s="2382">
        <v>1</v>
      </c>
      <c r="N1290" s="2382">
        <v>1</v>
      </c>
      <c r="O1290" s="2383">
        <v>2</v>
      </c>
    </row>
    <row r="1291" spans="3:15">
      <c r="C1291" s="2388" t="s">
        <v>5789</v>
      </c>
      <c r="D1291" s="2385">
        <v>1</v>
      </c>
      <c r="E1291" s="2385">
        <v>0</v>
      </c>
      <c r="F1291" s="2386">
        <v>1</v>
      </c>
      <c r="G1291" s="2412" t="s">
        <v>5789</v>
      </c>
      <c r="H1291" s="2383">
        <v>1</v>
      </c>
      <c r="I1291" s="2383">
        <v>0</v>
      </c>
      <c r="J1291" s="2413">
        <v>1</v>
      </c>
      <c r="K1291" s="2387"/>
      <c r="L1291" s="2381">
        <v>13121003100</v>
      </c>
      <c r="M1291" s="2382">
        <v>1</v>
      </c>
      <c r="N1291" s="2382">
        <v>0</v>
      </c>
      <c r="O1291" s="2383">
        <v>1</v>
      </c>
    </row>
    <row r="1292" spans="3:15">
      <c r="C1292" s="2388" t="s">
        <v>5790</v>
      </c>
      <c r="D1292" s="2385">
        <v>1</v>
      </c>
      <c r="E1292" s="2385">
        <v>1</v>
      </c>
      <c r="F1292" s="2386">
        <v>2</v>
      </c>
      <c r="G1292" s="2412" t="s">
        <v>5790</v>
      </c>
      <c r="H1292" s="2383">
        <v>1</v>
      </c>
      <c r="I1292" s="2383" t="s">
        <v>4493</v>
      </c>
      <c r="J1292" s="2413">
        <v>1</v>
      </c>
      <c r="K1292" s="2387"/>
      <c r="L1292" s="2381">
        <v>13121003200</v>
      </c>
      <c r="M1292" s="2382">
        <v>1</v>
      </c>
      <c r="N1292" s="2382">
        <v>1</v>
      </c>
      <c r="O1292" s="2383">
        <v>2</v>
      </c>
    </row>
    <row r="1293" spans="3:15">
      <c r="C1293" s="2388" t="s">
        <v>5791</v>
      </c>
      <c r="D1293" s="2385">
        <v>0</v>
      </c>
      <c r="E1293" s="2385">
        <v>0</v>
      </c>
      <c r="F1293" s="2386">
        <v>0</v>
      </c>
      <c r="G1293" s="2412" t="s">
        <v>5791</v>
      </c>
      <c r="H1293" s="2383">
        <v>0</v>
      </c>
      <c r="I1293" s="2383" t="s">
        <v>4493</v>
      </c>
      <c r="J1293" s="2413">
        <v>0</v>
      </c>
      <c r="K1293" s="2387"/>
      <c r="L1293" s="2381">
        <v>13121003500</v>
      </c>
      <c r="M1293" s="2382">
        <v>0</v>
      </c>
      <c r="N1293" s="2382">
        <v>0</v>
      </c>
      <c r="O1293" s="2383">
        <v>0</v>
      </c>
    </row>
    <row r="1294" spans="3:15">
      <c r="C1294" s="2388" t="s">
        <v>5792</v>
      </c>
      <c r="D1294" s="2385">
        <v>1</v>
      </c>
      <c r="E1294" s="2385">
        <v>0</v>
      </c>
      <c r="F1294" s="2386">
        <v>1</v>
      </c>
      <c r="G1294" s="2412" t="s">
        <v>5792</v>
      </c>
      <c r="H1294" s="2383">
        <v>0</v>
      </c>
      <c r="I1294" s="2383">
        <v>0</v>
      </c>
      <c r="J1294" s="2413">
        <v>0</v>
      </c>
      <c r="K1294" s="2387"/>
      <c r="L1294" s="2381">
        <v>13121003600</v>
      </c>
      <c r="M1294" s="2382">
        <v>1</v>
      </c>
      <c r="N1294" s="2382">
        <v>0</v>
      </c>
      <c r="O1294" s="2383">
        <v>1</v>
      </c>
    </row>
    <row r="1295" spans="3:15">
      <c r="C1295" s="2388" t="s">
        <v>5793</v>
      </c>
      <c r="D1295" s="2385" t="s">
        <v>4493</v>
      </c>
      <c r="E1295" s="2385" t="s">
        <v>4493</v>
      </c>
      <c r="F1295" s="2386">
        <v>0</v>
      </c>
      <c r="G1295" s="2412" t="s">
        <v>5793</v>
      </c>
      <c r="H1295" s="2383">
        <v>0</v>
      </c>
      <c r="I1295" s="2383" t="s">
        <v>4493</v>
      </c>
      <c r="J1295" s="2413">
        <v>0</v>
      </c>
      <c r="K1295" s="2387"/>
      <c r="L1295" s="2381">
        <v>13121003700</v>
      </c>
      <c r="M1295" s="2382">
        <v>0</v>
      </c>
      <c r="N1295" s="2382">
        <v>0</v>
      </c>
      <c r="O1295" s="2383">
        <v>0</v>
      </c>
    </row>
    <row r="1296" spans="3:15">
      <c r="C1296" s="2388" t="s">
        <v>5794</v>
      </c>
      <c r="D1296" s="2385">
        <v>0</v>
      </c>
      <c r="E1296" s="2385">
        <v>0</v>
      </c>
      <c r="F1296" s="2386">
        <v>0</v>
      </c>
      <c r="G1296" s="2412" t="s">
        <v>5794</v>
      </c>
      <c r="H1296" s="2383">
        <v>0</v>
      </c>
      <c r="I1296" s="2383" t="s">
        <v>4493</v>
      </c>
      <c r="J1296" s="2413">
        <v>0</v>
      </c>
      <c r="K1296" s="2387"/>
      <c r="L1296" s="2381">
        <v>13121003800</v>
      </c>
      <c r="M1296" s="2382">
        <v>0</v>
      </c>
      <c r="N1296" s="2382">
        <v>0</v>
      </c>
      <c r="O1296" s="2383">
        <v>0</v>
      </c>
    </row>
    <row r="1297" spans="3:15">
      <c r="C1297" s="2388" t="s">
        <v>5795</v>
      </c>
      <c r="D1297" s="2385">
        <v>0</v>
      </c>
      <c r="E1297" s="2385">
        <v>0</v>
      </c>
      <c r="F1297" s="2386">
        <v>0</v>
      </c>
      <c r="G1297" s="2412" t="s">
        <v>5795</v>
      </c>
      <c r="H1297" s="2383">
        <v>0</v>
      </c>
      <c r="I1297" s="2383">
        <v>0</v>
      </c>
      <c r="J1297" s="2413">
        <v>0</v>
      </c>
      <c r="K1297" s="2387"/>
      <c r="L1297" s="2381">
        <v>13121003900</v>
      </c>
      <c r="M1297" s="2382">
        <v>0</v>
      </c>
      <c r="N1297" s="2382">
        <v>0</v>
      </c>
      <c r="O1297" s="2383">
        <v>0</v>
      </c>
    </row>
    <row r="1298" spans="3:15">
      <c r="C1298" s="2388" t="s">
        <v>5796</v>
      </c>
      <c r="D1298" s="2385">
        <v>0</v>
      </c>
      <c r="E1298" s="2385">
        <v>0</v>
      </c>
      <c r="F1298" s="2386">
        <v>0</v>
      </c>
      <c r="G1298" s="2412" t="s">
        <v>5796</v>
      </c>
      <c r="H1298" s="2383">
        <v>0</v>
      </c>
      <c r="I1298" s="2383">
        <v>0</v>
      </c>
      <c r="J1298" s="2413">
        <v>0</v>
      </c>
      <c r="K1298" s="2387"/>
      <c r="L1298" s="2381">
        <v>13121004000</v>
      </c>
      <c r="M1298" s="2382">
        <v>0</v>
      </c>
      <c r="N1298" s="2382">
        <v>0</v>
      </c>
      <c r="O1298" s="2383">
        <v>0</v>
      </c>
    </row>
    <row r="1299" spans="3:15">
      <c r="C1299" s="2388" t="s">
        <v>5797</v>
      </c>
      <c r="D1299" s="2385">
        <v>0</v>
      </c>
      <c r="E1299" s="2385">
        <v>0</v>
      </c>
      <c r="F1299" s="2386">
        <v>0</v>
      </c>
      <c r="G1299" s="2412" t="s">
        <v>5797</v>
      </c>
      <c r="H1299" s="2383">
        <v>0</v>
      </c>
      <c r="I1299" s="2383">
        <v>0</v>
      </c>
      <c r="J1299" s="2413">
        <v>0</v>
      </c>
      <c r="K1299" s="2387"/>
      <c r="L1299" s="2381">
        <v>13121004100</v>
      </c>
      <c r="M1299" s="2382">
        <v>0</v>
      </c>
      <c r="N1299" s="2382">
        <v>0</v>
      </c>
      <c r="O1299" s="2383">
        <v>0</v>
      </c>
    </row>
    <row r="1300" spans="3:15">
      <c r="C1300" s="2388" t="s">
        <v>5798</v>
      </c>
      <c r="D1300" s="2385">
        <v>0</v>
      </c>
      <c r="E1300" s="2385">
        <v>0</v>
      </c>
      <c r="F1300" s="2386">
        <v>0</v>
      </c>
      <c r="G1300" s="2412" t="s">
        <v>5798</v>
      </c>
      <c r="H1300" s="2383">
        <v>0</v>
      </c>
      <c r="I1300" s="2383">
        <v>0</v>
      </c>
      <c r="J1300" s="2413">
        <v>0</v>
      </c>
      <c r="K1300" s="2387"/>
      <c r="L1300" s="2381">
        <v>13121004200</v>
      </c>
      <c r="M1300" s="2382">
        <v>0</v>
      </c>
      <c r="N1300" s="2382">
        <v>0</v>
      </c>
      <c r="O1300" s="2383">
        <v>0</v>
      </c>
    </row>
    <row r="1301" spans="3:15">
      <c r="C1301" s="2388" t="s">
        <v>5799</v>
      </c>
      <c r="D1301" s="2385">
        <v>0</v>
      </c>
      <c r="E1301" s="2385">
        <v>0</v>
      </c>
      <c r="F1301" s="2386">
        <v>0</v>
      </c>
      <c r="G1301" s="2412" t="s">
        <v>5799</v>
      </c>
      <c r="H1301" s="2383">
        <v>0</v>
      </c>
      <c r="I1301" s="2383" t="s">
        <v>4493</v>
      </c>
      <c r="J1301" s="2413">
        <v>0</v>
      </c>
      <c r="K1301" s="2387"/>
      <c r="L1301" s="2381">
        <v>13121004300</v>
      </c>
      <c r="M1301" s="2382">
        <v>0</v>
      </c>
      <c r="N1301" s="2382">
        <v>0</v>
      </c>
      <c r="O1301" s="2383">
        <v>0</v>
      </c>
    </row>
    <row r="1302" spans="3:15">
      <c r="C1302" s="2388" t="s">
        <v>5800</v>
      </c>
      <c r="D1302" s="2385">
        <v>0</v>
      </c>
      <c r="E1302" s="2385">
        <v>0</v>
      </c>
      <c r="F1302" s="2386">
        <v>0</v>
      </c>
      <c r="G1302" s="2412" t="s">
        <v>5800</v>
      </c>
      <c r="H1302" s="2383">
        <v>0</v>
      </c>
      <c r="I1302" s="2383">
        <v>0</v>
      </c>
      <c r="J1302" s="2413">
        <v>0</v>
      </c>
      <c r="K1302" s="2387"/>
      <c r="L1302" s="2381">
        <v>13121004400</v>
      </c>
      <c r="M1302" s="2382">
        <v>0</v>
      </c>
      <c r="N1302" s="2382">
        <v>0</v>
      </c>
      <c r="O1302" s="2383">
        <v>0</v>
      </c>
    </row>
    <row r="1303" spans="3:15">
      <c r="C1303" s="2388" t="s">
        <v>5801</v>
      </c>
      <c r="D1303" s="2385">
        <v>0</v>
      </c>
      <c r="E1303" s="2385">
        <v>0</v>
      </c>
      <c r="F1303" s="2386">
        <v>0</v>
      </c>
      <c r="G1303" s="2412" t="s">
        <v>5801</v>
      </c>
      <c r="H1303" s="2383">
        <v>0</v>
      </c>
      <c r="I1303" s="2383" t="s">
        <v>4493</v>
      </c>
      <c r="J1303" s="2413">
        <v>0</v>
      </c>
      <c r="K1303" s="2387"/>
      <c r="L1303" s="2381">
        <v>13121004800</v>
      </c>
      <c r="M1303" s="2382">
        <v>0</v>
      </c>
      <c r="N1303" s="2382">
        <v>0</v>
      </c>
      <c r="O1303" s="2383">
        <v>0</v>
      </c>
    </row>
    <row r="1304" spans="3:15">
      <c r="C1304" s="2388" t="s">
        <v>5802</v>
      </c>
      <c r="D1304" s="2385">
        <v>1</v>
      </c>
      <c r="E1304" s="2385">
        <v>0</v>
      </c>
      <c r="F1304" s="2386">
        <v>1</v>
      </c>
      <c r="G1304" s="2412" t="s">
        <v>5802</v>
      </c>
      <c r="H1304" s="2383">
        <v>1</v>
      </c>
      <c r="I1304" s="2383" t="s">
        <v>4493</v>
      </c>
      <c r="J1304" s="2413">
        <v>1</v>
      </c>
      <c r="K1304" s="2387"/>
      <c r="L1304" s="2381">
        <v>13121004900</v>
      </c>
      <c r="M1304" s="2382">
        <v>1</v>
      </c>
      <c r="N1304" s="2382">
        <v>0</v>
      </c>
      <c r="O1304" s="2383">
        <v>1</v>
      </c>
    </row>
    <row r="1305" spans="3:15">
      <c r="C1305" s="2388" t="s">
        <v>5803</v>
      </c>
      <c r="D1305" s="2385">
        <v>1</v>
      </c>
      <c r="E1305" s="2385">
        <v>1</v>
      </c>
      <c r="F1305" s="2386">
        <v>2</v>
      </c>
      <c r="G1305" s="2412" t="s">
        <v>5803</v>
      </c>
      <c r="H1305" s="2383">
        <v>1</v>
      </c>
      <c r="I1305" s="2383">
        <v>1</v>
      </c>
      <c r="J1305" s="2413">
        <v>2</v>
      </c>
      <c r="K1305" s="2387"/>
      <c r="L1305" s="2381">
        <v>13121005000</v>
      </c>
      <c r="M1305" s="2382">
        <v>1</v>
      </c>
      <c r="N1305" s="2382">
        <v>1</v>
      </c>
      <c r="O1305" s="2383">
        <v>2</v>
      </c>
    </row>
    <row r="1306" spans="3:15">
      <c r="C1306" s="2388" t="s">
        <v>5804</v>
      </c>
      <c r="D1306" s="2385">
        <v>1</v>
      </c>
      <c r="E1306" s="2385">
        <v>1</v>
      </c>
      <c r="F1306" s="2386">
        <v>2</v>
      </c>
      <c r="G1306" s="2412" t="s">
        <v>5804</v>
      </c>
      <c r="H1306" s="2383">
        <v>1</v>
      </c>
      <c r="I1306" s="2383">
        <v>1</v>
      </c>
      <c r="J1306" s="2413">
        <v>2</v>
      </c>
      <c r="K1306" s="2387"/>
      <c r="L1306" s="2381">
        <v>13121005200</v>
      </c>
      <c r="M1306" s="2382">
        <v>1</v>
      </c>
      <c r="N1306" s="2382">
        <v>1</v>
      </c>
      <c r="O1306" s="2383">
        <v>2</v>
      </c>
    </row>
    <row r="1307" spans="3:15">
      <c r="C1307" s="2388" t="s">
        <v>5805</v>
      </c>
      <c r="D1307" s="2385">
        <v>1</v>
      </c>
      <c r="E1307" s="2385">
        <v>1</v>
      </c>
      <c r="F1307" s="2386">
        <v>2</v>
      </c>
      <c r="G1307" s="2412" t="s">
        <v>5805</v>
      </c>
      <c r="H1307" s="2383">
        <v>1</v>
      </c>
      <c r="I1307" s="2383">
        <v>1</v>
      </c>
      <c r="J1307" s="2413">
        <v>2</v>
      </c>
      <c r="K1307" s="2387"/>
      <c r="L1307" s="2381">
        <v>13121005300</v>
      </c>
      <c r="M1307" s="2382">
        <v>1</v>
      </c>
      <c r="N1307" s="2382">
        <v>1</v>
      </c>
      <c r="O1307" s="2383">
        <v>2</v>
      </c>
    </row>
    <row r="1308" spans="3:15">
      <c r="C1308" s="2388" t="s">
        <v>5806</v>
      </c>
      <c r="D1308" s="2385">
        <v>0</v>
      </c>
      <c r="E1308" s="2385">
        <v>0</v>
      </c>
      <c r="F1308" s="2386">
        <v>0</v>
      </c>
      <c r="G1308" s="2412" t="s">
        <v>5806</v>
      </c>
      <c r="H1308" s="2383">
        <v>0</v>
      </c>
      <c r="I1308" s="2383">
        <v>0</v>
      </c>
      <c r="J1308" s="2413">
        <v>0</v>
      </c>
      <c r="K1308" s="2387"/>
      <c r="L1308" s="2381">
        <v>13121005501</v>
      </c>
      <c r="M1308" s="2382">
        <v>0</v>
      </c>
      <c r="N1308" s="2382">
        <v>0</v>
      </c>
      <c r="O1308" s="2383">
        <v>0</v>
      </c>
    </row>
    <row r="1309" spans="3:15">
      <c r="C1309" s="2388" t="s">
        <v>5807</v>
      </c>
      <c r="D1309" s="2385">
        <v>0</v>
      </c>
      <c r="E1309" s="2385">
        <v>0</v>
      </c>
      <c r="F1309" s="2386">
        <v>0</v>
      </c>
      <c r="G1309" s="2412" t="s">
        <v>5807</v>
      </c>
      <c r="H1309" s="2383">
        <v>0</v>
      </c>
      <c r="I1309" s="2383">
        <v>0</v>
      </c>
      <c r="J1309" s="2413">
        <v>0</v>
      </c>
      <c r="K1309" s="2387"/>
      <c r="L1309" s="2381">
        <v>13121005502</v>
      </c>
      <c r="M1309" s="2382">
        <v>0</v>
      </c>
      <c r="N1309" s="2382">
        <v>0</v>
      </c>
      <c r="O1309" s="2383">
        <v>0</v>
      </c>
    </row>
    <row r="1310" spans="3:15">
      <c r="C1310" s="2388" t="s">
        <v>5808</v>
      </c>
      <c r="D1310" s="2385">
        <v>0</v>
      </c>
      <c r="E1310" s="2385">
        <v>0</v>
      </c>
      <c r="F1310" s="2386">
        <v>0</v>
      </c>
      <c r="G1310" s="2412" t="s">
        <v>5808</v>
      </c>
      <c r="H1310" s="2383">
        <v>0</v>
      </c>
      <c r="I1310" s="2383">
        <v>0</v>
      </c>
      <c r="J1310" s="2413">
        <v>0</v>
      </c>
      <c r="K1310" s="2387"/>
      <c r="L1310" s="2381">
        <v>13121005700</v>
      </c>
      <c r="M1310" s="2382">
        <v>0</v>
      </c>
      <c r="N1310" s="2382">
        <v>0</v>
      </c>
      <c r="O1310" s="2383">
        <v>0</v>
      </c>
    </row>
    <row r="1311" spans="3:15">
      <c r="C1311" s="2388" t="s">
        <v>5809</v>
      </c>
      <c r="D1311" s="2385">
        <v>0</v>
      </c>
      <c r="E1311" s="2385">
        <v>0</v>
      </c>
      <c r="F1311" s="2386">
        <v>0</v>
      </c>
      <c r="G1311" s="2412" t="s">
        <v>5809</v>
      </c>
      <c r="H1311" s="2383">
        <v>0</v>
      </c>
      <c r="I1311" s="2383">
        <v>0</v>
      </c>
      <c r="J1311" s="2413">
        <v>0</v>
      </c>
      <c r="K1311" s="2387"/>
      <c r="L1311" s="2381">
        <v>13121005800</v>
      </c>
      <c r="M1311" s="2382">
        <v>0</v>
      </c>
      <c r="N1311" s="2382">
        <v>0</v>
      </c>
      <c r="O1311" s="2383">
        <v>0</v>
      </c>
    </row>
    <row r="1312" spans="3:15">
      <c r="C1312" s="2388" t="s">
        <v>5810</v>
      </c>
      <c r="D1312" s="2385">
        <v>0</v>
      </c>
      <c r="E1312" s="2385">
        <v>0</v>
      </c>
      <c r="F1312" s="2386">
        <v>0</v>
      </c>
      <c r="G1312" s="2412" t="s">
        <v>5810</v>
      </c>
      <c r="H1312" s="2383">
        <v>0</v>
      </c>
      <c r="I1312" s="2383">
        <v>0</v>
      </c>
      <c r="J1312" s="2413">
        <v>0</v>
      </c>
      <c r="K1312" s="2387"/>
      <c r="L1312" s="2381">
        <v>13121006000</v>
      </c>
      <c r="M1312" s="2382">
        <v>0</v>
      </c>
      <c r="N1312" s="2382">
        <v>0</v>
      </c>
      <c r="O1312" s="2383">
        <v>0</v>
      </c>
    </row>
    <row r="1313" spans="3:15">
      <c r="C1313" s="2388" t="s">
        <v>5811</v>
      </c>
      <c r="D1313" s="2385">
        <v>0</v>
      </c>
      <c r="E1313" s="2385">
        <v>0</v>
      </c>
      <c r="F1313" s="2386">
        <v>0</v>
      </c>
      <c r="G1313" s="2412" t="s">
        <v>5811</v>
      </c>
      <c r="H1313" s="2383">
        <v>0</v>
      </c>
      <c r="I1313" s="2383">
        <v>0</v>
      </c>
      <c r="J1313" s="2413">
        <v>0</v>
      </c>
      <c r="K1313" s="2387"/>
      <c r="L1313" s="2381">
        <v>13121006100</v>
      </c>
      <c r="M1313" s="2382">
        <v>0</v>
      </c>
      <c r="N1313" s="2382">
        <v>0</v>
      </c>
      <c r="O1313" s="2383">
        <v>0</v>
      </c>
    </row>
    <row r="1314" spans="3:15">
      <c r="C1314" s="2388" t="s">
        <v>5812</v>
      </c>
      <c r="D1314" s="2385">
        <v>0</v>
      </c>
      <c r="E1314" s="2385">
        <v>0</v>
      </c>
      <c r="F1314" s="2386">
        <v>0</v>
      </c>
      <c r="G1314" s="2412" t="s">
        <v>5812</v>
      </c>
      <c r="H1314" s="2383">
        <v>0</v>
      </c>
      <c r="I1314" s="2383">
        <v>0</v>
      </c>
      <c r="J1314" s="2413">
        <v>0</v>
      </c>
      <c r="K1314" s="2387"/>
      <c r="L1314" s="2381">
        <v>13121006200</v>
      </c>
      <c r="M1314" s="2382">
        <v>0</v>
      </c>
      <c r="N1314" s="2382">
        <v>0</v>
      </c>
      <c r="O1314" s="2383">
        <v>0</v>
      </c>
    </row>
    <row r="1315" spans="3:15">
      <c r="C1315" s="2388" t="s">
        <v>5813</v>
      </c>
      <c r="D1315" s="2385">
        <v>0</v>
      </c>
      <c r="E1315" s="2385">
        <v>0</v>
      </c>
      <c r="F1315" s="2386">
        <v>0</v>
      </c>
      <c r="G1315" s="2412" t="s">
        <v>5813</v>
      </c>
      <c r="H1315" s="2383">
        <v>0</v>
      </c>
      <c r="I1315" s="2383">
        <v>0</v>
      </c>
      <c r="J1315" s="2413">
        <v>0</v>
      </c>
      <c r="K1315" s="2387"/>
      <c r="L1315" s="2381">
        <v>13121006300</v>
      </c>
      <c r="M1315" s="2382">
        <v>0</v>
      </c>
      <c r="N1315" s="2382">
        <v>0</v>
      </c>
      <c r="O1315" s="2383">
        <v>0</v>
      </c>
    </row>
    <row r="1316" spans="3:15">
      <c r="C1316" s="2388" t="s">
        <v>5814</v>
      </c>
      <c r="D1316" s="2385">
        <v>0</v>
      </c>
      <c r="E1316" s="2385">
        <v>0</v>
      </c>
      <c r="F1316" s="2386">
        <v>0</v>
      </c>
      <c r="G1316" s="2412" t="s">
        <v>5814</v>
      </c>
      <c r="H1316" s="2383">
        <v>0</v>
      </c>
      <c r="I1316" s="2383" t="s">
        <v>4493</v>
      </c>
      <c r="J1316" s="2413">
        <v>0</v>
      </c>
      <c r="K1316" s="2387"/>
      <c r="L1316" s="2381">
        <v>13121006400</v>
      </c>
      <c r="M1316" s="2382">
        <v>0</v>
      </c>
      <c r="N1316" s="2382">
        <v>0</v>
      </c>
      <c r="O1316" s="2383">
        <v>0</v>
      </c>
    </row>
    <row r="1317" spans="3:15">
      <c r="C1317" s="2388" t="s">
        <v>5815</v>
      </c>
      <c r="D1317" s="2385">
        <v>0</v>
      </c>
      <c r="E1317" s="2385">
        <v>0</v>
      </c>
      <c r="F1317" s="2386">
        <v>0</v>
      </c>
      <c r="G1317" s="2412" t="s">
        <v>5815</v>
      </c>
      <c r="H1317" s="2383">
        <v>0</v>
      </c>
      <c r="I1317" s="2383">
        <v>0</v>
      </c>
      <c r="J1317" s="2413">
        <v>0</v>
      </c>
      <c r="K1317" s="2387"/>
      <c r="L1317" s="2381">
        <v>13121006500</v>
      </c>
      <c r="M1317" s="2382">
        <v>0</v>
      </c>
      <c r="N1317" s="2382">
        <v>0</v>
      </c>
      <c r="O1317" s="2383">
        <v>0</v>
      </c>
    </row>
    <row r="1318" spans="3:15">
      <c r="C1318" s="2388" t="s">
        <v>5816</v>
      </c>
      <c r="D1318" s="2385">
        <v>0</v>
      </c>
      <c r="E1318" s="2385">
        <v>0</v>
      </c>
      <c r="F1318" s="2386">
        <v>0</v>
      </c>
      <c r="G1318" s="2412" t="s">
        <v>5816</v>
      </c>
      <c r="H1318" s="2383">
        <v>0</v>
      </c>
      <c r="I1318" s="2383">
        <v>0</v>
      </c>
      <c r="J1318" s="2413">
        <v>0</v>
      </c>
      <c r="K1318" s="2387"/>
      <c r="L1318" s="2381">
        <v>13121006601</v>
      </c>
      <c r="M1318" s="2382">
        <v>0</v>
      </c>
      <c r="N1318" s="2382">
        <v>0</v>
      </c>
      <c r="O1318" s="2383">
        <v>0</v>
      </c>
    </row>
    <row r="1319" spans="3:15">
      <c r="C1319" s="2388" t="s">
        <v>5817</v>
      </c>
      <c r="D1319" s="2385">
        <v>0</v>
      </c>
      <c r="E1319" s="2385">
        <v>0</v>
      </c>
      <c r="F1319" s="2386">
        <v>0</v>
      </c>
      <c r="G1319" s="2412" t="s">
        <v>5817</v>
      </c>
      <c r="H1319" s="2383">
        <v>0</v>
      </c>
      <c r="I1319" s="2383">
        <v>0</v>
      </c>
      <c r="J1319" s="2413">
        <v>0</v>
      </c>
      <c r="K1319" s="2387"/>
      <c r="L1319" s="2381">
        <v>13121006602</v>
      </c>
      <c r="M1319" s="2382">
        <v>0</v>
      </c>
      <c r="N1319" s="2382">
        <v>0</v>
      </c>
      <c r="O1319" s="2383">
        <v>0</v>
      </c>
    </row>
    <row r="1320" spans="3:15">
      <c r="C1320" s="2388" t="s">
        <v>5818</v>
      </c>
      <c r="D1320" s="2385">
        <v>0</v>
      </c>
      <c r="E1320" s="2385">
        <v>0</v>
      </c>
      <c r="F1320" s="2386">
        <v>0</v>
      </c>
      <c r="G1320" s="2412" t="s">
        <v>5818</v>
      </c>
      <c r="H1320" s="2383">
        <v>0</v>
      </c>
      <c r="I1320" s="2383">
        <v>0</v>
      </c>
      <c r="J1320" s="2413">
        <v>0</v>
      </c>
      <c r="K1320" s="2387"/>
      <c r="L1320" s="2381">
        <v>13121006700</v>
      </c>
      <c r="M1320" s="2382">
        <v>0</v>
      </c>
      <c r="N1320" s="2382">
        <v>0</v>
      </c>
      <c r="O1320" s="2383">
        <v>0</v>
      </c>
    </row>
    <row r="1321" spans="3:15">
      <c r="C1321" s="2388" t="s">
        <v>5819</v>
      </c>
      <c r="D1321" s="2385" t="s">
        <v>4493</v>
      </c>
      <c r="E1321" s="2385" t="s">
        <v>4493</v>
      </c>
      <c r="F1321" s="2386">
        <v>0</v>
      </c>
      <c r="G1321" s="2412" t="s">
        <v>5819</v>
      </c>
      <c r="H1321" s="2383" t="s">
        <v>4493</v>
      </c>
      <c r="I1321" s="2383" t="s">
        <v>4493</v>
      </c>
      <c r="J1321" s="2413">
        <v>0</v>
      </c>
      <c r="K1321" s="2387"/>
      <c r="L1321" s="2381">
        <v>13121006801</v>
      </c>
      <c r="M1321" s="2382">
        <v>0</v>
      </c>
      <c r="N1321" s="2382">
        <v>0</v>
      </c>
      <c r="O1321" s="2383">
        <v>0</v>
      </c>
    </row>
    <row r="1322" spans="3:15">
      <c r="C1322" s="2388" t="s">
        <v>5820</v>
      </c>
      <c r="D1322" s="2385">
        <v>0</v>
      </c>
      <c r="E1322" s="2385">
        <v>0</v>
      </c>
      <c r="F1322" s="2386">
        <v>0</v>
      </c>
      <c r="G1322" s="2412" t="s">
        <v>5820</v>
      </c>
      <c r="H1322" s="2383">
        <v>0</v>
      </c>
      <c r="I1322" s="2383">
        <v>0</v>
      </c>
      <c r="J1322" s="2413">
        <v>0</v>
      </c>
      <c r="K1322" s="2387"/>
      <c r="L1322" s="2381">
        <v>13121006802</v>
      </c>
      <c r="M1322" s="2382">
        <v>0</v>
      </c>
      <c r="N1322" s="2382">
        <v>0</v>
      </c>
      <c r="O1322" s="2383">
        <v>0</v>
      </c>
    </row>
    <row r="1323" spans="3:15">
      <c r="C1323" s="2388" t="s">
        <v>5821</v>
      </c>
      <c r="D1323" s="2385">
        <v>0</v>
      </c>
      <c r="E1323" s="2385">
        <v>0</v>
      </c>
      <c r="F1323" s="2386">
        <v>0</v>
      </c>
      <c r="G1323" s="2412" t="s">
        <v>5821</v>
      </c>
      <c r="H1323" s="2383">
        <v>1</v>
      </c>
      <c r="I1323" s="2383">
        <v>0</v>
      </c>
      <c r="J1323" s="2413">
        <v>1</v>
      </c>
      <c r="K1323" s="2387"/>
      <c r="L1323" s="2381">
        <v>13121006900</v>
      </c>
      <c r="M1323" s="2382">
        <v>1</v>
      </c>
      <c r="N1323" s="2382">
        <v>0</v>
      </c>
      <c r="O1323" s="2383">
        <v>1</v>
      </c>
    </row>
    <row r="1324" spans="3:15">
      <c r="C1324" s="2388" t="s">
        <v>5822</v>
      </c>
      <c r="D1324" s="2385">
        <v>0</v>
      </c>
      <c r="E1324" s="2385">
        <v>0</v>
      </c>
      <c r="F1324" s="2386">
        <v>0</v>
      </c>
      <c r="G1324" s="2412" t="s">
        <v>5822</v>
      </c>
      <c r="H1324" s="2383">
        <v>0</v>
      </c>
      <c r="I1324" s="2383">
        <v>0</v>
      </c>
      <c r="J1324" s="2413">
        <v>0</v>
      </c>
      <c r="K1324" s="2387"/>
      <c r="L1324" s="2381">
        <v>13121007001</v>
      </c>
      <c r="M1324" s="2382">
        <v>0</v>
      </c>
      <c r="N1324" s="2382">
        <v>0</v>
      </c>
      <c r="O1324" s="2383">
        <v>0</v>
      </c>
    </row>
    <row r="1325" spans="3:15">
      <c r="C1325" s="2388" t="s">
        <v>5823</v>
      </c>
      <c r="D1325" s="2385">
        <v>0</v>
      </c>
      <c r="E1325" s="2385">
        <v>0</v>
      </c>
      <c r="F1325" s="2386">
        <v>0</v>
      </c>
      <c r="G1325" s="2412" t="s">
        <v>5823</v>
      </c>
      <c r="H1325" s="2383">
        <v>0</v>
      </c>
      <c r="I1325" s="2383">
        <v>0</v>
      </c>
      <c r="J1325" s="2413">
        <v>0</v>
      </c>
      <c r="K1325" s="2387"/>
      <c r="L1325" s="2381">
        <v>13121007002</v>
      </c>
      <c r="M1325" s="2382">
        <v>0</v>
      </c>
      <c r="N1325" s="2382">
        <v>0</v>
      </c>
      <c r="O1325" s="2383">
        <v>0</v>
      </c>
    </row>
    <row r="1326" spans="3:15">
      <c r="C1326" s="2388" t="s">
        <v>5824</v>
      </c>
      <c r="D1326" s="2385">
        <v>0</v>
      </c>
      <c r="E1326" s="2385">
        <v>0</v>
      </c>
      <c r="F1326" s="2386">
        <v>0</v>
      </c>
      <c r="G1326" s="2412" t="s">
        <v>5824</v>
      </c>
      <c r="H1326" s="2383">
        <v>0</v>
      </c>
      <c r="I1326" s="2383">
        <v>0</v>
      </c>
      <c r="J1326" s="2413">
        <v>0</v>
      </c>
      <c r="K1326" s="2387"/>
      <c r="L1326" s="2381">
        <v>13121007100</v>
      </c>
      <c r="M1326" s="2382">
        <v>0</v>
      </c>
      <c r="N1326" s="2382">
        <v>0</v>
      </c>
      <c r="O1326" s="2383">
        <v>0</v>
      </c>
    </row>
    <row r="1327" spans="3:15">
      <c r="C1327" s="2388" t="s">
        <v>5825</v>
      </c>
      <c r="D1327" s="2385">
        <v>0</v>
      </c>
      <c r="E1327" s="2385">
        <v>0</v>
      </c>
      <c r="F1327" s="2386">
        <v>0</v>
      </c>
      <c r="G1327" s="2412" t="s">
        <v>5825</v>
      </c>
      <c r="H1327" s="2383">
        <v>0</v>
      </c>
      <c r="I1327" s="2383">
        <v>0</v>
      </c>
      <c r="J1327" s="2413">
        <v>0</v>
      </c>
      <c r="K1327" s="2387"/>
      <c r="L1327" s="2381">
        <v>13121007200</v>
      </c>
      <c r="M1327" s="2382">
        <v>0</v>
      </c>
      <c r="N1327" s="2382">
        <v>0</v>
      </c>
      <c r="O1327" s="2383">
        <v>0</v>
      </c>
    </row>
    <row r="1328" spans="3:15">
      <c r="C1328" s="2388" t="s">
        <v>5826</v>
      </c>
      <c r="D1328" s="2385">
        <v>0</v>
      </c>
      <c r="E1328" s="2385">
        <v>0</v>
      </c>
      <c r="F1328" s="2386">
        <v>0</v>
      </c>
      <c r="G1328" s="2412" t="s">
        <v>5826</v>
      </c>
      <c r="H1328" s="2383">
        <v>0</v>
      </c>
      <c r="I1328" s="2383">
        <v>0</v>
      </c>
      <c r="J1328" s="2413">
        <v>0</v>
      </c>
      <c r="K1328" s="2387"/>
      <c r="L1328" s="2381">
        <v>13121007300</v>
      </c>
      <c r="M1328" s="2382">
        <v>0</v>
      </c>
      <c r="N1328" s="2382">
        <v>0</v>
      </c>
      <c r="O1328" s="2383">
        <v>0</v>
      </c>
    </row>
    <row r="1329" spans="3:15">
      <c r="C1329" s="2388" t="s">
        <v>5827</v>
      </c>
      <c r="D1329" s="2385">
        <v>0</v>
      </c>
      <c r="E1329" s="2385">
        <v>0</v>
      </c>
      <c r="F1329" s="2386">
        <v>0</v>
      </c>
      <c r="G1329" s="2412" t="s">
        <v>5827</v>
      </c>
      <c r="H1329" s="2383">
        <v>0</v>
      </c>
      <c r="I1329" s="2383">
        <v>0</v>
      </c>
      <c r="J1329" s="2413">
        <v>0</v>
      </c>
      <c r="K1329" s="2387"/>
      <c r="L1329" s="2381">
        <v>13121007400</v>
      </c>
      <c r="M1329" s="2382">
        <v>0</v>
      </c>
      <c r="N1329" s="2382">
        <v>0</v>
      </c>
      <c r="O1329" s="2383">
        <v>0</v>
      </c>
    </row>
    <row r="1330" spans="3:15">
      <c r="C1330" s="2388" t="s">
        <v>5828</v>
      </c>
      <c r="D1330" s="2385">
        <v>0</v>
      </c>
      <c r="E1330" s="2385">
        <v>0</v>
      </c>
      <c r="F1330" s="2386">
        <v>0</v>
      </c>
      <c r="G1330" s="2412" t="s">
        <v>5828</v>
      </c>
      <c r="H1330" s="2383">
        <v>0</v>
      </c>
      <c r="I1330" s="2383">
        <v>0</v>
      </c>
      <c r="J1330" s="2413">
        <v>0</v>
      </c>
      <c r="K1330" s="2387"/>
      <c r="L1330" s="2381">
        <v>13121007500</v>
      </c>
      <c r="M1330" s="2382">
        <v>0</v>
      </c>
      <c r="N1330" s="2382">
        <v>0</v>
      </c>
      <c r="O1330" s="2383">
        <v>0</v>
      </c>
    </row>
    <row r="1331" spans="3:15">
      <c r="C1331" s="2388" t="s">
        <v>5829</v>
      </c>
      <c r="D1331" s="2385">
        <v>0</v>
      </c>
      <c r="E1331" s="2385">
        <v>0</v>
      </c>
      <c r="F1331" s="2386">
        <v>0</v>
      </c>
      <c r="G1331" s="2412" t="s">
        <v>5829</v>
      </c>
      <c r="H1331" s="2383">
        <v>0</v>
      </c>
      <c r="I1331" s="2383">
        <v>0</v>
      </c>
      <c r="J1331" s="2413">
        <v>0</v>
      </c>
      <c r="K1331" s="2387"/>
      <c r="L1331" s="2381">
        <v>13121007602</v>
      </c>
      <c r="M1331" s="2382">
        <v>0</v>
      </c>
      <c r="N1331" s="2382">
        <v>0</v>
      </c>
      <c r="O1331" s="2383">
        <v>0</v>
      </c>
    </row>
    <row r="1332" spans="3:15">
      <c r="C1332" s="2388" t="s">
        <v>5830</v>
      </c>
      <c r="D1332" s="2385">
        <v>0</v>
      </c>
      <c r="E1332" s="2385">
        <v>0</v>
      </c>
      <c r="F1332" s="2386">
        <v>0</v>
      </c>
      <c r="G1332" s="2412" t="s">
        <v>5830</v>
      </c>
      <c r="H1332" s="2383">
        <v>0</v>
      </c>
      <c r="I1332" s="2383">
        <v>0</v>
      </c>
      <c r="J1332" s="2413">
        <v>0</v>
      </c>
      <c r="K1332" s="2387"/>
      <c r="L1332" s="2381">
        <v>13121007603</v>
      </c>
      <c r="M1332" s="2382">
        <v>0</v>
      </c>
      <c r="N1332" s="2382">
        <v>0</v>
      </c>
      <c r="O1332" s="2383">
        <v>0</v>
      </c>
    </row>
    <row r="1333" spans="3:15">
      <c r="C1333" s="2388" t="s">
        <v>5831</v>
      </c>
      <c r="D1333" s="2385">
        <v>0</v>
      </c>
      <c r="E1333" s="2385">
        <v>0</v>
      </c>
      <c r="F1333" s="2386">
        <v>0</v>
      </c>
      <c r="G1333" s="2412" t="s">
        <v>5831</v>
      </c>
      <c r="H1333" s="2383">
        <v>0</v>
      </c>
      <c r="I1333" s="2383" t="s">
        <v>4493</v>
      </c>
      <c r="J1333" s="2413">
        <v>0</v>
      </c>
      <c r="K1333" s="2387"/>
      <c r="L1333" s="2381">
        <v>13121007604</v>
      </c>
      <c r="M1333" s="2382">
        <v>0</v>
      </c>
      <c r="N1333" s="2382">
        <v>0</v>
      </c>
      <c r="O1333" s="2383">
        <v>0</v>
      </c>
    </row>
    <row r="1334" spans="3:15">
      <c r="C1334" s="2388" t="s">
        <v>5832</v>
      </c>
      <c r="D1334" s="2385">
        <v>0</v>
      </c>
      <c r="E1334" s="2385">
        <v>0</v>
      </c>
      <c r="F1334" s="2386">
        <v>0</v>
      </c>
      <c r="G1334" s="2412" t="s">
        <v>5832</v>
      </c>
      <c r="H1334" s="2383">
        <v>0</v>
      </c>
      <c r="I1334" s="2383">
        <v>0</v>
      </c>
      <c r="J1334" s="2413">
        <v>0</v>
      </c>
      <c r="K1334" s="2387"/>
      <c r="L1334" s="2381">
        <v>13121007703</v>
      </c>
      <c r="M1334" s="2382">
        <v>0</v>
      </c>
      <c r="N1334" s="2382">
        <v>0</v>
      </c>
      <c r="O1334" s="2383">
        <v>0</v>
      </c>
    </row>
    <row r="1335" spans="3:15">
      <c r="C1335" s="2388" t="s">
        <v>5833</v>
      </c>
      <c r="D1335" s="2385">
        <v>0</v>
      </c>
      <c r="E1335" s="2385">
        <v>0</v>
      </c>
      <c r="F1335" s="2386">
        <v>0</v>
      </c>
      <c r="G1335" s="2412" t="s">
        <v>5833</v>
      </c>
      <c r="H1335" s="2383">
        <v>0</v>
      </c>
      <c r="I1335" s="2383">
        <v>0</v>
      </c>
      <c r="J1335" s="2413">
        <v>0</v>
      </c>
      <c r="K1335" s="2387"/>
      <c r="L1335" s="2381">
        <v>13121007704</v>
      </c>
      <c r="M1335" s="2382">
        <v>0</v>
      </c>
      <c r="N1335" s="2382">
        <v>0</v>
      </c>
      <c r="O1335" s="2383">
        <v>0</v>
      </c>
    </row>
    <row r="1336" spans="3:15">
      <c r="C1336" s="2388" t="s">
        <v>5834</v>
      </c>
      <c r="D1336" s="2385">
        <v>0</v>
      </c>
      <c r="E1336" s="2385">
        <v>0</v>
      </c>
      <c r="F1336" s="2386">
        <v>0</v>
      </c>
      <c r="G1336" s="2412" t="s">
        <v>5834</v>
      </c>
      <c r="H1336" s="2383">
        <v>0</v>
      </c>
      <c r="I1336" s="2383">
        <v>0</v>
      </c>
      <c r="J1336" s="2413">
        <v>0</v>
      </c>
      <c r="K1336" s="2387"/>
      <c r="L1336" s="2381">
        <v>13121007705</v>
      </c>
      <c r="M1336" s="2382">
        <v>0</v>
      </c>
      <c r="N1336" s="2382">
        <v>0</v>
      </c>
      <c r="O1336" s="2383">
        <v>0</v>
      </c>
    </row>
    <row r="1337" spans="3:15">
      <c r="C1337" s="2388" t="s">
        <v>5835</v>
      </c>
      <c r="D1337" s="2385">
        <v>0</v>
      </c>
      <c r="E1337" s="2385">
        <v>0</v>
      </c>
      <c r="F1337" s="2386">
        <v>0</v>
      </c>
      <c r="G1337" s="2412" t="s">
        <v>5835</v>
      </c>
      <c r="H1337" s="2383">
        <v>0</v>
      </c>
      <c r="I1337" s="2383">
        <v>1</v>
      </c>
      <c r="J1337" s="2413">
        <v>1</v>
      </c>
      <c r="K1337" s="2387"/>
      <c r="L1337" s="2381">
        <v>13121007706</v>
      </c>
      <c r="M1337" s="2382">
        <v>0</v>
      </c>
      <c r="N1337" s="2382">
        <v>1</v>
      </c>
      <c r="O1337" s="2383">
        <v>1</v>
      </c>
    </row>
    <row r="1338" spans="3:15">
      <c r="C1338" s="2388" t="s">
        <v>5836</v>
      </c>
      <c r="D1338" s="2385">
        <v>0</v>
      </c>
      <c r="E1338" s="2385">
        <v>0</v>
      </c>
      <c r="F1338" s="2386">
        <v>0</v>
      </c>
      <c r="G1338" s="2412" t="s">
        <v>5836</v>
      </c>
      <c r="H1338" s="2383">
        <v>0</v>
      </c>
      <c r="I1338" s="2383">
        <v>0</v>
      </c>
      <c r="J1338" s="2413">
        <v>0</v>
      </c>
      <c r="K1338" s="2387"/>
      <c r="L1338" s="2381">
        <v>13121007802</v>
      </c>
      <c r="M1338" s="2382">
        <v>0</v>
      </c>
      <c r="N1338" s="2382">
        <v>0</v>
      </c>
      <c r="O1338" s="2383">
        <v>0</v>
      </c>
    </row>
    <row r="1339" spans="3:15">
      <c r="C1339" s="2388" t="s">
        <v>5837</v>
      </c>
      <c r="D1339" s="2385">
        <v>0</v>
      </c>
      <c r="E1339" s="2385">
        <v>0</v>
      </c>
      <c r="F1339" s="2386">
        <v>0</v>
      </c>
      <c r="G1339" s="2412" t="s">
        <v>5837</v>
      </c>
      <c r="H1339" s="2383">
        <v>0</v>
      </c>
      <c r="I1339" s="2383">
        <v>0</v>
      </c>
      <c r="J1339" s="2413">
        <v>0</v>
      </c>
      <c r="K1339" s="2387"/>
      <c r="L1339" s="2381">
        <v>13121007805</v>
      </c>
      <c r="M1339" s="2382">
        <v>0</v>
      </c>
      <c r="N1339" s="2382">
        <v>0</v>
      </c>
      <c r="O1339" s="2383">
        <v>0</v>
      </c>
    </row>
    <row r="1340" spans="3:15">
      <c r="C1340" s="2388" t="s">
        <v>5838</v>
      </c>
      <c r="D1340" s="2385">
        <v>0</v>
      </c>
      <c r="E1340" s="2385">
        <v>0</v>
      </c>
      <c r="F1340" s="2386">
        <v>0</v>
      </c>
      <c r="G1340" s="2412" t="s">
        <v>5838</v>
      </c>
      <c r="H1340" s="2383">
        <v>0</v>
      </c>
      <c r="I1340" s="2383">
        <v>1</v>
      </c>
      <c r="J1340" s="2413">
        <v>1</v>
      </c>
      <c r="K1340" s="2387"/>
      <c r="L1340" s="2381">
        <v>13121007806</v>
      </c>
      <c r="M1340" s="2382">
        <v>0</v>
      </c>
      <c r="N1340" s="2382">
        <v>1</v>
      </c>
      <c r="O1340" s="2383">
        <v>1</v>
      </c>
    </row>
    <row r="1341" spans="3:15">
      <c r="C1341" s="2388" t="s">
        <v>5839</v>
      </c>
      <c r="D1341" s="2385">
        <v>0</v>
      </c>
      <c r="E1341" s="2385">
        <v>0</v>
      </c>
      <c r="F1341" s="2386">
        <v>0</v>
      </c>
      <c r="G1341" s="2412" t="s">
        <v>5839</v>
      </c>
      <c r="H1341" s="2383">
        <v>0</v>
      </c>
      <c r="I1341" s="2383">
        <v>0</v>
      </c>
      <c r="J1341" s="2413">
        <v>0</v>
      </c>
      <c r="K1341" s="2387"/>
      <c r="L1341" s="2381">
        <v>13121007807</v>
      </c>
      <c r="M1341" s="2382">
        <v>0</v>
      </c>
      <c r="N1341" s="2382">
        <v>0</v>
      </c>
      <c r="O1341" s="2383">
        <v>0</v>
      </c>
    </row>
    <row r="1342" spans="3:15">
      <c r="C1342" s="2388" t="s">
        <v>5840</v>
      </c>
      <c r="D1342" s="2385">
        <v>0</v>
      </c>
      <c r="E1342" s="2385">
        <v>0</v>
      </c>
      <c r="F1342" s="2386">
        <v>0</v>
      </c>
      <c r="G1342" s="2412" t="s">
        <v>5840</v>
      </c>
      <c r="H1342" s="2383">
        <v>0</v>
      </c>
      <c r="I1342" s="2383">
        <v>0</v>
      </c>
      <c r="J1342" s="2413">
        <v>0</v>
      </c>
      <c r="K1342" s="2387"/>
      <c r="L1342" s="2381">
        <v>13121007808</v>
      </c>
      <c r="M1342" s="2382">
        <v>0</v>
      </c>
      <c r="N1342" s="2382">
        <v>0</v>
      </c>
      <c r="O1342" s="2383">
        <v>0</v>
      </c>
    </row>
    <row r="1343" spans="3:15">
      <c r="C1343" s="2388" t="s">
        <v>5841</v>
      </c>
      <c r="D1343" s="2385">
        <v>0</v>
      </c>
      <c r="E1343" s="2385">
        <v>0</v>
      </c>
      <c r="F1343" s="2386">
        <v>0</v>
      </c>
      <c r="G1343" s="2412" t="s">
        <v>5841</v>
      </c>
      <c r="H1343" s="2383">
        <v>1</v>
      </c>
      <c r="I1343" s="2383">
        <v>1</v>
      </c>
      <c r="J1343" s="2413">
        <v>2</v>
      </c>
      <c r="K1343" s="2387"/>
      <c r="L1343" s="2381">
        <v>13121007900</v>
      </c>
      <c r="M1343" s="2382">
        <v>1</v>
      </c>
      <c r="N1343" s="2382">
        <v>1</v>
      </c>
      <c r="O1343" s="2383">
        <v>2</v>
      </c>
    </row>
    <row r="1344" spans="3:15">
      <c r="C1344" s="2388" t="s">
        <v>5842</v>
      </c>
      <c r="D1344" s="2385">
        <v>0</v>
      </c>
      <c r="E1344" s="2385">
        <v>0</v>
      </c>
      <c r="F1344" s="2386">
        <v>0</v>
      </c>
      <c r="G1344" s="2412" t="s">
        <v>5842</v>
      </c>
      <c r="H1344" s="2383">
        <v>0</v>
      </c>
      <c r="I1344" s="2383">
        <v>0</v>
      </c>
      <c r="J1344" s="2413">
        <v>0</v>
      </c>
      <c r="K1344" s="2387"/>
      <c r="L1344" s="2381">
        <v>13121008000</v>
      </c>
      <c r="M1344" s="2382">
        <v>0</v>
      </c>
      <c r="N1344" s="2382">
        <v>0</v>
      </c>
      <c r="O1344" s="2383">
        <v>0</v>
      </c>
    </row>
    <row r="1345" spans="3:15">
      <c r="C1345" s="2388" t="s">
        <v>5843</v>
      </c>
      <c r="D1345" s="2385">
        <v>0</v>
      </c>
      <c r="E1345" s="2385">
        <v>0</v>
      </c>
      <c r="F1345" s="2386">
        <v>0</v>
      </c>
      <c r="G1345" s="2412" t="s">
        <v>5843</v>
      </c>
      <c r="H1345" s="2383">
        <v>0</v>
      </c>
      <c r="I1345" s="2383">
        <v>0</v>
      </c>
      <c r="J1345" s="2413">
        <v>0</v>
      </c>
      <c r="K1345" s="2387"/>
      <c r="L1345" s="2381">
        <v>13121008101</v>
      </c>
      <c r="M1345" s="2382">
        <v>0</v>
      </c>
      <c r="N1345" s="2382">
        <v>0</v>
      </c>
      <c r="O1345" s="2383">
        <v>0</v>
      </c>
    </row>
    <row r="1346" spans="3:15">
      <c r="C1346" s="2388" t="s">
        <v>5844</v>
      </c>
      <c r="D1346" s="2385">
        <v>0</v>
      </c>
      <c r="E1346" s="2385">
        <v>0</v>
      </c>
      <c r="F1346" s="2386">
        <v>0</v>
      </c>
      <c r="G1346" s="2412" t="s">
        <v>5844</v>
      </c>
      <c r="H1346" s="2383">
        <v>0</v>
      </c>
      <c r="I1346" s="2383">
        <v>0</v>
      </c>
      <c r="J1346" s="2413">
        <v>0</v>
      </c>
      <c r="K1346" s="2387"/>
      <c r="L1346" s="2381">
        <v>13121008102</v>
      </c>
      <c r="M1346" s="2382">
        <v>0</v>
      </c>
      <c r="N1346" s="2382">
        <v>0</v>
      </c>
      <c r="O1346" s="2383">
        <v>0</v>
      </c>
    </row>
    <row r="1347" spans="3:15">
      <c r="C1347" s="2388" t="s">
        <v>5845</v>
      </c>
      <c r="D1347" s="2385">
        <v>0</v>
      </c>
      <c r="E1347" s="2385">
        <v>0</v>
      </c>
      <c r="F1347" s="2386">
        <v>0</v>
      </c>
      <c r="G1347" s="2412" t="s">
        <v>5845</v>
      </c>
      <c r="H1347" s="2383">
        <v>0</v>
      </c>
      <c r="I1347" s="2383">
        <v>0</v>
      </c>
      <c r="J1347" s="2413">
        <v>0</v>
      </c>
      <c r="K1347" s="2387"/>
      <c r="L1347" s="2381">
        <v>13121008201</v>
      </c>
      <c r="M1347" s="2382">
        <v>0</v>
      </c>
      <c r="N1347" s="2382">
        <v>0</v>
      </c>
      <c r="O1347" s="2383">
        <v>0</v>
      </c>
    </row>
    <row r="1348" spans="3:15">
      <c r="C1348" s="2388" t="s">
        <v>5846</v>
      </c>
      <c r="D1348" s="2385">
        <v>0</v>
      </c>
      <c r="E1348" s="2385">
        <v>0</v>
      </c>
      <c r="F1348" s="2386">
        <v>0</v>
      </c>
      <c r="G1348" s="2412" t="s">
        <v>5846</v>
      </c>
      <c r="H1348" s="2383">
        <v>0</v>
      </c>
      <c r="I1348" s="2383">
        <v>0</v>
      </c>
      <c r="J1348" s="2413">
        <v>0</v>
      </c>
      <c r="K1348" s="2387"/>
      <c r="L1348" s="2381">
        <v>13121008202</v>
      </c>
      <c r="M1348" s="2382">
        <v>0</v>
      </c>
      <c r="N1348" s="2382">
        <v>0</v>
      </c>
      <c r="O1348" s="2383">
        <v>0</v>
      </c>
    </row>
    <row r="1349" spans="3:15">
      <c r="C1349" s="2388" t="s">
        <v>5847</v>
      </c>
      <c r="D1349" s="2385">
        <v>0</v>
      </c>
      <c r="E1349" s="2385">
        <v>0</v>
      </c>
      <c r="F1349" s="2386">
        <v>0</v>
      </c>
      <c r="G1349" s="2412" t="s">
        <v>5847</v>
      </c>
      <c r="H1349" s="2383">
        <v>0</v>
      </c>
      <c r="I1349" s="2383" t="s">
        <v>4493</v>
      </c>
      <c r="J1349" s="2413">
        <v>0</v>
      </c>
      <c r="K1349" s="2387"/>
      <c r="L1349" s="2381">
        <v>13121008301</v>
      </c>
      <c r="M1349" s="2382">
        <v>0</v>
      </c>
      <c r="N1349" s="2382">
        <v>0</v>
      </c>
      <c r="O1349" s="2383">
        <v>0</v>
      </c>
    </row>
    <row r="1350" spans="3:15">
      <c r="C1350" s="2388" t="s">
        <v>5848</v>
      </c>
      <c r="D1350" s="2385">
        <v>0</v>
      </c>
      <c r="E1350" s="2385">
        <v>0</v>
      </c>
      <c r="F1350" s="2386">
        <v>0</v>
      </c>
      <c r="G1350" s="2412" t="s">
        <v>5848</v>
      </c>
      <c r="H1350" s="2383">
        <v>0</v>
      </c>
      <c r="I1350" s="2383" t="s">
        <v>4493</v>
      </c>
      <c r="J1350" s="2413">
        <v>0</v>
      </c>
      <c r="K1350" s="2387"/>
      <c r="L1350" s="2381">
        <v>13121008302</v>
      </c>
      <c r="M1350" s="2382">
        <v>0</v>
      </c>
      <c r="N1350" s="2382">
        <v>0</v>
      </c>
      <c r="O1350" s="2383">
        <v>0</v>
      </c>
    </row>
    <row r="1351" spans="3:15">
      <c r="C1351" s="2388" t="s">
        <v>5849</v>
      </c>
      <c r="D1351" s="2385">
        <v>0</v>
      </c>
      <c r="E1351" s="2385">
        <v>0</v>
      </c>
      <c r="F1351" s="2386">
        <v>0</v>
      </c>
      <c r="G1351" s="2412" t="s">
        <v>5849</v>
      </c>
      <c r="H1351" s="2383">
        <v>0</v>
      </c>
      <c r="I1351" s="2383">
        <v>0</v>
      </c>
      <c r="J1351" s="2413">
        <v>0</v>
      </c>
      <c r="K1351" s="2387"/>
      <c r="L1351" s="2381">
        <v>13121008400</v>
      </c>
      <c r="M1351" s="2382">
        <v>0</v>
      </c>
      <c r="N1351" s="2382">
        <v>0</v>
      </c>
      <c r="O1351" s="2383">
        <v>0</v>
      </c>
    </row>
    <row r="1352" spans="3:15">
      <c r="C1352" s="2388" t="s">
        <v>5850</v>
      </c>
      <c r="D1352" s="2385">
        <v>0</v>
      </c>
      <c r="E1352" s="2385">
        <v>0</v>
      </c>
      <c r="F1352" s="2386">
        <v>0</v>
      </c>
      <c r="G1352" s="2412" t="s">
        <v>5850</v>
      </c>
      <c r="H1352" s="2383">
        <v>0</v>
      </c>
      <c r="I1352" s="2383">
        <v>0</v>
      </c>
      <c r="J1352" s="2413">
        <v>0</v>
      </c>
      <c r="K1352" s="2387"/>
      <c r="L1352" s="2381">
        <v>13121008500</v>
      </c>
      <c r="M1352" s="2382">
        <v>0</v>
      </c>
      <c r="N1352" s="2382">
        <v>0</v>
      </c>
      <c r="O1352" s="2383">
        <v>0</v>
      </c>
    </row>
    <row r="1353" spans="3:15">
      <c r="C1353" s="2388" t="s">
        <v>5851</v>
      </c>
      <c r="D1353" s="2385">
        <v>0</v>
      </c>
      <c r="E1353" s="2385">
        <v>0</v>
      </c>
      <c r="F1353" s="2386">
        <v>0</v>
      </c>
      <c r="G1353" s="2412" t="s">
        <v>5851</v>
      </c>
      <c r="H1353" s="2383">
        <v>0</v>
      </c>
      <c r="I1353" s="2383">
        <v>0</v>
      </c>
      <c r="J1353" s="2413">
        <v>0</v>
      </c>
      <c r="K1353" s="2387"/>
      <c r="L1353" s="2381">
        <v>13121008601</v>
      </c>
      <c r="M1353" s="2382">
        <v>0</v>
      </c>
      <c r="N1353" s="2382">
        <v>0</v>
      </c>
      <c r="O1353" s="2383">
        <v>0</v>
      </c>
    </row>
    <row r="1354" spans="3:15">
      <c r="C1354" s="2388" t="s">
        <v>5852</v>
      </c>
      <c r="D1354" s="2385">
        <v>0</v>
      </c>
      <c r="E1354" s="2385">
        <v>0</v>
      </c>
      <c r="F1354" s="2386">
        <v>0</v>
      </c>
      <c r="G1354" s="2412" t="s">
        <v>5852</v>
      </c>
      <c r="H1354" s="2383">
        <v>0</v>
      </c>
      <c r="I1354" s="2383" t="s">
        <v>4493</v>
      </c>
      <c r="J1354" s="2413">
        <v>0</v>
      </c>
      <c r="K1354" s="2387"/>
      <c r="L1354" s="2381">
        <v>13121008602</v>
      </c>
      <c r="M1354" s="2382">
        <v>0</v>
      </c>
      <c r="N1354" s="2382">
        <v>0</v>
      </c>
      <c r="O1354" s="2383">
        <v>0</v>
      </c>
    </row>
    <row r="1355" spans="3:15">
      <c r="C1355" s="2388" t="s">
        <v>5853</v>
      </c>
      <c r="D1355" s="2385">
        <v>0</v>
      </c>
      <c r="E1355" s="2385">
        <v>0</v>
      </c>
      <c r="F1355" s="2386">
        <v>0</v>
      </c>
      <c r="G1355" s="2412" t="s">
        <v>5853</v>
      </c>
      <c r="H1355" s="2383">
        <v>0</v>
      </c>
      <c r="I1355" s="2383">
        <v>0</v>
      </c>
      <c r="J1355" s="2413">
        <v>0</v>
      </c>
      <c r="K1355" s="2387"/>
      <c r="L1355" s="2381">
        <v>13121008700</v>
      </c>
      <c r="M1355" s="2382">
        <v>0</v>
      </c>
      <c r="N1355" s="2382">
        <v>0</v>
      </c>
      <c r="O1355" s="2383">
        <v>0</v>
      </c>
    </row>
    <row r="1356" spans="3:15">
      <c r="C1356" s="2388" t="s">
        <v>5854</v>
      </c>
      <c r="D1356" s="2385">
        <v>1</v>
      </c>
      <c r="E1356" s="2385">
        <v>1</v>
      </c>
      <c r="F1356" s="2386">
        <v>2</v>
      </c>
      <c r="G1356" s="2412" t="s">
        <v>5854</v>
      </c>
      <c r="H1356" s="2383">
        <v>1</v>
      </c>
      <c r="I1356" s="2383" t="s">
        <v>4493</v>
      </c>
      <c r="J1356" s="2413">
        <v>1</v>
      </c>
      <c r="K1356" s="2387"/>
      <c r="L1356" s="2381">
        <v>13121008800</v>
      </c>
      <c r="M1356" s="2382">
        <v>1</v>
      </c>
      <c r="N1356" s="2382">
        <v>1</v>
      </c>
      <c r="O1356" s="2383">
        <v>2</v>
      </c>
    </row>
    <row r="1357" spans="3:15">
      <c r="C1357" s="2388" t="s">
        <v>5855</v>
      </c>
      <c r="D1357" s="2385">
        <v>1</v>
      </c>
      <c r="E1357" s="2385">
        <v>1</v>
      </c>
      <c r="F1357" s="2386">
        <v>2</v>
      </c>
      <c r="G1357" s="2412" t="s">
        <v>5855</v>
      </c>
      <c r="H1357" s="2383">
        <v>1</v>
      </c>
      <c r="I1357" s="2383">
        <v>1</v>
      </c>
      <c r="J1357" s="2413">
        <v>2</v>
      </c>
      <c r="K1357" s="2387"/>
      <c r="L1357" s="2381">
        <v>13121008902</v>
      </c>
      <c r="M1357" s="2382">
        <v>1</v>
      </c>
      <c r="N1357" s="2382">
        <v>1</v>
      </c>
      <c r="O1357" s="2383">
        <v>2</v>
      </c>
    </row>
    <row r="1358" spans="3:15">
      <c r="C1358" s="2388" t="s">
        <v>5856</v>
      </c>
      <c r="D1358" s="2385">
        <v>1</v>
      </c>
      <c r="E1358" s="2385">
        <v>0</v>
      </c>
      <c r="F1358" s="2386">
        <v>1</v>
      </c>
      <c r="G1358" s="2412" t="s">
        <v>5856</v>
      </c>
      <c r="H1358" s="2383">
        <v>1</v>
      </c>
      <c r="I1358" s="2383" t="s">
        <v>4493</v>
      </c>
      <c r="J1358" s="2413">
        <v>1</v>
      </c>
      <c r="K1358" s="2387"/>
      <c r="L1358" s="2381">
        <v>13121008903</v>
      </c>
      <c r="M1358" s="2382">
        <v>1</v>
      </c>
      <c r="N1358" s="2382">
        <v>0</v>
      </c>
      <c r="O1358" s="2383">
        <v>1</v>
      </c>
    </row>
    <row r="1359" spans="3:15">
      <c r="C1359" s="2388" t="s">
        <v>5857</v>
      </c>
      <c r="D1359" s="2385">
        <v>1</v>
      </c>
      <c r="E1359" s="2385">
        <v>1</v>
      </c>
      <c r="F1359" s="2386">
        <v>2</v>
      </c>
      <c r="G1359" s="2412" t="s">
        <v>5857</v>
      </c>
      <c r="H1359" s="2383">
        <v>1</v>
      </c>
      <c r="I1359" s="2383">
        <v>1</v>
      </c>
      <c r="J1359" s="2413">
        <v>2</v>
      </c>
      <c r="K1359" s="2387"/>
      <c r="L1359" s="2381">
        <v>13121008904</v>
      </c>
      <c r="M1359" s="2382">
        <v>1</v>
      </c>
      <c r="N1359" s="2382">
        <v>1</v>
      </c>
      <c r="O1359" s="2383">
        <v>2</v>
      </c>
    </row>
    <row r="1360" spans="3:15">
      <c r="C1360" s="2388" t="s">
        <v>5858</v>
      </c>
      <c r="D1360" s="2385">
        <v>1</v>
      </c>
      <c r="E1360" s="2385">
        <v>1</v>
      </c>
      <c r="F1360" s="2386">
        <v>2</v>
      </c>
      <c r="G1360" s="2412" t="s">
        <v>5858</v>
      </c>
      <c r="H1360" s="2383">
        <v>1</v>
      </c>
      <c r="I1360" s="2383">
        <v>1</v>
      </c>
      <c r="J1360" s="2413">
        <v>2</v>
      </c>
      <c r="K1360" s="2387"/>
      <c r="L1360" s="2381">
        <v>13121009000</v>
      </c>
      <c r="M1360" s="2382">
        <v>1</v>
      </c>
      <c r="N1360" s="2382">
        <v>1</v>
      </c>
      <c r="O1360" s="2383">
        <v>2</v>
      </c>
    </row>
    <row r="1361" spans="3:15">
      <c r="C1361" s="2388" t="s">
        <v>5859</v>
      </c>
      <c r="D1361" s="2385">
        <v>1</v>
      </c>
      <c r="E1361" s="2385">
        <v>1</v>
      </c>
      <c r="F1361" s="2386">
        <v>2</v>
      </c>
      <c r="G1361" s="2412" t="s">
        <v>5859</v>
      </c>
      <c r="H1361" s="2383">
        <v>1</v>
      </c>
      <c r="I1361" s="2383">
        <v>1</v>
      </c>
      <c r="J1361" s="2413">
        <v>2</v>
      </c>
      <c r="K1361" s="2387"/>
      <c r="L1361" s="2381">
        <v>13121009101</v>
      </c>
      <c r="M1361" s="2382">
        <v>1</v>
      </c>
      <c r="N1361" s="2382">
        <v>1</v>
      </c>
      <c r="O1361" s="2383">
        <v>2</v>
      </c>
    </row>
    <row r="1362" spans="3:15">
      <c r="C1362" s="2388" t="s">
        <v>5860</v>
      </c>
      <c r="D1362" s="2385">
        <v>1</v>
      </c>
      <c r="E1362" s="2385">
        <v>1</v>
      </c>
      <c r="F1362" s="2386">
        <v>2</v>
      </c>
      <c r="G1362" s="2412" t="s">
        <v>5860</v>
      </c>
      <c r="H1362" s="2383">
        <v>1</v>
      </c>
      <c r="I1362" s="2383">
        <v>1</v>
      </c>
      <c r="J1362" s="2413">
        <v>2</v>
      </c>
      <c r="K1362" s="2387"/>
      <c r="L1362" s="2381">
        <v>13121009102</v>
      </c>
      <c r="M1362" s="2382">
        <v>1</v>
      </c>
      <c r="N1362" s="2382">
        <v>1</v>
      </c>
      <c r="O1362" s="2383">
        <v>2</v>
      </c>
    </row>
    <row r="1363" spans="3:15">
      <c r="C1363" s="2388" t="s">
        <v>5861</v>
      </c>
      <c r="D1363" s="2385">
        <v>1</v>
      </c>
      <c r="E1363" s="2385">
        <v>0</v>
      </c>
      <c r="F1363" s="2386">
        <v>1</v>
      </c>
      <c r="G1363" s="2412" t="s">
        <v>5861</v>
      </c>
      <c r="H1363" s="2383">
        <v>1</v>
      </c>
      <c r="I1363" s="2383">
        <v>1</v>
      </c>
      <c r="J1363" s="2413">
        <v>2</v>
      </c>
      <c r="K1363" s="2387"/>
      <c r="L1363" s="2381">
        <v>13121009200</v>
      </c>
      <c r="M1363" s="2382">
        <v>1</v>
      </c>
      <c r="N1363" s="2382">
        <v>1</v>
      </c>
      <c r="O1363" s="2383">
        <v>2</v>
      </c>
    </row>
    <row r="1364" spans="3:15">
      <c r="C1364" s="2388" t="s">
        <v>5862</v>
      </c>
      <c r="D1364" s="2385">
        <v>1</v>
      </c>
      <c r="E1364" s="2385">
        <v>1</v>
      </c>
      <c r="F1364" s="2386">
        <v>2</v>
      </c>
      <c r="G1364" s="2412" t="s">
        <v>5862</v>
      </c>
      <c r="H1364" s="2383">
        <v>1</v>
      </c>
      <c r="I1364" s="2383">
        <v>1</v>
      </c>
      <c r="J1364" s="2413">
        <v>2</v>
      </c>
      <c r="K1364" s="2387"/>
      <c r="L1364" s="2381">
        <v>13121009300</v>
      </c>
      <c r="M1364" s="2382">
        <v>1</v>
      </c>
      <c r="N1364" s="2382">
        <v>1</v>
      </c>
      <c r="O1364" s="2383">
        <v>2</v>
      </c>
    </row>
    <row r="1365" spans="3:15">
      <c r="C1365" s="2388" t="s">
        <v>5863</v>
      </c>
      <c r="D1365" s="2385">
        <v>1</v>
      </c>
      <c r="E1365" s="2385">
        <v>1</v>
      </c>
      <c r="F1365" s="2386">
        <v>2</v>
      </c>
      <c r="G1365" s="2412" t="s">
        <v>5863</v>
      </c>
      <c r="H1365" s="2383">
        <v>1</v>
      </c>
      <c r="I1365" s="2383" t="s">
        <v>4493</v>
      </c>
      <c r="J1365" s="2413">
        <v>1</v>
      </c>
      <c r="K1365" s="2387"/>
      <c r="L1365" s="2381">
        <v>13121009402</v>
      </c>
      <c r="M1365" s="2382">
        <v>1</v>
      </c>
      <c r="N1365" s="2382">
        <v>1</v>
      </c>
      <c r="O1365" s="2383">
        <v>2</v>
      </c>
    </row>
    <row r="1366" spans="3:15">
      <c r="C1366" s="2388" t="s">
        <v>5864</v>
      </c>
      <c r="D1366" s="2385">
        <v>1</v>
      </c>
      <c r="E1366" s="2385">
        <v>1</v>
      </c>
      <c r="F1366" s="2386">
        <v>2</v>
      </c>
      <c r="G1366" s="2412" t="s">
        <v>5864</v>
      </c>
      <c r="H1366" s="2383">
        <v>1</v>
      </c>
      <c r="I1366" s="2383">
        <v>1</v>
      </c>
      <c r="J1366" s="2413">
        <v>2</v>
      </c>
      <c r="K1366" s="2387"/>
      <c r="L1366" s="2381">
        <v>13121009403</v>
      </c>
      <c r="M1366" s="2382">
        <v>1</v>
      </c>
      <c r="N1366" s="2382">
        <v>1</v>
      </c>
      <c r="O1366" s="2383">
        <v>2</v>
      </c>
    </row>
    <row r="1367" spans="3:15">
      <c r="C1367" s="2388" t="s">
        <v>5865</v>
      </c>
      <c r="D1367" s="2385">
        <v>1</v>
      </c>
      <c r="E1367" s="2385">
        <v>1</v>
      </c>
      <c r="F1367" s="2386">
        <v>2</v>
      </c>
      <c r="G1367" s="2412" t="s">
        <v>5865</v>
      </c>
      <c r="H1367" s="2383">
        <v>1</v>
      </c>
      <c r="I1367" s="2383">
        <v>1</v>
      </c>
      <c r="J1367" s="2413">
        <v>2</v>
      </c>
      <c r="K1367" s="2387"/>
      <c r="L1367" s="2381">
        <v>13121009404</v>
      </c>
      <c r="M1367" s="2382">
        <v>1</v>
      </c>
      <c r="N1367" s="2382">
        <v>1</v>
      </c>
      <c r="O1367" s="2383">
        <v>2</v>
      </c>
    </row>
    <row r="1368" spans="3:15">
      <c r="C1368" s="2388" t="s">
        <v>5866</v>
      </c>
      <c r="D1368" s="2385">
        <v>1</v>
      </c>
      <c r="E1368" s="2385">
        <v>1</v>
      </c>
      <c r="F1368" s="2386">
        <v>2</v>
      </c>
      <c r="G1368" s="2412" t="s">
        <v>5866</v>
      </c>
      <c r="H1368" s="2383">
        <v>1</v>
      </c>
      <c r="I1368" s="2383">
        <v>1</v>
      </c>
      <c r="J1368" s="2413">
        <v>2</v>
      </c>
      <c r="K1368" s="2387"/>
      <c r="L1368" s="2381">
        <v>13121009501</v>
      </c>
      <c r="M1368" s="2382">
        <v>1</v>
      </c>
      <c r="N1368" s="2382">
        <v>1</v>
      </c>
      <c r="O1368" s="2383">
        <v>2</v>
      </c>
    </row>
    <row r="1369" spans="3:15">
      <c r="C1369" s="2388" t="s">
        <v>5867</v>
      </c>
      <c r="D1369" s="2385">
        <v>1</v>
      </c>
      <c r="E1369" s="2385">
        <v>0</v>
      </c>
      <c r="F1369" s="2386">
        <v>1</v>
      </c>
      <c r="G1369" s="2412" t="s">
        <v>5867</v>
      </c>
      <c r="H1369" s="2383">
        <v>1</v>
      </c>
      <c r="I1369" s="2383" t="s">
        <v>4493</v>
      </c>
      <c r="J1369" s="2413">
        <v>1</v>
      </c>
      <c r="K1369" s="2387"/>
      <c r="L1369" s="2381">
        <v>13121009502</v>
      </c>
      <c r="M1369" s="2382">
        <v>1</v>
      </c>
      <c r="N1369" s="2382">
        <v>0</v>
      </c>
      <c r="O1369" s="2383">
        <v>1</v>
      </c>
    </row>
    <row r="1370" spans="3:15">
      <c r="C1370" s="2388" t="s">
        <v>5868</v>
      </c>
      <c r="D1370" s="2385">
        <v>1</v>
      </c>
      <c r="E1370" s="2385">
        <v>1</v>
      </c>
      <c r="F1370" s="2386">
        <v>2</v>
      </c>
      <c r="G1370" s="2412" t="s">
        <v>5868</v>
      </c>
      <c r="H1370" s="2383">
        <v>1</v>
      </c>
      <c r="I1370" s="2383">
        <v>1</v>
      </c>
      <c r="J1370" s="2413">
        <v>2</v>
      </c>
      <c r="K1370" s="2387"/>
      <c r="L1370" s="2381">
        <v>13121009601</v>
      </c>
      <c r="M1370" s="2382">
        <v>1</v>
      </c>
      <c r="N1370" s="2382">
        <v>1</v>
      </c>
      <c r="O1370" s="2383">
        <v>2</v>
      </c>
    </row>
    <row r="1371" spans="3:15">
      <c r="C1371" s="2388" t="s">
        <v>5869</v>
      </c>
      <c r="D1371" s="2385">
        <v>1</v>
      </c>
      <c r="E1371" s="2385">
        <v>1</v>
      </c>
      <c r="F1371" s="2386">
        <v>2</v>
      </c>
      <c r="G1371" s="2412" t="s">
        <v>5869</v>
      </c>
      <c r="H1371" s="2383">
        <v>1</v>
      </c>
      <c r="I1371" s="2383">
        <v>1</v>
      </c>
      <c r="J1371" s="2413">
        <v>2</v>
      </c>
      <c r="K1371" s="2387"/>
      <c r="L1371" s="2381">
        <v>13121009602</v>
      </c>
      <c r="M1371" s="2382">
        <v>1</v>
      </c>
      <c r="N1371" s="2382">
        <v>1</v>
      </c>
      <c r="O1371" s="2383">
        <v>2</v>
      </c>
    </row>
    <row r="1372" spans="3:15">
      <c r="C1372" s="2388" t="s">
        <v>5870</v>
      </c>
      <c r="D1372" s="2385">
        <v>1</v>
      </c>
      <c r="E1372" s="2385">
        <v>1</v>
      </c>
      <c r="F1372" s="2386">
        <v>2</v>
      </c>
      <c r="G1372" s="2412" t="s">
        <v>5870</v>
      </c>
      <c r="H1372" s="2383">
        <v>1</v>
      </c>
      <c r="I1372" s="2383">
        <v>1</v>
      </c>
      <c r="J1372" s="2413">
        <v>2</v>
      </c>
      <c r="K1372" s="2387"/>
      <c r="L1372" s="2381">
        <v>13121009603</v>
      </c>
      <c r="M1372" s="2382">
        <v>1</v>
      </c>
      <c r="N1372" s="2382">
        <v>1</v>
      </c>
      <c r="O1372" s="2383">
        <v>2</v>
      </c>
    </row>
    <row r="1373" spans="3:15">
      <c r="C1373" s="2388" t="s">
        <v>5871</v>
      </c>
      <c r="D1373" s="2385">
        <v>1</v>
      </c>
      <c r="E1373" s="2385">
        <v>1</v>
      </c>
      <c r="F1373" s="2386">
        <v>2</v>
      </c>
      <c r="G1373" s="2412" t="s">
        <v>5871</v>
      </c>
      <c r="H1373" s="2383">
        <v>1</v>
      </c>
      <c r="I1373" s="2383">
        <v>1</v>
      </c>
      <c r="J1373" s="2413">
        <v>2</v>
      </c>
      <c r="K1373" s="2387"/>
      <c r="L1373" s="2381">
        <v>13121009700</v>
      </c>
      <c r="M1373" s="2382">
        <v>1</v>
      </c>
      <c r="N1373" s="2382">
        <v>1</v>
      </c>
      <c r="O1373" s="2383">
        <v>2</v>
      </c>
    </row>
    <row r="1374" spans="3:15">
      <c r="C1374" s="2388" t="s">
        <v>5872</v>
      </c>
      <c r="D1374" s="2385">
        <v>1</v>
      </c>
      <c r="E1374" s="2385">
        <v>1</v>
      </c>
      <c r="F1374" s="2386">
        <v>2</v>
      </c>
      <c r="G1374" s="2412" t="s">
        <v>5872</v>
      </c>
      <c r="H1374" s="2383">
        <v>1</v>
      </c>
      <c r="I1374" s="2383">
        <v>1</v>
      </c>
      <c r="J1374" s="2413">
        <v>2</v>
      </c>
      <c r="K1374" s="2387"/>
      <c r="L1374" s="2381">
        <v>13121009801</v>
      </c>
      <c r="M1374" s="2382">
        <v>1</v>
      </c>
      <c r="N1374" s="2382">
        <v>1</v>
      </c>
      <c r="O1374" s="2383">
        <v>2</v>
      </c>
    </row>
    <row r="1375" spans="3:15">
      <c r="C1375" s="2388" t="s">
        <v>5873</v>
      </c>
      <c r="D1375" s="2385">
        <v>1</v>
      </c>
      <c r="E1375" s="2385">
        <v>1</v>
      </c>
      <c r="F1375" s="2386">
        <v>2</v>
      </c>
      <c r="G1375" s="2412" t="s">
        <v>5873</v>
      </c>
      <c r="H1375" s="2383">
        <v>1</v>
      </c>
      <c r="I1375" s="2383">
        <v>1</v>
      </c>
      <c r="J1375" s="2413">
        <v>2</v>
      </c>
      <c r="K1375" s="2387"/>
      <c r="L1375" s="2381">
        <v>13121009802</v>
      </c>
      <c r="M1375" s="2382">
        <v>1</v>
      </c>
      <c r="N1375" s="2382">
        <v>1</v>
      </c>
      <c r="O1375" s="2383">
        <v>2</v>
      </c>
    </row>
    <row r="1376" spans="3:15">
      <c r="C1376" s="2388" t="s">
        <v>5874</v>
      </c>
      <c r="D1376" s="2385">
        <v>1</v>
      </c>
      <c r="E1376" s="2385">
        <v>1</v>
      </c>
      <c r="F1376" s="2386">
        <v>2</v>
      </c>
      <c r="G1376" s="2412" t="s">
        <v>5874</v>
      </c>
      <c r="H1376" s="2383">
        <v>1</v>
      </c>
      <c r="I1376" s="2383" t="s">
        <v>4493</v>
      </c>
      <c r="J1376" s="2413">
        <v>1</v>
      </c>
      <c r="K1376" s="2387"/>
      <c r="L1376" s="2381">
        <v>13121009900</v>
      </c>
      <c r="M1376" s="2382">
        <v>1</v>
      </c>
      <c r="N1376" s="2382">
        <v>1</v>
      </c>
      <c r="O1376" s="2383">
        <v>2</v>
      </c>
    </row>
    <row r="1377" spans="3:15">
      <c r="C1377" s="2388" t="s">
        <v>5875</v>
      </c>
      <c r="D1377" s="2385">
        <v>1</v>
      </c>
      <c r="E1377" s="2385">
        <v>1</v>
      </c>
      <c r="F1377" s="2386">
        <v>2</v>
      </c>
      <c r="G1377" s="2412" t="s">
        <v>5875</v>
      </c>
      <c r="H1377" s="2383">
        <v>1</v>
      </c>
      <c r="I1377" s="2383">
        <v>1</v>
      </c>
      <c r="J1377" s="2413">
        <v>2</v>
      </c>
      <c r="K1377" s="2387"/>
      <c r="L1377" s="2381">
        <v>13121010001</v>
      </c>
      <c r="M1377" s="2382">
        <v>1</v>
      </c>
      <c r="N1377" s="2382">
        <v>1</v>
      </c>
      <c r="O1377" s="2383">
        <v>2</v>
      </c>
    </row>
    <row r="1378" spans="3:15">
      <c r="C1378" s="2388" t="s">
        <v>5876</v>
      </c>
      <c r="D1378" s="2385">
        <v>1</v>
      </c>
      <c r="E1378" s="2385">
        <v>1</v>
      </c>
      <c r="F1378" s="2386">
        <v>2</v>
      </c>
      <c r="G1378" s="2412" t="s">
        <v>5876</v>
      </c>
      <c r="H1378" s="2383">
        <v>1</v>
      </c>
      <c r="I1378" s="2383">
        <v>1</v>
      </c>
      <c r="J1378" s="2413">
        <v>2</v>
      </c>
      <c r="K1378" s="2387"/>
      <c r="L1378" s="2381">
        <v>13121010002</v>
      </c>
      <c r="M1378" s="2382">
        <v>1</v>
      </c>
      <c r="N1378" s="2382">
        <v>1</v>
      </c>
      <c r="O1378" s="2383">
        <v>2</v>
      </c>
    </row>
    <row r="1379" spans="3:15">
      <c r="C1379" s="2388" t="s">
        <v>5877</v>
      </c>
      <c r="D1379" s="2385">
        <v>1</v>
      </c>
      <c r="E1379" s="2385">
        <v>1</v>
      </c>
      <c r="F1379" s="2386">
        <v>2</v>
      </c>
      <c r="G1379" s="2412" t="s">
        <v>5877</v>
      </c>
      <c r="H1379" s="2383">
        <v>1</v>
      </c>
      <c r="I1379" s="2383">
        <v>1</v>
      </c>
      <c r="J1379" s="2413">
        <v>2</v>
      </c>
      <c r="K1379" s="2387"/>
      <c r="L1379" s="2381">
        <v>13121010106</v>
      </c>
      <c r="M1379" s="2382">
        <v>1</v>
      </c>
      <c r="N1379" s="2382">
        <v>1</v>
      </c>
      <c r="O1379" s="2383">
        <v>2</v>
      </c>
    </row>
    <row r="1380" spans="3:15">
      <c r="C1380" s="2388" t="s">
        <v>5878</v>
      </c>
      <c r="D1380" s="2385">
        <v>1</v>
      </c>
      <c r="E1380" s="2385">
        <v>1</v>
      </c>
      <c r="F1380" s="2386">
        <v>2</v>
      </c>
      <c r="G1380" s="2412" t="s">
        <v>5878</v>
      </c>
      <c r="H1380" s="2383">
        <v>1</v>
      </c>
      <c r="I1380" s="2383">
        <v>1</v>
      </c>
      <c r="J1380" s="2413">
        <v>2</v>
      </c>
      <c r="K1380" s="2387"/>
      <c r="L1380" s="2381">
        <v>13121010107</v>
      </c>
      <c r="M1380" s="2382">
        <v>1</v>
      </c>
      <c r="N1380" s="2382">
        <v>1</v>
      </c>
      <c r="O1380" s="2383">
        <v>2</v>
      </c>
    </row>
    <row r="1381" spans="3:15">
      <c r="C1381" s="2388" t="s">
        <v>5879</v>
      </c>
      <c r="D1381" s="2385">
        <v>1</v>
      </c>
      <c r="E1381" s="2385">
        <v>1</v>
      </c>
      <c r="F1381" s="2386">
        <v>2</v>
      </c>
      <c r="G1381" s="2412" t="s">
        <v>5879</v>
      </c>
      <c r="H1381" s="2383">
        <v>1</v>
      </c>
      <c r="I1381" s="2383">
        <v>1</v>
      </c>
      <c r="J1381" s="2413">
        <v>2</v>
      </c>
      <c r="K1381" s="2387"/>
      <c r="L1381" s="2381">
        <v>13121010108</v>
      </c>
      <c r="M1381" s="2382">
        <v>1</v>
      </c>
      <c r="N1381" s="2382">
        <v>1</v>
      </c>
      <c r="O1381" s="2383">
        <v>2</v>
      </c>
    </row>
    <row r="1382" spans="3:15">
      <c r="C1382" s="2388" t="s">
        <v>5880</v>
      </c>
      <c r="D1382" s="2385">
        <v>1</v>
      </c>
      <c r="E1382" s="2385">
        <v>1</v>
      </c>
      <c r="F1382" s="2386">
        <v>2</v>
      </c>
      <c r="G1382" s="2412" t="s">
        <v>5880</v>
      </c>
      <c r="H1382" s="2383">
        <v>1</v>
      </c>
      <c r="I1382" s="2383">
        <v>1</v>
      </c>
      <c r="J1382" s="2413">
        <v>2</v>
      </c>
      <c r="K1382" s="2387"/>
      <c r="L1382" s="2381">
        <v>13121010110</v>
      </c>
      <c r="M1382" s="2382">
        <v>1</v>
      </c>
      <c r="N1382" s="2382">
        <v>1</v>
      </c>
      <c r="O1382" s="2383">
        <v>2</v>
      </c>
    </row>
    <row r="1383" spans="3:15">
      <c r="C1383" s="2388" t="s">
        <v>5881</v>
      </c>
      <c r="D1383" s="2385">
        <v>1</v>
      </c>
      <c r="E1383" s="2385">
        <v>0</v>
      </c>
      <c r="F1383" s="2386">
        <v>1</v>
      </c>
      <c r="G1383" s="2412" t="s">
        <v>5881</v>
      </c>
      <c r="H1383" s="2383">
        <v>1</v>
      </c>
      <c r="I1383" s="2383">
        <v>0</v>
      </c>
      <c r="J1383" s="2413">
        <v>1</v>
      </c>
      <c r="K1383" s="2387"/>
      <c r="L1383" s="2381">
        <v>13121010113</v>
      </c>
      <c r="M1383" s="2382">
        <v>1</v>
      </c>
      <c r="N1383" s="2382">
        <v>0</v>
      </c>
      <c r="O1383" s="2383">
        <v>1</v>
      </c>
    </row>
    <row r="1384" spans="3:15">
      <c r="C1384" s="2388" t="s">
        <v>5882</v>
      </c>
      <c r="D1384" s="2385">
        <v>1</v>
      </c>
      <c r="E1384" s="2385">
        <v>1</v>
      </c>
      <c r="F1384" s="2386">
        <v>2</v>
      </c>
      <c r="G1384" s="2412" t="s">
        <v>5882</v>
      </c>
      <c r="H1384" s="2383">
        <v>1</v>
      </c>
      <c r="I1384" s="2383">
        <v>1</v>
      </c>
      <c r="J1384" s="2413">
        <v>2</v>
      </c>
      <c r="K1384" s="2387"/>
      <c r="L1384" s="2381">
        <v>13121010114</v>
      </c>
      <c r="M1384" s="2382">
        <v>1</v>
      </c>
      <c r="N1384" s="2382">
        <v>1</v>
      </c>
      <c r="O1384" s="2383">
        <v>2</v>
      </c>
    </row>
    <row r="1385" spans="3:15">
      <c r="C1385" s="2388" t="s">
        <v>5883</v>
      </c>
      <c r="D1385" s="2385">
        <v>1</v>
      </c>
      <c r="E1385" s="2385">
        <v>1</v>
      </c>
      <c r="F1385" s="2386">
        <v>2</v>
      </c>
      <c r="G1385" s="2412" t="s">
        <v>5883</v>
      </c>
      <c r="H1385" s="2383">
        <v>1</v>
      </c>
      <c r="I1385" s="2383">
        <v>1</v>
      </c>
      <c r="J1385" s="2413">
        <v>2</v>
      </c>
      <c r="K1385" s="2387"/>
      <c r="L1385" s="2381">
        <v>13121010115</v>
      </c>
      <c r="M1385" s="2382">
        <v>1</v>
      </c>
      <c r="N1385" s="2382">
        <v>1</v>
      </c>
      <c r="O1385" s="2383">
        <v>2</v>
      </c>
    </row>
    <row r="1386" spans="3:15">
      <c r="C1386" s="2388" t="s">
        <v>5884</v>
      </c>
      <c r="D1386" s="2385">
        <v>1</v>
      </c>
      <c r="E1386" s="2385">
        <v>0</v>
      </c>
      <c r="F1386" s="2386">
        <v>1</v>
      </c>
      <c r="G1386" s="2412" t="s">
        <v>5884</v>
      </c>
      <c r="H1386" s="2383">
        <v>1</v>
      </c>
      <c r="I1386" s="2383" t="s">
        <v>4493</v>
      </c>
      <c r="J1386" s="2413">
        <v>1</v>
      </c>
      <c r="K1386" s="2387"/>
      <c r="L1386" s="2381">
        <v>13121010117</v>
      </c>
      <c r="M1386" s="2382">
        <v>1</v>
      </c>
      <c r="N1386" s="2382">
        <v>0</v>
      </c>
      <c r="O1386" s="2383">
        <v>1</v>
      </c>
    </row>
    <row r="1387" spans="3:15">
      <c r="C1387" s="2388" t="s">
        <v>5885</v>
      </c>
      <c r="D1387" s="2385">
        <v>0</v>
      </c>
      <c r="E1387" s="2385">
        <v>0</v>
      </c>
      <c r="F1387" s="2386">
        <v>0</v>
      </c>
      <c r="G1387" s="2412" t="s">
        <v>5885</v>
      </c>
      <c r="H1387" s="2383">
        <v>1</v>
      </c>
      <c r="I1387" s="2383" t="s">
        <v>4493</v>
      </c>
      <c r="J1387" s="2413">
        <v>1</v>
      </c>
      <c r="K1387" s="2387"/>
      <c r="L1387" s="2381">
        <v>13121010118</v>
      </c>
      <c r="M1387" s="2382">
        <v>1</v>
      </c>
      <c r="N1387" s="2382">
        <v>0</v>
      </c>
      <c r="O1387" s="2383">
        <v>1</v>
      </c>
    </row>
    <row r="1388" spans="3:15">
      <c r="C1388" s="2388" t="s">
        <v>5886</v>
      </c>
      <c r="D1388" s="2385">
        <v>0</v>
      </c>
      <c r="E1388" s="2385">
        <v>0</v>
      </c>
      <c r="F1388" s="2386">
        <v>0</v>
      </c>
      <c r="G1388" s="2412" t="s">
        <v>5886</v>
      </c>
      <c r="H1388" s="2383">
        <v>0</v>
      </c>
      <c r="I1388" s="2383">
        <v>0</v>
      </c>
      <c r="J1388" s="2413">
        <v>0</v>
      </c>
      <c r="K1388" s="2387"/>
      <c r="L1388" s="2381">
        <v>13121010119</v>
      </c>
      <c r="M1388" s="2382">
        <v>0</v>
      </c>
      <c r="N1388" s="2382">
        <v>0</v>
      </c>
      <c r="O1388" s="2383">
        <v>0</v>
      </c>
    </row>
    <row r="1389" spans="3:15">
      <c r="C1389" s="2388" t="s">
        <v>5887</v>
      </c>
      <c r="D1389" s="2385">
        <v>1</v>
      </c>
      <c r="E1389" s="2385">
        <v>1</v>
      </c>
      <c r="F1389" s="2386">
        <v>2</v>
      </c>
      <c r="G1389" s="2412" t="s">
        <v>5887</v>
      </c>
      <c r="H1389" s="2383">
        <v>1</v>
      </c>
      <c r="I1389" s="2383" t="s">
        <v>4493</v>
      </c>
      <c r="J1389" s="2413">
        <v>1</v>
      </c>
      <c r="K1389" s="2387"/>
      <c r="L1389" s="2381">
        <v>13121010120</v>
      </c>
      <c r="M1389" s="2382">
        <v>1</v>
      </c>
      <c r="N1389" s="2382">
        <v>1</v>
      </c>
      <c r="O1389" s="2383">
        <v>2</v>
      </c>
    </row>
    <row r="1390" spans="3:15">
      <c r="C1390" s="2388" t="s">
        <v>5888</v>
      </c>
      <c r="D1390" s="2385">
        <v>1</v>
      </c>
      <c r="E1390" s="2385">
        <v>1</v>
      </c>
      <c r="F1390" s="2386">
        <v>2</v>
      </c>
      <c r="G1390" s="2412" t="s">
        <v>5888</v>
      </c>
      <c r="H1390" s="2383">
        <v>1</v>
      </c>
      <c r="I1390" s="2383">
        <v>1</v>
      </c>
      <c r="J1390" s="2413">
        <v>2</v>
      </c>
      <c r="K1390" s="2387"/>
      <c r="L1390" s="2381">
        <v>13121010121</v>
      </c>
      <c r="M1390" s="2382">
        <v>1</v>
      </c>
      <c r="N1390" s="2382">
        <v>1</v>
      </c>
      <c r="O1390" s="2383">
        <v>2</v>
      </c>
    </row>
    <row r="1391" spans="3:15">
      <c r="C1391" s="2388" t="s">
        <v>5889</v>
      </c>
      <c r="D1391" s="2385">
        <v>1</v>
      </c>
      <c r="E1391" s="2385">
        <v>1</v>
      </c>
      <c r="F1391" s="2386">
        <v>2</v>
      </c>
      <c r="G1391" s="2412" t="s">
        <v>5889</v>
      </c>
      <c r="H1391" s="2383">
        <v>1</v>
      </c>
      <c r="I1391" s="2383">
        <v>1</v>
      </c>
      <c r="J1391" s="2413">
        <v>2</v>
      </c>
      <c r="K1391" s="2387"/>
      <c r="L1391" s="2381">
        <v>13121010122</v>
      </c>
      <c r="M1391" s="2382">
        <v>1</v>
      </c>
      <c r="N1391" s="2382">
        <v>1</v>
      </c>
      <c r="O1391" s="2383">
        <v>2</v>
      </c>
    </row>
    <row r="1392" spans="3:15">
      <c r="C1392" s="2388" t="s">
        <v>5890</v>
      </c>
      <c r="D1392" s="2385">
        <v>1</v>
      </c>
      <c r="E1392" s="2385">
        <v>0</v>
      </c>
      <c r="F1392" s="2386">
        <v>1</v>
      </c>
      <c r="G1392" s="2412" t="s">
        <v>5890</v>
      </c>
      <c r="H1392" s="2383">
        <v>1</v>
      </c>
      <c r="I1392" s="2383">
        <v>1</v>
      </c>
      <c r="J1392" s="2413">
        <v>2</v>
      </c>
      <c r="K1392" s="2387"/>
      <c r="L1392" s="2381">
        <v>13121010123</v>
      </c>
      <c r="M1392" s="2382">
        <v>1</v>
      </c>
      <c r="N1392" s="2382">
        <v>1</v>
      </c>
      <c r="O1392" s="2383">
        <v>2</v>
      </c>
    </row>
    <row r="1393" spans="3:15">
      <c r="C1393" s="2388" t="s">
        <v>5891</v>
      </c>
      <c r="D1393" s="2385">
        <v>1</v>
      </c>
      <c r="E1393" s="2385">
        <v>1</v>
      </c>
      <c r="F1393" s="2386">
        <v>2</v>
      </c>
      <c r="G1393" s="2412" t="s">
        <v>5891</v>
      </c>
      <c r="H1393" s="2383">
        <v>1</v>
      </c>
      <c r="I1393" s="2383">
        <v>1</v>
      </c>
      <c r="J1393" s="2413">
        <v>2</v>
      </c>
      <c r="K1393" s="2387"/>
      <c r="L1393" s="2381">
        <v>13121010204</v>
      </c>
      <c r="M1393" s="2382">
        <v>1</v>
      </c>
      <c r="N1393" s="2382">
        <v>1</v>
      </c>
      <c r="O1393" s="2383">
        <v>2</v>
      </c>
    </row>
    <row r="1394" spans="3:15">
      <c r="C1394" s="2388" t="s">
        <v>5892</v>
      </c>
      <c r="D1394" s="2385">
        <v>1</v>
      </c>
      <c r="E1394" s="2385">
        <v>1</v>
      </c>
      <c r="F1394" s="2386">
        <v>2</v>
      </c>
      <c r="G1394" s="2412" t="s">
        <v>5892</v>
      </c>
      <c r="H1394" s="2383">
        <v>1</v>
      </c>
      <c r="I1394" s="2383">
        <v>1</v>
      </c>
      <c r="J1394" s="2413">
        <v>2</v>
      </c>
      <c r="K1394" s="2387"/>
      <c r="L1394" s="2381">
        <v>13121010205</v>
      </c>
      <c r="M1394" s="2382">
        <v>1</v>
      </c>
      <c r="N1394" s="2382">
        <v>1</v>
      </c>
      <c r="O1394" s="2383">
        <v>2</v>
      </c>
    </row>
    <row r="1395" spans="3:15">
      <c r="C1395" s="2388" t="s">
        <v>5893</v>
      </c>
      <c r="D1395" s="2385">
        <v>1</v>
      </c>
      <c r="E1395" s="2385">
        <v>1</v>
      </c>
      <c r="F1395" s="2386">
        <v>2</v>
      </c>
      <c r="G1395" s="2412" t="s">
        <v>5893</v>
      </c>
      <c r="H1395" s="2383">
        <v>1</v>
      </c>
      <c r="I1395" s="2383">
        <v>1</v>
      </c>
      <c r="J1395" s="2413">
        <v>2</v>
      </c>
      <c r="K1395" s="2387"/>
      <c r="L1395" s="2381">
        <v>13121010206</v>
      </c>
      <c r="M1395" s="2382">
        <v>1</v>
      </c>
      <c r="N1395" s="2382">
        <v>1</v>
      </c>
      <c r="O1395" s="2383">
        <v>2</v>
      </c>
    </row>
    <row r="1396" spans="3:15">
      <c r="C1396" s="2388" t="s">
        <v>5894</v>
      </c>
      <c r="D1396" s="2385">
        <v>1</v>
      </c>
      <c r="E1396" s="2385">
        <v>0</v>
      </c>
      <c r="F1396" s="2386">
        <v>1</v>
      </c>
      <c r="G1396" s="2412" t="s">
        <v>5894</v>
      </c>
      <c r="H1396" s="2383">
        <v>1</v>
      </c>
      <c r="I1396" s="2383">
        <v>1</v>
      </c>
      <c r="J1396" s="2413">
        <v>2</v>
      </c>
      <c r="K1396" s="2387"/>
      <c r="L1396" s="2381">
        <v>13121010208</v>
      </c>
      <c r="M1396" s="2382">
        <v>1</v>
      </c>
      <c r="N1396" s="2382">
        <v>1</v>
      </c>
      <c r="O1396" s="2383">
        <v>2</v>
      </c>
    </row>
    <row r="1397" spans="3:15">
      <c r="C1397" s="2388" t="s">
        <v>5895</v>
      </c>
      <c r="D1397" s="2385">
        <v>1</v>
      </c>
      <c r="E1397" s="2385">
        <v>1</v>
      </c>
      <c r="F1397" s="2386">
        <v>2</v>
      </c>
      <c r="G1397" s="2412" t="s">
        <v>5895</v>
      </c>
      <c r="H1397" s="2383">
        <v>1</v>
      </c>
      <c r="I1397" s="2383" t="s">
        <v>4493</v>
      </c>
      <c r="J1397" s="2413">
        <v>1</v>
      </c>
      <c r="K1397" s="2387"/>
      <c r="L1397" s="2381">
        <v>13121010209</v>
      </c>
      <c r="M1397" s="2382">
        <v>1</v>
      </c>
      <c r="N1397" s="2382">
        <v>1</v>
      </c>
      <c r="O1397" s="2383">
        <v>2</v>
      </c>
    </row>
    <row r="1398" spans="3:15">
      <c r="C1398" s="2388" t="s">
        <v>5896</v>
      </c>
      <c r="D1398" s="2385">
        <v>1</v>
      </c>
      <c r="E1398" s="2385">
        <v>1</v>
      </c>
      <c r="F1398" s="2386">
        <v>2</v>
      </c>
      <c r="G1398" s="2412" t="s">
        <v>5896</v>
      </c>
      <c r="H1398" s="2383">
        <v>1</v>
      </c>
      <c r="I1398" s="2383">
        <v>1</v>
      </c>
      <c r="J1398" s="2413">
        <v>2</v>
      </c>
      <c r="K1398" s="2387"/>
      <c r="L1398" s="2381">
        <v>13121010210</v>
      </c>
      <c r="M1398" s="2382">
        <v>1</v>
      </c>
      <c r="N1398" s="2382">
        <v>1</v>
      </c>
      <c r="O1398" s="2383">
        <v>2</v>
      </c>
    </row>
    <row r="1399" spans="3:15">
      <c r="C1399" s="2388" t="s">
        <v>5897</v>
      </c>
      <c r="D1399" s="2385">
        <v>1</v>
      </c>
      <c r="E1399" s="2385">
        <v>1</v>
      </c>
      <c r="F1399" s="2386">
        <v>2</v>
      </c>
      <c r="G1399" s="2412" t="s">
        <v>5897</v>
      </c>
      <c r="H1399" s="2383">
        <v>1</v>
      </c>
      <c r="I1399" s="2383">
        <v>1</v>
      </c>
      <c r="J1399" s="2413">
        <v>2</v>
      </c>
      <c r="K1399" s="2387"/>
      <c r="L1399" s="2381">
        <v>13121010211</v>
      </c>
      <c r="M1399" s="2382">
        <v>1</v>
      </c>
      <c r="N1399" s="2382">
        <v>1</v>
      </c>
      <c r="O1399" s="2383">
        <v>2</v>
      </c>
    </row>
    <row r="1400" spans="3:15">
      <c r="C1400" s="2388" t="s">
        <v>5898</v>
      </c>
      <c r="D1400" s="2385">
        <v>1</v>
      </c>
      <c r="E1400" s="2385">
        <v>0</v>
      </c>
      <c r="F1400" s="2386">
        <v>1</v>
      </c>
      <c r="G1400" s="2412" t="s">
        <v>5898</v>
      </c>
      <c r="H1400" s="2383">
        <v>1</v>
      </c>
      <c r="I1400" s="2383">
        <v>0</v>
      </c>
      <c r="J1400" s="2413">
        <v>1</v>
      </c>
      <c r="K1400" s="2387"/>
      <c r="L1400" s="2381">
        <v>13121010212</v>
      </c>
      <c r="M1400" s="2382">
        <v>1</v>
      </c>
      <c r="N1400" s="2382">
        <v>0</v>
      </c>
      <c r="O1400" s="2383">
        <v>1</v>
      </c>
    </row>
    <row r="1401" spans="3:15">
      <c r="C1401" s="2388" t="s">
        <v>5899</v>
      </c>
      <c r="D1401" s="2385">
        <v>1</v>
      </c>
      <c r="E1401" s="2385">
        <v>0</v>
      </c>
      <c r="F1401" s="2386">
        <v>1</v>
      </c>
      <c r="G1401" s="2412" t="s">
        <v>5899</v>
      </c>
      <c r="H1401" s="2383">
        <v>1</v>
      </c>
      <c r="I1401" s="2383">
        <v>1</v>
      </c>
      <c r="J1401" s="2413">
        <v>2</v>
      </c>
      <c r="K1401" s="2387"/>
      <c r="L1401" s="2381">
        <v>13121010301</v>
      </c>
      <c r="M1401" s="2382">
        <v>1</v>
      </c>
      <c r="N1401" s="2382">
        <v>1</v>
      </c>
      <c r="O1401" s="2383">
        <v>2</v>
      </c>
    </row>
    <row r="1402" spans="3:15">
      <c r="C1402" s="2388" t="s">
        <v>5900</v>
      </c>
      <c r="D1402" s="2385">
        <v>1</v>
      </c>
      <c r="E1402" s="2385">
        <v>0</v>
      </c>
      <c r="F1402" s="2386">
        <v>1</v>
      </c>
      <c r="G1402" s="2412" t="s">
        <v>5900</v>
      </c>
      <c r="H1402" s="2383">
        <v>1</v>
      </c>
      <c r="I1402" s="2383">
        <v>1</v>
      </c>
      <c r="J1402" s="2413">
        <v>2</v>
      </c>
      <c r="K1402" s="2387"/>
      <c r="L1402" s="2381">
        <v>13121010303</v>
      </c>
      <c r="M1402" s="2382">
        <v>1</v>
      </c>
      <c r="N1402" s="2382">
        <v>1</v>
      </c>
      <c r="O1402" s="2383">
        <v>2</v>
      </c>
    </row>
    <row r="1403" spans="3:15">
      <c r="C1403" s="2388" t="s">
        <v>5901</v>
      </c>
      <c r="D1403" s="2385">
        <v>1</v>
      </c>
      <c r="E1403" s="2385">
        <v>1</v>
      </c>
      <c r="F1403" s="2386">
        <v>2</v>
      </c>
      <c r="G1403" s="2412" t="s">
        <v>5901</v>
      </c>
      <c r="H1403" s="2383">
        <v>1</v>
      </c>
      <c r="I1403" s="2383">
        <v>1</v>
      </c>
      <c r="J1403" s="2413">
        <v>2</v>
      </c>
      <c r="K1403" s="2387"/>
      <c r="L1403" s="2381">
        <v>13121010304</v>
      </c>
      <c r="M1403" s="2382">
        <v>1</v>
      </c>
      <c r="N1403" s="2382">
        <v>1</v>
      </c>
      <c r="O1403" s="2383">
        <v>2</v>
      </c>
    </row>
    <row r="1404" spans="3:15">
      <c r="C1404" s="2388" t="s">
        <v>5902</v>
      </c>
      <c r="D1404" s="2385">
        <v>0</v>
      </c>
      <c r="E1404" s="2385">
        <v>0</v>
      </c>
      <c r="F1404" s="2386">
        <v>0</v>
      </c>
      <c r="G1404" s="2412" t="s">
        <v>5902</v>
      </c>
      <c r="H1404" s="2383">
        <v>0</v>
      </c>
      <c r="I1404" s="2383">
        <v>0</v>
      </c>
      <c r="J1404" s="2413">
        <v>0</v>
      </c>
      <c r="K1404" s="2387"/>
      <c r="L1404" s="2381">
        <v>13121010400</v>
      </c>
      <c r="M1404" s="2382">
        <v>0</v>
      </c>
      <c r="N1404" s="2382">
        <v>0</v>
      </c>
      <c r="O1404" s="2383">
        <v>0</v>
      </c>
    </row>
    <row r="1405" spans="3:15">
      <c r="C1405" s="2388" t="s">
        <v>5903</v>
      </c>
      <c r="D1405" s="2385">
        <v>0</v>
      </c>
      <c r="E1405" s="2385">
        <v>0</v>
      </c>
      <c r="F1405" s="2386">
        <v>0</v>
      </c>
      <c r="G1405" s="2412" t="s">
        <v>5903</v>
      </c>
      <c r="H1405" s="2383">
        <v>0</v>
      </c>
      <c r="I1405" s="2383">
        <v>1</v>
      </c>
      <c r="J1405" s="2413">
        <v>1</v>
      </c>
      <c r="K1405" s="2387"/>
      <c r="L1405" s="2381">
        <v>13121010507</v>
      </c>
      <c r="M1405" s="2382">
        <v>0</v>
      </c>
      <c r="N1405" s="2382">
        <v>1</v>
      </c>
      <c r="O1405" s="2383">
        <v>1</v>
      </c>
    </row>
    <row r="1406" spans="3:15">
      <c r="C1406" s="2388" t="s">
        <v>5904</v>
      </c>
      <c r="D1406" s="2385">
        <v>0</v>
      </c>
      <c r="E1406" s="2385">
        <v>0</v>
      </c>
      <c r="F1406" s="2386">
        <v>0</v>
      </c>
      <c r="G1406" s="2412" t="s">
        <v>5904</v>
      </c>
      <c r="H1406" s="2383">
        <v>0</v>
      </c>
      <c r="I1406" s="2383">
        <v>0</v>
      </c>
      <c r="J1406" s="2413">
        <v>0</v>
      </c>
      <c r="K1406" s="2387"/>
      <c r="L1406" s="2381">
        <v>13121010508</v>
      </c>
      <c r="M1406" s="2382">
        <v>0</v>
      </c>
      <c r="N1406" s="2382">
        <v>0</v>
      </c>
      <c r="O1406" s="2383">
        <v>0</v>
      </c>
    </row>
    <row r="1407" spans="3:15">
      <c r="C1407" s="2388" t="s">
        <v>5905</v>
      </c>
      <c r="D1407" s="2385">
        <v>0</v>
      </c>
      <c r="E1407" s="2385">
        <v>0</v>
      </c>
      <c r="F1407" s="2386">
        <v>0</v>
      </c>
      <c r="G1407" s="2412" t="s">
        <v>5905</v>
      </c>
      <c r="H1407" s="2383">
        <v>0</v>
      </c>
      <c r="I1407" s="2383">
        <v>1</v>
      </c>
      <c r="J1407" s="2413">
        <v>1</v>
      </c>
      <c r="K1407" s="2387"/>
      <c r="L1407" s="2381">
        <v>13121010510</v>
      </c>
      <c r="M1407" s="2382">
        <v>0</v>
      </c>
      <c r="N1407" s="2382">
        <v>1</v>
      </c>
      <c r="O1407" s="2383">
        <v>1</v>
      </c>
    </row>
    <row r="1408" spans="3:15">
      <c r="C1408" s="2388" t="s">
        <v>5906</v>
      </c>
      <c r="D1408" s="2385">
        <v>0</v>
      </c>
      <c r="E1408" s="2385">
        <v>0</v>
      </c>
      <c r="F1408" s="2386">
        <v>0</v>
      </c>
      <c r="G1408" s="2412" t="s">
        <v>5906</v>
      </c>
      <c r="H1408" s="2383">
        <v>0</v>
      </c>
      <c r="I1408" s="2383">
        <v>1</v>
      </c>
      <c r="J1408" s="2413">
        <v>1</v>
      </c>
      <c r="K1408" s="2387"/>
      <c r="L1408" s="2381">
        <v>13121010511</v>
      </c>
      <c r="M1408" s="2382">
        <v>0</v>
      </c>
      <c r="N1408" s="2382">
        <v>1</v>
      </c>
      <c r="O1408" s="2383">
        <v>1</v>
      </c>
    </row>
    <row r="1409" spans="3:15">
      <c r="C1409" s="2388" t="s">
        <v>5907</v>
      </c>
      <c r="D1409" s="2385">
        <v>0</v>
      </c>
      <c r="E1409" s="2385">
        <v>0</v>
      </c>
      <c r="F1409" s="2386">
        <v>0</v>
      </c>
      <c r="G1409" s="2412" t="s">
        <v>5907</v>
      </c>
      <c r="H1409" s="2383">
        <v>0</v>
      </c>
      <c r="I1409" s="2383" t="s">
        <v>4493</v>
      </c>
      <c r="J1409" s="2413">
        <v>0</v>
      </c>
      <c r="K1409" s="2387"/>
      <c r="L1409" s="2381">
        <v>13121010512</v>
      </c>
      <c r="M1409" s="2382">
        <v>0</v>
      </c>
      <c r="N1409" s="2382">
        <v>0</v>
      </c>
      <c r="O1409" s="2383">
        <v>0</v>
      </c>
    </row>
    <row r="1410" spans="3:15">
      <c r="C1410" s="2388" t="s">
        <v>5908</v>
      </c>
      <c r="D1410" s="2385">
        <v>0</v>
      </c>
      <c r="E1410" s="2385">
        <v>0</v>
      </c>
      <c r="F1410" s="2386">
        <v>0</v>
      </c>
      <c r="G1410" s="2412" t="s">
        <v>5908</v>
      </c>
      <c r="H1410" s="2383">
        <v>0</v>
      </c>
      <c r="I1410" s="2383">
        <v>0</v>
      </c>
      <c r="J1410" s="2413">
        <v>0</v>
      </c>
      <c r="K1410" s="2387"/>
      <c r="L1410" s="2381">
        <v>13121010513</v>
      </c>
      <c r="M1410" s="2382">
        <v>0</v>
      </c>
      <c r="N1410" s="2382">
        <v>0</v>
      </c>
      <c r="O1410" s="2383">
        <v>0</v>
      </c>
    </row>
    <row r="1411" spans="3:15">
      <c r="C1411" s="2388" t="s">
        <v>5909</v>
      </c>
      <c r="D1411" s="2385">
        <v>1</v>
      </c>
      <c r="E1411" s="2385">
        <v>1</v>
      </c>
      <c r="F1411" s="2386">
        <v>2</v>
      </c>
      <c r="G1411" s="2412" t="s">
        <v>5909</v>
      </c>
      <c r="H1411" s="2383">
        <v>1</v>
      </c>
      <c r="I1411" s="2383">
        <v>1</v>
      </c>
      <c r="J1411" s="2413">
        <v>2</v>
      </c>
      <c r="K1411" s="2387"/>
      <c r="L1411" s="2381">
        <v>13121010514</v>
      </c>
      <c r="M1411" s="2382">
        <v>1</v>
      </c>
      <c r="N1411" s="2382">
        <v>1</v>
      </c>
      <c r="O1411" s="2383">
        <v>2</v>
      </c>
    </row>
    <row r="1412" spans="3:15">
      <c r="C1412" s="2388" t="s">
        <v>5910</v>
      </c>
      <c r="D1412" s="2385">
        <v>0</v>
      </c>
      <c r="E1412" s="2385">
        <v>0</v>
      </c>
      <c r="F1412" s="2386">
        <v>0</v>
      </c>
      <c r="G1412" s="2412" t="s">
        <v>5910</v>
      </c>
      <c r="H1412" s="2383">
        <v>1</v>
      </c>
      <c r="I1412" s="2383">
        <v>0</v>
      </c>
      <c r="J1412" s="2413">
        <v>1</v>
      </c>
      <c r="K1412" s="2387"/>
      <c r="L1412" s="2381">
        <v>13121010515</v>
      </c>
      <c r="M1412" s="2382">
        <v>1</v>
      </c>
      <c r="N1412" s="2382">
        <v>0</v>
      </c>
      <c r="O1412" s="2383">
        <v>1</v>
      </c>
    </row>
    <row r="1413" spans="3:15">
      <c r="C1413" s="2388" t="s">
        <v>5911</v>
      </c>
      <c r="D1413" s="2385">
        <v>0</v>
      </c>
      <c r="E1413" s="2385">
        <v>0</v>
      </c>
      <c r="F1413" s="2386">
        <v>0</v>
      </c>
      <c r="G1413" s="2412" t="s">
        <v>5911</v>
      </c>
      <c r="H1413" s="2383">
        <v>0</v>
      </c>
      <c r="I1413" s="2383">
        <v>0</v>
      </c>
      <c r="J1413" s="2413">
        <v>0</v>
      </c>
      <c r="K1413" s="2387"/>
      <c r="L1413" s="2381">
        <v>13121010516</v>
      </c>
      <c r="M1413" s="2382">
        <v>0</v>
      </c>
      <c r="N1413" s="2382">
        <v>0</v>
      </c>
      <c r="O1413" s="2383">
        <v>0</v>
      </c>
    </row>
    <row r="1414" spans="3:15">
      <c r="C1414" s="2388" t="s">
        <v>5912</v>
      </c>
      <c r="D1414" s="2385">
        <v>0</v>
      </c>
      <c r="E1414" s="2385">
        <v>0</v>
      </c>
      <c r="F1414" s="2386">
        <v>0</v>
      </c>
      <c r="G1414" s="2412" t="s">
        <v>5912</v>
      </c>
      <c r="H1414" s="2383">
        <v>0</v>
      </c>
      <c r="I1414" s="2383">
        <v>0</v>
      </c>
      <c r="J1414" s="2413">
        <v>0</v>
      </c>
      <c r="K1414" s="2387"/>
      <c r="L1414" s="2381">
        <v>13121010601</v>
      </c>
      <c r="M1414" s="2382">
        <v>0</v>
      </c>
      <c r="N1414" s="2382">
        <v>0</v>
      </c>
      <c r="O1414" s="2383">
        <v>0</v>
      </c>
    </row>
    <row r="1415" spans="3:15">
      <c r="C1415" s="2388" t="s">
        <v>5913</v>
      </c>
      <c r="D1415" s="2385">
        <v>0</v>
      </c>
      <c r="E1415" s="2385">
        <v>0</v>
      </c>
      <c r="F1415" s="2386">
        <v>0</v>
      </c>
      <c r="G1415" s="2412" t="s">
        <v>5913</v>
      </c>
      <c r="H1415" s="2383">
        <v>0</v>
      </c>
      <c r="I1415" s="2383">
        <v>0</v>
      </c>
      <c r="J1415" s="2413">
        <v>0</v>
      </c>
      <c r="K1415" s="2387"/>
      <c r="L1415" s="2381">
        <v>13121010603</v>
      </c>
      <c r="M1415" s="2382">
        <v>0</v>
      </c>
      <c r="N1415" s="2382">
        <v>0</v>
      </c>
      <c r="O1415" s="2383">
        <v>0</v>
      </c>
    </row>
    <row r="1416" spans="3:15">
      <c r="C1416" s="2388" t="s">
        <v>5914</v>
      </c>
      <c r="D1416" s="2385">
        <v>0</v>
      </c>
      <c r="E1416" s="2385">
        <v>0</v>
      </c>
      <c r="F1416" s="2386">
        <v>0</v>
      </c>
      <c r="G1416" s="2412" t="s">
        <v>5914</v>
      </c>
      <c r="H1416" s="2383">
        <v>0</v>
      </c>
      <c r="I1416" s="2383">
        <v>0</v>
      </c>
      <c r="J1416" s="2413">
        <v>0</v>
      </c>
      <c r="K1416" s="2387"/>
      <c r="L1416" s="2381">
        <v>13121010604</v>
      </c>
      <c r="M1416" s="2382">
        <v>0</v>
      </c>
      <c r="N1416" s="2382">
        <v>0</v>
      </c>
      <c r="O1416" s="2383">
        <v>0</v>
      </c>
    </row>
    <row r="1417" spans="3:15">
      <c r="C1417" s="2388" t="s">
        <v>5915</v>
      </c>
      <c r="D1417" s="2385">
        <v>0</v>
      </c>
      <c r="E1417" s="2385">
        <v>0</v>
      </c>
      <c r="F1417" s="2386">
        <v>0</v>
      </c>
      <c r="G1417" s="2412" t="s">
        <v>5915</v>
      </c>
      <c r="H1417" s="2383">
        <v>1</v>
      </c>
      <c r="I1417" s="2383">
        <v>0</v>
      </c>
      <c r="J1417" s="2413">
        <v>1</v>
      </c>
      <c r="K1417" s="2387"/>
      <c r="L1417" s="2381">
        <v>13121010800</v>
      </c>
      <c r="M1417" s="2382">
        <v>1</v>
      </c>
      <c r="N1417" s="2382">
        <v>0</v>
      </c>
      <c r="O1417" s="2383">
        <v>1</v>
      </c>
    </row>
    <row r="1418" spans="3:15">
      <c r="C1418" s="2388" t="s">
        <v>5916</v>
      </c>
      <c r="D1418" s="2385">
        <v>0</v>
      </c>
      <c r="E1418" s="2385">
        <v>0</v>
      </c>
      <c r="F1418" s="2386">
        <v>0</v>
      </c>
      <c r="G1418" s="2412" t="s">
        <v>5916</v>
      </c>
      <c r="H1418" s="2383">
        <v>0</v>
      </c>
      <c r="I1418" s="2383">
        <v>0</v>
      </c>
      <c r="J1418" s="2413">
        <v>0</v>
      </c>
      <c r="K1418" s="2387"/>
      <c r="L1418" s="2381">
        <v>13121011000</v>
      </c>
      <c r="M1418" s="2382">
        <v>0</v>
      </c>
      <c r="N1418" s="2382">
        <v>0</v>
      </c>
      <c r="O1418" s="2383">
        <v>0</v>
      </c>
    </row>
    <row r="1419" spans="3:15">
      <c r="C1419" s="2388" t="s">
        <v>5917</v>
      </c>
      <c r="D1419" s="2385">
        <v>1</v>
      </c>
      <c r="E1419" s="2385">
        <v>0</v>
      </c>
      <c r="F1419" s="2386">
        <v>1</v>
      </c>
      <c r="G1419" s="2412" t="s">
        <v>5917</v>
      </c>
      <c r="H1419" s="2383">
        <v>1</v>
      </c>
      <c r="I1419" s="2383">
        <v>0</v>
      </c>
      <c r="J1419" s="2413">
        <v>1</v>
      </c>
      <c r="K1419" s="2387"/>
      <c r="L1419" s="2381">
        <v>13121011100</v>
      </c>
      <c r="M1419" s="2382">
        <v>1</v>
      </c>
      <c r="N1419" s="2382">
        <v>0</v>
      </c>
      <c r="O1419" s="2383">
        <v>1</v>
      </c>
    </row>
    <row r="1420" spans="3:15">
      <c r="C1420" s="2388" t="s">
        <v>5918</v>
      </c>
      <c r="D1420" s="2385">
        <v>0</v>
      </c>
      <c r="E1420" s="2385">
        <v>0</v>
      </c>
      <c r="F1420" s="2386">
        <v>0</v>
      </c>
      <c r="G1420" s="2412" t="s">
        <v>5918</v>
      </c>
      <c r="H1420" s="2383">
        <v>0</v>
      </c>
      <c r="I1420" s="2383">
        <v>0</v>
      </c>
      <c r="J1420" s="2413">
        <v>0</v>
      </c>
      <c r="K1420" s="2387"/>
      <c r="L1420" s="2381">
        <v>13121011201</v>
      </c>
      <c r="M1420" s="2382">
        <v>0</v>
      </c>
      <c r="N1420" s="2382">
        <v>0</v>
      </c>
      <c r="O1420" s="2383">
        <v>0</v>
      </c>
    </row>
    <row r="1421" spans="3:15">
      <c r="C1421" s="2388" t="s">
        <v>5919</v>
      </c>
      <c r="D1421" s="2385">
        <v>0</v>
      </c>
      <c r="E1421" s="2385">
        <v>0</v>
      </c>
      <c r="F1421" s="2386">
        <v>0</v>
      </c>
      <c r="G1421" s="2412" t="s">
        <v>5919</v>
      </c>
      <c r="H1421" s="2383">
        <v>0</v>
      </c>
      <c r="I1421" s="2383">
        <v>0</v>
      </c>
      <c r="J1421" s="2413">
        <v>0</v>
      </c>
      <c r="K1421" s="2387"/>
      <c r="L1421" s="2381">
        <v>13121011202</v>
      </c>
      <c r="M1421" s="2382">
        <v>0</v>
      </c>
      <c r="N1421" s="2382">
        <v>0</v>
      </c>
      <c r="O1421" s="2383">
        <v>0</v>
      </c>
    </row>
    <row r="1422" spans="3:15">
      <c r="C1422" s="2388" t="s">
        <v>5920</v>
      </c>
      <c r="D1422" s="2385">
        <v>0</v>
      </c>
      <c r="E1422" s="2385">
        <v>0</v>
      </c>
      <c r="F1422" s="2386">
        <v>0</v>
      </c>
      <c r="G1422" s="2412" t="s">
        <v>5920</v>
      </c>
      <c r="H1422" s="2383">
        <v>0</v>
      </c>
      <c r="I1422" s="2383">
        <v>0</v>
      </c>
      <c r="J1422" s="2413">
        <v>0</v>
      </c>
      <c r="K1422" s="2387"/>
      <c r="L1422" s="2381">
        <v>13121011301</v>
      </c>
      <c r="M1422" s="2382">
        <v>0</v>
      </c>
      <c r="N1422" s="2382">
        <v>0</v>
      </c>
      <c r="O1422" s="2383">
        <v>0</v>
      </c>
    </row>
    <row r="1423" spans="3:15">
      <c r="C1423" s="2388" t="s">
        <v>5921</v>
      </c>
      <c r="D1423" s="2385">
        <v>0</v>
      </c>
      <c r="E1423" s="2385">
        <v>0</v>
      </c>
      <c r="F1423" s="2386">
        <v>0</v>
      </c>
      <c r="G1423" s="2412" t="s">
        <v>5921</v>
      </c>
      <c r="H1423" s="2383">
        <v>1</v>
      </c>
      <c r="I1423" s="2383">
        <v>0</v>
      </c>
      <c r="J1423" s="2413">
        <v>1</v>
      </c>
      <c r="K1423" s="2387"/>
      <c r="L1423" s="2381">
        <v>13121011303</v>
      </c>
      <c r="M1423" s="2382">
        <v>1</v>
      </c>
      <c r="N1423" s="2382">
        <v>0</v>
      </c>
      <c r="O1423" s="2383">
        <v>1</v>
      </c>
    </row>
    <row r="1424" spans="3:15">
      <c r="C1424" s="2388" t="s">
        <v>5922</v>
      </c>
      <c r="D1424" s="2385">
        <v>0</v>
      </c>
      <c r="E1424" s="2385">
        <v>0</v>
      </c>
      <c r="F1424" s="2386">
        <v>0</v>
      </c>
      <c r="G1424" s="2412" t="s">
        <v>5922</v>
      </c>
      <c r="H1424" s="2383">
        <v>0</v>
      </c>
      <c r="I1424" s="2383">
        <v>0</v>
      </c>
      <c r="J1424" s="2413">
        <v>0</v>
      </c>
      <c r="K1424" s="2387"/>
      <c r="L1424" s="2381">
        <v>13121011305</v>
      </c>
      <c r="M1424" s="2382">
        <v>0</v>
      </c>
      <c r="N1424" s="2382">
        <v>0</v>
      </c>
      <c r="O1424" s="2383">
        <v>0</v>
      </c>
    </row>
    <row r="1425" spans="3:15">
      <c r="C1425" s="2388" t="s">
        <v>5923</v>
      </c>
      <c r="D1425" s="2385">
        <v>0</v>
      </c>
      <c r="E1425" s="2385">
        <v>0</v>
      </c>
      <c r="F1425" s="2386">
        <v>0</v>
      </c>
      <c r="G1425" s="2412" t="s">
        <v>5923</v>
      </c>
      <c r="H1425" s="2383">
        <v>0</v>
      </c>
      <c r="I1425" s="2383">
        <v>0</v>
      </c>
      <c r="J1425" s="2413">
        <v>0</v>
      </c>
      <c r="K1425" s="2387"/>
      <c r="L1425" s="2381">
        <v>13121011306</v>
      </c>
      <c r="M1425" s="2382">
        <v>0</v>
      </c>
      <c r="N1425" s="2382">
        <v>0</v>
      </c>
      <c r="O1425" s="2383">
        <v>0</v>
      </c>
    </row>
    <row r="1426" spans="3:15">
      <c r="C1426" s="2388" t="s">
        <v>5924</v>
      </c>
      <c r="D1426" s="2385">
        <v>1</v>
      </c>
      <c r="E1426" s="2385">
        <v>0</v>
      </c>
      <c r="F1426" s="2386">
        <v>1</v>
      </c>
      <c r="G1426" s="2412" t="s">
        <v>5924</v>
      </c>
      <c r="H1426" s="2383">
        <v>1</v>
      </c>
      <c r="I1426" s="2383">
        <v>1</v>
      </c>
      <c r="J1426" s="2413">
        <v>2</v>
      </c>
      <c r="K1426" s="2387"/>
      <c r="L1426" s="2381">
        <v>13121011405</v>
      </c>
      <c r="M1426" s="2382">
        <v>1</v>
      </c>
      <c r="N1426" s="2382">
        <v>1</v>
      </c>
      <c r="O1426" s="2383">
        <v>2</v>
      </c>
    </row>
    <row r="1427" spans="3:15">
      <c r="C1427" s="2388" t="s">
        <v>5925</v>
      </c>
      <c r="D1427" s="2385">
        <v>1</v>
      </c>
      <c r="E1427" s="2385">
        <v>1</v>
      </c>
      <c r="F1427" s="2386">
        <v>2</v>
      </c>
      <c r="G1427" s="2412" t="s">
        <v>5925</v>
      </c>
      <c r="H1427" s="2383">
        <v>1</v>
      </c>
      <c r="I1427" s="2383">
        <v>1</v>
      </c>
      <c r="J1427" s="2413">
        <v>2</v>
      </c>
      <c r="K1427" s="2387"/>
      <c r="L1427" s="2381">
        <v>13121011410</v>
      </c>
      <c r="M1427" s="2382">
        <v>1</v>
      </c>
      <c r="N1427" s="2382">
        <v>1</v>
      </c>
      <c r="O1427" s="2383">
        <v>2</v>
      </c>
    </row>
    <row r="1428" spans="3:15">
      <c r="C1428" s="2388" t="s">
        <v>5926</v>
      </c>
      <c r="D1428" s="2385">
        <v>1</v>
      </c>
      <c r="E1428" s="2385">
        <v>1</v>
      </c>
      <c r="F1428" s="2386">
        <v>2</v>
      </c>
      <c r="G1428" s="2412" t="s">
        <v>5926</v>
      </c>
      <c r="H1428" s="2383">
        <v>1</v>
      </c>
      <c r="I1428" s="2383">
        <v>1</v>
      </c>
      <c r="J1428" s="2413">
        <v>2</v>
      </c>
      <c r="K1428" s="2387"/>
      <c r="L1428" s="2381">
        <v>13121011411</v>
      </c>
      <c r="M1428" s="2382">
        <v>1</v>
      </c>
      <c r="N1428" s="2382">
        <v>1</v>
      </c>
      <c r="O1428" s="2383">
        <v>2</v>
      </c>
    </row>
    <row r="1429" spans="3:15">
      <c r="C1429" s="2388" t="s">
        <v>5927</v>
      </c>
      <c r="D1429" s="2385">
        <v>1</v>
      </c>
      <c r="E1429" s="2385">
        <v>1</v>
      </c>
      <c r="F1429" s="2386">
        <v>2</v>
      </c>
      <c r="G1429" s="2412" t="s">
        <v>5927</v>
      </c>
      <c r="H1429" s="2383">
        <v>1</v>
      </c>
      <c r="I1429" s="2383">
        <v>1</v>
      </c>
      <c r="J1429" s="2413">
        <v>2</v>
      </c>
      <c r="K1429" s="2387"/>
      <c r="L1429" s="2381">
        <v>13121011412</v>
      </c>
      <c r="M1429" s="2382">
        <v>1</v>
      </c>
      <c r="N1429" s="2382">
        <v>1</v>
      </c>
      <c r="O1429" s="2383">
        <v>2</v>
      </c>
    </row>
    <row r="1430" spans="3:15">
      <c r="C1430" s="2388" t="s">
        <v>5928</v>
      </c>
      <c r="D1430" s="2385">
        <v>1</v>
      </c>
      <c r="E1430" s="2385">
        <v>1</v>
      </c>
      <c r="F1430" s="2386">
        <v>2</v>
      </c>
      <c r="G1430" s="2412" t="s">
        <v>5928</v>
      </c>
      <c r="H1430" s="2383">
        <v>1</v>
      </c>
      <c r="I1430" s="2383">
        <v>0</v>
      </c>
      <c r="J1430" s="2413">
        <v>1</v>
      </c>
      <c r="K1430" s="2387"/>
      <c r="L1430" s="2381">
        <v>13121011414</v>
      </c>
      <c r="M1430" s="2382">
        <v>1</v>
      </c>
      <c r="N1430" s="2382">
        <v>1</v>
      </c>
      <c r="O1430" s="2383">
        <v>2</v>
      </c>
    </row>
    <row r="1431" spans="3:15">
      <c r="C1431" s="2388" t="s">
        <v>5929</v>
      </c>
      <c r="D1431" s="2385">
        <v>1</v>
      </c>
      <c r="E1431" s="2385">
        <v>1</v>
      </c>
      <c r="F1431" s="2386">
        <v>2</v>
      </c>
      <c r="G1431" s="2412" t="s">
        <v>5929</v>
      </c>
      <c r="H1431" s="2383">
        <v>1</v>
      </c>
      <c r="I1431" s="2383">
        <v>1</v>
      </c>
      <c r="J1431" s="2413">
        <v>2</v>
      </c>
      <c r="K1431" s="2387"/>
      <c r="L1431" s="2381">
        <v>13121011416</v>
      </c>
      <c r="M1431" s="2382">
        <v>1</v>
      </c>
      <c r="N1431" s="2382">
        <v>1</v>
      </c>
      <c r="O1431" s="2383">
        <v>2</v>
      </c>
    </row>
    <row r="1432" spans="3:15">
      <c r="C1432" s="2388" t="s">
        <v>5930</v>
      </c>
      <c r="D1432" s="2385">
        <v>1</v>
      </c>
      <c r="E1432" s="2385">
        <v>1</v>
      </c>
      <c r="F1432" s="2386">
        <v>2</v>
      </c>
      <c r="G1432" s="2412" t="s">
        <v>5930</v>
      </c>
      <c r="H1432" s="2383">
        <v>1</v>
      </c>
      <c r="I1432" s="2383">
        <v>1</v>
      </c>
      <c r="J1432" s="2413">
        <v>2</v>
      </c>
      <c r="K1432" s="2387"/>
      <c r="L1432" s="2381">
        <v>13121011417</v>
      </c>
      <c r="M1432" s="2382">
        <v>1</v>
      </c>
      <c r="N1432" s="2382">
        <v>1</v>
      </c>
      <c r="O1432" s="2383">
        <v>2</v>
      </c>
    </row>
    <row r="1433" spans="3:15">
      <c r="C1433" s="2388" t="s">
        <v>5931</v>
      </c>
      <c r="D1433" s="2385">
        <v>1</v>
      </c>
      <c r="E1433" s="2385">
        <v>1</v>
      </c>
      <c r="F1433" s="2386">
        <v>2</v>
      </c>
      <c r="G1433" s="2412" t="s">
        <v>5931</v>
      </c>
      <c r="H1433" s="2383">
        <v>1</v>
      </c>
      <c r="I1433" s="2383">
        <v>1</v>
      </c>
      <c r="J1433" s="2413">
        <v>2</v>
      </c>
      <c r="K1433" s="2387"/>
      <c r="L1433" s="2381">
        <v>13121011418</v>
      </c>
      <c r="M1433" s="2382">
        <v>1</v>
      </c>
      <c r="N1433" s="2382">
        <v>1</v>
      </c>
      <c r="O1433" s="2383">
        <v>2</v>
      </c>
    </row>
    <row r="1434" spans="3:15">
      <c r="C1434" s="2388" t="s">
        <v>5932</v>
      </c>
      <c r="D1434" s="2385">
        <v>1</v>
      </c>
      <c r="E1434" s="2385">
        <v>1</v>
      </c>
      <c r="F1434" s="2386">
        <v>2</v>
      </c>
      <c r="G1434" s="2412" t="s">
        <v>5932</v>
      </c>
      <c r="H1434" s="2383">
        <v>1</v>
      </c>
      <c r="I1434" s="2383">
        <v>1</v>
      </c>
      <c r="J1434" s="2413">
        <v>2</v>
      </c>
      <c r="K1434" s="2387"/>
      <c r="L1434" s="2381">
        <v>13121011419</v>
      </c>
      <c r="M1434" s="2382">
        <v>1</v>
      </c>
      <c r="N1434" s="2382">
        <v>1</v>
      </c>
      <c r="O1434" s="2383">
        <v>2</v>
      </c>
    </row>
    <row r="1435" spans="3:15">
      <c r="C1435" s="2388" t="s">
        <v>5933</v>
      </c>
      <c r="D1435" s="2385">
        <v>0</v>
      </c>
      <c r="E1435" s="2385">
        <v>0</v>
      </c>
      <c r="F1435" s="2386">
        <v>0</v>
      </c>
      <c r="G1435" s="2412" t="s">
        <v>5933</v>
      </c>
      <c r="H1435" s="2383">
        <v>0</v>
      </c>
      <c r="I1435" s="2383">
        <v>0</v>
      </c>
      <c r="J1435" s="2413">
        <v>0</v>
      </c>
      <c r="K1435" s="2387"/>
      <c r="L1435" s="2381">
        <v>13121011420</v>
      </c>
      <c r="M1435" s="2382">
        <v>0</v>
      </c>
      <c r="N1435" s="2382">
        <v>0</v>
      </c>
      <c r="O1435" s="2383">
        <v>0</v>
      </c>
    </row>
    <row r="1436" spans="3:15">
      <c r="C1436" s="2388" t="s">
        <v>5934</v>
      </c>
      <c r="D1436" s="2385">
        <v>1</v>
      </c>
      <c r="E1436" s="2385">
        <v>0</v>
      </c>
      <c r="F1436" s="2386">
        <v>1</v>
      </c>
      <c r="G1436" s="2412" t="s">
        <v>5934</v>
      </c>
      <c r="H1436" s="2383">
        <v>1</v>
      </c>
      <c r="I1436" s="2383">
        <v>0</v>
      </c>
      <c r="J1436" s="2413">
        <v>1</v>
      </c>
      <c r="K1436" s="2387"/>
      <c r="L1436" s="2381">
        <v>13121011421</v>
      </c>
      <c r="M1436" s="2382">
        <v>1</v>
      </c>
      <c r="N1436" s="2382">
        <v>0</v>
      </c>
      <c r="O1436" s="2383">
        <v>1</v>
      </c>
    </row>
    <row r="1437" spans="3:15">
      <c r="C1437" s="2388" t="s">
        <v>5935</v>
      </c>
      <c r="D1437" s="2385">
        <v>1</v>
      </c>
      <c r="E1437" s="2385">
        <v>1</v>
      </c>
      <c r="F1437" s="2386">
        <v>2</v>
      </c>
      <c r="G1437" s="2412" t="s">
        <v>5935</v>
      </c>
      <c r="H1437" s="2383">
        <v>1</v>
      </c>
      <c r="I1437" s="2383">
        <v>1</v>
      </c>
      <c r="J1437" s="2413">
        <v>2</v>
      </c>
      <c r="K1437" s="2387"/>
      <c r="L1437" s="2381">
        <v>13121011422</v>
      </c>
      <c r="M1437" s="2382">
        <v>1</v>
      </c>
      <c r="N1437" s="2382">
        <v>1</v>
      </c>
      <c r="O1437" s="2383">
        <v>2</v>
      </c>
    </row>
    <row r="1438" spans="3:15">
      <c r="C1438" s="2388" t="s">
        <v>5936</v>
      </c>
      <c r="D1438" s="2385">
        <v>1</v>
      </c>
      <c r="E1438" s="2385">
        <v>1</v>
      </c>
      <c r="F1438" s="2386">
        <v>2</v>
      </c>
      <c r="G1438" s="2412" t="s">
        <v>5936</v>
      </c>
      <c r="H1438" s="2383">
        <v>1</v>
      </c>
      <c r="I1438" s="2383">
        <v>1</v>
      </c>
      <c r="J1438" s="2413">
        <v>2</v>
      </c>
      <c r="K1438" s="2387"/>
      <c r="L1438" s="2381">
        <v>13121011423</v>
      </c>
      <c r="M1438" s="2382">
        <v>1</v>
      </c>
      <c r="N1438" s="2382">
        <v>1</v>
      </c>
      <c r="O1438" s="2383">
        <v>2</v>
      </c>
    </row>
    <row r="1439" spans="3:15">
      <c r="C1439" s="2388" t="s">
        <v>5937</v>
      </c>
      <c r="D1439" s="2385">
        <v>1</v>
      </c>
      <c r="E1439" s="2385">
        <v>1</v>
      </c>
      <c r="F1439" s="2386">
        <v>2</v>
      </c>
      <c r="G1439" s="2412" t="s">
        <v>5937</v>
      </c>
      <c r="H1439" s="2383">
        <v>1</v>
      </c>
      <c r="I1439" s="2383">
        <v>1</v>
      </c>
      <c r="J1439" s="2413">
        <v>2</v>
      </c>
      <c r="K1439" s="2387"/>
      <c r="L1439" s="2381">
        <v>13121011424</v>
      </c>
      <c r="M1439" s="2382">
        <v>1</v>
      </c>
      <c r="N1439" s="2382">
        <v>1</v>
      </c>
      <c r="O1439" s="2383">
        <v>2</v>
      </c>
    </row>
    <row r="1440" spans="3:15">
      <c r="C1440" s="2388" t="s">
        <v>5938</v>
      </c>
      <c r="D1440" s="2385">
        <v>1</v>
      </c>
      <c r="E1440" s="2385">
        <v>1</v>
      </c>
      <c r="F1440" s="2386">
        <v>2</v>
      </c>
      <c r="G1440" s="2412" t="s">
        <v>5938</v>
      </c>
      <c r="H1440" s="2383">
        <v>1</v>
      </c>
      <c r="I1440" s="2383">
        <v>1</v>
      </c>
      <c r="J1440" s="2413">
        <v>2</v>
      </c>
      <c r="K1440" s="2387"/>
      <c r="L1440" s="2381">
        <v>13121011425</v>
      </c>
      <c r="M1440" s="2382">
        <v>1</v>
      </c>
      <c r="N1440" s="2382">
        <v>1</v>
      </c>
      <c r="O1440" s="2383">
        <v>2</v>
      </c>
    </row>
    <row r="1441" spans="3:15">
      <c r="C1441" s="2388" t="s">
        <v>5939</v>
      </c>
      <c r="D1441" s="2385">
        <v>1</v>
      </c>
      <c r="E1441" s="2385">
        <v>1</v>
      </c>
      <c r="F1441" s="2386">
        <v>2</v>
      </c>
      <c r="G1441" s="2412" t="s">
        <v>5939</v>
      </c>
      <c r="H1441" s="2383">
        <v>1</v>
      </c>
      <c r="I1441" s="2383">
        <v>1</v>
      </c>
      <c r="J1441" s="2413">
        <v>2</v>
      </c>
      <c r="K1441" s="2387"/>
      <c r="L1441" s="2381">
        <v>13121011426</v>
      </c>
      <c r="M1441" s="2382">
        <v>1</v>
      </c>
      <c r="N1441" s="2382">
        <v>1</v>
      </c>
      <c r="O1441" s="2383">
        <v>2</v>
      </c>
    </row>
    <row r="1442" spans="3:15">
      <c r="C1442" s="2388" t="s">
        <v>5940</v>
      </c>
      <c r="D1442" s="2385">
        <v>1</v>
      </c>
      <c r="E1442" s="2385">
        <v>1</v>
      </c>
      <c r="F1442" s="2386">
        <v>2</v>
      </c>
      <c r="G1442" s="2412" t="s">
        <v>5940</v>
      </c>
      <c r="H1442" s="2383">
        <v>1</v>
      </c>
      <c r="I1442" s="2383">
        <v>1</v>
      </c>
      <c r="J1442" s="2413">
        <v>2</v>
      </c>
      <c r="K1442" s="2387"/>
      <c r="L1442" s="2381">
        <v>13121011427</v>
      </c>
      <c r="M1442" s="2382">
        <v>1</v>
      </c>
      <c r="N1442" s="2382">
        <v>1</v>
      </c>
      <c r="O1442" s="2383">
        <v>2</v>
      </c>
    </row>
    <row r="1443" spans="3:15">
      <c r="C1443" s="2388" t="s">
        <v>5941</v>
      </c>
      <c r="D1443" s="2385">
        <v>1</v>
      </c>
      <c r="E1443" s="2385">
        <v>1</v>
      </c>
      <c r="F1443" s="2386">
        <v>2</v>
      </c>
      <c r="G1443" s="2412" t="s">
        <v>5941</v>
      </c>
      <c r="H1443" s="2383">
        <v>1</v>
      </c>
      <c r="I1443" s="2383">
        <v>1</v>
      </c>
      <c r="J1443" s="2413">
        <v>2</v>
      </c>
      <c r="K1443" s="2387"/>
      <c r="L1443" s="2381">
        <v>13121011503</v>
      </c>
      <c r="M1443" s="2382">
        <v>1</v>
      </c>
      <c r="N1443" s="2382">
        <v>1</v>
      </c>
      <c r="O1443" s="2383">
        <v>2</v>
      </c>
    </row>
    <row r="1444" spans="3:15">
      <c r="C1444" s="2388" t="s">
        <v>5942</v>
      </c>
      <c r="D1444" s="2385">
        <v>1</v>
      </c>
      <c r="E1444" s="2385">
        <v>1</v>
      </c>
      <c r="F1444" s="2386">
        <v>2</v>
      </c>
      <c r="G1444" s="2412" t="s">
        <v>5942</v>
      </c>
      <c r="H1444" s="2383">
        <v>1</v>
      </c>
      <c r="I1444" s="2383" t="s">
        <v>4493</v>
      </c>
      <c r="J1444" s="2413">
        <v>1</v>
      </c>
      <c r="K1444" s="2387"/>
      <c r="L1444" s="2381">
        <v>13121011504</v>
      </c>
      <c r="M1444" s="2382">
        <v>1</v>
      </c>
      <c r="N1444" s="2382">
        <v>1</v>
      </c>
      <c r="O1444" s="2383">
        <v>2</v>
      </c>
    </row>
    <row r="1445" spans="3:15">
      <c r="C1445" s="2388" t="s">
        <v>5943</v>
      </c>
      <c r="D1445" s="2385">
        <v>1</v>
      </c>
      <c r="E1445" s="2385">
        <v>1</v>
      </c>
      <c r="F1445" s="2386">
        <v>2</v>
      </c>
      <c r="G1445" s="2412" t="s">
        <v>5943</v>
      </c>
      <c r="H1445" s="2383">
        <v>1</v>
      </c>
      <c r="I1445" s="2383">
        <v>1</v>
      </c>
      <c r="J1445" s="2413">
        <v>2</v>
      </c>
      <c r="K1445" s="2387"/>
      <c r="L1445" s="2381">
        <v>13121011505</v>
      </c>
      <c r="M1445" s="2382">
        <v>1</v>
      </c>
      <c r="N1445" s="2382">
        <v>1</v>
      </c>
      <c r="O1445" s="2383">
        <v>2</v>
      </c>
    </row>
    <row r="1446" spans="3:15">
      <c r="C1446" s="2388" t="s">
        <v>5944</v>
      </c>
      <c r="D1446" s="2385">
        <v>1</v>
      </c>
      <c r="E1446" s="2385">
        <v>1</v>
      </c>
      <c r="F1446" s="2386">
        <v>2</v>
      </c>
      <c r="G1446" s="2412" t="s">
        <v>5944</v>
      </c>
      <c r="H1446" s="2383">
        <v>1</v>
      </c>
      <c r="I1446" s="2383">
        <v>1</v>
      </c>
      <c r="J1446" s="2413">
        <v>2</v>
      </c>
      <c r="K1446" s="2387"/>
      <c r="L1446" s="2381">
        <v>13121011506</v>
      </c>
      <c r="M1446" s="2382">
        <v>1</v>
      </c>
      <c r="N1446" s="2382">
        <v>1</v>
      </c>
      <c r="O1446" s="2383">
        <v>2</v>
      </c>
    </row>
    <row r="1447" spans="3:15">
      <c r="C1447" s="2388" t="s">
        <v>5945</v>
      </c>
      <c r="D1447" s="2385">
        <v>1</v>
      </c>
      <c r="E1447" s="2385">
        <v>1</v>
      </c>
      <c r="F1447" s="2386">
        <v>2</v>
      </c>
      <c r="G1447" s="2412" t="s">
        <v>5945</v>
      </c>
      <c r="H1447" s="2383">
        <v>1</v>
      </c>
      <c r="I1447" s="2383">
        <v>1</v>
      </c>
      <c r="J1447" s="2413">
        <v>2</v>
      </c>
      <c r="K1447" s="2387"/>
      <c r="L1447" s="2381">
        <v>13121011610</v>
      </c>
      <c r="M1447" s="2382">
        <v>1</v>
      </c>
      <c r="N1447" s="2382">
        <v>1</v>
      </c>
      <c r="O1447" s="2383">
        <v>2</v>
      </c>
    </row>
    <row r="1448" spans="3:15">
      <c r="C1448" s="2388" t="s">
        <v>5946</v>
      </c>
      <c r="D1448" s="2385">
        <v>1</v>
      </c>
      <c r="E1448" s="2385">
        <v>0</v>
      </c>
      <c r="F1448" s="2386">
        <v>1</v>
      </c>
      <c r="G1448" s="2412" t="s">
        <v>5946</v>
      </c>
      <c r="H1448" s="2383">
        <v>1</v>
      </c>
      <c r="I1448" s="2383">
        <v>1</v>
      </c>
      <c r="J1448" s="2413">
        <v>2</v>
      </c>
      <c r="K1448" s="2387"/>
      <c r="L1448" s="2381">
        <v>13121011611</v>
      </c>
      <c r="M1448" s="2382">
        <v>1</v>
      </c>
      <c r="N1448" s="2382">
        <v>1</v>
      </c>
      <c r="O1448" s="2383">
        <v>2</v>
      </c>
    </row>
    <row r="1449" spans="3:15">
      <c r="C1449" s="2388" t="s">
        <v>5947</v>
      </c>
      <c r="D1449" s="2385">
        <v>1</v>
      </c>
      <c r="E1449" s="2385">
        <v>1</v>
      </c>
      <c r="F1449" s="2386">
        <v>2</v>
      </c>
      <c r="G1449" s="2412" t="s">
        <v>5947</v>
      </c>
      <c r="H1449" s="2383">
        <v>1</v>
      </c>
      <c r="I1449" s="2383" t="s">
        <v>4493</v>
      </c>
      <c r="J1449" s="2413">
        <v>1</v>
      </c>
      <c r="K1449" s="2387"/>
      <c r="L1449" s="2381">
        <v>13121011612</v>
      </c>
      <c r="M1449" s="2382">
        <v>1</v>
      </c>
      <c r="N1449" s="2382">
        <v>1</v>
      </c>
      <c r="O1449" s="2383">
        <v>2</v>
      </c>
    </row>
    <row r="1450" spans="3:15">
      <c r="C1450" s="2388" t="s">
        <v>5948</v>
      </c>
      <c r="D1450" s="2385">
        <v>1</v>
      </c>
      <c r="E1450" s="2385">
        <v>1</v>
      </c>
      <c r="F1450" s="2386">
        <v>2</v>
      </c>
      <c r="G1450" s="2412" t="s">
        <v>5948</v>
      </c>
      <c r="H1450" s="2383">
        <v>1</v>
      </c>
      <c r="I1450" s="2383">
        <v>1</v>
      </c>
      <c r="J1450" s="2413">
        <v>2</v>
      </c>
      <c r="K1450" s="2387"/>
      <c r="L1450" s="2381">
        <v>13121011613</v>
      </c>
      <c r="M1450" s="2382">
        <v>1</v>
      </c>
      <c r="N1450" s="2382">
        <v>1</v>
      </c>
      <c r="O1450" s="2383">
        <v>2</v>
      </c>
    </row>
    <row r="1451" spans="3:15">
      <c r="C1451" s="2388" t="s">
        <v>5949</v>
      </c>
      <c r="D1451" s="2385">
        <v>1</v>
      </c>
      <c r="E1451" s="2385">
        <v>1</v>
      </c>
      <c r="F1451" s="2386">
        <v>2</v>
      </c>
      <c r="G1451" s="2412" t="s">
        <v>5949</v>
      </c>
      <c r="H1451" s="2383">
        <v>1</v>
      </c>
      <c r="I1451" s="2383">
        <v>1</v>
      </c>
      <c r="J1451" s="2413">
        <v>2</v>
      </c>
      <c r="K1451" s="2387"/>
      <c r="L1451" s="2381">
        <v>13121011614</v>
      </c>
      <c r="M1451" s="2382">
        <v>1</v>
      </c>
      <c r="N1451" s="2382">
        <v>1</v>
      </c>
      <c r="O1451" s="2383">
        <v>2</v>
      </c>
    </row>
    <row r="1452" spans="3:15">
      <c r="C1452" s="2388" t="s">
        <v>5950</v>
      </c>
      <c r="D1452" s="2385">
        <v>1</v>
      </c>
      <c r="E1452" s="2385">
        <v>1</v>
      </c>
      <c r="F1452" s="2386">
        <v>2</v>
      </c>
      <c r="G1452" s="2412" t="s">
        <v>5950</v>
      </c>
      <c r="H1452" s="2383">
        <v>1</v>
      </c>
      <c r="I1452" s="2383">
        <v>1</v>
      </c>
      <c r="J1452" s="2413">
        <v>2</v>
      </c>
      <c r="K1452" s="2387"/>
      <c r="L1452" s="2381">
        <v>13121011615</v>
      </c>
      <c r="M1452" s="2382">
        <v>1</v>
      </c>
      <c r="N1452" s="2382">
        <v>1</v>
      </c>
      <c r="O1452" s="2383">
        <v>2</v>
      </c>
    </row>
    <row r="1453" spans="3:15">
      <c r="C1453" s="2388" t="s">
        <v>5951</v>
      </c>
      <c r="D1453" s="2385">
        <v>1</v>
      </c>
      <c r="E1453" s="2385">
        <v>1</v>
      </c>
      <c r="F1453" s="2386">
        <v>2</v>
      </c>
      <c r="G1453" s="2412" t="s">
        <v>5951</v>
      </c>
      <c r="H1453" s="2383">
        <v>1</v>
      </c>
      <c r="I1453" s="2383">
        <v>1</v>
      </c>
      <c r="J1453" s="2413">
        <v>2</v>
      </c>
      <c r="K1453" s="2387"/>
      <c r="L1453" s="2381">
        <v>13121011616</v>
      </c>
      <c r="M1453" s="2382">
        <v>1</v>
      </c>
      <c r="N1453" s="2382">
        <v>1</v>
      </c>
      <c r="O1453" s="2383">
        <v>2</v>
      </c>
    </row>
    <row r="1454" spans="3:15">
      <c r="C1454" s="2388" t="s">
        <v>5952</v>
      </c>
      <c r="D1454" s="2385">
        <v>1</v>
      </c>
      <c r="E1454" s="2385">
        <v>1</v>
      </c>
      <c r="F1454" s="2386">
        <v>2</v>
      </c>
      <c r="G1454" s="2412" t="s">
        <v>5952</v>
      </c>
      <c r="H1454" s="2383">
        <v>1</v>
      </c>
      <c r="I1454" s="2383">
        <v>1</v>
      </c>
      <c r="J1454" s="2413">
        <v>2</v>
      </c>
      <c r="K1454" s="2387"/>
      <c r="L1454" s="2381">
        <v>13121011617</v>
      </c>
      <c r="M1454" s="2382">
        <v>1</v>
      </c>
      <c r="N1454" s="2382">
        <v>1</v>
      </c>
      <c r="O1454" s="2383">
        <v>2</v>
      </c>
    </row>
    <row r="1455" spans="3:15">
      <c r="C1455" s="2388" t="s">
        <v>5953</v>
      </c>
      <c r="D1455" s="2385">
        <v>1</v>
      </c>
      <c r="E1455" s="2385">
        <v>1</v>
      </c>
      <c r="F1455" s="2386">
        <v>2</v>
      </c>
      <c r="G1455" s="2412" t="s">
        <v>5953</v>
      </c>
      <c r="H1455" s="2383">
        <v>1</v>
      </c>
      <c r="I1455" s="2383">
        <v>1</v>
      </c>
      <c r="J1455" s="2413">
        <v>2</v>
      </c>
      <c r="K1455" s="2387"/>
      <c r="L1455" s="2381">
        <v>13121011618</v>
      </c>
      <c r="M1455" s="2382">
        <v>1</v>
      </c>
      <c r="N1455" s="2382">
        <v>1</v>
      </c>
      <c r="O1455" s="2383">
        <v>2</v>
      </c>
    </row>
    <row r="1456" spans="3:15">
      <c r="C1456" s="2388" t="s">
        <v>5954</v>
      </c>
      <c r="D1456" s="2385">
        <v>1</v>
      </c>
      <c r="E1456" s="2385">
        <v>1</v>
      </c>
      <c r="F1456" s="2386">
        <v>2</v>
      </c>
      <c r="G1456" s="2412" t="s">
        <v>5954</v>
      </c>
      <c r="H1456" s="2383">
        <v>1</v>
      </c>
      <c r="I1456" s="2383">
        <v>1</v>
      </c>
      <c r="J1456" s="2413">
        <v>2</v>
      </c>
      <c r="K1456" s="2387"/>
      <c r="L1456" s="2381">
        <v>13121011619</v>
      </c>
      <c r="M1456" s="2382">
        <v>1</v>
      </c>
      <c r="N1456" s="2382">
        <v>1</v>
      </c>
      <c r="O1456" s="2383">
        <v>2</v>
      </c>
    </row>
    <row r="1457" spans="3:15">
      <c r="C1457" s="2388" t="s">
        <v>5955</v>
      </c>
      <c r="D1457" s="2385">
        <v>1</v>
      </c>
      <c r="E1457" s="2385">
        <v>1</v>
      </c>
      <c r="F1457" s="2386">
        <v>2</v>
      </c>
      <c r="G1457" s="2412" t="s">
        <v>5955</v>
      </c>
      <c r="H1457" s="2383">
        <v>1</v>
      </c>
      <c r="I1457" s="2383">
        <v>1</v>
      </c>
      <c r="J1457" s="2413">
        <v>2</v>
      </c>
      <c r="K1457" s="2387"/>
      <c r="L1457" s="2381">
        <v>13121011620</v>
      </c>
      <c r="M1457" s="2382">
        <v>1</v>
      </c>
      <c r="N1457" s="2382">
        <v>1</v>
      </c>
      <c r="O1457" s="2383">
        <v>2</v>
      </c>
    </row>
    <row r="1458" spans="3:15">
      <c r="C1458" s="2388" t="s">
        <v>5956</v>
      </c>
      <c r="D1458" s="2385">
        <v>1</v>
      </c>
      <c r="E1458" s="2385">
        <v>1</v>
      </c>
      <c r="F1458" s="2386">
        <v>2</v>
      </c>
      <c r="G1458" s="2412" t="s">
        <v>5956</v>
      </c>
      <c r="H1458" s="2383">
        <v>1</v>
      </c>
      <c r="I1458" s="2383">
        <v>1</v>
      </c>
      <c r="J1458" s="2413">
        <v>2</v>
      </c>
      <c r="K1458" s="2387"/>
      <c r="L1458" s="2381">
        <v>13121011621</v>
      </c>
      <c r="M1458" s="2382">
        <v>1</v>
      </c>
      <c r="N1458" s="2382">
        <v>1</v>
      </c>
      <c r="O1458" s="2383">
        <v>2</v>
      </c>
    </row>
    <row r="1459" spans="3:15">
      <c r="C1459" s="2388" t="s">
        <v>5957</v>
      </c>
      <c r="D1459" s="2385">
        <v>1</v>
      </c>
      <c r="E1459" s="2385">
        <v>1</v>
      </c>
      <c r="F1459" s="2386">
        <v>2</v>
      </c>
      <c r="G1459" s="2412" t="s">
        <v>5957</v>
      </c>
      <c r="H1459" s="2383">
        <v>1</v>
      </c>
      <c r="I1459" s="2383">
        <v>1</v>
      </c>
      <c r="J1459" s="2413">
        <v>2</v>
      </c>
      <c r="K1459" s="2387"/>
      <c r="L1459" s="2381">
        <v>13121011622</v>
      </c>
      <c r="M1459" s="2382">
        <v>1</v>
      </c>
      <c r="N1459" s="2382">
        <v>1</v>
      </c>
      <c r="O1459" s="2383">
        <v>2</v>
      </c>
    </row>
    <row r="1460" spans="3:15">
      <c r="C1460" s="2388" t="s">
        <v>5958</v>
      </c>
      <c r="D1460" s="2385">
        <v>1</v>
      </c>
      <c r="E1460" s="2385">
        <v>1</v>
      </c>
      <c r="F1460" s="2386">
        <v>2</v>
      </c>
      <c r="G1460" s="2412" t="s">
        <v>5958</v>
      </c>
      <c r="H1460" s="2383">
        <v>1</v>
      </c>
      <c r="I1460" s="2383">
        <v>1</v>
      </c>
      <c r="J1460" s="2413">
        <v>2</v>
      </c>
      <c r="K1460" s="2387"/>
      <c r="L1460" s="2381">
        <v>13121011623</v>
      </c>
      <c r="M1460" s="2382">
        <v>1</v>
      </c>
      <c r="N1460" s="2382">
        <v>1</v>
      </c>
      <c r="O1460" s="2383">
        <v>2</v>
      </c>
    </row>
    <row r="1461" spans="3:15">
      <c r="C1461" s="2388" t="s">
        <v>5959</v>
      </c>
      <c r="D1461" s="2385">
        <v>1</v>
      </c>
      <c r="E1461" s="2385">
        <v>1</v>
      </c>
      <c r="F1461" s="2386">
        <v>2</v>
      </c>
      <c r="G1461" s="2412" t="s">
        <v>5959</v>
      </c>
      <c r="H1461" s="2383">
        <v>1</v>
      </c>
      <c r="I1461" s="2383" t="s">
        <v>4493</v>
      </c>
      <c r="J1461" s="2413">
        <v>1</v>
      </c>
      <c r="K1461" s="2387"/>
      <c r="L1461" s="2381">
        <v>13121011624</v>
      </c>
      <c r="M1461" s="2382">
        <v>1</v>
      </c>
      <c r="N1461" s="2382">
        <v>1</v>
      </c>
      <c r="O1461" s="2383">
        <v>2</v>
      </c>
    </row>
    <row r="1462" spans="3:15">
      <c r="C1462" s="2388" t="s">
        <v>5960</v>
      </c>
      <c r="D1462" s="2385">
        <v>1</v>
      </c>
      <c r="E1462" s="2385">
        <v>1</v>
      </c>
      <c r="F1462" s="2386">
        <v>2</v>
      </c>
      <c r="G1462" s="2412" t="s">
        <v>5960</v>
      </c>
      <c r="H1462" s="2383">
        <v>1</v>
      </c>
      <c r="I1462" s="2383">
        <v>1</v>
      </c>
      <c r="J1462" s="2413">
        <v>2</v>
      </c>
      <c r="K1462" s="2387"/>
      <c r="L1462" s="2381">
        <v>13121011625</v>
      </c>
      <c r="M1462" s="2382">
        <v>1</v>
      </c>
      <c r="N1462" s="2382">
        <v>1</v>
      </c>
      <c r="O1462" s="2383">
        <v>2</v>
      </c>
    </row>
    <row r="1463" spans="3:15">
      <c r="C1463" s="2388" t="s">
        <v>5961</v>
      </c>
      <c r="D1463" s="2385">
        <v>1</v>
      </c>
      <c r="E1463" s="2385">
        <v>1</v>
      </c>
      <c r="F1463" s="2386">
        <v>2</v>
      </c>
      <c r="G1463" s="2412" t="s">
        <v>5961</v>
      </c>
      <c r="H1463" s="2383">
        <v>1</v>
      </c>
      <c r="I1463" s="2383">
        <v>1</v>
      </c>
      <c r="J1463" s="2413">
        <v>2</v>
      </c>
      <c r="K1463" s="2387"/>
      <c r="L1463" s="2381">
        <v>13121011626</v>
      </c>
      <c r="M1463" s="2382">
        <v>1</v>
      </c>
      <c r="N1463" s="2382">
        <v>1</v>
      </c>
      <c r="O1463" s="2383">
        <v>2</v>
      </c>
    </row>
    <row r="1464" spans="3:15">
      <c r="C1464" s="2388" t="s">
        <v>5962</v>
      </c>
      <c r="D1464" s="2385">
        <v>0</v>
      </c>
      <c r="E1464" s="2385">
        <v>0</v>
      </c>
      <c r="F1464" s="2386">
        <v>0</v>
      </c>
      <c r="G1464" s="2412" t="s">
        <v>5962</v>
      </c>
      <c r="H1464" s="2383">
        <v>0</v>
      </c>
      <c r="I1464" s="2383">
        <v>0</v>
      </c>
      <c r="J1464" s="2413">
        <v>0</v>
      </c>
      <c r="K1464" s="2387"/>
      <c r="L1464" s="2381">
        <v>13121011800</v>
      </c>
      <c r="M1464" s="2382">
        <v>0</v>
      </c>
      <c r="N1464" s="2382">
        <v>0</v>
      </c>
      <c r="O1464" s="2383">
        <v>0</v>
      </c>
    </row>
    <row r="1465" spans="3:15">
      <c r="C1465" s="2388" t="s">
        <v>5963</v>
      </c>
      <c r="D1465" s="2385">
        <v>0</v>
      </c>
      <c r="E1465" s="2385">
        <v>0</v>
      </c>
      <c r="F1465" s="2386">
        <v>0</v>
      </c>
      <c r="G1465" s="2412" t="s">
        <v>5963</v>
      </c>
      <c r="H1465" s="2383">
        <v>0</v>
      </c>
      <c r="I1465" s="2383" t="s">
        <v>4493</v>
      </c>
      <c r="J1465" s="2413">
        <v>0</v>
      </c>
      <c r="K1465" s="2387"/>
      <c r="L1465" s="2381">
        <v>13121011900</v>
      </c>
      <c r="M1465" s="2382">
        <v>0</v>
      </c>
      <c r="N1465" s="2382">
        <v>0</v>
      </c>
      <c r="O1465" s="2383">
        <v>0</v>
      </c>
    </row>
    <row r="1466" spans="3:15">
      <c r="C1466" s="2388" t="s">
        <v>5964</v>
      </c>
      <c r="D1466" s="2385">
        <v>0</v>
      </c>
      <c r="E1466" s="2385">
        <v>0</v>
      </c>
      <c r="F1466" s="2386">
        <v>0</v>
      </c>
      <c r="G1466" s="2412" t="s">
        <v>5964</v>
      </c>
      <c r="H1466" s="2383">
        <v>0</v>
      </c>
      <c r="I1466" s="2383">
        <v>0</v>
      </c>
      <c r="J1466" s="2413">
        <v>0</v>
      </c>
      <c r="K1466" s="2387"/>
      <c r="L1466" s="2381">
        <v>13121012000</v>
      </c>
      <c r="M1466" s="2382">
        <v>0</v>
      </c>
      <c r="N1466" s="2382">
        <v>0</v>
      </c>
      <c r="O1466" s="2383">
        <v>0</v>
      </c>
    </row>
    <row r="1467" spans="3:15">
      <c r="C1467" s="2388" t="s">
        <v>5965</v>
      </c>
      <c r="D1467" s="2385">
        <v>1</v>
      </c>
      <c r="E1467" s="2385">
        <v>0</v>
      </c>
      <c r="F1467" s="2386">
        <v>1</v>
      </c>
      <c r="G1467" s="2412" t="s">
        <v>5965</v>
      </c>
      <c r="H1467" s="2383">
        <v>1</v>
      </c>
      <c r="I1467" s="2383">
        <v>0</v>
      </c>
      <c r="J1467" s="2413">
        <v>1</v>
      </c>
      <c r="K1467" s="2387"/>
      <c r="L1467" s="2381">
        <v>13121012300</v>
      </c>
      <c r="M1467" s="2382">
        <v>1</v>
      </c>
      <c r="N1467" s="2382">
        <v>0</v>
      </c>
      <c r="O1467" s="2383">
        <v>1</v>
      </c>
    </row>
    <row r="1468" spans="3:15">
      <c r="C1468" s="2388" t="s">
        <v>5966</v>
      </c>
      <c r="D1468" s="2385" t="s">
        <v>4493</v>
      </c>
      <c r="E1468" s="2385" t="s">
        <v>4493</v>
      </c>
      <c r="F1468" s="2386">
        <v>0</v>
      </c>
      <c r="G1468" s="2412" t="s">
        <v>5966</v>
      </c>
      <c r="H1468" s="2383" t="s">
        <v>4493</v>
      </c>
      <c r="I1468" s="2383" t="s">
        <v>4493</v>
      </c>
      <c r="J1468" s="2413">
        <v>0</v>
      </c>
      <c r="K1468" s="2387"/>
      <c r="L1468" s="2381">
        <v>13121980000</v>
      </c>
      <c r="M1468" s="2382">
        <v>0</v>
      </c>
      <c r="N1468" s="2382">
        <v>0</v>
      </c>
      <c r="O1468" s="2383">
        <v>0</v>
      </c>
    </row>
    <row r="1469" spans="3:15">
      <c r="C1469" s="2388" t="s">
        <v>5967</v>
      </c>
      <c r="D1469" s="2385">
        <v>0</v>
      </c>
      <c r="E1469" s="2385">
        <v>0</v>
      </c>
      <c r="F1469" s="2386">
        <v>0</v>
      </c>
      <c r="G1469" s="2412" t="s">
        <v>5967</v>
      </c>
      <c r="H1469" s="2383">
        <v>0</v>
      </c>
      <c r="I1469" s="2383">
        <v>1</v>
      </c>
      <c r="J1469" s="2413">
        <v>1</v>
      </c>
      <c r="K1469" s="2387"/>
      <c r="L1469" s="2381">
        <v>13123080100</v>
      </c>
      <c r="M1469" s="2382">
        <v>0</v>
      </c>
      <c r="N1469" s="2382">
        <v>1</v>
      </c>
      <c r="O1469" s="2383">
        <v>1</v>
      </c>
    </row>
    <row r="1470" spans="3:15">
      <c r="C1470" s="2388" t="s">
        <v>5968</v>
      </c>
      <c r="D1470" s="2385">
        <v>0</v>
      </c>
      <c r="E1470" s="2385">
        <v>0</v>
      </c>
      <c r="F1470" s="2386">
        <v>0</v>
      </c>
      <c r="G1470" s="2412" t="s">
        <v>5968</v>
      </c>
      <c r="H1470" s="2383">
        <v>0</v>
      </c>
      <c r="I1470" s="2383">
        <v>0</v>
      </c>
      <c r="J1470" s="2413">
        <v>0</v>
      </c>
      <c r="K1470" s="2387"/>
      <c r="L1470" s="2381">
        <v>13123080200</v>
      </c>
      <c r="M1470" s="2382">
        <v>0</v>
      </c>
      <c r="N1470" s="2382">
        <v>0</v>
      </c>
      <c r="O1470" s="2383">
        <v>0</v>
      </c>
    </row>
    <row r="1471" spans="3:15">
      <c r="C1471" s="2388" t="s">
        <v>5969</v>
      </c>
      <c r="D1471" s="2385">
        <v>0</v>
      </c>
      <c r="E1471" s="2385">
        <v>0</v>
      </c>
      <c r="F1471" s="2386">
        <v>0</v>
      </c>
      <c r="G1471" s="2412" t="s">
        <v>5969</v>
      </c>
      <c r="H1471" s="2383">
        <v>0</v>
      </c>
      <c r="I1471" s="2383">
        <v>0</v>
      </c>
      <c r="J1471" s="2413">
        <v>0</v>
      </c>
      <c r="K1471" s="2387"/>
      <c r="L1471" s="2381">
        <v>13123080300</v>
      </c>
      <c r="M1471" s="2382">
        <v>0</v>
      </c>
      <c r="N1471" s="2382">
        <v>0</v>
      </c>
      <c r="O1471" s="2383">
        <v>0</v>
      </c>
    </row>
    <row r="1472" spans="3:15">
      <c r="C1472" s="2388" t="s">
        <v>5970</v>
      </c>
      <c r="D1472" s="2385">
        <v>0</v>
      </c>
      <c r="E1472" s="2385">
        <v>0</v>
      </c>
      <c r="F1472" s="2386">
        <v>0</v>
      </c>
      <c r="G1472" s="2412" t="s">
        <v>5970</v>
      </c>
      <c r="H1472" s="2383">
        <v>0</v>
      </c>
      <c r="I1472" s="2383">
        <v>0</v>
      </c>
      <c r="J1472" s="2413">
        <v>0</v>
      </c>
      <c r="K1472" s="2387"/>
      <c r="L1472" s="2381">
        <v>13123080400</v>
      </c>
      <c r="M1472" s="2382">
        <v>0</v>
      </c>
      <c r="N1472" s="2382">
        <v>0</v>
      </c>
      <c r="O1472" s="2383">
        <v>0</v>
      </c>
    </row>
    <row r="1473" spans="3:15">
      <c r="C1473" s="2388" t="s">
        <v>5971</v>
      </c>
      <c r="D1473" s="2385">
        <v>0</v>
      </c>
      <c r="E1473" s="2385">
        <v>0</v>
      </c>
      <c r="F1473" s="2386">
        <v>0</v>
      </c>
      <c r="G1473" s="2412" t="s">
        <v>5971</v>
      </c>
      <c r="H1473" s="2383">
        <v>0</v>
      </c>
      <c r="I1473" s="2383">
        <v>1</v>
      </c>
      <c r="J1473" s="2413">
        <v>1</v>
      </c>
      <c r="K1473" s="2387"/>
      <c r="L1473" s="2381">
        <v>13123080500</v>
      </c>
      <c r="M1473" s="2382">
        <v>0</v>
      </c>
      <c r="N1473" s="2382">
        <v>1</v>
      </c>
      <c r="O1473" s="2383">
        <v>1</v>
      </c>
    </row>
    <row r="1474" spans="3:15">
      <c r="C1474" s="2388" t="s">
        <v>5972</v>
      </c>
      <c r="D1474" s="2385">
        <v>0</v>
      </c>
      <c r="E1474" s="2385">
        <v>0</v>
      </c>
      <c r="F1474" s="2386">
        <v>0</v>
      </c>
      <c r="G1474" s="2412" t="s">
        <v>5972</v>
      </c>
      <c r="H1474" s="2383">
        <v>0</v>
      </c>
      <c r="I1474" s="2383">
        <v>1</v>
      </c>
      <c r="J1474" s="2413">
        <v>1</v>
      </c>
      <c r="K1474" s="2387"/>
      <c r="L1474" s="2381">
        <v>13125010100</v>
      </c>
      <c r="M1474" s="2382">
        <v>0</v>
      </c>
      <c r="N1474" s="2382">
        <v>1</v>
      </c>
      <c r="O1474" s="2383">
        <v>1</v>
      </c>
    </row>
    <row r="1475" spans="3:15">
      <c r="C1475" s="2388" t="s">
        <v>5973</v>
      </c>
      <c r="D1475" s="2385">
        <v>1</v>
      </c>
      <c r="E1475" s="2385">
        <v>1</v>
      </c>
      <c r="F1475" s="2386">
        <v>2</v>
      </c>
      <c r="G1475" s="2412" t="s">
        <v>5973</v>
      </c>
      <c r="H1475" s="2383">
        <v>1</v>
      </c>
      <c r="I1475" s="2383">
        <v>1</v>
      </c>
      <c r="J1475" s="2413">
        <v>2</v>
      </c>
      <c r="K1475" s="2387"/>
      <c r="L1475" s="2381">
        <v>13127000101</v>
      </c>
      <c r="M1475" s="2382">
        <v>1</v>
      </c>
      <c r="N1475" s="2382">
        <v>1</v>
      </c>
      <c r="O1475" s="2383">
        <v>2</v>
      </c>
    </row>
    <row r="1476" spans="3:15">
      <c r="C1476" s="2388" t="s">
        <v>5974</v>
      </c>
      <c r="D1476" s="2385">
        <v>1</v>
      </c>
      <c r="E1476" s="2385">
        <v>1</v>
      </c>
      <c r="F1476" s="2386">
        <v>2</v>
      </c>
      <c r="G1476" s="2412" t="s">
        <v>5974</v>
      </c>
      <c r="H1476" s="2383">
        <v>1</v>
      </c>
      <c r="I1476" s="2383">
        <v>1</v>
      </c>
      <c r="J1476" s="2413">
        <v>2</v>
      </c>
      <c r="K1476" s="2387"/>
      <c r="L1476" s="2381">
        <v>13127000102</v>
      </c>
      <c r="M1476" s="2382">
        <v>1</v>
      </c>
      <c r="N1476" s="2382">
        <v>1</v>
      </c>
      <c r="O1476" s="2383">
        <v>2</v>
      </c>
    </row>
    <row r="1477" spans="3:15">
      <c r="C1477" s="2388" t="s">
        <v>5975</v>
      </c>
      <c r="D1477" s="2385">
        <v>1</v>
      </c>
      <c r="E1477" s="2385">
        <v>1</v>
      </c>
      <c r="F1477" s="2386">
        <v>2</v>
      </c>
      <c r="G1477" s="2412" t="s">
        <v>5975</v>
      </c>
      <c r="H1477" s="2383">
        <v>1</v>
      </c>
      <c r="I1477" s="2383">
        <v>1</v>
      </c>
      <c r="J1477" s="2413">
        <v>2</v>
      </c>
      <c r="K1477" s="2387"/>
      <c r="L1477" s="2381">
        <v>13127000200</v>
      </c>
      <c r="M1477" s="2382">
        <v>1</v>
      </c>
      <c r="N1477" s="2382">
        <v>1</v>
      </c>
      <c r="O1477" s="2383">
        <v>2</v>
      </c>
    </row>
    <row r="1478" spans="3:15">
      <c r="C1478" s="2388" t="s">
        <v>5976</v>
      </c>
      <c r="D1478" s="2385">
        <v>1</v>
      </c>
      <c r="E1478" s="2385">
        <v>1</v>
      </c>
      <c r="F1478" s="2386">
        <v>2</v>
      </c>
      <c r="G1478" s="2412" t="s">
        <v>5976</v>
      </c>
      <c r="H1478" s="2383">
        <v>1</v>
      </c>
      <c r="I1478" s="2383">
        <v>1</v>
      </c>
      <c r="J1478" s="2413">
        <v>2</v>
      </c>
      <c r="K1478" s="2387"/>
      <c r="L1478" s="2381">
        <v>13127000300</v>
      </c>
      <c r="M1478" s="2382">
        <v>1</v>
      </c>
      <c r="N1478" s="2382">
        <v>1</v>
      </c>
      <c r="O1478" s="2383">
        <v>2</v>
      </c>
    </row>
    <row r="1479" spans="3:15">
      <c r="C1479" s="2388" t="s">
        <v>5977</v>
      </c>
      <c r="D1479" s="2385">
        <v>1</v>
      </c>
      <c r="E1479" s="2385">
        <v>0</v>
      </c>
      <c r="F1479" s="2386">
        <v>1</v>
      </c>
      <c r="G1479" s="2412" t="s">
        <v>5977</v>
      </c>
      <c r="H1479" s="2383">
        <v>0</v>
      </c>
      <c r="I1479" s="2383">
        <v>0</v>
      </c>
      <c r="J1479" s="2413">
        <v>0</v>
      </c>
      <c r="K1479" s="2387"/>
      <c r="L1479" s="2381">
        <v>13127000401</v>
      </c>
      <c r="M1479" s="2382">
        <v>1</v>
      </c>
      <c r="N1479" s="2382">
        <v>0</v>
      </c>
      <c r="O1479" s="2383">
        <v>1</v>
      </c>
    </row>
    <row r="1480" spans="3:15">
      <c r="C1480" s="2388" t="s">
        <v>5978</v>
      </c>
      <c r="D1480" s="2385">
        <v>0</v>
      </c>
      <c r="E1480" s="2385">
        <v>1</v>
      </c>
      <c r="F1480" s="2386">
        <v>1</v>
      </c>
      <c r="G1480" s="2412" t="s">
        <v>5978</v>
      </c>
      <c r="H1480" s="2383">
        <v>0</v>
      </c>
      <c r="I1480" s="2383">
        <v>1</v>
      </c>
      <c r="J1480" s="2413">
        <v>1</v>
      </c>
      <c r="K1480" s="2387"/>
      <c r="L1480" s="2381">
        <v>13127000403</v>
      </c>
      <c r="M1480" s="2382">
        <v>0</v>
      </c>
      <c r="N1480" s="2382">
        <v>1</v>
      </c>
      <c r="O1480" s="2383">
        <v>1</v>
      </c>
    </row>
    <row r="1481" spans="3:15">
      <c r="C1481" s="2388" t="s">
        <v>5979</v>
      </c>
      <c r="D1481" s="2385">
        <v>0</v>
      </c>
      <c r="E1481" s="2385">
        <v>1</v>
      </c>
      <c r="F1481" s="2386">
        <v>1</v>
      </c>
      <c r="G1481" s="2412" t="s">
        <v>5979</v>
      </c>
      <c r="H1481" s="2383">
        <v>0</v>
      </c>
      <c r="I1481" s="2383">
        <v>1</v>
      </c>
      <c r="J1481" s="2413">
        <v>1</v>
      </c>
      <c r="K1481" s="2387"/>
      <c r="L1481" s="2381">
        <v>13127000404</v>
      </c>
      <c r="M1481" s="2382">
        <v>0</v>
      </c>
      <c r="N1481" s="2382">
        <v>1</v>
      </c>
      <c r="O1481" s="2383">
        <v>1</v>
      </c>
    </row>
    <row r="1482" spans="3:15">
      <c r="C1482" s="2388" t="s">
        <v>5980</v>
      </c>
      <c r="D1482" s="2385">
        <v>0</v>
      </c>
      <c r="E1482" s="2385">
        <v>0</v>
      </c>
      <c r="F1482" s="2386">
        <v>0</v>
      </c>
      <c r="G1482" s="2412" t="s">
        <v>5980</v>
      </c>
      <c r="H1482" s="2383">
        <v>0</v>
      </c>
      <c r="I1482" s="2383">
        <v>0</v>
      </c>
      <c r="J1482" s="2413">
        <v>0</v>
      </c>
      <c r="K1482" s="2387"/>
      <c r="L1482" s="2381">
        <v>13127000501</v>
      </c>
      <c r="M1482" s="2382">
        <v>0</v>
      </c>
      <c r="N1482" s="2382">
        <v>0</v>
      </c>
      <c r="O1482" s="2383">
        <v>0</v>
      </c>
    </row>
    <row r="1483" spans="3:15">
      <c r="C1483" s="2388" t="s">
        <v>5981</v>
      </c>
      <c r="D1483" s="2385">
        <v>0</v>
      </c>
      <c r="E1483" s="2385">
        <v>0</v>
      </c>
      <c r="F1483" s="2386">
        <v>0</v>
      </c>
      <c r="G1483" s="2412" t="s">
        <v>5981</v>
      </c>
      <c r="H1483" s="2383">
        <v>0</v>
      </c>
      <c r="I1483" s="2383">
        <v>0</v>
      </c>
      <c r="J1483" s="2413">
        <v>0</v>
      </c>
      <c r="K1483" s="2387"/>
      <c r="L1483" s="2381">
        <v>13127000503</v>
      </c>
      <c r="M1483" s="2382">
        <v>0</v>
      </c>
      <c r="N1483" s="2382">
        <v>0</v>
      </c>
      <c r="O1483" s="2383">
        <v>0</v>
      </c>
    </row>
    <row r="1484" spans="3:15">
      <c r="C1484" s="2388" t="s">
        <v>5982</v>
      </c>
      <c r="D1484" s="2385">
        <v>0</v>
      </c>
      <c r="E1484" s="2385">
        <v>0</v>
      </c>
      <c r="F1484" s="2386">
        <v>0</v>
      </c>
      <c r="G1484" s="2412" t="s">
        <v>5982</v>
      </c>
      <c r="H1484" s="2383">
        <v>0</v>
      </c>
      <c r="I1484" s="2383">
        <v>0</v>
      </c>
      <c r="J1484" s="2413">
        <v>0</v>
      </c>
      <c r="K1484" s="2387"/>
      <c r="L1484" s="2381">
        <v>13127000504</v>
      </c>
      <c r="M1484" s="2382">
        <v>0</v>
      </c>
      <c r="N1484" s="2382">
        <v>0</v>
      </c>
      <c r="O1484" s="2383">
        <v>0</v>
      </c>
    </row>
    <row r="1485" spans="3:15">
      <c r="C1485" s="2388" t="s">
        <v>5983</v>
      </c>
      <c r="D1485" s="2385">
        <v>0</v>
      </c>
      <c r="E1485" s="2385">
        <v>0</v>
      </c>
      <c r="F1485" s="2386">
        <v>0</v>
      </c>
      <c r="G1485" s="2412" t="s">
        <v>5983</v>
      </c>
      <c r="H1485" s="2383">
        <v>0</v>
      </c>
      <c r="I1485" s="2383">
        <v>0</v>
      </c>
      <c r="J1485" s="2413">
        <v>0</v>
      </c>
      <c r="K1485" s="2387"/>
      <c r="L1485" s="2381">
        <v>13127000600</v>
      </c>
      <c r="M1485" s="2382">
        <v>0</v>
      </c>
      <c r="N1485" s="2382">
        <v>0</v>
      </c>
      <c r="O1485" s="2383">
        <v>0</v>
      </c>
    </row>
    <row r="1486" spans="3:15">
      <c r="C1486" s="2388" t="s">
        <v>5984</v>
      </c>
      <c r="D1486" s="2385">
        <v>0</v>
      </c>
      <c r="E1486" s="2385">
        <v>0</v>
      </c>
      <c r="F1486" s="2386">
        <v>0</v>
      </c>
      <c r="G1486" s="2412" t="s">
        <v>5984</v>
      </c>
      <c r="H1486" s="2383">
        <v>0</v>
      </c>
      <c r="I1486" s="2383">
        <v>0</v>
      </c>
      <c r="J1486" s="2413">
        <v>0</v>
      </c>
      <c r="K1486" s="2387"/>
      <c r="L1486" s="2381">
        <v>13127000700</v>
      </c>
      <c r="M1486" s="2382">
        <v>0</v>
      </c>
      <c r="N1486" s="2382">
        <v>0</v>
      </c>
      <c r="O1486" s="2383">
        <v>0</v>
      </c>
    </row>
    <row r="1487" spans="3:15">
      <c r="C1487" s="2388" t="s">
        <v>5985</v>
      </c>
      <c r="D1487" s="2385">
        <v>0</v>
      </c>
      <c r="E1487" s="2385">
        <v>0</v>
      </c>
      <c r="F1487" s="2386">
        <v>0</v>
      </c>
      <c r="G1487" s="2412" t="s">
        <v>5985</v>
      </c>
      <c r="H1487" s="2383">
        <v>0</v>
      </c>
      <c r="I1487" s="2383">
        <v>0</v>
      </c>
      <c r="J1487" s="2413">
        <v>0</v>
      </c>
      <c r="K1487" s="2387"/>
      <c r="L1487" s="2381">
        <v>13127000800</v>
      </c>
      <c r="M1487" s="2382">
        <v>0</v>
      </c>
      <c r="N1487" s="2382">
        <v>0</v>
      </c>
      <c r="O1487" s="2383">
        <v>0</v>
      </c>
    </row>
    <row r="1488" spans="3:15">
      <c r="C1488" s="2388" t="s">
        <v>5986</v>
      </c>
      <c r="D1488" s="2385">
        <v>0</v>
      </c>
      <c r="E1488" s="2385">
        <v>0</v>
      </c>
      <c r="F1488" s="2386">
        <v>0</v>
      </c>
      <c r="G1488" s="2412" t="s">
        <v>5986</v>
      </c>
      <c r="H1488" s="2383">
        <v>0</v>
      </c>
      <c r="I1488" s="2383">
        <v>0</v>
      </c>
      <c r="J1488" s="2413">
        <v>0</v>
      </c>
      <c r="K1488" s="2387"/>
      <c r="L1488" s="2381">
        <v>13127000900</v>
      </c>
      <c r="M1488" s="2382">
        <v>0</v>
      </c>
      <c r="N1488" s="2382">
        <v>0</v>
      </c>
      <c r="O1488" s="2383">
        <v>0</v>
      </c>
    </row>
    <row r="1489" spans="3:15">
      <c r="C1489" s="2388" t="s">
        <v>5987</v>
      </c>
      <c r="D1489" s="2385">
        <v>1</v>
      </c>
      <c r="E1489" s="2385">
        <v>1</v>
      </c>
      <c r="F1489" s="2386">
        <v>2</v>
      </c>
      <c r="G1489" s="2412" t="s">
        <v>5987</v>
      </c>
      <c r="H1489" s="2383">
        <v>1</v>
      </c>
      <c r="I1489" s="2383">
        <v>0</v>
      </c>
      <c r="J1489" s="2413">
        <v>1</v>
      </c>
      <c r="K1489" s="2387"/>
      <c r="L1489" s="2381">
        <v>13127001000</v>
      </c>
      <c r="M1489" s="2382">
        <v>1</v>
      </c>
      <c r="N1489" s="2382">
        <v>1</v>
      </c>
      <c r="O1489" s="2383">
        <v>2</v>
      </c>
    </row>
    <row r="1490" spans="3:15">
      <c r="C1490" s="2388" t="s">
        <v>5988</v>
      </c>
      <c r="D1490" s="2385" t="s">
        <v>4493</v>
      </c>
      <c r="E1490" s="2385" t="s">
        <v>4493</v>
      </c>
      <c r="F1490" s="2386">
        <v>0</v>
      </c>
      <c r="G1490" s="2412" t="s">
        <v>5988</v>
      </c>
      <c r="H1490" s="2383" t="s">
        <v>4493</v>
      </c>
      <c r="I1490" s="2383" t="s">
        <v>4493</v>
      </c>
      <c r="J1490" s="2413">
        <v>0</v>
      </c>
      <c r="K1490" s="2387"/>
      <c r="L1490" s="2381">
        <v>13127990000</v>
      </c>
      <c r="M1490" s="2382">
        <v>0</v>
      </c>
      <c r="N1490" s="2382">
        <v>0</v>
      </c>
      <c r="O1490" s="2383">
        <v>0</v>
      </c>
    </row>
    <row r="1491" spans="3:15">
      <c r="C1491" s="2388" t="s">
        <v>5989</v>
      </c>
      <c r="D1491" s="2385">
        <v>0</v>
      </c>
      <c r="E1491" s="2385">
        <v>0</v>
      </c>
      <c r="F1491" s="2386">
        <v>0</v>
      </c>
      <c r="G1491" s="2412" t="s">
        <v>5989</v>
      </c>
      <c r="H1491" s="2383">
        <v>0</v>
      </c>
      <c r="I1491" s="2383">
        <v>0</v>
      </c>
      <c r="J1491" s="2413">
        <v>0</v>
      </c>
      <c r="K1491" s="2387"/>
      <c r="L1491" s="2381">
        <v>13129970100</v>
      </c>
      <c r="M1491" s="2382">
        <v>0</v>
      </c>
      <c r="N1491" s="2382">
        <v>0</v>
      </c>
      <c r="O1491" s="2383">
        <v>0</v>
      </c>
    </row>
    <row r="1492" spans="3:15">
      <c r="C1492" s="2388" t="s">
        <v>5990</v>
      </c>
      <c r="D1492" s="2385">
        <v>0</v>
      </c>
      <c r="E1492" s="2385">
        <v>0</v>
      </c>
      <c r="F1492" s="2386">
        <v>0</v>
      </c>
      <c r="G1492" s="2412" t="s">
        <v>5990</v>
      </c>
      <c r="H1492" s="2383">
        <v>0</v>
      </c>
      <c r="I1492" s="2383">
        <v>0</v>
      </c>
      <c r="J1492" s="2413">
        <v>0</v>
      </c>
      <c r="K1492" s="2387"/>
      <c r="L1492" s="2381">
        <v>13129970200</v>
      </c>
      <c r="M1492" s="2382">
        <v>0</v>
      </c>
      <c r="N1492" s="2382">
        <v>0</v>
      </c>
      <c r="O1492" s="2383">
        <v>0</v>
      </c>
    </row>
    <row r="1493" spans="3:15">
      <c r="C1493" s="2388" t="s">
        <v>5991</v>
      </c>
      <c r="D1493" s="2385">
        <v>0</v>
      </c>
      <c r="E1493" s="2385">
        <v>0</v>
      </c>
      <c r="F1493" s="2386">
        <v>0</v>
      </c>
      <c r="G1493" s="2412" t="s">
        <v>5991</v>
      </c>
      <c r="H1493" s="2383">
        <v>0</v>
      </c>
      <c r="I1493" s="2383">
        <v>0</v>
      </c>
      <c r="J1493" s="2413">
        <v>0</v>
      </c>
      <c r="K1493" s="2387"/>
      <c r="L1493" s="2381">
        <v>13129970300</v>
      </c>
      <c r="M1493" s="2382">
        <v>0</v>
      </c>
      <c r="N1493" s="2382">
        <v>0</v>
      </c>
      <c r="O1493" s="2383">
        <v>0</v>
      </c>
    </row>
    <row r="1494" spans="3:15">
      <c r="C1494" s="2388" t="s">
        <v>5992</v>
      </c>
      <c r="D1494" s="2385">
        <v>0</v>
      </c>
      <c r="E1494" s="2385">
        <v>0</v>
      </c>
      <c r="F1494" s="2386">
        <v>0</v>
      </c>
      <c r="G1494" s="2412" t="s">
        <v>5992</v>
      </c>
      <c r="H1494" s="2383">
        <v>0</v>
      </c>
      <c r="I1494" s="2383">
        <v>0</v>
      </c>
      <c r="J1494" s="2413">
        <v>0</v>
      </c>
      <c r="K1494" s="2387"/>
      <c r="L1494" s="2381">
        <v>13129970400</v>
      </c>
      <c r="M1494" s="2382">
        <v>0</v>
      </c>
      <c r="N1494" s="2382">
        <v>0</v>
      </c>
      <c r="O1494" s="2383">
        <v>0</v>
      </c>
    </row>
    <row r="1495" spans="3:15">
      <c r="C1495" s="2388" t="s">
        <v>5993</v>
      </c>
      <c r="D1495" s="2385">
        <v>0</v>
      </c>
      <c r="E1495" s="2385">
        <v>0</v>
      </c>
      <c r="F1495" s="2386">
        <v>0</v>
      </c>
      <c r="G1495" s="2412" t="s">
        <v>5993</v>
      </c>
      <c r="H1495" s="2383">
        <v>0</v>
      </c>
      <c r="I1495" s="2383">
        <v>0</v>
      </c>
      <c r="J1495" s="2413">
        <v>0</v>
      </c>
      <c r="K1495" s="2387"/>
      <c r="L1495" s="2381">
        <v>13129970500</v>
      </c>
      <c r="M1495" s="2382">
        <v>0</v>
      </c>
      <c r="N1495" s="2382">
        <v>0</v>
      </c>
      <c r="O1495" s="2383">
        <v>0</v>
      </c>
    </row>
    <row r="1496" spans="3:15">
      <c r="C1496" s="2388" t="s">
        <v>5994</v>
      </c>
      <c r="D1496" s="2385">
        <v>0</v>
      </c>
      <c r="E1496" s="2385">
        <v>0</v>
      </c>
      <c r="F1496" s="2386">
        <v>0</v>
      </c>
      <c r="G1496" s="2412" t="s">
        <v>5994</v>
      </c>
      <c r="H1496" s="2383">
        <v>0</v>
      </c>
      <c r="I1496" s="2383">
        <v>0</v>
      </c>
      <c r="J1496" s="2413">
        <v>0</v>
      </c>
      <c r="K1496" s="2387"/>
      <c r="L1496" s="2381">
        <v>13129970600</v>
      </c>
      <c r="M1496" s="2382">
        <v>0</v>
      </c>
      <c r="N1496" s="2382">
        <v>0</v>
      </c>
      <c r="O1496" s="2383">
        <v>0</v>
      </c>
    </row>
    <row r="1497" spans="3:15">
      <c r="C1497" s="2388" t="s">
        <v>5995</v>
      </c>
      <c r="D1497" s="2385">
        <v>0</v>
      </c>
      <c r="E1497" s="2385">
        <v>0</v>
      </c>
      <c r="F1497" s="2386">
        <v>0</v>
      </c>
      <c r="G1497" s="2412" t="s">
        <v>5995</v>
      </c>
      <c r="H1497" s="2383">
        <v>0</v>
      </c>
      <c r="I1497" s="2383">
        <v>0</v>
      </c>
      <c r="J1497" s="2413">
        <v>0</v>
      </c>
      <c r="K1497" s="2387"/>
      <c r="L1497" s="2381">
        <v>13129970700</v>
      </c>
      <c r="M1497" s="2382">
        <v>0</v>
      </c>
      <c r="N1497" s="2382">
        <v>0</v>
      </c>
      <c r="O1497" s="2383">
        <v>0</v>
      </c>
    </row>
    <row r="1498" spans="3:15">
      <c r="C1498" s="2388" t="s">
        <v>5996</v>
      </c>
      <c r="D1498" s="2385">
        <v>1</v>
      </c>
      <c r="E1498" s="2385">
        <v>1</v>
      </c>
      <c r="F1498" s="2386">
        <v>2</v>
      </c>
      <c r="G1498" s="2412" t="s">
        <v>5996</v>
      </c>
      <c r="H1498" s="2383">
        <v>1</v>
      </c>
      <c r="I1498" s="2383">
        <v>1</v>
      </c>
      <c r="J1498" s="2413">
        <v>2</v>
      </c>
      <c r="K1498" s="2387"/>
      <c r="L1498" s="2381">
        <v>13129970800</v>
      </c>
      <c r="M1498" s="2382">
        <v>1</v>
      </c>
      <c r="N1498" s="2382">
        <v>1</v>
      </c>
      <c r="O1498" s="2383">
        <v>2</v>
      </c>
    </row>
    <row r="1499" spans="3:15">
      <c r="C1499" s="2388" t="s">
        <v>5997</v>
      </c>
      <c r="D1499" s="2385">
        <v>1</v>
      </c>
      <c r="E1499" s="2385">
        <v>0</v>
      </c>
      <c r="F1499" s="2386">
        <v>1</v>
      </c>
      <c r="G1499" s="2412" t="s">
        <v>5997</v>
      </c>
      <c r="H1499" s="2383">
        <v>1</v>
      </c>
      <c r="I1499" s="2383">
        <v>1</v>
      </c>
      <c r="J1499" s="2413">
        <v>2</v>
      </c>
      <c r="K1499" s="2387"/>
      <c r="L1499" s="2381">
        <v>13129970900</v>
      </c>
      <c r="M1499" s="2382">
        <v>1</v>
      </c>
      <c r="N1499" s="2382">
        <v>1</v>
      </c>
      <c r="O1499" s="2383">
        <v>2</v>
      </c>
    </row>
    <row r="1500" spans="3:15">
      <c r="C1500" s="2388" t="s">
        <v>5998</v>
      </c>
      <c r="D1500" s="2385">
        <v>0</v>
      </c>
      <c r="E1500" s="2385">
        <v>0</v>
      </c>
      <c r="F1500" s="2386">
        <v>0</v>
      </c>
      <c r="G1500" s="2412" t="s">
        <v>5998</v>
      </c>
      <c r="H1500" s="2383">
        <v>0</v>
      </c>
      <c r="I1500" s="2383">
        <v>1</v>
      </c>
      <c r="J1500" s="2413">
        <v>1</v>
      </c>
      <c r="K1500" s="2387"/>
      <c r="L1500" s="2381">
        <v>13131950100</v>
      </c>
      <c r="M1500" s="2382">
        <v>0</v>
      </c>
      <c r="N1500" s="2382">
        <v>1</v>
      </c>
      <c r="O1500" s="2383">
        <v>1</v>
      </c>
    </row>
    <row r="1501" spans="3:15">
      <c r="C1501" s="2388" t="s">
        <v>5999</v>
      </c>
      <c r="D1501" s="2385">
        <v>0</v>
      </c>
      <c r="E1501" s="2385">
        <v>0</v>
      </c>
      <c r="F1501" s="2386">
        <v>0</v>
      </c>
      <c r="G1501" s="2412" t="s">
        <v>5999</v>
      </c>
      <c r="H1501" s="2383">
        <v>0</v>
      </c>
      <c r="I1501" s="2383">
        <v>0</v>
      </c>
      <c r="J1501" s="2413">
        <v>0</v>
      </c>
      <c r="K1501" s="2387"/>
      <c r="L1501" s="2381">
        <v>13131950200</v>
      </c>
      <c r="M1501" s="2382">
        <v>0</v>
      </c>
      <c r="N1501" s="2382">
        <v>0</v>
      </c>
      <c r="O1501" s="2383">
        <v>0</v>
      </c>
    </row>
    <row r="1502" spans="3:15">
      <c r="C1502" s="2388" t="s">
        <v>6000</v>
      </c>
      <c r="D1502" s="2385">
        <v>0</v>
      </c>
      <c r="E1502" s="2385">
        <v>0</v>
      </c>
      <c r="F1502" s="2386">
        <v>0</v>
      </c>
      <c r="G1502" s="2412" t="s">
        <v>6000</v>
      </c>
      <c r="H1502" s="2383">
        <v>0</v>
      </c>
      <c r="I1502" s="2383">
        <v>0</v>
      </c>
      <c r="J1502" s="2413">
        <v>0</v>
      </c>
      <c r="K1502" s="2387"/>
      <c r="L1502" s="2381">
        <v>13131950300</v>
      </c>
      <c r="M1502" s="2382">
        <v>0</v>
      </c>
      <c r="N1502" s="2382">
        <v>0</v>
      </c>
      <c r="O1502" s="2383">
        <v>0</v>
      </c>
    </row>
    <row r="1503" spans="3:15">
      <c r="C1503" s="2388" t="s">
        <v>6001</v>
      </c>
      <c r="D1503" s="2385">
        <v>0</v>
      </c>
      <c r="E1503" s="2385">
        <v>0</v>
      </c>
      <c r="F1503" s="2386">
        <v>0</v>
      </c>
      <c r="G1503" s="2412" t="s">
        <v>6001</v>
      </c>
      <c r="H1503" s="2383">
        <v>0</v>
      </c>
      <c r="I1503" s="2383">
        <v>0</v>
      </c>
      <c r="J1503" s="2413">
        <v>0</v>
      </c>
      <c r="K1503" s="2387"/>
      <c r="L1503" s="2381">
        <v>13131950400</v>
      </c>
      <c r="M1503" s="2382">
        <v>0</v>
      </c>
      <c r="N1503" s="2382">
        <v>0</v>
      </c>
      <c r="O1503" s="2383">
        <v>0</v>
      </c>
    </row>
    <row r="1504" spans="3:15">
      <c r="C1504" s="2388" t="s">
        <v>6002</v>
      </c>
      <c r="D1504" s="2385">
        <v>0</v>
      </c>
      <c r="E1504" s="2385">
        <v>0</v>
      </c>
      <c r="F1504" s="2386">
        <v>0</v>
      </c>
      <c r="G1504" s="2412" t="s">
        <v>6002</v>
      </c>
      <c r="H1504" s="2383">
        <v>0</v>
      </c>
      <c r="I1504" s="2383">
        <v>0</v>
      </c>
      <c r="J1504" s="2413">
        <v>0</v>
      </c>
      <c r="K1504" s="2387"/>
      <c r="L1504" s="2381">
        <v>13131950500</v>
      </c>
      <c r="M1504" s="2382">
        <v>0</v>
      </c>
      <c r="N1504" s="2382">
        <v>0</v>
      </c>
      <c r="O1504" s="2383">
        <v>0</v>
      </c>
    </row>
    <row r="1505" spans="3:15">
      <c r="C1505" s="2388" t="s">
        <v>6003</v>
      </c>
      <c r="D1505" s="2385">
        <v>1</v>
      </c>
      <c r="E1505" s="2385">
        <v>0</v>
      </c>
      <c r="F1505" s="2386">
        <v>1</v>
      </c>
      <c r="G1505" s="2412" t="s">
        <v>6003</v>
      </c>
      <c r="H1505" s="2383">
        <v>1</v>
      </c>
      <c r="I1505" s="2383">
        <v>1</v>
      </c>
      <c r="J1505" s="2413">
        <v>2</v>
      </c>
      <c r="K1505" s="2387"/>
      <c r="L1505" s="2381">
        <v>13131950600</v>
      </c>
      <c r="M1505" s="2382">
        <v>1</v>
      </c>
      <c r="N1505" s="2382">
        <v>1</v>
      </c>
      <c r="O1505" s="2383">
        <v>2</v>
      </c>
    </row>
    <row r="1506" spans="3:15">
      <c r="C1506" s="2388" t="s">
        <v>6004</v>
      </c>
      <c r="D1506" s="2385">
        <v>0</v>
      </c>
      <c r="E1506" s="2385">
        <v>0</v>
      </c>
      <c r="F1506" s="2386">
        <v>0</v>
      </c>
      <c r="G1506" s="2412" t="s">
        <v>6004</v>
      </c>
      <c r="H1506" s="2383">
        <v>0</v>
      </c>
      <c r="I1506" s="2383" t="s">
        <v>4493</v>
      </c>
      <c r="J1506" s="2413">
        <v>0</v>
      </c>
      <c r="K1506" s="2387"/>
      <c r="L1506" s="2381">
        <v>13133950100</v>
      </c>
      <c r="M1506" s="2382">
        <v>0</v>
      </c>
      <c r="N1506" s="2382">
        <v>0</v>
      </c>
      <c r="O1506" s="2383">
        <v>0</v>
      </c>
    </row>
    <row r="1507" spans="3:15">
      <c r="C1507" s="2388" t="s">
        <v>6005</v>
      </c>
      <c r="D1507" s="2385">
        <v>0</v>
      </c>
      <c r="E1507" s="2385">
        <v>0</v>
      </c>
      <c r="F1507" s="2386">
        <v>0</v>
      </c>
      <c r="G1507" s="2412" t="s">
        <v>6005</v>
      </c>
      <c r="H1507" s="2383">
        <v>0</v>
      </c>
      <c r="I1507" s="2383">
        <v>0</v>
      </c>
      <c r="J1507" s="2413">
        <v>0</v>
      </c>
      <c r="K1507" s="2387"/>
      <c r="L1507" s="2381">
        <v>13133950200</v>
      </c>
      <c r="M1507" s="2382">
        <v>0</v>
      </c>
      <c r="N1507" s="2382">
        <v>0</v>
      </c>
      <c r="O1507" s="2383">
        <v>0</v>
      </c>
    </row>
    <row r="1508" spans="3:15">
      <c r="C1508" s="2388" t="s">
        <v>6006</v>
      </c>
      <c r="D1508" s="2385">
        <v>1</v>
      </c>
      <c r="E1508" s="2385">
        <v>1</v>
      </c>
      <c r="F1508" s="2386">
        <v>2</v>
      </c>
      <c r="G1508" s="2412" t="s">
        <v>6006</v>
      </c>
      <c r="H1508" s="2383">
        <v>1</v>
      </c>
      <c r="I1508" s="2383" t="s">
        <v>4493</v>
      </c>
      <c r="J1508" s="2413">
        <v>1</v>
      </c>
      <c r="K1508" s="2387"/>
      <c r="L1508" s="2381">
        <v>13133950301</v>
      </c>
      <c r="M1508" s="2382">
        <v>1</v>
      </c>
      <c r="N1508" s="2382">
        <v>1</v>
      </c>
      <c r="O1508" s="2383">
        <v>2</v>
      </c>
    </row>
    <row r="1509" spans="3:15">
      <c r="C1509" s="2388" t="s">
        <v>6007</v>
      </c>
      <c r="D1509" s="2385">
        <v>1</v>
      </c>
      <c r="E1509" s="2385">
        <v>1</v>
      </c>
      <c r="F1509" s="2386">
        <v>2</v>
      </c>
      <c r="G1509" s="2412" t="s">
        <v>6007</v>
      </c>
      <c r="H1509" s="2383">
        <v>1</v>
      </c>
      <c r="I1509" s="2383">
        <v>1</v>
      </c>
      <c r="J1509" s="2413">
        <v>2</v>
      </c>
      <c r="K1509" s="2387"/>
      <c r="L1509" s="2381">
        <v>13133950302</v>
      </c>
      <c r="M1509" s="2382">
        <v>1</v>
      </c>
      <c r="N1509" s="2382">
        <v>1</v>
      </c>
      <c r="O1509" s="2383">
        <v>2</v>
      </c>
    </row>
    <row r="1510" spans="3:15">
      <c r="C1510" s="2388" t="s">
        <v>6008</v>
      </c>
      <c r="D1510" s="2385">
        <v>0</v>
      </c>
      <c r="E1510" s="2385">
        <v>0</v>
      </c>
      <c r="F1510" s="2386">
        <v>0</v>
      </c>
      <c r="G1510" s="2412" t="s">
        <v>6008</v>
      </c>
      <c r="H1510" s="2383">
        <v>0</v>
      </c>
      <c r="I1510" s="2383">
        <v>0</v>
      </c>
      <c r="J1510" s="2413">
        <v>0</v>
      </c>
      <c r="K1510" s="2387"/>
      <c r="L1510" s="2381">
        <v>13133950303</v>
      </c>
      <c r="M1510" s="2382">
        <v>0</v>
      </c>
      <c r="N1510" s="2382">
        <v>0</v>
      </c>
      <c r="O1510" s="2383">
        <v>0</v>
      </c>
    </row>
    <row r="1511" spans="3:15">
      <c r="C1511" s="2388" t="s">
        <v>6009</v>
      </c>
      <c r="D1511" s="2385">
        <v>0</v>
      </c>
      <c r="E1511" s="2385">
        <v>0</v>
      </c>
      <c r="F1511" s="2386">
        <v>0</v>
      </c>
      <c r="G1511" s="2412" t="s">
        <v>6009</v>
      </c>
      <c r="H1511" s="2383">
        <v>0</v>
      </c>
      <c r="I1511" s="2383">
        <v>0</v>
      </c>
      <c r="J1511" s="2413">
        <v>0</v>
      </c>
      <c r="K1511" s="2387"/>
      <c r="L1511" s="2381">
        <v>13133950400</v>
      </c>
      <c r="M1511" s="2382">
        <v>0</v>
      </c>
      <c r="N1511" s="2382">
        <v>0</v>
      </c>
      <c r="O1511" s="2383">
        <v>0</v>
      </c>
    </row>
    <row r="1512" spans="3:15">
      <c r="C1512" s="2388" t="s">
        <v>6010</v>
      </c>
      <c r="D1512" s="2385">
        <v>1</v>
      </c>
      <c r="E1512" s="2385">
        <v>0</v>
      </c>
      <c r="F1512" s="2386">
        <v>1</v>
      </c>
      <c r="G1512" s="2412" t="s">
        <v>6010</v>
      </c>
      <c r="H1512" s="2383">
        <v>0</v>
      </c>
      <c r="I1512" s="2383">
        <v>0</v>
      </c>
      <c r="J1512" s="2413">
        <v>0</v>
      </c>
      <c r="K1512" s="2387"/>
      <c r="L1512" s="2381">
        <v>13133950500</v>
      </c>
      <c r="M1512" s="2382">
        <v>1</v>
      </c>
      <c r="N1512" s="2382">
        <v>0</v>
      </c>
      <c r="O1512" s="2383">
        <v>1</v>
      </c>
    </row>
    <row r="1513" spans="3:15">
      <c r="C1513" s="2388" t="s">
        <v>6011</v>
      </c>
      <c r="D1513" s="2385">
        <v>1</v>
      </c>
      <c r="E1513" s="2385">
        <v>1</v>
      </c>
      <c r="F1513" s="2386">
        <v>2</v>
      </c>
      <c r="G1513" s="2412" t="s">
        <v>6011</v>
      </c>
      <c r="H1513" s="2383">
        <v>1</v>
      </c>
      <c r="I1513" s="2383">
        <v>0</v>
      </c>
      <c r="J1513" s="2413">
        <v>1</v>
      </c>
      <c r="K1513" s="2387"/>
      <c r="L1513" s="2381">
        <v>13135050103</v>
      </c>
      <c r="M1513" s="2382">
        <v>1</v>
      </c>
      <c r="N1513" s="2382">
        <v>1</v>
      </c>
      <c r="O1513" s="2383">
        <v>2</v>
      </c>
    </row>
    <row r="1514" spans="3:15">
      <c r="C1514" s="2388" t="s">
        <v>6012</v>
      </c>
      <c r="D1514" s="2385">
        <v>0</v>
      </c>
      <c r="E1514" s="2385">
        <v>0</v>
      </c>
      <c r="F1514" s="2386">
        <v>0</v>
      </c>
      <c r="G1514" s="2412" t="s">
        <v>6012</v>
      </c>
      <c r="H1514" s="2383">
        <v>0</v>
      </c>
      <c r="I1514" s="2383">
        <v>0</v>
      </c>
      <c r="J1514" s="2413">
        <v>0</v>
      </c>
      <c r="K1514" s="2387"/>
      <c r="L1514" s="2381">
        <v>13135050105</v>
      </c>
      <c r="M1514" s="2382">
        <v>0</v>
      </c>
      <c r="N1514" s="2382">
        <v>0</v>
      </c>
      <c r="O1514" s="2383">
        <v>0</v>
      </c>
    </row>
    <row r="1515" spans="3:15">
      <c r="C1515" s="2388" t="s">
        <v>6013</v>
      </c>
      <c r="D1515" s="2385">
        <v>1</v>
      </c>
      <c r="E1515" s="2385">
        <v>0</v>
      </c>
      <c r="F1515" s="2386">
        <v>1</v>
      </c>
      <c r="G1515" s="2412" t="s">
        <v>6013</v>
      </c>
      <c r="H1515" s="2383">
        <v>1</v>
      </c>
      <c r="I1515" s="2383">
        <v>0</v>
      </c>
      <c r="J1515" s="2413">
        <v>1</v>
      </c>
      <c r="K1515" s="2387"/>
      <c r="L1515" s="2381">
        <v>13135050106</v>
      </c>
      <c r="M1515" s="2382">
        <v>1</v>
      </c>
      <c r="N1515" s="2382">
        <v>0</v>
      </c>
      <c r="O1515" s="2383">
        <v>1</v>
      </c>
    </row>
    <row r="1516" spans="3:15">
      <c r="C1516" s="2388" t="s">
        <v>6014</v>
      </c>
      <c r="D1516" s="2385">
        <v>1</v>
      </c>
      <c r="E1516" s="2385">
        <v>1</v>
      </c>
      <c r="F1516" s="2386">
        <v>2</v>
      </c>
      <c r="G1516" s="2412" t="s">
        <v>6014</v>
      </c>
      <c r="H1516" s="2383">
        <v>1</v>
      </c>
      <c r="I1516" s="2383">
        <v>1</v>
      </c>
      <c r="J1516" s="2413">
        <v>2</v>
      </c>
      <c r="K1516" s="2387"/>
      <c r="L1516" s="2381">
        <v>13135050107</v>
      </c>
      <c r="M1516" s="2382">
        <v>1</v>
      </c>
      <c r="N1516" s="2382">
        <v>1</v>
      </c>
      <c r="O1516" s="2383">
        <v>2</v>
      </c>
    </row>
    <row r="1517" spans="3:15">
      <c r="C1517" s="2388" t="s">
        <v>6015</v>
      </c>
      <c r="D1517" s="2385">
        <v>1</v>
      </c>
      <c r="E1517" s="2385">
        <v>1</v>
      </c>
      <c r="F1517" s="2386">
        <v>2</v>
      </c>
      <c r="G1517" s="2412" t="s">
        <v>6015</v>
      </c>
      <c r="H1517" s="2383">
        <v>1</v>
      </c>
      <c r="I1517" s="2383">
        <v>1</v>
      </c>
      <c r="J1517" s="2413">
        <v>2</v>
      </c>
      <c r="K1517" s="2387"/>
      <c r="L1517" s="2381">
        <v>13135050108</v>
      </c>
      <c r="M1517" s="2382">
        <v>1</v>
      </c>
      <c r="N1517" s="2382">
        <v>1</v>
      </c>
      <c r="O1517" s="2383">
        <v>2</v>
      </c>
    </row>
    <row r="1518" spans="3:15">
      <c r="C1518" s="2388" t="s">
        <v>6016</v>
      </c>
      <c r="D1518" s="2385">
        <v>1</v>
      </c>
      <c r="E1518" s="2385">
        <v>1</v>
      </c>
      <c r="F1518" s="2386">
        <v>2</v>
      </c>
      <c r="G1518" s="2412" t="s">
        <v>6016</v>
      </c>
      <c r="H1518" s="2383">
        <v>1</v>
      </c>
      <c r="I1518" s="2383">
        <v>0</v>
      </c>
      <c r="J1518" s="2413">
        <v>1</v>
      </c>
      <c r="K1518" s="2387"/>
      <c r="L1518" s="2381">
        <v>13135050109</v>
      </c>
      <c r="M1518" s="2382">
        <v>1</v>
      </c>
      <c r="N1518" s="2382">
        <v>1</v>
      </c>
      <c r="O1518" s="2383">
        <v>2</v>
      </c>
    </row>
    <row r="1519" spans="3:15">
      <c r="C1519" s="2388" t="s">
        <v>6017</v>
      </c>
      <c r="D1519" s="2385">
        <v>1</v>
      </c>
      <c r="E1519" s="2385">
        <v>0</v>
      </c>
      <c r="F1519" s="2386">
        <v>1</v>
      </c>
      <c r="G1519" s="2412" t="s">
        <v>6017</v>
      </c>
      <c r="H1519" s="2383">
        <v>1</v>
      </c>
      <c r="I1519" s="2383">
        <v>0</v>
      </c>
      <c r="J1519" s="2413">
        <v>1</v>
      </c>
      <c r="K1519" s="2387"/>
      <c r="L1519" s="2381">
        <v>13135050205</v>
      </c>
      <c r="M1519" s="2382">
        <v>1</v>
      </c>
      <c r="N1519" s="2382">
        <v>0</v>
      </c>
      <c r="O1519" s="2383">
        <v>1</v>
      </c>
    </row>
    <row r="1520" spans="3:15">
      <c r="C1520" s="2388" t="s">
        <v>6018</v>
      </c>
      <c r="D1520" s="2385">
        <v>1</v>
      </c>
      <c r="E1520" s="2385">
        <v>1</v>
      </c>
      <c r="F1520" s="2386">
        <v>2</v>
      </c>
      <c r="G1520" s="2412" t="s">
        <v>6018</v>
      </c>
      <c r="H1520" s="2383">
        <v>1</v>
      </c>
      <c r="I1520" s="2383">
        <v>1</v>
      </c>
      <c r="J1520" s="2413">
        <v>2</v>
      </c>
      <c r="K1520" s="2387"/>
      <c r="L1520" s="2381">
        <v>13135050208</v>
      </c>
      <c r="M1520" s="2382">
        <v>1</v>
      </c>
      <c r="N1520" s="2382">
        <v>1</v>
      </c>
      <c r="O1520" s="2383">
        <v>2</v>
      </c>
    </row>
    <row r="1521" spans="3:15">
      <c r="C1521" s="2388" t="s">
        <v>6019</v>
      </c>
      <c r="D1521" s="2385">
        <v>0</v>
      </c>
      <c r="E1521" s="2385">
        <v>0</v>
      </c>
      <c r="F1521" s="2386">
        <v>0</v>
      </c>
      <c r="G1521" s="2412" t="s">
        <v>6019</v>
      </c>
      <c r="H1521" s="2383">
        <v>1</v>
      </c>
      <c r="I1521" s="2383">
        <v>0</v>
      </c>
      <c r="J1521" s="2413">
        <v>1</v>
      </c>
      <c r="K1521" s="2387"/>
      <c r="L1521" s="2381">
        <v>13135050209</v>
      </c>
      <c r="M1521" s="2382">
        <v>1</v>
      </c>
      <c r="N1521" s="2382">
        <v>0</v>
      </c>
      <c r="O1521" s="2383">
        <v>1</v>
      </c>
    </row>
    <row r="1522" spans="3:15">
      <c r="C1522" s="2388" t="s">
        <v>6020</v>
      </c>
      <c r="D1522" s="2385">
        <v>1</v>
      </c>
      <c r="E1522" s="2385">
        <v>1</v>
      </c>
      <c r="F1522" s="2386">
        <v>2</v>
      </c>
      <c r="G1522" s="2412" t="s">
        <v>6020</v>
      </c>
      <c r="H1522" s="2383">
        <v>1</v>
      </c>
      <c r="I1522" s="2383">
        <v>1</v>
      </c>
      <c r="J1522" s="2413">
        <v>2</v>
      </c>
      <c r="K1522" s="2387"/>
      <c r="L1522" s="2381">
        <v>13135050210</v>
      </c>
      <c r="M1522" s="2382">
        <v>1</v>
      </c>
      <c r="N1522" s="2382">
        <v>1</v>
      </c>
      <c r="O1522" s="2383">
        <v>2</v>
      </c>
    </row>
    <row r="1523" spans="3:15">
      <c r="C1523" s="2388" t="s">
        <v>6021</v>
      </c>
      <c r="D1523" s="2385">
        <v>0</v>
      </c>
      <c r="E1523" s="2385">
        <v>0</v>
      </c>
      <c r="F1523" s="2386">
        <v>0</v>
      </c>
      <c r="G1523" s="2412" t="s">
        <v>6021</v>
      </c>
      <c r="H1523" s="2383">
        <v>0</v>
      </c>
      <c r="I1523" s="2383">
        <v>0</v>
      </c>
      <c r="J1523" s="2413">
        <v>0</v>
      </c>
      <c r="K1523" s="2387"/>
      <c r="L1523" s="2381">
        <v>13135050211</v>
      </c>
      <c r="M1523" s="2382">
        <v>0</v>
      </c>
      <c r="N1523" s="2382">
        <v>0</v>
      </c>
      <c r="O1523" s="2383">
        <v>0</v>
      </c>
    </row>
    <row r="1524" spans="3:15">
      <c r="C1524" s="2388" t="s">
        <v>6022</v>
      </c>
      <c r="D1524" s="2385">
        <v>1</v>
      </c>
      <c r="E1524" s="2385">
        <v>1</v>
      </c>
      <c r="F1524" s="2386">
        <v>2</v>
      </c>
      <c r="G1524" s="2412" t="s">
        <v>6022</v>
      </c>
      <c r="H1524" s="2383">
        <v>1</v>
      </c>
      <c r="I1524" s="2383">
        <v>1</v>
      </c>
      <c r="J1524" s="2413">
        <v>2</v>
      </c>
      <c r="K1524" s="2387"/>
      <c r="L1524" s="2381">
        <v>13135050212</v>
      </c>
      <c r="M1524" s="2382">
        <v>1</v>
      </c>
      <c r="N1524" s="2382">
        <v>1</v>
      </c>
      <c r="O1524" s="2383">
        <v>2</v>
      </c>
    </row>
    <row r="1525" spans="3:15">
      <c r="C1525" s="2388" t="s">
        <v>6023</v>
      </c>
      <c r="D1525" s="2385">
        <v>1</v>
      </c>
      <c r="E1525" s="2385">
        <v>1</v>
      </c>
      <c r="F1525" s="2386">
        <v>2</v>
      </c>
      <c r="G1525" s="2412" t="s">
        <v>6023</v>
      </c>
      <c r="H1525" s="2383">
        <v>1</v>
      </c>
      <c r="I1525" s="2383">
        <v>1</v>
      </c>
      <c r="J1525" s="2413">
        <v>2</v>
      </c>
      <c r="K1525" s="2387"/>
      <c r="L1525" s="2381">
        <v>13135050213</v>
      </c>
      <c r="M1525" s="2382">
        <v>1</v>
      </c>
      <c r="N1525" s="2382">
        <v>1</v>
      </c>
      <c r="O1525" s="2383">
        <v>2</v>
      </c>
    </row>
    <row r="1526" spans="3:15">
      <c r="C1526" s="2388" t="s">
        <v>6024</v>
      </c>
      <c r="D1526" s="2385">
        <v>1</v>
      </c>
      <c r="E1526" s="2385">
        <v>1</v>
      </c>
      <c r="F1526" s="2386">
        <v>2</v>
      </c>
      <c r="G1526" s="2412" t="s">
        <v>6024</v>
      </c>
      <c r="H1526" s="2383">
        <v>1</v>
      </c>
      <c r="I1526" s="2383">
        <v>1</v>
      </c>
      <c r="J1526" s="2413">
        <v>2</v>
      </c>
      <c r="K1526" s="2387"/>
      <c r="L1526" s="2381">
        <v>13135050214</v>
      </c>
      <c r="M1526" s="2382">
        <v>1</v>
      </c>
      <c r="N1526" s="2382">
        <v>1</v>
      </c>
      <c r="O1526" s="2383">
        <v>2</v>
      </c>
    </row>
    <row r="1527" spans="3:15">
      <c r="C1527" s="2388" t="s">
        <v>6025</v>
      </c>
      <c r="D1527" s="2385">
        <v>1</v>
      </c>
      <c r="E1527" s="2385">
        <v>1</v>
      </c>
      <c r="F1527" s="2386">
        <v>2</v>
      </c>
      <c r="G1527" s="2412" t="s">
        <v>6025</v>
      </c>
      <c r="H1527" s="2383">
        <v>1</v>
      </c>
      <c r="I1527" s="2383" t="s">
        <v>4493</v>
      </c>
      <c r="J1527" s="2413">
        <v>1</v>
      </c>
      <c r="K1527" s="2387"/>
      <c r="L1527" s="2381">
        <v>13135050215</v>
      </c>
      <c r="M1527" s="2382">
        <v>1</v>
      </c>
      <c r="N1527" s="2382">
        <v>1</v>
      </c>
      <c r="O1527" s="2383">
        <v>2</v>
      </c>
    </row>
    <row r="1528" spans="3:15">
      <c r="C1528" s="2388" t="s">
        <v>6026</v>
      </c>
      <c r="D1528" s="2385">
        <v>1</v>
      </c>
      <c r="E1528" s="2385">
        <v>1</v>
      </c>
      <c r="F1528" s="2386">
        <v>2</v>
      </c>
      <c r="G1528" s="2412" t="s">
        <v>6026</v>
      </c>
      <c r="H1528" s="2383">
        <v>1</v>
      </c>
      <c r="I1528" s="2383">
        <v>1</v>
      </c>
      <c r="J1528" s="2413">
        <v>2</v>
      </c>
      <c r="K1528" s="2387"/>
      <c r="L1528" s="2381">
        <v>13135050216</v>
      </c>
      <c r="M1528" s="2382">
        <v>1</v>
      </c>
      <c r="N1528" s="2382">
        <v>1</v>
      </c>
      <c r="O1528" s="2383">
        <v>2</v>
      </c>
    </row>
    <row r="1529" spans="3:15">
      <c r="C1529" s="2388" t="s">
        <v>6027</v>
      </c>
      <c r="D1529" s="2385">
        <v>1</v>
      </c>
      <c r="E1529" s="2385">
        <v>1</v>
      </c>
      <c r="F1529" s="2386">
        <v>2</v>
      </c>
      <c r="G1529" s="2412" t="s">
        <v>6027</v>
      </c>
      <c r="H1529" s="2383">
        <v>1</v>
      </c>
      <c r="I1529" s="2383">
        <v>1</v>
      </c>
      <c r="J1529" s="2413">
        <v>2</v>
      </c>
      <c r="K1529" s="2387"/>
      <c r="L1529" s="2381">
        <v>13135050217</v>
      </c>
      <c r="M1529" s="2382">
        <v>1</v>
      </c>
      <c r="N1529" s="2382">
        <v>1</v>
      </c>
      <c r="O1529" s="2383">
        <v>2</v>
      </c>
    </row>
    <row r="1530" spans="3:15">
      <c r="C1530" s="2388" t="s">
        <v>6028</v>
      </c>
      <c r="D1530" s="2385">
        <v>1</v>
      </c>
      <c r="E1530" s="2385">
        <v>1</v>
      </c>
      <c r="F1530" s="2386">
        <v>2</v>
      </c>
      <c r="G1530" s="2412" t="s">
        <v>6028</v>
      </c>
      <c r="H1530" s="2383">
        <v>1</v>
      </c>
      <c r="I1530" s="2383">
        <v>0</v>
      </c>
      <c r="J1530" s="2413">
        <v>1</v>
      </c>
      <c r="K1530" s="2387"/>
      <c r="L1530" s="2381">
        <v>13135050218</v>
      </c>
      <c r="M1530" s="2382">
        <v>1</v>
      </c>
      <c r="N1530" s="2382">
        <v>1</v>
      </c>
      <c r="O1530" s="2383">
        <v>2</v>
      </c>
    </row>
    <row r="1531" spans="3:15">
      <c r="C1531" s="2388" t="s">
        <v>6029</v>
      </c>
      <c r="D1531" s="2385">
        <v>1</v>
      </c>
      <c r="E1531" s="2385">
        <v>1</v>
      </c>
      <c r="F1531" s="2386">
        <v>2</v>
      </c>
      <c r="G1531" s="2412" t="s">
        <v>6029</v>
      </c>
      <c r="H1531" s="2383">
        <v>1</v>
      </c>
      <c r="I1531" s="2383">
        <v>1</v>
      </c>
      <c r="J1531" s="2413">
        <v>2</v>
      </c>
      <c r="K1531" s="2387"/>
      <c r="L1531" s="2381">
        <v>13135050219</v>
      </c>
      <c r="M1531" s="2382">
        <v>1</v>
      </c>
      <c r="N1531" s="2382">
        <v>1</v>
      </c>
      <c r="O1531" s="2383">
        <v>2</v>
      </c>
    </row>
    <row r="1532" spans="3:15">
      <c r="C1532" s="2388" t="s">
        <v>6030</v>
      </c>
      <c r="D1532" s="2385">
        <v>0</v>
      </c>
      <c r="E1532" s="2385">
        <v>0</v>
      </c>
      <c r="F1532" s="2386">
        <v>0</v>
      </c>
      <c r="G1532" s="2412" t="s">
        <v>6030</v>
      </c>
      <c r="H1532" s="2383">
        <v>1</v>
      </c>
      <c r="I1532" s="2383">
        <v>0</v>
      </c>
      <c r="J1532" s="2413">
        <v>1</v>
      </c>
      <c r="K1532" s="2387"/>
      <c r="L1532" s="2381">
        <v>13135050220</v>
      </c>
      <c r="M1532" s="2382">
        <v>1</v>
      </c>
      <c r="N1532" s="2382">
        <v>0</v>
      </c>
      <c r="O1532" s="2383">
        <v>1</v>
      </c>
    </row>
    <row r="1533" spans="3:15">
      <c r="C1533" s="2388" t="s">
        <v>6031</v>
      </c>
      <c r="D1533" s="2385">
        <v>1</v>
      </c>
      <c r="E1533" s="2385">
        <v>0</v>
      </c>
      <c r="F1533" s="2386">
        <v>1</v>
      </c>
      <c r="G1533" s="2412" t="s">
        <v>6031</v>
      </c>
      <c r="H1533" s="2383">
        <v>1</v>
      </c>
      <c r="I1533" s="2383">
        <v>0</v>
      </c>
      <c r="J1533" s="2413">
        <v>1</v>
      </c>
      <c r="K1533" s="2387"/>
      <c r="L1533" s="2381">
        <v>13135050304</v>
      </c>
      <c r="M1533" s="2382">
        <v>1</v>
      </c>
      <c r="N1533" s="2382">
        <v>0</v>
      </c>
      <c r="O1533" s="2383">
        <v>1</v>
      </c>
    </row>
    <row r="1534" spans="3:15">
      <c r="C1534" s="2388" t="s">
        <v>6032</v>
      </c>
      <c r="D1534" s="2385">
        <v>0</v>
      </c>
      <c r="E1534" s="2385">
        <v>0</v>
      </c>
      <c r="F1534" s="2386">
        <v>0</v>
      </c>
      <c r="G1534" s="2412" t="s">
        <v>6032</v>
      </c>
      <c r="H1534" s="2383">
        <v>1</v>
      </c>
      <c r="I1534" s="2383">
        <v>0</v>
      </c>
      <c r="J1534" s="2413">
        <v>1</v>
      </c>
      <c r="K1534" s="2387"/>
      <c r="L1534" s="2381">
        <v>13135050306</v>
      </c>
      <c r="M1534" s="2382">
        <v>1</v>
      </c>
      <c r="N1534" s="2382">
        <v>0</v>
      </c>
      <c r="O1534" s="2383">
        <v>1</v>
      </c>
    </row>
    <row r="1535" spans="3:15">
      <c r="C1535" s="2388" t="s">
        <v>6033</v>
      </c>
      <c r="D1535" s="2385">
        <v>1</v>
      </c>
      <c r="E1535" s="2385">
        <v>1</v>
      </c>
      <c r="F1535" s="2386">
        <v>2</v>
      </c>
      <c r="G1535" s="2412" t="s">
        <v>6033</v>
      </c>
      <c r="H1535" s="2383">
        <v>1</v>
      </c>
      <c r="I1535" s="2383">
        <v>1</v>
      </c>
      <c r="J1535" s="2413">
        <v>2</v>
      </c>
      <c r="K1535" s="2387"/>
      <c r="L1535" s="2381">
        <v>13135050308</v>
      </c>
      <c r="M1535" s="2382">
        <v>1</v>
      </c>
      <c r="N1535" s="2382">
        <v>1</v>
      </c>
      <c r="O1535" s="2383">
        <v>2</v>
      </c>
    </row>
    <row r="1536" spans="3:15">
      <c r="C1536" s="2388" t="s">
        <v>6034</v>
      </c>
      <c r="D1536" s="2385">
        <v>1</v>
      </c>
      <c r="E1536" s="2385">
        <v>1</v>
      </c>
      <c r="F1536" s="2386">
        <v>2</v>
      </c>
      <c r="G1536" s="2412" t="s">
        <v>6034</v>
      </c>
      <c r="H1536" s="2383">
        <v>1</v>
      </c>
      <c r="I1536" s="2383">
        <v>1</v>
      </c>
      <c r="J1536" s="2413">
        <v>2</v>
      </c>
      <c r="K1536" s="2387"/>
      <c r="L1536" s="2381">
        <v>13135050309</v>
      </c>
      <c r="M1536" s="2382">
        <v>1</v>
      </c>
      <c r="N1536" s="2382">
        <v>1</v>
      </c>
      <c r="O1536" s="2383">
        <v>2</v>
      </c>
    </row>
    <row r="1537" spans="3:15">
      <c r="C1537" s="2388" t="s">
        <v>6035</v>
      </c>
      <c r="D1537" s="2385">
        <v>1</v>
      </c>
      <c r="E1537" s="2385">
        <v>1</v>
      </c>
      <c r="F1537" s="2386">
        <v>2</v>
      </c>
      <c r="G1537" s="2412" t="s">
        <v>6035</v>
      </c>
      <c r="H1537" s="2383">
        <v>1</v>
      </c>
      <c r="I1537" s="2383">
        <v>1</v>
      </c>
      <c r="J1537" s="2413">
        <v>2</v>
      </c>
      <c r="K1537" s="2387"/>
      <c r="L1537" s="2381">
        <v>13135050310</v>
      </c>
      <c r="M1537" s="2382">
        <v>1</v>
      </c>
      <c r="N1537" s="2382">
        <v>1</v>
      </c>
      <c r="O1537" s="2383">
        <v>2</v>
      </c>
    </row>
    <row r="1538" spans="3:15">
      <c r="C1538" s="2388" t="s">
        <v>6036</v>
      </c>
      <c r="D1538" s="2385">
        <v>1</v>
      </c>
      <c r="E1538" s="2385">
        <v>1</v>
      </c>
      <c r="F1538" s="2386">
        <v>2</v>
      </c>
      <c r="G1538" s="2412" t="s">
        <v>6036</v>
      </c>
      <c r="H1538" s="2383">
        <v>1</v>
      </c>
      <c r="I1538" s="2383">
        <v>0</v>
      </c>
      <c r="J1538" s="2413">
        <v>1</v>
      </c>
      <c r="K1538" s="2387"/>
      <c r="L1538" s="2381">
        <v>13135050311</v>
      </c>
      <c r="M1538" s="2382">
        <v>1</v>
      </c>
      <c r="N1538" s="2382">
        <v>1</v>
      </c>
      <c r="O1538" s="2383">
        <v>2</v>
      </c>
    </row>
    <row r="1539" spans="3:15">
      <c r="C1539" s="2388" t="s">
        <v>6037</v>
      </c>
      <c r="D1539" s="2385">
        <v>0</v>
      </c>
      <c r="E1539" s="2385">
        <v>0</v>
      </c>
      <c r="F1539" s="2386">
        <v>0</v>
      </c>
      <c r="G1539" s="2412" t="s">
        <v>6037</v>
      </c>
      <c r="H1539" s="2383">
        <v>0</v>
      </c>
      <c r="I1539" s="2383">
        <v>0</v>
      </c>
      <c r="J1539" s="2413">
        <v>0</v>
      </c>
      <c r="K1539" s="2387"/>
      <c r="L1539" s="2381">
        <v>13135050313</v>
      </c>
      <c r="M1539" s="2382">
        <v>0</v>
      </c>
      <c r="N1539" s="2382">
        <v>0</v>
      </c>
      <c r="O1539" s="2383">
        <v>0</v>
      </c>
    </row>
    <row r="1540" spans="3:15">
      <c r="C1540" s="2388" t="s">
        <v>6038</v>
      </c>
      <c r="D1540" s="2385">
        <v>1</v>
      </c>
      <c r="E1540" s="2385">
        <v>0</v>
      </c>
      <c r="F1540" s="2386">
        <v>1</v>
      </c>
      <c r="G1540" s="2412" t="s">
        <v>6038</v>
      </c>
      <c r="H1540" s="2383">
        <v>1</v>
      </c>
      <c r="I1540" s="2383">
        <v>0</v>
      </c>
      <c r="J1540" s="2413">
        <v>1</v>
      </c>
      <c r="K1540" s="2387"/>
      <c r="L1540" s="2381">
        <v>13135050314</v>
      </c>
      <c r="M1540" s="2382">
        <v>1</v>
      </c>
      <c r="N1540" s="2382">
        <v>0</v>
      </c>
      <c r="O1540" s="2383">
        <v>1</v>
      </c>
    </row>
    <row r="1541" spans="3:15">
      <c r="C1541" s="2388" t="s">
        <v>6039</v>
      </c>
      <c r="D1541" s="2385">
        <v>1</v>
      </c>
      <c r="E1541" s="2385">
        <v>0</v>
      </c>
      <c r="F1541" s="2386">
        <v>1</v>
      </c>
      <c r="G1541" s="2412" t="s">
        <v>6039</v>
      </c>
      <c r="H1541" s="2383">
        <v>1</v>
      </c>
      <c r="I1541" s="2383">
        <v>0</v>
      </c>
      <c r="J1541" s="2413">
        <v>1</v>
      </c>
      <c r="K1541" s="2387"/>
      <c r="L1541" s="2381">
        <v>13135050315</v>
      </c>
      <c r="M1541" s="2382">
        <v>1</v>
      </c>
      <c r="N1541" s="2382">
        <v>0</v>
      </c>
      <c r="O1541" s="2383">
        <v>1</v>
      </c>
    </row>
    <row r="1542" spans="3:15">
      <c r="C1542" s="2388" t="s">
        <v>6040</v>
      </c>
      <c r="D1542" s="2385">
        <v>0</v>
      </c>
      <c r="E1542" s="2385">
        <v>0</v>
      </c>
      <c r="F1542" s="2386">
        <v>0</v>
      </c>
      <c r="G1542" s="2412" t="s">
        <v>6040</v>
      </c>
      <c r="H1542" s="2383">
        <v>1</v>
      </c>
      <c r="I1542" s="2383" t="s">
        <v>4493</v>
      </c>
      <c r="J1542" s="2413">
        <v>1</v>
      </c>
      <c r="K1542" s="2387"/>
      <c r="L1542" s="2381">
        <v>13135050317</v>
      </c>
      <c r="M1542" s="2382">
        <v>1</v>
      </c>
      <c r="N1542" s="2382">
        <v>0</v>
      </c>
      <c r="O1542" s="2383">
        <v>1</v>
      </c>
    </row>
    <row r="1543" spans="3:15">
      <c r="C1543" s="2388" t="s">
        <v>6041</v>
      </c>
      <c r="D1543" s="2385">
        <v>1</v>
      </c>
      <c r="E1543" s="2385">
        <v>0</v>
      </c>
      <c r="F1543" s="2386">
        <v>1</v>
      </c>
      <c r="G1543" s="2412" t="s">
        <v>6041</v>
      </c>
      <c r="H1543" s="2383">
        <v>1</v>
      </c>
      <c r="I1543" s="2383" t="s">
        <v>4493</v>
      </c>
      <c r="J1543" s="2413">
        <v>1</v>
      </c>
      <c r="K1543" s="2387"/>
      <c r="L1543" s="2381">
        <v>13135050318</v>
      </c>
      <c r="M1543" s="2382">
        <v>1</v>
      </c>
      <c r="N1543" s="2382">
        <v>0</v>
      </c>
      <c r="O1543" s="2383">
        <v>1</v>
      </c>
    </row>
    <row r="1544" spans="3:15">
      <c r="C1544" s="2388" t="s">
        <v>6042</v>
      </c>
      <c r="D1544" s="2385">
        <v>0</v>
      </c>
      <c r="E1544" s="2385">
        <v>0</v>
      </c>
      <c r="F1544" s="2386">
        <v>0</v>
      </c>
      <c r="G1544" s="2412" t="s">
        <v>6042</v>
      </c>
      <c r="H1544" s="2383">
        <v>0</v>
      </c>
      <c r="I1544" s="2383" t="s">
        <v>4493</v>
      </c>
      <c r="J1544" s="2413">
        <v>0</v>
      </c>
      <c r="K1544" s="2387"/>
      <c r="L1544" s="2381">
        <v>13135050319</v>
      </c>
      <c r="M1544" s="2382">
        <v>0</v>
      </c>
      <c r="N1544" s="2382">
        <v>0</v>
      </c>
      <c r="O1544" s="2383">
        <v>0</v>
      </c>
    </row>
    <row r="1545" spans="3:15">
      <c r="C1545" s="2388" t="s">
        <v>6043</v>
      </c>
      <c r="D1545" s="2385">
        <v>0</v>
      </c>
      <c r="E1545" s="2385">
        <v>0</v>
      </c>
      <c r="F1545" s="2386">
        <v>0</v>
      </c>
      <c r="G1545" s="2412" t="s">
        <v>6043</v>
      </c>
      <c r="H1545" s="2383">
        <v>0</v>
      </c>
      <c r="I1545" s="2383" t="s">
        <v>4493</v>
      </c>
      <c r="J1545" s="2413">
        <v>0</v>
      </c>
      <c r="K1545" s="2387"/>
      <c r="L1545" s="2381">
        <v>13135050320</v>
      </c>
      <c r="M1545" s="2382">
        <v>0</v>
      </c>
      <c r="N1545" s="2382">
        <v>0</v>
      </c>
      <c r="O1545" s="2383">
        <v>0</v>
      </c>
    </row>
    <row r="1546" spans="3:15">
      <c r="C1546" s="2388" t="s">
        <v>6044</v>
      </c>
      <c r="D1546" s="2385">
        <v>1</v>
      </c>
      <c r="E1546" s="2385">
        <v>1</v>
      </c>
      <c r="F1546" s="2386">
        <v>2</v>
      </c>
      <c r="G1546" s="2412" t="s">
        <v>6044</v>
      </c>
      <c r="H1546" s="2383">
        <v>1</v>
      </c>
      <c r="I1546" s="2383">
        <v>1</v>
      </c>
      <c r="J1546" s="2413">
        <v>2</v>
      </c>
      <c r="K1546" s="2387"/>
      <c r="L1546" s="2381">
        <v>13135050321</v>
      </c>
      <c r="M1546" s="2382">
        <v>1</v>
      </c>
      <c r="N1546" s="2382">
        <v>1</v>
      </c>
      <c r="O1546" s="2383">
        <v>2</v>
      </c>
    </row>
    <row r="1547" spans="3:15">
      <c r="C1547" s="2388" t="s">
        <v>6045</v>
      </c>
      <c r="D1547" s="2385">
        <v>1</v>
      </c>
      <c r="E1547" s="2385">
        <v>1</v>
      </c>
      <c r="F1547" s="2386">
        <v>2</v>
      </c>
      <c r="G1547" s="2412" t="s">
        <v>6045</v>
      </c>
      <c r="H1547" s="2383">
        <v>1</v>
      </c>
      <c r="I1547" s="2383">
        <v>1</v>
      </c>
      <c r="J1547" s="2413">
        <v>2</v>
      </c>
      <c r="K1547" s="2387"/>
      <c r="L1547" s="2381">
        <v>13135050322</v>
      </c>
      <c r="M1547" s="2382">
        <v>1</v>
      </c>
      <c r="N1547" s="2382">
        <v>1</v>
      </c>
      <c r="O1547" s="2383">
        <v>2</v>
      </c>
    </row>
    <row r="1548" spans="3:15">
      <c r="C1548" s="2388" t="s">
        <v>6046</v>
      </c>
      <c r="D1548" s="2385">
        <v>0</v>
      </c>
      <c r="E1548" s="2385">
        <v>0</v>
      </c>
      <c r="F1548" s="2386">
        <v>0</v>
      </c>
      <c r="G1548" s="2412" t="s">
        <v>6046</v>
      </c>
      <c r="H1548" s="2383">
        <v>1</v>
      </c>
      <c r="I1548" s="2383">
        <v>0</v>
      </c>
      <c r="J1548" s="2413">
        <v>1</v>
      </c>
      <c r="K1548" s="2387"/>
      <c r="L1548" s="2381">
        <v>13135050410</v>
      </c>
      <c r="M1548" s="2382">
        <v>1</v>
      </c>
      <c r="N1548" s="2382">
        <v>0</v>
      </c>
      <c r="O1548" s="2383">
        <v>1</v>
      </c>
    </row>
    <row r="1549" spans="3:15">
      <c r="C1549" s="2388" t="s">
        <v>6047</v>
      </c>
      <c r="D1549" s="2385">
        <v>1</v>
      </c>
      <c r="E1549" s="2385">
        <v>1</v>
      </c>
      <c r="F1549" s="2386">
        <v>2</v>
      </c>
      <c r="G1549" s="2412" t="s">
        <v>6047</v>
      </c>
      <c r="H1549" s="2383">
        <v>1</v>
      </c>
      <c r="I1549" s="2383">
        <v>1</v>
      </c>
      <c r="J1549" s="2413">
        <v>2</v>
      </c>
      <c r="K1549" s="2387"/>
      <c r="L1549" s="2381">
        <v>13135050415</v>
      </c>
      <c r="M1549" s="2382">
        <v>1</v>
      </c>
      <c r="N1549" s="2382">
        <v>1</v>
      </c>
      <c r="O1549" s="2383">
        <v>2</v>
      </c>
    </row>
    <row r="1550" spans="3:15">
      <c r="C1550" s="2388" t="s">
        <v>6048</v>
      </c>
      <c r="D1550" s="2385">
        <v>0</v>
      </c>
      <c r="E1550" s="2385">
        <v>0</v>
      </c>
      <c r="F1550" s="2386">
        <v>0</v>
      </c>
      <c r="G1550" s="2412" t="s">
        <v>6048</v>
      </c>
      <c r="H1550" s="2383">
        <v>0</v>
      </c>
      <c r="I1550" s="2383">
        <v>0</v>
      </c>
      <c r="J1550" s="2413">
        <v>0</v>
      </c>
      <c r="K1550" s="2387"/>
      <c r="L1550" s="2381">
        <v>13135050416</v>
      </c>
      <c r="M1550" s="2382">
        <v>0</v>
      </c>
      <c r="N1550" s="2382">
        <v>0</v>
      </c>
      <c r="O1550" s="2383">
        <v>0</v>
      </c>
    </row>
    <row r="1551" spans="3:15">
      <c r="C1551" s="2388" t="s">
        <v>6049</v>
      </c>
      <c r="D1551" s="2385">
        <v>0</v>
      </c>
      <c r="E1551" s="2385">
        <v>0</v>
      </c>
      <c r="F1551" s="2386">
        <v>0</v>
      </c>
      <c r="G1551" s="2412" t="s">
        <v>6049</v>
      </c>
      <c r="H1551" s="2383">
        <v>0</v>
      </c>
      <c r="I1551" s="2383" t="s">
        <v>4493</v>
      </c>
      <c r="J1551" s="2413">
        <v>0</v>
      </c>
      <c r="K1551" s="2387"/>
      <c r="L1551" s="2381">
        <v>13135050417</v>
      </c>
      <c r="M1551" s="2382">
        <v>0</v>
      </c>
      <c r="N1551" s="2382">
        <v>0</v>
      </c>
      <c r="O1551" s="2383">
        <v>0</v>
      </c>
    </row>
    <row r="1552" spans="3:15">
      <c r="C1552" s="2388" t="s">
        <v>6050</v>
      </c>
      <c r="D1552" s="2385">
        <v>0</v>
      </c>
      <c r="E1552" s="2385">
        <v>0</v>
      </c>
      <c r="F1552" s="2386">
        <v>0</v>
      </c>
      <c r="G1552" s="2412" t="s">
        <v>6050</v>
      </c>
      <c r="H1552" s="2383">
        <v>0</v>
      </c>
      <c r="I1552" s="2383">
        <v>0</v>
      </c>
      <c r="J1552" s="2413">
        <v>0</v>
      </c>
      <c r="K1552" s="2387"/>
      <c r="L1552" s="2381">
        <v>13135050418</v>
      </c>
      <c r="M1552" s="2382">
        <v>0</v>
      </c>
      <c r="N1552" s="2382">
        <v>0</v>
      </c>
      <c r="O1552" s="2383">
        <v>0</v>
      </c>
    </row>
    <row r="1553" spans="3:15">
      <c r="C1553" s="2388" t="s">
        <v>6051</v>
      </c>
      <c r="D1553" s="2385">
        <v>0</v>
      </c>
      <c r="E1553" s="2385">
        <v>0</v>
      </c>
      <c r="F1553" s="2386">
        <v>0</v>
      </c>
      <c r="G1553" s="2412" t="s">
        <v>6051</v>
      </c>
      <c r="H1553" s="2383">
        <v>0</v>
      </c>
      <c r="I1553" s="2383" t="s">
        <v>4493</v>
      </c>
      <c r="J1553" s="2413">
        <v>0</v>
      </c>
      <c r="K1553" s="2387"/>
      <c r="L1553" s="2381">
        <v>13135050419</v>
      </c>
      <c r="M1553" s="2382">
        <v>0</v>
      </c>
      <c r="N1553" s="2382">
        <v>0</v>
      </c>
      <c r="O1553" s="2383">
        <v>0</v>
      </c>
    </row>
    <row r="1554" spans="3:15">
      <c r="C1554" s="2388" t="s">
        <v>6052</v>
      </c>
      <c r="D1554" s="2385">
        <v>0</v>
      </c>
      <c r="E1554" s="2385">
        <v>0</v>
      </c>
      <c r="F1554" s="2386">
        <v>0</v>
      </c>
      <c r="G1554" s="2412" t="s">
        <v>6052</v>
      </c>
      <c r="H1554" s="2383">
        <v>0</v>
      </c>
      <c r="I1554" s="2383">
        <v>0</v>
      </c>
      <c r="J1554" s="2413">
        <v>0</v>
      </c>
      <c r="K1554" s="2387"/>
      <c r="L1554" s="2381">
        <v>13135050421</v>
      </c>
      <c r="M1554" s="2382">
        <v>0</v>
      </c>
      <c r="N1554" s="2382">
        <v>0</v>
      </c>
      <c r="O1554" s="2383">
        <v>0</v>
      </c>
    </row>
    <row r="1555" spans="3:15">
      <c r="C1555" s="2388" t="s">
        <v>6053</v>
      </c>
      <c r="D1555" s="2385">
        <v>0</v>
      </c>
      <c r="E1555" s="2385">
        <v>0</v>
      </c>
      <c r="F1555" s="2386">
        <v>0</v>
      </c>
      <c r="G1555" s="2412" t="s">
        <v>6053</v>
      </c>
      <c r="H1555" s="2383">
        <v>0</v>
      </c>
      <c r="I1555" s="2383">
        <v>0</v>
      </c>
      <c r="J1555" s="2413">
        <v>0</v>
      </c>
      <c r="K1555" s="2387"/>
      <c r="L1555" s="2381">
        <v>13135050422</v>
      </c>
      <c r="M1555" s="2382">
        <v>0</v>
      </c>
      <c r="N1555" s="2382">
        <v>0</v>
      </c>
      <c r="O1555" s="2383">
        <v>0</v>
      </c>
    </row>
    <row r="1556" spans="3:15">
      <c r="C1556" s="2388" t="s">
        <v>6054</v>
      </c>
      <c r="D1556" s="2385">
        <v>0</v>
      </c>
      <c r="E1556" s="2385">
        <v>0</v>
      </c>
      <c r="F1556" s="2386">
        <v>0</v>
      </c>
      <c r="G1556" s="2412" t="s">
        <v>6054</v>
      </c>
      <c r="H1556" s="2383">
        <v>0</v>
      </c>
      <c r="I1556" s="2383" t="s">
        <v>4493</v>
      </c>
      <c r="J1556" s="2413">
        <v>0</v>
      </c>
      <c r="K1556" s="2387"/>
      <c r="L1556" s="2381">
        <v>13135050423</v>
      </c>
      <c r="M1556" s="2382">
        <v>0</v>
      </c>
      <c r="N1556" s="2382">
        <v>0</v>
      </c>
      <c r="O1556" s="2383">
        <v>0</v>
      </c>
    </row>
    <row r="1557" spans="3:15">
      <c r="C1557" s="2388" t="s">
        <v>6055</v>
      </c>
      <c r="D1557" s="2385">
        <v>0</v>
      </c>
      <c r="E1557" s="2385">
        <v>0</v>
      </c>
      <c r="F1557" s="2386">
        <v>0</v>
      </c>
      <c r="G1557" s="2412" t="s">
        <v>6055</v>
      </c>
      <c r="H1557" s="2383">
        <v>0</v>
      </c>
      <c r="I1557" s="2383" t="s">
        <v>4493</v>
      </c>
      <c r="J1557" s="2413">
        <v>0</v>
      </c>
      <c r="K1557" s="2387"/>
      <c r="L1557" s="2381">
        <v>13135050424</v>
      </c>
      <c r="M1557" s="2382">
        <v>0</v>
      </c>
      <c r="N1557" s="2382">
        <v>0</v>
      </c>
      <c r="O1557" s="2383">
        <v>0</v>
      </c>
    </row>
    <row r="1558" spans="3:15">
      <c r="C1558" s="2388" t="s">
        <v>6056</v>
      </c>
      <c r="D1558" s="2385">
        <v>1</v>
      </c>
      <c r="E1558" s="2385">
        <v>1</v>
      </c>
      <c r="F1558" s="2386">
        <v>2</v>
      </c>
      <c r="G1558" s="2412" t="s">
        <v>6056</v>
      </c>
      <c r="H1558" s="2383">
        <v>1</v>
      </c>
      <c r="I1558" s="2383">
        <v>1</v>
      </c>
      <c r="J1558" s="2413">
        <v>2</v>
      </c>
      <c r="K1558" s="2387"/>
      <c r="L1558" s="2381">
        <v>13135050425</v>
      </c>
      <c r="M1558" s="2382">
        <v>1</v>
      </c>
      <c r="N1558" s="2382">
        <v>1</v>
      </c>
      <c r="O1558" s="2383">
        <v>2</v>
      </c>
    </row>
    <row r="1559" spans="3:15">
      <c r="C1559" s="2388" t="s">
        <v>6057</v>
      </c>
      <c r="D1559" s="2385">
        <v>1</v>
      </c>
      <c r="E1559" s="2385">
        <v>1</v>
      </c>
      <c r="F1559" s="2386">
        <v>2</v>
      </c>
      <c r="G1559" s="2412" t="s">
        <v>6057</v>
      </c>
      <c r="H1559" s="2383">
        <v>1</v>
      </c>
      <c r="I1559" s="2383">
        <v>1</v>
      </c>
      <c r="J1559" s="2413">
        <v>2</v>
      </c>
      <c r="K1559" s="2387"/>
      <c r="L1559" s="2381">
        <v>13135050426</v>
      </c>
      <c r="M1559" s="2382">
        <v>1</v>
      </c>
      <c r="N1559" s="2382">
        <v>1</v>
      </c>
      <c r="O1559" s="2383">
        <v>2</v>
      </c>
    </row>
    <row r="1560" spans="3:15">
      <c r="C1560" s="2388" t="s">
        <v>6058</v>
      </c>
      <c r="D1560" s="2385">
        <v>1</v>
      </c>
      <c r="E1560" s="2385">
        <v>1</v>
      </c>
      <c r="F1560" s="2386">
        <v>2</v>
      </c>
      <c r="G1560" s="2412" t="s">
        <v>6058</v>
      </c>
      <c r="H1560" s="2383">
        <v>1</v>
      </c>
      <c r="I1560" s="2383">
        <v>1</v>
      </c>
      <c r="J1560" s="2413">
        <v>2</v>
      </c>
      <c r="K1560" s="2387"/>
      <c r="L1560" s="2381">
        <v>13135050427</v>
      </c>
      <c r="M1560" s="2382">
        <v>1</v>
      </c>
      <c r="N1560" s="2382">
        <v>1</v>
      </c>
      <c r="O1560" s="2383">
        <v>2</v>
      </c>
    </row>
    <row r="1561" spans="3:15">
      <c r="C1561" s="2388" t="s">
        <v>6059</v>
      </c>
      <c r="D1561" s="2385">
        <v>1</v>
      </c>
      <c r="E1561" s="2385">
        <v>1</v>
      </c>
      <c r="F1561" s="2386">
        <v>2</v>
      </c>
      <c r="G1561" s="2412" t="s">
        <v>6059</v>
      </c>
      <c r="H1561" s="2383">
        <v>1</v>
      </c>
      <c r="I1561" s="2383">
        <v>1</v>
      </c>
      <c r="J1561" s="2413">
        <v>2</v>
      </c>
      <c r="K1561" s="2387"/>
      <c r="L1561" s="2381">
        <v>13135050428</v>
      </c>
      <c r="M1561" s="2382">
        <v>1</v>
      </c>
      <c r="N1561" s="2382">
        <v>1</v>
      </c>
      <c r="O1561" s="2383">
        <v>2</v>
      </c>
    </row>
    <row r="1562" spans="3:15">
      <c r="C1562" s="2388" t="s">
        <v>6060</v>
      </c>
      <c r="D1562" s="2385">
        <v>1</v>
      </c>
      <c r="E1562" s="2385">
        <v>1</v>
      </c>
      <c r="F1562" s="2386">
        <v>2</v>
      </c>
      <c r="G1562" s="2412" t="s">
        <v>6060</v>
      </c>
      <c r="H1562" s="2383">
        <v>1</v>
      </c>
      <c r="I1562" s="2383">
        <v>1</v>
      </c>
      <c r="J1562" s="2413">
        <v>2</v>
      </c>
      <c r="K1562" s="2387"/>
      <c r="L1562" s="2381">
        <v>13135050429</v>
      </c>
      <c r="M1562" s="2382">
        <v>1</v>
      </c>
      <c r="N1562" s="2382">
        <v>1</v>
      </c>
      <c r="O1562" s="2383">
        <v>2</v>
      </c>
    </row>
    <row r="1563" spans="3:15">
      <c r="C1563" s="2388" t="s">
        <v>6061</v>
      </c>
      <c r="D1563" s="2385">
        <v>1</v>
      </c>
      <c r="E1563" s="2385">
        <v>1</v>
      </c>
      <c r="F1563" s="2386">
        <v>2</v>
      </c>
      <c r="G1563" s="2412" t="s">
        <v>6061</v>
      </c>
      <c r="H1563" s="2383">
        <v>1</v>
      </c>
      <c r="I1563" s="2383">
        <v>0</v>
      </c>
      <c r="J1563" s="2413">
        <v>1</v>
      </c>
      <c r="K1563" s="2387"/>
      <c r="L1563" s="2381">
        <v>13135050430</v>
      </c>
      <c r="M1563" s="2382">
        <v>1</v>
      </c>
      <c r="N1563" s="2382">
        <v>1</v>
      </c>
      <c r="O1563" s="2383">
        <v>2</v>
      </c>
    </row>
    <row r="1564" spans="3:15">
      <c r="C1564" s="2388" t="s">
        <v>6062</v>
      </c>
      <c r="D1564" s="2385">
        <v>0</v>
      </c>
      <c r="E1564" s="2385">
        <v>0</v>
      </c>
      <c r="F1564" s="2386">
        <v>0</v>
      </c>
      <c r="G1564" s="2412" t="s">
        <v>6062</v>
      </c>
      <c r="H1564" s="2383">
        <v>0</v>
      </c>
      <c r="I1564" s="2383">
        <v>0</v>
      </c>
      <c r="J1564" s="2413">
        <v>0</v>
      </c>
      <c r="K1564" s="2387"/>
      <c r="L1564" s="2381">
        <v>13135050431</v>
      </c>
      <c r="M1564" s="2382">
        <v>0</v>
      </c>
      <c r="N1564" s="2382">
        <v>0</v>
      </c>
      <c r="O1564" s="2383">
        <v>0</v>
      </c>
    </row>
    <row r="1565" spans="3:15">
      <c r="C1565" s="2388" t="s">
        <v>6063</v>
      </c>
      <c r="D1565" s="2385">
        <v>1</v>
      </c>
      <c r="E1565" s="2385">
        <v>1</v>
      </c>
      <c r="F1565" s="2386">
        <v>2</v>
      </c>
      <c r="G1565" s="2412" t="s">
        <v>6063</v>
      </c>
      <c r="H1565" s="2383">
        <v>1</v>
      </c>
      <c r="I1565" s="2383" t="s">
        <v>4493</v>
      </c>
      <c r="J1565" s="2413">
        <v>1</v>
      </c>
      <c r="K1565" s="2387"/>
      <c r="L1565" s="2381">
        <v>13135050432</v>
      </c>
      <c r="M1565" s="2382">
        <v>1</v>
      </c>
      <c r="N1565" s="2382">
        <v>1</v>
      </c>
      <c r="O1565" s="2383">
        <v>2</v>
      </c>
    </row>
    <row r="1566" spans="3:15">
      <c r="C1566" s="2388" t="s">
        <v>6064</v>
      </c>
      <c r="D1566" s="2385">
        <v>0</v>
      </c>
      <c r="E1566" s="2385">
        <v>0</v>
      </c>
      <c r="F1566" s="2386">
        <v>0</v>
      </c>
      <c r="G1566" s="2412" t="s">
        <v>6064</v>
      </c>
      <c r="H1566" s="2383">
        <v>1</v>
      </c>
      <c r="I1566" s="2383">
        <v>0</v>
      </c>
      <c r="J1566" s="2413">
        <v>1</v>
      </c>
      <c r="K1566" s="2387"/>
      <c r="L1566" s="2381">
        <v>13135050433</v>
      </c>
      <c r="M1566" s="2382">
        <v>1</v>
      </c>
      <c r="N1566" s="2382">
        <v>0</v>
      </c>
      <c r="O1566" s="2383">
        <v>1</v>
      </c>
    </row>
    <row r="1567" spans="3:15">
      <c r="C1567" s="2388" t="s">
        <v>6065</v>
      </c>
      <c r="D1567" s="2385">
        <v>0</v>
      </c>
      <c r="E1567" s="2385">
        <v>0</v>
      </c>
      <c r="F1567" s="2386">
        <v>0</v>
      </c>
      <c r="G1567" s="2412" t="s">
        <v>6065</v>
      </c>
      <c r="H1567" s="2383">
        <v>1</v>
      </c>
      <c r="I1567" s="2383">
        <v>0</v>
      </c>
      <c r="J1567" s="2413">
        <v>1</v>
      </c>
      <c r="K1567" s="2387"/>
      <c r="L1567" s="2381">
        <v>13135050434</v>
      </c>
      <c r="M1567" s="2382">
        <v>1</v>
      </c>
      <c r="N1567" s="2382">
        <v>0</v>
      </c>
      <c r="O1567" s="2383">
        <v>1</v>
      </c>
    </row>
    <row r="1568" spans="3:15">
      <c r="C1568" s="2388" t="s">
        <v>6066</v>
      </c>
      <c r="D1568" s="2385">
        <v>1</v>
      </c>
      <c r="E1568" s="2385">
        <v>0</v>
      </c>
      <c r="F1568" s="2386">
        <v>1</v>
      </c>
      <c r="G1568" s="2412" t="s">
        <v>6066</v>
      </c>
      <c r="H1568" s="2383">
        <v>0</v>
      </c>
      <c r="I1568" s="2383">
        <v>0</v>
      </c>
      <c r="J1568" s="2413">
        <v>0</v>
      </c>
      <c r="K1568" s="2387"/>
      <c r="L1568" s="2381">
        <v>13135050435</v>
      </c>
      <c r="M1568" s="2382">
        <v>1</v>
      </c>
      <c r="N1568" s="2382">
        <v>0</v>
      </c>
      <c r="O1568" s="2383">
        <v>1</v>
      </c>
    </row>
    <row r="1569" spans="3:15">
      <c r="C1569" s="2388" t="s">
        <v>6067</v>
      </c>
      <c r="D1569" s="2385">
        <v>0</v>
      </c>
      <c r="E1569" s="2385">
        <v>0</v>
      </c>
      <c r="F1569" s="2386">
        <v>0</v>
      </c>
      <c r="G1569" s="2412" t="s">
        <v>6067</v>
      </c>
      <c r="H1569" s="2383">
        <v>0</v>
      </c>
      <c r="I1569" s="2383">
        <v>0</v>
      </c>
      <c r="J1569" s="2413">
        <v>0</v>
      </c>
      <c r="K1569" s="2387"/>
      <c r="L1569" s="2381">
        <v>13135050436</v>
      </c>
      <c r="M1569" s="2382">
        <v>0</v>
      </c>
      <c r="N1569" s="2382">
        <v>0</v>
      </c>
      <c r="O1569" s="2383">
        <v>0</v>
      </c>
    </row>
    <row r="1570" spans="3:15">
      <c r="C1570" s="2388" t="s">
        <v>6068</v>
      </c>
      <c r="D1570" s="2385">
        <v>1</v>
      </c>
      <c r="E1570" s="2385">
        <v>0</v>
      </c>
      <c r="F1570" s="2386">
        <v>1</v>
      </c>
      <c r="G1570" s="2412" t="s">
        <v>6068</v>
      </c>
      <c r="H1570" s="2383">
        <v>0</v>
      </c>
      <c r="I1570" s="2383">
        <v>0</v>
      </c>
      <c r="J1570" s="2413">
        <v>0</v>
      </c>
      <c r="K1570" s="2387"/>
      <c r="L1570" s="2381">
        <v>13135050511</v>
      </c>
      <c r="M1570" s="2382">
        <v>1</v>
      </c>
      <c r="N1570" s="2382">
        <v>0</v>
      </c>
      <c r="O1570" s="2383">
        <v>1</v>
      </c>
    </row>
    <row r="1571" spans="3:15">
      <c r="C1571" s="2388" t="s">
        <v>6069</v>
      </c>
      <c r="D1571" s="2385">
        <v>0</v>
      </c>
      <c r="E1571" s="2385">
        <v>0</v>
      </c>
      <c r="F1571" s="2386">
        <v>0</v>
      </c>
      <c r="G1571" s="2412" t="s">
        <v>6069</v>
      </c>
      <c r="H1571" s="2383">
        <v>0</v>
      </c>
      <c r="I1571" s="2383">
        <v>0</v>
      </c>
      <c r="J1571" s="2413">
        <v>0</v>
      </c>
      <c r="K1571" s="2387"/>
      <c r="L1571" s="2381">
        <v>13135050520</v>
      </c>
      <c r="M1571" s="2382">
        <v>0</v>
      </c>
      <c r="N1571" s="2382">
        <v>0</v>
      </c>
      <c r="O1571" s="2383">
        <v>0</v>
      </c>
    </row>
    <row r="1572" spans="3:15">
      <c r="C1572" s="2388" t="s">
        <v>6070</v>
      </c>
      <c r="D1572" s="2385">
        <v>0</v>
      </c>
      <c r="E1572" s="2385">
        <v>0</v>
      </c>
      <c r="F1572" s="2386">
        <v>0</v>
      </c>
      <c r="G1572" s="2412" t="s">
        <v>6070</v>
      </c>
      <c r="H1572" s="2383">
        <v>0</v>
      </c>
      <c r="I1572" s="2383">
        <v>0</v>
      </c>
      <c r="J1572" s="2413">
        <v>0</v>
      </c>
      <c r="K1572" s="2387"/>
      <c r="L1572" s="2381">
        <v>13135050521</v>
      </c>
      <c r="M1572" s="2382">
        <v>0</v>
      </c>
      <c r="N1572" s="2382">
        <v>0</v>
      </c>
      <c r="O1572" s="2383">
        <v>0</v>
      </c>
    </row>
    <row r="1573" spans="3:15">
      <c r="C1573" s="2388" t="s">
        <v>6071</v>
      </c>
      <c r="D1573" s="2385">
        <v>0</v>
      </c>
      <c r="E1573" s="2385">
        <v>0</v>
      </c>
      <c r="F1573" s="2386">
        <v>0</v>
      </c>
      <c r="G1573" s="2412" t="s">
        <v>6071</v>
      </c>
      <c r="H1573" s="2383">
        <v>0</v>
      </c>
      <c r="I1573" s="2383">
        <v>0</v>
      </c>
      <c r="J1573" s="2413">
        <v>0</v>
      </c>
      <c r="K1573" s="2387"/>
      <c r="L1573" s="2381">
        <v>13135050522</v>
      </c>
      <c r="M1573" s="2382">
        <v>0</v>
      </c>
      <c r="N1573" s="2382">
        <v>0</v>
      </c>
      <c r="O1573" s="2383">
        <v>0</v>
      </c>
    </row>
    <row r="1574" spans="3:15">
      <c r="C1574" s="2388" t="s">
        <v>6072</v>
      </c>
      <c r="D1574" s="2385">
        <v>1</v>
      </c>
      <c r="E1574" s="2385">
        <v>1</v>
      </c>
      <c r="F1574" s="2386">
        <v>2</v>
      </c>
      <c r="G1574" s="2412" t="s">
        <v>6072</v>
      </c>
      <c r="H1574" s="2383">
        <v>0</v>
      </c>
      <c r="I1574" s="2383" t="s">
        <v>4493</v>
      </c>
      <c r="J1574" s="2413">
        <v>0</v>
      </c>
      <c r="K1574" s="2387"/>
      <c r="L1574" s="2381">
        <v>13135050523</v>
      </c>
      <c r="M1574" s="2382">
        <v>1</v>
      </c>
      <c r="N1574" s="2382">
        <v>1</v>
      </c>
      <c r="O1574" s="2383">
        <v>2</v>
      </c>
    </row>
    <row r="1575" spans="3:15">
      <c r="C1575" s="2388" t="s">
        <v>6073</v>
      </c>
      <c r="D1575" s="2385">
        <v>0</v>
      </c>
      <c r="E1575" s="2385">
        <v>0</v>
      </c>
      <c r="F1575" s="2386">
        <v>0</v>
      </c>
      <c r="G1575" s="2412" t="s">
        <v>6073</v>
      </c>
      <c r="H1575" s="2383">
        <v>0</v>
      </c>
      <c r="I1575" s="2383">
        <v>0</v>
      </c>
      <c r="J1575" s="2413">
        <v>0</v>
      </c>
      <c r="K1575" s="2387"/>
      <c r="L1575" s="2381">
        <v>13135050524</v>
      </c>
      <c r="M1575" s="2382">
        <v>0</v>
      </c>
      <c r="N1575" s="2382">
        <v>0</v>
      </c>
      <c r="O1575" s="2383">
        <v>0</v>
      </c>
    </row>
    <row r="1576" spans="3:15">
      <c r="C1576" s="2388" t="s">
        <v>6074</v>
      </c>
      <c r="D1576" s="2385">
        <v>1</v>
      </c>
      <c r="E1576" s="2385">
        <v>1</v>
      </c>
      <c r="F1576" s="2386">
        <v>2</v>
      </c>
      <c r="G1576" s="2412" t="s">
        <v>6074</v>
      </c>
      <c r="H1576" s="2383">
        <v>1</v>
      </c>
      <c r="I1576" s="2383">
        <v>1</v>
      </c>
      <c r="J1576" s="2413">
        <v>2</v>
      </c>
      <c r="K1576" s="2387"/>
      <c r="L1576" s="2381">
        <v>13135050525</v>
      </c>
      <c r="M1576" s="2382">
        <v>1</v>
      </c>
      <c r="N1576" s="2382">
        <v>1</v>
      </c>
      <c r="O1576" s="2383">
        <v>2</v>
      </c>
    </row>
    <row r="1577" spans="3:15">
      <c r="C1577" s="2388" t="s">
        <v>6075</v>
      </c>
      <c r="D1577" s="2385">
        <v>0</v>
      </c>
      <c r="E1577" s="2385">
        <v>0</v>
      </c>
      <c r="F1577" s="2386">
        <v>0</v>
      </c>
      <c r="G1577" s="2412" t="s">
        <v>6075</v>
      </c>
      <c r="H1577" s="2383">
        <v>1</v>
      </c>
      <c r="I1577" s="2383">
        <v>0</v>
      </c>
      <c r="J1577" s="2413">
        <v>1</v>
      </c>
      <c r="K1577" s="2387"/>
      <c r="L1577" s="2381">
        <v>13135050526</v>
      </c>
      <c r="M1577" s="2382">
        <v>1</v>
      </c>
      <c r="N1577" s="2382">
        <v>0</v>
      </c>
      <c r="O1577" s="2383">
        <v>1</v>
      </c>
    </row>
    <row r="1578" spans="3:15">
      <c r="C1578" s="2388" t="s">
        <v>6076</v>
      </c>
      <c r="D1578" s="2385">
        <v>1</v>
      </c>
      <c r="E1578" s="2385">
        <v>1</v>
      </c>
      <c r="F1578" s="2386">
        <v>2</v>
      </c>
      <c r="G1578" s="2412" t="s">
        <v>6076</v>
      </c>
      <c r="H1578" s="2383">
        <v>1</v>
      </c>
      <c r="I1578" s="2383">
        <v>1</v>
      </c>
      <c r="J1578" s="2413">
        <v>2</v>
      </c>
      <c r="K1578" s="2387"/>
      <c r="L1578" s="2381">
        <v>13135050527</v>
      </c>
      <c r="M1578" s="2382">
        <v>1</v>
      </c>
      <c r="N1578" s="2382">
        <v>1</v>
      </c>
      <c r="O1578" s="2383">
        <v>2</v>
      </c>
    </row>
    <row r="1579" spans="3:15">
      <c r="C1579" s="2388" t="s">
        <v>6077</v>
      </c>
      <c r="D1579" s="2385">
        <v>1</v>
      </c>
      <c r="E1579" s="2385">
        <v>1</v>
      </c>
      <c r="F1579" s="2386">
        <v>2</v>
      </c>
      <c r="G1579" s="2412" t="s">
        <v>6077</v>
      </c>
      <c r="H1579" s="2383">
        <v>1</v>
      </c>
      <c r="I1579" s="2383">
        <v>1</v>
      </c>
      <c r="J1579" s="2413">
        <v>2</v>
      </c>
      <c r="K1579" s="2387"/>
      <c r="L1579" s="2381">
        <v>13135050528</v>
      </c>
      <c r="M1579" s="2382">
        <v>1</v>
      </c>
      <c r="N1579" s="2382">
        <v>1</v>
      </c>
      <c r="O1579" s="2383">
        <v>2</v>
      </c>
    </row>
    <row r="1580" spans="3:15">
      <c r="C1580" s="2388" t="s">
        <v>6078</v>
      </c>
      <c r="D1580" s="2385">
        <v>1</v>
      </c>
      <c r="E1580" s="2385">
        <v>0</v>
      </c>
      <c r="F1580" s="2386">
        <v>1</v>
      </c>
      <c r="G1580" s="2412" t="s">
        <v>6078</v>
      </c>
      <c r="H1580" s="2383">
        <v>1</v>
      </c>
      <c r="I1580" s="2383" t="s">
        <v>4493</v>
      </c>
      <c r="J1580" s="2413">
        <v>1</v>
      </c>
      <c r="K1580" s="2387"/>
      <c r="L1580" s="2381">
        <v>13135050529</v>
      </c>
      <c r="M1580" s="2382">
        <v>1</v>
      </c>
      <c r="N1580" s="2382">
        <v>0</v>
      </c>
      <c r="O1580" s="2383">
        <v>1</v>
      </c>
    </row>
    <row r="1581" spans="3:15">
      <c r="C1581" s="2388" t="s">
        <v>6079</v>
      </c>
      <c r="D1581" s="2385">
        <v>1</v>
      </c>
      <c r="E1581" s="2385">
        <v>1</v>
      </c>
      <c r="F1581" s="2386">
        <v>2</v>
      </c>
      <c r="G1581" s="2412" t="s">
        <v>6079</v>
      </c>
      <c r="H1581" s="2383">
        <v>1</v>
      </c>
      <c r="I1581" s="2383">
        <v>1</v>
      </c>
      <c r="J1581" s="2413">
        <v>2</v>
      </c>
      <c r="K1581" s="2387"/>
      <c r="L1581" s="2381">
        <v>13135050530</v>
      </c>
      <c r="M1581" s="2382">
        <v>1</v>
      </c>
      <c r="N1581" s="2382">
        <v>1</v>
      </c>
      <c r="O1581" s="2383">
        <v>2</v>
      </c>
    </row>
    <row r="1582" spans="3:15">
      <c r="C1582" s="2388" t="s">
        <v>6080</v>
      </c>
      <c r="D1582" s="2385">
        <v>1</v>
      </c>
      <c r="E1582" s="2385">
        <v>0</v>
      </c>
      <c r="F1582" s="2386">
        <v>1</v>
      </c>
      <c r="G1582" s="2412" t="s">
        <v>6080</v>
      </c>
      <c r="H1582" s="2383">
        <v>0</v>
      </c>
      <c r="I1582" s="2383">
        <v>0</v>
      </c>
      <c r="J1582" s="2413">
        <v>0</v>
      </c>
      <c r="K1582" s="2387"/>
      <c r="L1582" s="2381">
        <v>13135050531</v>
      </c>
      <c r="M1582" s="2382">
        <v>1</v>
      </c>
      <c r="N1582" s="2382">
        <v>0</v>
      </c>
      <c r="O1582" s="2383">
        <v>1</v>
      </c>
    </row>
    <row r="1583" spans="3:15">
      <c r="C1583" s="2388" t="s">
        <v>6081</v>
      </c>
      <c r="D1583" s="2385">
        <v>1</v>
      </c>
      <c r="E1583" s="2385">
        <v>0</v>
      </c>
      <c r="F1583" s="2386">
        <v>1</v>
      </c>
      <c r="G1583" s="2412" t="s">
        <v>6081</v>
      </c>
      <c r="H1583" s="2383">
        <v>1</v>
      </c>
      <c r="I1583" s="2383">
        <v>0</v>
      </c>
      <c r="J1583" s="2413">
        <v>1</v>
      </c>
      <c r="K1583" s="2387"/>
      <c r="L1583" s="2381">
        <v>13135050532</v>
      </c>
      <c r="M1583" s="2382">
        <v>1</v>
      </c>
      <c r="N1583" s="2382">
        <v>0</v>
      </c>
      <c r="O1583" s="2383">
        <v>1</v>
      </c>
    </row>
    <row r="1584" spans="3:15">
      <c r="C1584" s="2388" t="s">
        <v>6082</v>
      </c>
      <c r="D1584" s="2385">
        <v>1</v>
      </c>
      <c r="E1584" s="2385">
        <v>0</v>
      </c>
      <c r="F1584" s="2386">
        <v>1</v>
      </c>
      <c r="G1584" s="2412" t="s">
        <v>6082</v>
      </c>
      <c r="H1584" s="2383">
        <v>1</v>
      </c>
      <c r="I1584" s="2383">
        <v>0</v>
      </c>
      <c r="J1584" s="2413">
        <v>1</v>
      </c>
      <c r="K1584" s="2387"/>
      <c r="L1584" s="2381">
        <v>13135050533</v>
      </c>
      <c r="M1584" s="2382">
        <v>1</v>
      </c>
      <c r="N1584" s="2382">
        <v>0</v>
      </c>
      <c r="O1584" s="2383">
        <v>1</v>
      </c>
    </row>
    <row r="1585" spans="3:15">
      <c r="C1585" s="2388" t="s">
        <v>6083</v>
      </c>
      <c r="D1585" s="2385">
        <v>1</v>
      </c>
      <c r="E1585" s="2385">
        <v>1</v>
      </c>
      <c r="F1585" s="2386">
        <v>2</v>
      </c>
      <c r="G1585" s="2412" t="s">
        <v>6083</v>
      </c>
      <c r="H1585" s="2383">
        <v>1</v>
      </c>
      <c r="I1585" s="2383" t="s">
        <v>4493</v>
      </c>
      <c r="J1585" s="2413">
        <v>1</v>
      </c>
      <c r="K1585" s="2387"/>
      <c r="L1585" s="2381">
        <v>13135050534</v>
      </c>
      <c r="M1585" s="2382">
        <v>1</v>
      </c>
      <c r="N1585" s="2382">
        <v>1</v>
      </c>
      <c r="O1585" s="2383">
        <v>2</v>
      </c>
    </row>
    <row r="1586" spans="3:15">
      <c r="C1586" s="2388" t="s">
        <v>6084</v>
      </c>
      <c r="D1586" s="2385">
        <v>1</v>
      </c>
      <c r="E1586" s="2385">
        <v>0</v>
      </c>
      <c r="F1586" s="2386">
        <v>1</v>
      </c>
      <c r="G1586" s="2412" t="s">
        <v>6084</v>
      </c>
      <c r="H1586" s="2383">
        <v>1</v>
      </c>
      <c r="I1586" s="2383">
        <v>0</v>
      </c>
      <c r="J1586" s="2413">
        <v>1</v>
      </c>
      <c r="K1586" s="2387"/>
      <c r="L1586" s="2381">
        <v>13135050535</v>
      </c>
      <c r="M1586" s="2382">
        <v>1</v>
      </c>
      <c r="N1586" s="2382">
        <v>0</v>
      </c>
      <c r="O1586" s="2383">
        <v>1</v>
      </c>
    </row>
    <row r="1587" spans="3:15">
      <c r="C1587" s="2388" t="s">
        <v>6085</v>
      </c>
      <c r="D1587" s="2385">
        <v>1</v>
      </c>
      <c r="E1587" s="2385">
        <v>1</v>
      </c>
      <c r="F1587" s="2386">
        <v>2</v>
      </c>
      <c r="G1587" s="2412" t="s">
        <v>6085</v>
      </c>
      <c r="H1587" s="2383">
        <v>1</v>
      </c>
      <c r="I1587" s="2383">
        <v>0</v>
      </c>
      <c r="J1587" s="2413">
        <v>1</v>
      </c>
      <c r="K1587" s="2387"/>
      <c r="L1587" s="2381">
        <v>13135050536</v>
      </c>
      <c r="M1587" s="2382">
        <v>1</v>
      </c>
      <c r="N1587" s="2382">
        <v>1</v>
      </c>
      <c r="O1587" s="2383">
        <v>2</v>
      </c>
    </row>
    <row r="1588" spans="3:15">
      <c r="C1588" s="2388" t="s">
        <v>6086</v>
      </c>
      <c r="D1588" s="2385">
        <v>0</v>
      </c>
      <c r="E1588" s="2385">
        <v>0</v>
      </c>
      <c r="F1588" s="2386">
        <v>0</v>
      </c>
      <c r="G1588" s="2412" t="s">
        <v>6086</v>
      </c>
      <c r="H1588" s="2383">
        <v>0</v>
      </c>
      <c r="I1588" s="2383" t="s">
        <v>4493</v>
      </c>
      <c r="J1588" s="2413">
        <v>0</v>
      </c>
      <c r="K1588" s="2387"/>
      <c r="L1588" s="2381">
        <v>13135050537</v>
      </c>
      <c r="M1588" s="2382">
        <v>0</v>
      </c>
      <c r="N1588" s="2382">
        <v>0</v>
      </c>
      <c r="O1588" s="2383">
        <v>0</v>
      </c>
    </row>
    <row r="1589" spans="3:15">
      <c r="C1589" s="2388" t="s">
        <v>6087</v>
      </c>
      <c r="D1589" s="2385">
        <v>1</v>
      </c>
      <c r="E1589" s="2385">
        <v>1</v>
      </c>
      <c r="F1589" s="2386">
        <v>2</v>
      </c>
      <c r="G1589" s="2412" t="s">
        <v>6087</v>
      </c>
      <c r="H1589" s="2383">
        <v>1</v>
      </c>
      <c r="I1589" s="2383">
        <v>0</v>
      </c>
      <c r="J1589" s="2413">
        <v>1</v>
      </c>
      <c r="K1589" s="2387"/>
      <c r="L1589" s="2381">
        <v>13135050538</v>
      </c>
      <c r="M1589" s="2382">
        <v>1</v>
      </c>
      <c r="N1589" s="2382">
        <v>1</v>
      </c>
      <c r="O1589" s="2383">
        <v>2</v>
      </c>
    </row>
    <row r="1590" spans="3:15">
      <c r="C1590" s="2388" t="s">
        <v>6088</v>
      </c>
      <c r="D1590" s="2385">
        <v>0</v>
      </c>
      <c r="E1590" s="2385">
        <v>0</v>
      </c>
      <c r="F1590" s="2386">
        <v>0</v>
      </c>
      <c r="G1590" s="2412" t="s">
        <v>6088</v>
      </c>
      <c r="H1590" s="2383">
        <v>0</v>
      </c>
      <c r="I1590" s="2383">
        <v>0</v>
      </c>
      <c r="J1590" s="2413">
        <v>0</v>
      </c>
      <c r="K1590" s="2387"/>
      <c r="L1590" s="2381">
        <v>13135050539</v>
      </c>
      <c r="M1590" s="2382">
        <v>0</v>
      </c>
      <c r="N1590" s="2382">
        <v>0</v>
      </c>
      <c r="O1590" s="2383">
        <v>0</v>
      </c>
    </row>
    <row r="1591" spans="3:15">
      <c r="C1591" s="2388" t="s">
        <v>6089</v>
      </c>
      <c r="D1591" s="2385">
        <v>1</v>
      </c>
      <c r="E1591" s="2385">
        <v>1</v>
      </c>
      <c r="F1591" s="2386">
        <v>2</v>
      </c>
      <c r="G1591" s="2412" t="s">
        <v>6089</v>
      </c>
      <c r="H1591" s="2383">
        <v>0</v>
      </c>
      <c r="I1591" s="2383">
        <v>0</v>
      </c>
      <c r="J1591" s="2413">
        <v>0</v>
      </c>
      <c r="K1591" s="2387"/>
      <c r="L1591" s="2381">
        <v>13135050540</v>
      </c>
      <c r="M1591" s="2382">
        <v>1</v>
      </c>
      <c r="N1591" s="2382">
        <v>1</v>
      </c>
      <c r="O1591" s="2383">
        <v>2</v>
      </c>
    </row>
    <row r="1592" spans="3:15">
      <c r="C1592" s="2388" t="s">
        <v>6090</v>
      </c>
      <c r="D1592" s="2385">
        <v>0</v>
      </c>
      <c r="E1592" s="2385">
        <v>0</v>
      </c>
      <c r="F1592" s="2386">
        <v>0</v>
      </c>
      <c r="G1592" s="2412" t="s">
        <v>6090</v>
      </c>
      <c r="H1592" s="2383">
        <v>0</v>
      </c>
      <c r="I1592" s="2383" t="s">
        <v>4493</v>
      </c>
      <c r="J1592" s="2413">
        <v>0</v>
      </c>
      <c r="K1592" s="2387"/>
      <c r="L1592" s="2381">
        <v>13135050541</v>
      </c>
      <c r="M1592" s="2382">
        <v>0</v>
      </c>
      <c r="N1592" s="2382">
        <v>0</v>
      </c>
      <c r="O1592" s="2383">
        <v>0</v>
      </c>
    </row>
    <row r="1593" spans="3:15">
      <c r="C1593" s="2388" t="s">
        <v>6091</v>
      </c>
      <c r="D1593" s="2385">
        <v>0</v>
      </c>
      <c r="E1593" s="2385">
        <v>0</v>
      </c>
      <c r="F1593" s="2386">
        <v>0</v>
      </c>
      <c r="G1593" s="2412" t="s">
        <v>6091</v>
      </c>
      <c r="H1593" s="2383">
        <v>0</v>
      </c>
      <c r="I1593" s="2383">
        <v>0</v>
      </c>
      <c r="J1593" s="2413">
        <v>0</v>
      </c>
      <c r="K1593" s="2387"/>
      <c r="L1593" s="2381">
        <v>13135050542</v>
      </c>
      <c r="M1593" s="2382">
        <v>0</v>
      </c>
      <c r="N1593" s="2382">
        <v>0</v>
      </c>
      <c r="O1593" s="2383">
        <v>0</v>
      </c>
    </row>
    <row r="1594" spans="3:15">
      <c r="C1594" s="2388" t="s">
        <v>6092</v>
      </c>
      <c r="D1594" s="2385">
        <v>1</v>
      </c>
      <c r="E1594" s="2385">
        <v>1</v>
      </c>
      <c r="F1594" s="2386">
        <v>2</v>
      </c>
      <c r="G1594" s="2412" t="s">
        <v>6092</v>
      </c>
      <c r="H1594" s="2383">
        <v>1</v>
      </c>
      <c r="I1594" s="2383">
        <v>1</v>
      </c>
      <c r="J1594" s="2413">
        <v>2</v>
      </c>
      <c r="K1594" s="2387"/>
      <c r="L1594" s="2381">
        <v>13135050543</v>
      </c>
      <c r="M1594" s="2382">
        <v>1</v>
      </c>
      <c r="N1594" s="2382">
        <v>1</v>
      </c>
      <c r="O1594" s="2383">
        <v>2</v>
      </c>
    </row>
    <row r="1595" spans="3:15">
      <c r="C1595" s="2388" t="s">
        <v>6093</v>
      </c>
      <c r="D1595" s="2385">
        <v>1</v>
      </c>
      <c r="E1595" s="2385">
        <v>1</v>
      </c>
      <c r="F1595" s="2386">
        <v>2</v>
      </c>
      <c r="G1595" s="2412" t="s">
        <v>6093</v>
      </c>
      <c r="H1595" s="2383">
        <v>1</v>
      </c>
      <c r="I1595" s="2383">
        <v>1</v>
      </c>
      <c r="J1595" s="2413">
        <v>2</v>
      </c>
      <c r="K1595" s="2387"/>
      <c r="L1595" s="2381">
        <v>13135050544</v>
      </c>
      <c r="M1595" s="2382">
        <v>1</v>
      </c>
      <c r="N1595" s="2382">
        <v>1</v>
      </c>
      <c r="O1595" s="2383">
        <v>2</v>
      </c>
    </row>
    <row r="1596" spans="3:15">
      <c r="C1596" s="2388" t="s">
        <v>6094</v>
      </c>
      <c r="D1596" s="2385">
        <v>1</v>
      </c>
      <c r="E1596" s="2385">
        <v>0</v>
      </c>
      <c r="F1596" s="2386">
        <v>1</v>
      </c>
      <c r="G1596" s="2412" t="s">
        <v>6094</v>
      </c>
      <c r="H1596" s="2383">
        <v>1</v>
      </c>
      <c r="I1596" s="2383">
        <v>0</v>
      </c>
      <c r="J1596" s="2413">
        <v>1</v>
      </c>
      <c r="K1596" s="2387"/>
      <c r="L1596" s="2381">
        <v>13135050545</v>
      </c>
      <c r="M1596" s="2382">
        <v>1</v>
      </c>
      <c r="N1596" s="2382">
        <v>0</v>
      </c>
      <c r="O1596" s="2383">
        <v>1</v>
      </c>
    </row>
    <row r="1597" spans="3:15">
      <c r="C1597" s="2388" t="s">
        <v>6095</v>
      </c>
      <c r="D1597" s="2385">
        <v>1</v>
      </c>
      <c r="E1597" s="2385">
        <v>1</v>
      </c>
      <c r="F1597" s="2386">
        <v>2</v>
      </c>
      <c r="G1597" s="2412" t="s">
        <v>6095</v>
      </c>
      <c r="H1597" s="2383">
        <v>1</v>
      </c>
      <c r="I1597" s="2383">
        <v>1</v>
      </c>
      <c r="J1597" s="2413">
        <v>2</v>
      </c>
      <c r="K1597" s="2387"/>
      <c r="L1597" s="2381">
        <v>13135050546</v>
      </c>
      <c r="M1597" s="2382">
        <v>1</v>
      </c>
      <c r="N1597" s="2382">
        <v>1</v>
      </c>
      <c r="O1597" s="2383">
        <v>2</v>
      </c>
    </row>
    <row r="1598" spans="3:15">
      <c r="C1598" s="2388" t="s">
        <v>6096</v>
      </c>
      <c r="D1598" s="2385">
        <v>1</v>
      </c>
      <c r="E1598" s="2385">
        <v>1</v>
      </c>
      <c r="F1598" s="2386">
        <v>2</v>
      </c>
      <c r="G1598" s="2412" t="s">
        <v>6096</v>
      </c>
      <c r="H1598" s="2383">
        <v>1</v>
      </c>
      <c r="I1598" s="2383">
        <v>1</v>
      </c>
      <c r="J1598" s="2413">
        <v>2</v>
      </c>
      <c r="K1598" s="2387"/>
      <c r="L1598" s="2381">
        <v>13135050547</v>
      </c>
      <c r="M1598" s="2382">
        <v>1</v>
      </c>
      <c r="N1598" s="2382">
        <v>1</v>
      </c>
      <c r="O1598" s="2383">
        <v>2</v>
      </c>
    </row>
    <row r="1599" spans="3:15">
      <c r="C1599" s="2388" t="s">
        <v>6097</v>
      </c>
      <c r="D1599" s="2385">
        <v>1</v>
      </c>
      <c r="E1599" s="2385">
        <v>1</v>
      </c>
      <c r="F1599" s="2386">
        <v>2</v>
      </c>
      <c r="G1599" s="2412" t="s">
        <v>6097</v>
      </c>
      <c r="H1599" s="2383">
        <v>1</v>
      </c>
      <c r="I1599" s="2383">
        <v>1</v>
      </c>
      <c r="J1599" s="2413">
        <v>2</v>
      </c>
      <c r="K1599" s="2387"/>
      <c r="L1599" s="2381">
        <v>13135050548</v>
      </c>
      <c r="M1599" s="2382">
        <v>1</v>
      </c>
      <c r="N1599" s="2382">
        <v>1</v>
      </c>
      <c r="O1599" s="2383">
        <v>2</v>
      </c>
    </row>
    <row r="1600" spans="3:15">
      <c r="C1600" s="2388" t="s">
        <v>6098</v>
      </c>
      <c r="D1600" s="2385">
        <v>1</v>
      </c>
      <c r="E1600" s="2385">
        <v>1</v>
      </c>
      <c r="F1600" s="2386">
        <v>2</v>
      </c>
      <c r="G1600" s="2412" t="s">
        <v>6098</v>
      </c>
      <c r="H1600" s="2383">
        <v>1</v>
      </c>
      <c r="I1600" s="2383">
        <v>1</v>
      </c>
      <c r="J1600" s="2413">
        <v>2</v>
      </c>
      <c r="K1600" s="2387"/>
      <c r="L1600" s="2381">
        <v>13135050549</v>
      </c>
      <c r="M1600" s="2382">
        <v>1</v>
      </c>
      <c r="N1600" s="2382">
        <v>1</v>
      </c>
      <c r="O1600" s="2383">
        <v>2</v>
      </c>
    </row>
    <row r="1601" spans="3:15">
      <c r="C1601" s="2388" t="s">
        <v>6099</v>
      </c>
      <c r="D1601" s="2385">
        <v>1</v>
      </c>
      <c r="E1601" s="2385">
        <v>1</v>
      </c>
      <c r="F1601" s="2386">
        <v>2</v>
      </c>
      <c r="G1601" s="2412" t="s">
        <v>6099</v>
      </c>
      <c r="H1601" s="2383">
        <v>1</v>
      </c>
      <c r="I1601" s="2383">
        <v>1</v>
      </c>
      <c r="J1601" s="2413">
        <v>2</v>
      </c>
      <c r="K1601" s="2387"/>
      <c r="L1601" s="2381">
        <v>13135050605</v>
      </c>
      <c r="M1601" s="2382">
        <v>1</v>
      </c>
      <c r="N1601" s="2382">
        <v>1</v>
      </c>
      <c r="O1601" s="2383">
        <v>2</v>
      </c>
    </row>
    <row r="1602" spans="3:15">
      <c r="C1602" s="2388" t="s">
        <v>6100</v>
      </c>
      <c r="D1602" s="2385">
        <v>1</v>
      </c>
      <c r="E1602" s="2385">
        <v>1</v>
      </c>
      <c r="F1602" s="2386">
        <v>2</v>
      </c>
      <c r="G1602" s="2412" t="s">
        <v>6100</v>
      </c>
      <c r="H1602" s="2383">
        <v>1</v>
      </c>
      <c r="I1602" s="2383">
        <v>1</v>
      </c>
      <c r="J1602" s="2413">
        <v>2</v>
      </c>
      <c r="K1602" s="2387"/>
      <c r="L1602" s="2381">
        <v>13135050606</v>
      </c>
      <c r="M1602" s="2382">
        <v>1</v>
      </c>
      <c r="N1602" s="2382">
        <v>1</v>
      </c>
      <c r="O1602" s="2383">
        <v>2</v>
      </c>
    </row>
    <row r="1603" spans="3:15">
      <c r="C1603" s="2388" t="s">
        <v>6101</v>
      </c>
      <c r="D1603" s="2385">
        <v>1</v>
      </c>
      <c r="E1603" s="2385">
        <v>1</v>
      </c>
      <c r="F1603" s="2386">
        <v>2</v>
      </c>
      <c r="G1603" s="2412" t="s">
        <v>6101</v>
      </c>
      <c r="H1603" s="2383">
        <v>1</v>
      </c>
      <c r="I1603" s="2383">
        <v>1</v>
      </c>
      <c r="J1603" s="2413">
        <v>2</v>
      </c>
      <c r="K1603" s="2387"/>
      <c r="L1603" s="2381">
        <v>13135050607</v>
      </c>
      <c r="M1603" s="2382">
        <v>1</v>
      </c>
      <c r="N1603" s="2382">
        <v>1</v>
      </c>
      <c r="O1603" s="2383">
        <v>2</v>
      </c>
    </row>
    <row r="1604" spans="3:15">
      <c r="C1604" s="2388" t="s">
        <v>6102</v>
      </c>
      <c r="D1604" s="2385">
        <v>1</v>
      </c>
      <c r="E1604" s="2385">
        <v>1</v>
      </c>
      <c r="F1604" s="2386">
        <v>2</v>
      </c>
      <c r="G1604" s="2412" t="s">
        <v>6102</v>
      </c>
      <c r="H1604" s="2383">
        <v>1</v>
      </c>
      <c r="I1604" s="2383">
        <v>1</v>
      </c>
      <c r="J1604" s="2413">
        <v>2</v>
      </c>
      <c r="K1604" s="2387"/>
      <c r="L1604" s="2381">
        <v>13135050608</v>
      </c>
      <c r="M1604" s="2382">
        <v>1</v>
      </c>
      <c r="N1604" s="2382">
        <v>1</v>
      </c>
      <c r="O1604" s="2383">
        <v>2</v>
      </c>
    </row>
    <row r="1605" spans="3:15">
      <c r="C1605" s="2388" t="s">
        <v>6103</v>
      </c>
      <c r="D1605" s="2385">
        <v>1</v>
      </c>
      <c r="E1605" s="2385">
        <v>1</v>
      </c>
      <c r="F1605" s="2386">
        <v>2</v>
      </c>
      <c r="G1605" s="2412" t="s">
        <v>6103</v>
      </c>
      <c r="H1605" s="2383">
        <v>1</v>
      </c>
      <c r="I1605" s="2383">
        <v>1</v>
      </c>
      <c r="J1605" s="2413">
        <v>2</v>
      </c>
      <c r="K1605" s="2387"/>
      <c r="L1605" s="2381">
        <v>13135050609</v>
      </c>
      <c r="M1605" s="2382">
        <v>1</v>
      </c>
      <c r="N1605" s="2382">
        <v>1</v>
      </c>
      <c r="O1605" s="2383">
        <v>2</v>
      </c>
    </row>
    <row r="1606" spans="3:15">
      <c r="C1606" s="2388" t="s">
        <v>6104</v>
      </c>
      <c r="D1606" s="2385">
        <v>1</v>
      </c>
      <c r="E1606" s="2385">
        <v>1</v>
      </c>
      <c r="F1606" s="2386">
        <v>2</v>
      </c>
      <c r="G1606" s="2412" t="s">
        <v>6104</v>
      </c>
      <c r="H1606" s="2383">
        <v>1</v>
      </c>
      <c r="I1606" s="2383">
        <v>1</v>
      </c>
      <c r="J1606" s="2413">
        <v>2</v>
      </c>
      <c r="K1606" s="2387"/>
      <c r="L1606" s="2381">
        <v>13135050610</v>
      </c>
      <c r="M1606" s="2382">
        <v>1</v>
      </c>
      <c r="N1606" s="2382">
        <v>1</v>
      </c>
      <c r="O1606" s="2383">
        <v>2</v>
      </c>
    </row>
    <row r="1607" spans="3:15">
      <c r="C1607" s="2388" t="s">
        <v>6105</v>
      </c>
      <c r="D1607" s="2385">
        <v>0</v>
      </c>
      <c r="E1607" s="2385">
        <v>1</v>
      </c>
      <c r="F1607" s="2386">
        <v>1</v>
      </c>
      <c r="G1607" s="2412" t="s">
        <v>6105</v>
      </c>
      <c r="H1607" s="2383">
        <v>0</v>
      </c>
      <c r="I1607" s="2383">
        <v>1</v>
      </c>
      <c r="J1607" s="2413">
        <v>1</v>
      </c>
      <c r="K1607" s="2387"/>
      <c r="L1607" s="2381">
        <v>13135050709</v>
      </c>
      <c r="M1607" s="2382">
        <v>0</v>
      </c>
      <c r="N1607" s="2382">
        <v>1</v>
      </c>
      <c r="O1607" s="2383">
        <v>1</v>
      </c>
    </row>
    <row r="1608" spans="3:15">
      <c r="C1608" s="2388" t="s">
        <v>6106</v>
      </c>
      <c r="D1608" s="2385">
        <v>1</v>
      </c>
      <c r="E1608" s="2385">
        <v>1</v>
      </c>
      <c r="F1608" s="2386">
        <v>2</v>
      </c>
      <c r="G1608" s="2412" t="s">
        <v>6106</v>
      </c>
      <c r="H1608" s="2383">
        <v>1</v>
      </c>
      <c r="I1608" s="2383">
        <v>1</v>
      </c>
      <c r="J1608" s="2413">
        <v>2</v>
      </c>
      <c r="K1608" s="2387"/>
      <c r="L1608" s="2381">
        <v>13135050712</v>
      </c>
      <c r="M1608" s="2382">
        <v>1</v>
      </c>
      <c r="N1608" s="2382">
        <v>1</v>
      </c>
      <c r="O1608" s="2383">
        <v>2</v>
      </c>
    </row>
    <row r="1609" spans="3:15">
      <c r="C1609" s="2388" t="s">
        <v>6107</v>
      </c>
      <c r="D1609" s="2385">
        <v>1</v>
      </c>
      <c r="E1609" s="2385">
        <v>1</v>
      </c>
      <c r="F1609" s="2386">
        <v>2</v>
      </c>
      <c r="G1609" s="2412" t="s">
        <v>6107</v>
      </c>
      <c r="H1609" s="2383">
        <v>1</v>
      </c>
      <c r="I1609" s="2383">
        <v>1</v>
      </c>
      <c r="J1609" s="2413">
        <v>2</v>
      </c>
      <c r="K1609" s="2387"/>
      <c r="L1609" s="2381">
        <v>13135050713</v>
      </c>
      <c r="M1609" s="2382">
        <v>1</v>
      </c>
      <c r="N1609" s="2382">
        <v>1</v>
      </c>
      <c r="O1609" s="2383">
        <v>2</v>
      </c>
    </row>
    <row r="1610" spans="3:15">
      <c r="C1610" s="2388" t="s">
        <v>6108</v>
      </c>
      <c r="D1610" s="2385">
        <v>1</v>
      </c>
      <c r="E1610" s="2385">
        <v>1</v>
      </c>
      <c r="F1610" s="2386">
        <v>2</v>
      </c>
      <c r="G1610" s="2412" t="s">
        <v>6108</v>
      </c>
      <c r="H1610" s="2383">
        <v>1</v>
      </c>
      <c r="I1610" s="2383">
        <v>1</v>
      </c>
      <c r="J1610" s="2413">
        <v>2</v>
      </c>
      <c r="K1610" s="2387"/>
      <c r="L1610" s="2381">
        <v>13135050714</v>
      </c>
      <c r="M1610" s="2382">
        <v>1</v>
      </c>
      <c r="N1610" s="2382">
        <v>1</v>
      </c>
      <c r="O1610" s="2383">
        <v>2</v>
      </c>
    </row>
    <row r="1611" spans="3:15">
      <c r="C1611" s="2388" t="s">
        <v>6109</v>
      </c>
      <c r="D1611" s="2385">
        <v>1</v>
      </c>
      <c r="E1611" s="2385">
        <v>1</v>
      </c>
      <c r="F1611" s="2386">
        <v>2</v>
      </c>
      <c r="G1611" s="2412" t="s">
        <v>6109</v>
      </c>
      <c r="H1611" s="2383">
        <v>1</v>
      </c>
      <c r="I1611" s="2383">
        <v>1</v>
      </c>
      <c r="J1611" s="2413">
        <v>2</v>
      </c>
      <c r="K1611" s="2387"/>
      <c r="L1611" s="2381">
        <v>13135050715</v>
      </c>
      <c r="M1611" s="2382">
        <v>1</v>
      </c>
      <c r="N1611" s="2382">
        <v>1</v>
      </c>
      <c r="O1611" s="2383">
        <v>2</v>
      </c>
    </row>
    <row r="1612" spans="3:15">
      <c r="C1612" s="2388" t="s">
        <v>6110</v>
      </c>
      <c r="D1612" s="2385">
        <v>1</v>
      </c>
      <c r="E1612" s="2385">
        <v>1</v>
      </c>
      <c r="F1612" s="2386">
        <v>2</v>
      </c>
      <c r="G1612" s="2412" t="s">
        <v>6110</v>
      </c>
      <c r="H1612" s="2383">
        <v>1</v>
      </c>
      <c r="I1612" s="2383" t="s">
        <v>4493</v>
      </c>
      <c r="J1612" s="2413">
        <v>1</v>
      </c>
      <c r="K1612" s="2387"/>
      <c r="L1612" s="2381">
        <v>13135050718</v>
      </c>
      <c r="M1612" s="2382">
        <v>1</v>
      </c>
      <c r="N1612" s="2382">
        <v>1</v>
      </c>
      <c r="O1612" s="2383">
        <v>2</v>
      </c>
    </row>
    <row r="1613" spans="3:15">
      <c r="C1613" s="2388" t="s">
        <v>6111</v>
      </c>
      <c r="D1613" s="2385">
        <v>1</v>
      </c>
      <c r="E1613" s="2385">
        <v>1</v>
      </c>
      <c r="F1613" s="2386">
        <v>2</v>
      </c>
      <c r="G1613" s="2412" t="s">
        <v>6111</v>
      </c>
      <c r="H1613" s="2383">
        <v>1</v>
      </c>
      <c r="I1613" s="2383">
        <v>0</v>
      </c>
      <c r="J1613" s="2413">
        <v>1</v>
      </c>
      <c r="K1613" s="2387"/>
      <c r="L1613" s="2381">
        <v>13135050719</v>
      </c>
      <c r="M1613" s="2382">
        <v>1</v>
      </c>
      <c r="N1613" s="2382">
        <v>1</v>
      </c>
      <c r="O1613" s="2383">
        <v>2</v>
      </c>
    </row>
    <row r="1614" spans="3:15">
      <c r="C1614" s="2388" t="s">
        <v>6112</v>
      </c>
      <c r="D1614" s="2385">
        <v>1</v>
      </c>
      <c r="E1614" s="2385">
        <v>1</v>
      </c>
      <c r="F1614" s="2386">
        <v>2</v>
      </c>
      <c r="G1614" s="2412" t="s">
        <v>6112</v>
      </c>
      <c r="H1614" s="2383">
        <v>1</v>
      </c>
      <c r="I1614" s="2383">
        <v>1</v>
      </c>
      <c r="J1614" s="2413">
        <v>2</v>
      </c>
      <c r="K1614" s="2387"/>
      <c r="L1614" s="2381">
        <v>13135050720</v>
      </c>
      <c r="M1614" s="2382">
        <v>1</v>
      </c>
      <c r="N1614" s="2382">
        <v>1</v>
      </c>
      <c r="O1614" s="2383">
        <v>2</v>
      </c>
    </row>
    <row r="1615" spans="3:15">
      <c r="C1615" s="2388" t="s">
        <v>6113</v>
      </c>
      <c r="D1615" s="2385">
        <v>1</v>
      </c>
      <c r="E1615" s="2385">
        <v>0</v>
      </c>
      <c r="F1615" s="2386">
        <v>1</v>
      </c>
      <c r="G1615" s="2412" t="s">
        <v>6113</v>
      </c>
      <c r="H1615" s="2383">
        <v>1</v>
      </c>
      <c r="I1615" s="2383">
        <v>1</v>
      </c>
      <c r="J1615" s="2413">
        <v>2</v>
      </c>
      <c r="K1615" s="2387"/>
      <c r="L1615" s="2381">
        <v>13135050721</v>
      </c>
      <c r="M1615" s="2382">
        <v>1</v>
      </c>
      <c r="N1615" s="2382">
        <v>1</v>
      </c>
      <c r="O1615" s="2383">
        <v>2</v>
      </c>
    </row>
    <row r="1616" spans="3:15">
      <c r="C1616" s="2388" t="s">
        <v>6114</v>
      </c>
      <c r="D1616" s="2385">
        <v>0</v>
      </c>
      <c r="E1616" s="2385">
        <v>0</v>
      </c>
      <c r="F1616" s="2386">
        <v>0</v>
      </c>
      <c r="G1616" s="2412" t="s">
        <v>6114</v>
      </c>
      <c r="H1616" s="2383">
        <v>0</v>
      </c>
      <c r="I1616" s="2383">
        <v>0</v>
      </c>
      <c r="J1616" s="2413">
        <v>0</v>
      </c>
      <c r="K1616" s="2387"/>
      <c r="L1616" s="2381">
        <v>13135050722</v>
      </c>
      <c r="M1616" s="2382">
        <v>0</v>
      </c>
      <c r="N1616" s="2382">
        <v>0</v>
      </c>
      <c r="O1616" s="2383">
        <v>0</v>
      </c>
    </row>
    <row r="1617" spans="3:15">
      <c r="C1617" s="2388" t="s">
        <v>6115</v>
      </c>
      <c r="D1617" s="2385">
        <v>0</v>
      </c>
      <c r="E1617" s="2385">
        <v>1</v>
      </c>
      <c r="F1617" s="2386">
        <v>1</v>
      </c>
      <c r="G1617" s="2412" t="s">
        <v>6115</v>
      </c>
      <c r="H1617" s="2383">
        <v>1</v>
      </c>
      <c r="I1617" s="2383">
        <v>1</v>
      </c>
      <c r="J1617" s="2413">
        <v>2</v>
      </c>
      <c r="K1617" s="2387"/>
      <c r="L1617" s="2381">
        <v>13135050723</v>
      </c>
      <c r="M1617" s="2382">
        <v>1</v>
      </c>
      <c r="N1617" s="2382">
        <v>1</v>
      </c>
      <c r="O1617" s="2383">
        <v>2</v>
      </c>
    </row>
    <row r="1618" spans="3:15">
      <c r="C1618" s="2388" t="s">
        <v>6116</v>
      </c>
      <c r="D1618" s="2385">
        <v>1</v>
      </c>
      <c r="E1618" s="2385">
        <v>1</v>
      </c>
      <c r="F1618" s="2386">
        <v>2</v>
      </c>
      <c r="G1618" s="2412" t="s">
        <v>6116</v>
      </c>
      <c r="H1618" s="2383">
        <v>1</v>
      </c>
      <c r="I1618" s="2383">
        <v>1</v>
      </c>
      <c r="J1618" s="2413">
        <v>2</v>
      </c>
      <c r="K1618" s="2387"/>
      <c r="L1618" s="2381">
        <v>13135050724</v>
      </c>
      <c r="M1618" s="2382">
        <v>1</v>
      </c>
      <c r="N1618" s="2382">
        <v>1</v>
      </c>
      <c r="O1618" s="2383">
        <v>2</v>
      </c>
    </row>
    <row r="1619" spans="3:15">
      <c r="C1619" s="2388" t="s">
        <v>6117</v>
      </c>
      <c r="D1619" s="2385">
        <v>1</v>
      </c>
      <c r="E1619" s="2385">
        <v>1</v>
      </c>
      <c r="F1619" s="2386">
        <v>2</v>
      </c>
      <c r="G1619" s="2412" t="s">
        <v>6117</v>
      </c>
      <c r="H1619" s="2383">
        <v>1</v>
      </c>
      <c r="I1619" s="2383">
        <v>1</v>
      </c>
      <c r="J1619" s="2413">
        <v>2</v>
      </c>
      <c r="K1619" s="2387"/>
      <c r="L1619" s="2381">
        <v>13135050725</v>
      </c>
      <c r="M1619" s="2382">
        <v>1</v>
      </c>
      <c r="N1619" s="2382">
        <v>1</v>
      </c>
      <c r="O1619" s="2383">
        <v>2</v>
      </c>
    </row>
    <row r="1620" spans="3:15">
      <c r="C1620" s="2388" t="s">
        <v>6118</v>
      </c>
      <c r="D1620" s="2385">
        <v>1</v>
      </c>
      <c r="E1620" s="2385">
        <v>1</v>
      </c>
      <c r="F1620" s="2386">
        <v>2</v>
      </c>
      <c r="G1620" s="2412" t="s">
        <v>6118</v>
      </c>
      <c r="H1620" s="2383">
        <v>1</v>
      </c>
      <c r="I1620" s="2383">
        <v>1</v>
      </c>
      <c r="J1620" s="2413">
        <v>2</v>
      </c>
      <c r="K1620" s="2387"/>
      <c r="L1620" s="2381">
        <v>13135050726</v>
      </c>
      <c r="M1620" s="2382">
        <v>1</v>
      </c>
      <c r="N1620" s="2382">
        <v>1</v>
      </c>
      <c r="O1620" s="2383">
        <v>2</v>
      </c>
    </row>
    <row r="1621" spans="3:15">
      <c r="C1621" s="2388" t="s">
        <v>6119</v>
      </c>
      <c r="D1621" s="2385">
        <v>1</v>
      </c>
      <c r="E1621" s="2385">
        <v>1</v>
      </c>
      <c r="F1621" s="2386">
        <v>2</v>
      </c>
      <c r="G1621" s="2412" t="s">
        <v>6119</v>
      </c>
      <c r="H1621" s="2383">
        <v>1</v>
      </c>
      <c r="I1621" s="2383">
        <v>1</v>
      </c>
      <c r="J1621" s="2413">
        <v>2</v>
      </c>
      <c r="K1621" s="2387"/>
      <c r="L1621" s="2381">
        <v>13135050727</v>
      </c>
      <c r="M1621" s="2382">
        <v>1</v>
      </c>
      <c r="N1621" s="2382">
        <v>1</v>
      </c>
      <c r="O1621" s="2383">
        <v>2</v>
      </c>
    </row>
    <row r="1622" spans="3:15">
      <c r="C1622" s="2388" t="s">
        <v>6120</v>
      </c>
      <c r="D1622" s="2385">
        <v>1</v>
      </c>
      <c r="E1622" s="2385">
        <v>1</v>
      </c>
      <c r="F1622" s="2386">
        <v>2</v>
      </c>
      <c r="G1622" s="2412" t="s">
        <v>6120</v>
      </c>
      <c r="H1622" s="2383">
        <v>1</v>
      </c>
      <c r="I1622" s="2383">
        <v>1</v>
      </c>
      <c r="J1622" s="2413">
        <v>2</v>
      </c>
      <c r="K1622" s="2387"/>
      <c r="L1622" s="2381">
        <v>13135050728</v>
      </c>
      <c r="M1622" s="2382">
        <v>1</v>
      </c>
      <c r="N1622" s="2382">
        <v>1</v>
      </c>
      <c r="O1622" s="2383">
        <v>2</v>
      </c>
    </row>
    <row r="1623" spans="3:15">
      <c r="C1623" s="2388" t="s">
        <v>6121</v>
      </c>
      <c r="D1623" s="2385">
        <v>0</v>
      </c>
      <c r="E1623" s="2385">
        <v>0</v>
      </c>
      <c r="F1623" s="2386">
        <v>0</v>
      </c>
      <c r="G1623" s="2412" t="s">
        <v>6121</v>
      </c>
      <c r="H1623" s="2383">
        <v>1</v>
      </c>
      <c r="I1623" s="2383">
        <v>0</v>
      </c>
      <c r="J1623" s="2413">
        <v>1</v>
      </c>
      <c r="K1623" s="2387"/>
      <c r="L1623" s="2381">
        <v>13135050729</v>
      </c>
      <c r="M1623" s="2382">
        <v>1</v>
      </c>
      <c r="N1623" s="2382">
        <v>0</v>
      </c>
      <c r="O1623" s="2383">
        <v>1</v>
      </c>
    </row>
    <row r="1624" spans="3:15">
      <c r="C1624" s="2388" t="s">
        <v>6122</v>
      </c>
      <c r="D1624" s="2385">
        <v>1</v>
      </c>
      <c r="E1624" s="2385">
        <v>1</v>
      </c>
      <c r="F1624" s="2386">
        <v>2</v>
      </c>
      <c r="G1624" s="2412" t="s">
        <v>6122</v>
      </c>
      <c r="H1624" s="2383">
        <v>1</v>
      </c>
      <c r="I1624" s="2383">
        <v>0</v>
      </c>
      <c r="J1624" s="2413">
        <v>1</v>
      </c>
      <c r="K1624" s="2387"/>
      <c r="L1624" s="2381">
        <v>13135050730</v>
      </c>
      <c r="M1624" s="2382">
        <v>1</v>
      </c>
      <c r="N1624" s="2382">
        <v>1</v>
      </c>
      <c r="O1624" s="2383">
        <v>2</v>
      </c>
    </row>
    <row r="1625" spans="3:15">
      <c r="C1625" s="2388" t="s">
        <v>6123</v>
      </c>
      <c r="D1625" s="2385">
        <v>1</v>
      </c>
      <c r="E1625" s="2385">
        <v>1</v>
      </c>
      <c r="F1625" s="2386">
        <v>2</v>
      </c>
      <c r="G1625" s="2412" t="s">
        <v>6123</v>
      </c>
      <c r="H1625" s="2383">
        <v>0</v>
      </c>
      <c r="I1625" s="2383">
        <v>1</v>
      </c>
      <c r="J1625" s="2413">
        <v>1</v>
      </c>
      <c r="K1625" s="2387"/>
      <c r="L1625" s="2381">
        <v>13135050731</v>
      </c>
      <c r="M1625" s="2382">
        <v>1</v>
      </c>
      <c r="N1625" s="2382">
        <v>1</v>
      </c>
      <c r="O1625" s="2383">
        <v>2</v>
      </c>
    </row>
    <row r="1626" spans="3:15">
      <c r="C1626" s="2388" t="s">
        <v>6124</v>
      </c>
      <c r="D1626" s="2385">
        <v>1</v>
      </c>
      <c r="E1626" s="2385">
        <v>1</v>
      </c>
      <c r="F1626" s="2386">
        <v>2</v>
      </c>
      <c r="G1626" s="2412" t="s">
        <v>6124</v>
      </c>
      <c r="H1626" s="2383">
        <v>0</v>
      </c>
      <c r="I1626" s="2383">
        <v>1</v>
      </c>
      <c r="J1626" s="2413">
        <v>1</v>
      </c>
      <c r="K1626" s="2387"/>
      <c r="L1626" s="2381">
        <v>13137000100</v>
      </c>
      <c r="M1626" s="2382">
        <v>1</v>
      </c>
      <c r="N1626" s="2382">
        <v>1</v>
      </c>
      <c r="O1626" s="2383">
        <v>2</v>
      </c>
    </row>
    <row r="1627" spans="3:15">
      <c r="C1627" s="2388" t="s">
        <v>6125</v>
      </c>
      <c r="D1627" s="2385">
        <v>1</v>
      </c>
      <c r="E1627" s="2385">
        <v>0</v>
      </c>
      <c r="F1627" s="2386">
        <v>1</v>
      </c>
      <c r="G1627" s="2412" t="s">
        <v>6125</v>
      </c>
      <c r="H1627" s="2383">
        <v>0</v>
      </c>
      <c r="I1627" s="2383">
        <v>0</v>
      </c>
      <c r="J1627" s="2413">
        <v>0</v>
      </c>
      <c r="K1627" s="2387"/>
      <c r="L1627" s="2381">
        <v>13137000201</v>
      </c>
      <c r="M1627" s="2382">
        <v>1</v>
      </c>
      <c r="N1627" s="2382">
        <v>0</v>
      </c>
      <c r="O1627" s="2383">
        <v>1</v>
      </c>
    </row>
    <row r="1628" spans="3:15">
      <c r="C1628" s="2388" t="s">
        <v>6126</v>
      </c>
      <c r="D1628" s="2385">
        <v>1</v>
      </c>
      <c r="E1628" s="2385">
        <v>1</v>
      </c>
      <c r="F1628" s="2386">
        <v>2</v>
      </c>
      <c r="G1628" s="2412" t="s">
        <v>6126</v>
      </c>
      <c r="H1628" s="2383">
        <v>1</v>
      </c>
      <c r="I1628" s="2383">
        <v>0</v>
      </c>
      <c r="J1628" s="2413">
        <v>1</v>
      </c>
      <c r="K1628" s="2387"/>
      <c r="L1628" s="2381">
        <v>13137000202</v>
      </c>
      <c r="M1628" s="2382">
        <v>1</v>
      </c>
      <c r="N1628" s="2382">
        <v>1</v>
      </c>
      <c r="O1628" s="2383">
        <v>2</v>
      </c>
    </row>
    <row r="1629" spans="3:15">
      <c r="C1629" s="2388" t="s">
        <v>6127</v>
      </c>
      <c r="D1629" s="2385">
        <v>0</v>
      </c>
      <c r="E1629" s="2385">
        <v>0</v>
      </c>
      <c r="F1629" s="2386">
        <v>0</v>
      </c>
      <c r="G1629" s="2412" t="s">
        <v>6127</v>
      </c>
      <c r="H1629" s="2383">
        <v>0</v>
      </c>
      <c r="I1629" s="2383">
        <v>0</v>
      </c>
      <c r="J1629" s="2413">
        <v>0</v>
      </c>
      <c r="K1629" s="2387"/>
      <c r="L1629" s="2381">
        <v>13137000300</v>
      </c>
      <c r="M1629" s="2382">
        <v>0</v>
      </c>
      <c r="N1629" s="2382">
        <v>0</v>
      </c>
      <c r="O1629" s="2383">
        <v>0</v>
      </c>
    </row>
    <row r="1630" spans="3:15">
      <c r="C1630" s="2388" t="s">
        <v>6128</v>
      </c>
      <c r="D1630" s="2385">
        <v>1</v>
      </c>
      <c r="E1630" s="2385">
        <v>0</v>
      </c>
      <c r="F1630" s="2386">
        <v>1</v>
      </c>
      <c r="G1630" s="2412" t="s">
        <v>6128</v>
      </c>
      <c r="H1630" s="2383">
        <v>0</v>
      </c>
      <c r="I1630" s="2383">
        <v>1</v>
      </c>
      <c r="J1630" s="2413">
        <v>1</v>
      </c>
      <c r="K1630" s="2387"/>
      <c r="L1630" s="2381">
        <v>13137000400</v>
      </c>
      <c r="M1630" s="2382">
        <v>1</v>
      </c>
      <c r="N1630" s="2382">
        <v>1</v>
      </c>
      <c r="O1630" s="2383">
        <v>1</v>
      </c>
    </row>
    <row r="1631" spans="3:15">
      <c r="C1631" s="2388" t="s">
        <v>6129</v>
      </c>
      <c r="D1631" s="2385">
        <v>0</v>
      </c>
      <c r="E1631" s="2385">
        <v>0</v>
      </c>
      <c r="F1631" s="2386">
        <v>0</v>
      </c>
      <c r="G1631" s="2412" t="s">
        <v>6129</v>
      </c>
      <c r="H1631" s="2383">
        <v>0</v>
      </c>
      <c r="I1631" s="2383">
        <v>1</v>
      </c>
      <c r="J1631" s="2413">
        <v>1</v>
      </c>
      <c r="K1631" s="2387"/>
      <c r="L1631" s="2381">
        <v>13137000500</v>
      </c>
      <c r="M1631" s="2382">
        <v>0</v>
      </c>
      <c r="N1631" s="2382">
        <v>1</v>
      </c>
      <c r="O1631" s="2383">
        <v>1</v>
      </c>
    </row>
    <row r="1632" spans="3:15">
      <c r="C1632" s="2388" t="s">
        <v>6130</v>
      </c>
      <c r="D1632" s="2385">
        <v>0</v>
      </c>
      <c r="E1632" s="2385">
        <v>0</v>
      </c>
      <c r="F1632" s="2386">
        <v>0</v>
      </c>
      <c r="G1632" s="2412" t="s">
        <v>6130</v>
      </c>
      <c r="H1632" s="2383">
        <v>0</v>
      </c>
      <c r="I1632" s="2383">
        <v>0</v>
      </c>
      <c r="J1632" s="2413">
        <v>0</v>
      </c>
      <c r="K1632" s="2387"/>
      <c r="L1632" s="2381">
        <v>13137000601</v>
      </c>
      <c r="M1632" s="2382">
        <v>0</v>
      </c>
      <c r="N1632" s="2382">
        <v>0</v>
      </c>
      <c r="O1632" s="2383">
        <v>0</v>
      </c>
    </row>
    <row r="1633" spans="3:15">
      <c r="C1633" s="2388" t="s">
        <v>6131</v>
      </c>
      <c r="D1633" s="2385">
        <v>0</v>
      </c>
      <c r="E1633" s="2385">
        <v>0</v>
      </c>
      <c r="F1633" s="2386">
        <v>0</v>
      </c>
      <c r="G1633" s="2412" t="s">
        <v>6131</v>
      </c>
      <c r="H1633" s="2383">
        <v>0</v>
      </c>
      <c r="I1633" s="2383">
        <v>0</v>
      </c>
      <c r="J1633" s="2413">
        <v>0</v>
      </c>
      <c r="K1633" s="2387"/>
      <c r="L1633" s="2381">
        <v>13137000602</v>
      </c>
      <c r="M1633" s="2382">
        <v>0</v>
      </c>
      <c r="N1633" s="2382">
        <v>0</v>
      </c>
      <c r="O1633" s="2383">
        <v>0</v>
      </c>
    </row>
    <row r="1634" spans="3:15">
      <c r="C1634" s="2388" t="s">
        <v>6132</v>
      </c>
      <c r="D1634" s="2385">
        <v>1</v>
      </c>
      <c r="E1634" s="2385">
        <v>0</v>
      </c>
      <c r="F1634" s="2386">
        <v>1</v>
      </c>
      <c r="G1634" s="2412" t="s">
        <v>6132</v>
      </c>
      <c r="H1634" s="2383">
        <v>0</v>
      </c>
      <c r="I1634" s="2383">
        <v>0</v>
      </c>
      <c r="J1634" s="2413">
        <v>0</v>
      </c>
      <c r="K1634" s="2387"/>
      <c r="L1634" s="2381">
        <v>13139000101</v>
      </c>
      <c r="M1634" s="2382">
        <v>1</v>
      </c>
      <c r="N1634" s="2382">
        <v>0</v>
      </c>
      <c r="O1634" s="2383">
        <v>1</v>
      </c>
    </row>
    <row r="1635" spans="3:15">
      <c r="C1635" s="2388" t="s">
        <v>6133</v>
      </c>
      <c r="D1635" s="2385">
        <v>1</v>
      </c>
      <c r="E1635" s="2385">
        <v>0</v>
      </c>
      <c r="F1635" s="2386">
        <v>1</v>
      </c>
      <c r="G1635" s="2412" t="s">
        <v>6133</v>
      </c>
      <c r="H1635" s="2383">
        <v>1</v>
      </c>
      <c r="I1635" s="2383">
        <v>0</v>
      </c>
      <c r="J1635" s="2413">
        <v>1</v>
      </c>
      <c r="K1635" s="2387"/>
      <c r="L1635" s="2381">
        <v>13139000102</v>
      </c>
      <c r="M1635" s="2382">
        <v>1</v>
      </c>
      <c r="N1635" s="2382">
        <v>0</v>
      </c>
      <c r="O1635" s="2383">
        <v>1</v>
      </c>
    </row>
    <row r="1636" spans="3:15">
      <c r="C1636" s="2388" t="s">
        <v>6134</v>
      </c>
      <c r="D1636" s="2385">
        <v>0</v>
      </c>
      <c r="E1636" s="2385">
        <v>0</v>
      </c>
      <c r="F1636" s="2386">
        <v>0</v>
      </c>
      <c r="G1636" s="2412" t="s">
        <v>6134</v>
      </c>
      <c r="H1636" s="2383">
        <v>1</v>
      </c>
      <c r="I1636" s="2383">
        <v>0</v>
      </c>
      <c r="J1636" s="2413">
        <v>1</v>
      </c>
      <c r="K1636" s="2387"/>
      <c r="L1636" s="2381">
        <v>13139000201</v>
      </c>
      <c r="M1636" s="2382">
        <v>1</v>
      </c>
      <c r="N1636" s="2382">
        <v>0</v>
      </c>
      <c r="O1636" s="2383">
        <v>1</v>
      </c>
    </row>
    <row r="1637" spans="3:15">
      <c r="C1637" s="2388" t="s">
        <v>6135</v>
      </c>
      <c r="D1637" s="2385">
        <v>1</v>
      </c>
      <c r="E1637" s="2385">
        <v>1</v>
      </c>
      <c r="F1637" s="2386">
        <v>2</v>
      </c>
      <c r="G1637" s="2412" t="s">
        <v>6135</v>
      </c>
      <c r="H1637" s="2383">
        <v>1</v>
      </c>
      <c r="I1637" s="2383">
        <v>1</v>
      </c>
      <c r="J1637" s="2413">
        <v>2</v>
      </c>
      <c r="K1637" s="2387"/>
      <c r="L1637" s="2381">
        <v>13139000203</v>
      </c>
      <c r="M1637" s="2382">
        <v>1</v>
      </c>
      <c r="N1637" s="2382">
        <v>1</v>
      </c>
      <c r="O1637" s="2383">
        <v>2</v>
      </c>
    </row>
    <row r="1638" spans="3:15">
      <c r="C1638" s="2388" t="s">
        <v>6136</v>
      </c>
      <c r="D1638" s="2385">
        <v>1</v>
      </c>
      <c r="E1638" s="2385">
        <v>1</v>
      </c>
      <c r="F1638" s="2386">
        <v>2</v>
      </c>
      <c r="G1638" s="2412" t="s">
        <v>6136</v>
      </c>
      <c r="H1638" s="2383">
        <v>1</v>
      </c>
      <c r="I1638" s="2383">
        <v>1</v>
      </c>
      <c r="J1638" s="2413">
        <v>2</v>
      </c>
      <c r="K1638" s="2387"/>
      <c r="L1638" s="2381">
        <v>13139000204</v>
      </c>
      <c r="M1638" s="2382">
        <v>1</v>
      </c>
      <c r="N1638" s="2382">
        <v>1</v>
      </c>
      <c r="O1638" s="2383">
        <v>2</v>
      </c>
    </row>
    <row r="1639" spans="3:15">
      <c r="C1639" s="2388" t="s">
        <v>6137</v>
      </c>
      <c r="D1639" s="2385">
        <v>1</v>
      </c>
      <c r="E1639" s="2385">
        <v>1</v>
      </c>
      <c r="F1639" s="2386">
        <v>2</v>
      </c>
      <c r="G1639" s="2412" t="s">
        <v>6137</v>
      </c>
      <c r="H1639" s="2383">
        <v>1</v>
      </c>
      <c r="I1639" s="2383">
        <v>0</v>
      </c>
      <c r="J1639" s="2413">
        <v>1</v>
      </c>
      <c r="K1639" s="2387"/>
      <c r="L1639" s="2381">
        <v>13139000302</v>
      </c>
      <c r="M1639" s="2382">
        <v>1</v>
      </c>
      <c r="N1639" s="2382">
        <v>1</v>
      </c>
      <c r="O1639" s="2383">
        <v>2</v>
      </c>
    </row>
    <row r="1640" spans="3:15">
      <c r="C1640" s="2388" t="s">
        <v>6138</v>
      </c>
      <c r="D1640" s="2385">
        <v>1</v>
      </c>
      <c r="E1640" s="2385">
        <v>1</v>
      </c>
      <c r="F1640" s="2386">
        <v>2</v>
      </c>
      <c r="G1640" s="2412" t="s">
        <v>6138</v>
      </c>
      <c r="H1640" s="2383">
        <v>1</v>
      </c>
      <c r="I1640" s="2383">
        <v>1</v>
      </c>
      <c r="J1640" s="2413">
        <v>2</v>
      </c>
      <c r="K1640" s="2387"/>
      <c r="L1640" s="2381">
        <v>13139000303</v>
      </c>
      <c r="M1640" s="2382">
        <v>1</v>
      </c>
      <c r="N1640" s="2382">
        <v>1</v>
      </c>
      <c r="O1640" s="2383">
        <v>2</v>
      </c>
    </row>
    <row r="1641" spans="3:15">
      <c r="C1641" s="2388" t="s">
        <v>6139</v>
      </c>
      <c r="D1641" s="2385">
        <v>1</v>
      </c>
      <c r="E1641" s="2385">
        <v>1</v>
      </c>
      <c r="F1641" s="2386">
        <v>2</v>
      </c>
      <c r="G1641" s="2412" t="s">
        <v>6139</v>
      </c>
      <c r="H1641" s="2383">
        <v>1</v>
      </c>
      <c r="I1641" s="2383">
        <v>1</v>
      </c>
      <c r="J1641" s="2413">
        <v>2</v>
      </c>
      <c r="K1641" s="2387"/>
      <c r="L1641" s="2381">
        <v>13139000304</v>
      </c>
      <c r="M1641" s="2382">
        <v>1</v>
      </c>
      <c r="N1641" s="2382">
        <v>1</v>
      </c>
      <c r="O1641" s="2383">
        <v>2</v>
      </c>
    </row>
    <row r="1642" spans="3:15">
      <c r="C1642" s="2388" t="s">
        <v>6140</v>
      </c>
      <c r="D1642" s="2385">
        <v>1</v>
      </c>
      <c r="E1642" s="2385">
        <v>1</v>
      </c>
      <c r="F1642" s="2386">
        <v>2</v>
      </c>
      <c r="G1642" s="2412" t="s">
        <v>6140</v>
      </c>
      <c r="H1642" s="2383">
        <v>1</v>
      </c>
      <c r="I1642" s="2383">
        <v>1</v>
      </c>
      <c r="J1642" s="2413">
        <v>2</v>
      </c>
      <c r="K1642" s="2387"/>
      <c r="L1642" s="2381">
        <v>13139000305</v>
      </c>
      <c r="M1642" s="2382">
        <v>1</v>
      </c>
      <c r="N1642" s="2382">
        <v>1</v>
      </c>
      <c r="O1642" s="2383">
        <v>2</v>
      </c>
    </row>
    <row r="1643" spans="3:15">
      <c r="C1643" s="2388" t="s">
        <v>6141</v>
      </c>
      <c r="D1643" s="2385">
        <v>1</v>
      </c>
      <c r="E1643" s="2385">
        <v>0</v>
      </c>
      <c r="F1643" s="2386">
        <v>1</v>
      </c>
      <c r="G1643" s="2412" t="s">
        <v>6141</v>
      </c>
      <c r="H1643" s="2383">
        <v>1</v>
      </c>
      <c r="I1643" s="2383">
        <v>1</v>
      </c>
      <c r="J1643" s="2413">
        <v>2</v>
      </c>
      <c r="K1643" s="2387"/>
      <c r="L1643" s="2381">
        <v>13139000400</v>
      </c>
      <c r="M1643" s="2382">
        <v>1</v>
      </c>
      <c r="N1643" s="2382">
        <v>1</v>
      </c>
      <c r="O1643" s="2383">
        <v>2</v>
      </c>
    </row>
    <row r="1644" spans="3:15">
      <c r="C1644" s="2388" t="s">
        <v>6142</v>
      </c>
      <c r="D1644" s="2385">
        <v>1</v>
      </c>
      <c r="E1644" s="2385">
        <v>1</v>
      </c>
      <c r="F1644" s="2386">
        <v>2</v>
      </c>
      <c r="G1644" s="2412" t="s">
        <v>6142</v>
      </c>
      <c r="H1644" s="2383">
        <v>1</v>
      </c>
      <c r="I1644" s="2383">
        <v>1</v>
      </c>
      <c r="J1644" s="2413">
        <v>2</v>
      </c>
      <c r="K1644" s="2387"/>
      <c r="L1644" s="2381">
        <v>13139000500</v>
      </c>
      <c r="M1644" s="2382">
        <v>1</v>
      </c>
      <c r="N1644" s="2382">
        <v>1</v>
      </c>
      <c r="O1644" s="2383">
        <v>2</v>
      </c>
    </row>
    <row r="1645" spans="3:15">
      <c r="C1645" s="2388" t="s">
        <v>6143</v>
      </c>
      <c r="D1645" s="2385">
        <v>0</v>
      </c>
      <c r="E1645" s="2385">
        <v>0</v>
      </c>
      <c r="F1645" s="2386">
        <v>0</v>
      </c>
      <c r="G1645" s="2412" t="s">
        <v>6143</v>
      </c>
      <c r="H1645" s="2383">
        <v>0</v>
      </c>
      <c r="I1645" s="2383">
        <v>0</v>
      </c>
      <c r="J1645" s="2413">
        <v>0</v>
      </c>
      <c r="K1645" s="2387"/>
      <c r="L1645" s="2381">
        <v>13139000600</v>
      </c>
      <c r="M1645" s="2382">
        <v>0</v>
      </c>
      <c r="N1645" s="2382">
        <v>0</v>
      </c>
      <c r="O1645" s="2383">
        <v>0</v>
      </c>
    </row>
    <row r="1646" spans="3:15">
      <c r="C1646" s="2388" t="s">
        <v>6144</v>
      </c>
      <c r="D1646" s="2385">
        <v>0</v>
      </c>
      <c r="E1646" s="2385">
        <v>0</v>
      </c>
      <c r="F1646" s="2386">
        <v>0</v>
      </c>
      <c r="G1646" s="2412" t="s">
        <v>6144</v>
      </c>
      <c r="H1646" s="2383">
        <v>0</v>
      </c>
      <c r="I1646" s="2383">
        <v>0</v>
      </c>
      <c r="J1646" s="2413">
        <v>0</v>
      </c>
      <c r="K1646" s="2387"/>
      <c r="L1646" s="2381">
        <v>13139000701</v>
      </c>
      <c r="M1646" s="2382">
        <v>0</v>
      </c>
      <c r="N1646" s="2382">
        <v>0</v>
      </c>
      <c r="O1646" s="2383">
        <v>0</v>
      </c>
    </row>
    <row r="1647" spans="3:15">
      <c r="C1647" s="2388" t="s">
        <v>6145</v>
      </c>
      <c r="D1647" s="2385">
        <v>0</v>
      </c>
      <c r="E1647" s="2385">
        <v>0</v>
      </c>
      <c r="F1647" s="2386">
        <v>0</v>
      </c>
      <c r="G1647" s="2412" t="s">
        <v>6145</v>
      </c>
      <c r="H1647" s="2383">
        <v>0</v>
      </c>
      <c r="I1647" s="2383">
        <v>0</v>
      </c>
      <c r="J1647" s="2413">
        <v>0</v>
      </c>
      <c r="K1647" s="2387"/>
      <c r="L1647" s="2381">
        <v>13139000702</v>
      </c>
      <c r="M1647" s="2382">
        <v>0</v>
      </c>
      <c r="N1647" s="2382">
        <v>0</v>
      </c>
      <c r="O1647" s="2383">
        <v>0</v>
      </c>
    </row>
    <row r="1648" spans="3:15">
      <c r="C1648" s="2388" t="s">
        <v>6146</v>
      </c>
      <c r="D1648" s="2385">
        <v>0</v>
      </c>
      <c r="E1648" s="2385">
        <v>0</v>
      </c>
      <c r="F1648" s="2386">
        <v>0</v>
      </c>
      <c r="G1648" s="2412" t="s">
        <v>6146</v>
      </c>
      <c r="H1648" s="2383">
        <v>0</v>
      </c>
      <c r="I1648" s="2383">
        <v>0</v>
      </c>
      <c r="J1648" s="2413">
        <v>0</v>
      </c>
      <c r="K1648" s="2387"/>
      <c r="L1648" s="2381">
        <v>13139000800</v>
      </c>
      <c r="M1648" s="2382">
        <v>0</v>
      </c>
      <c r="N1648" s="2382">
        <v>0</v>
      </c>
      <c r="O1648" s="2383">
        <v>0</v>
      </c>
    </row>
    <row r="1649" spans="3:15">
      <c r="C1649" s="2388" t="s">
        <v>6147</v>
      </c>
      <c r="D1649" s="2385">
        <v>1</v>
      </c>
      <c r="E1649" s="2385">
        <v>1</v>
      </c>
      <c r="F1649" s="2386">
        <v>2</v>
      </c>
      <c r="G1649" s="2412" t="s">
        <v>6147</v>
      </c>
      <c r="H1649" s="2383">
        <v>1</v>
      </c>
      <c r="I1649" s="2383">
        <v>1</v>
      </c>
      <c r="J1649" s="2413">
        <v>2</v>
      </c>
      <c r="K1649" s="2387"/>
      <c r="L1649" s="2381">
        <v>13139000900</v>
      </c>
      <c r="M1649" s="2382">
        <v>1</v>
      </c>
      <c r="N1649" s="2382">
        <v>1</v>
      </c>
      <c r="O1649" s="2383">
        <v>2</v>
      </c>
    </row>
    <row r="1650" spans="3:15">
      <c r="C1650" s="2388" t="s">
        <v>6148</v>
      </c>
      <c r="D1650" s="2385">
        <v>1</v>
      </c>
      <c r="E1650" s="2385">
        <v>0</v>
      </c>
      <c r="F1650" s="2386">
        <v>1</v>
      </c>
      <c r="G1650" s="2412" t="s">
        <v>6148</v>
      </c>
      <c r="H1650" s="2383">
        <v>0</v>
      </c>
      <c r="I1650" s="2383">
        <v>1</v>
      </c>
      <c r="J1650" s="2413">
        <v>1</v>
      </c>
      <c r="K1650" s="2387"/>
      <c r="L1650" s="2381">
        <v>13139001002</v>
      </c>
      <c r="M1650" s="2382">
        <v>1</v>
      </c>
      <c r="N1650" s="2382">
        <v>1</v>
      </c>
      <c r="O1650" s="2383">
        <v>1</v>
      </c>
    </row>
    <row r="1651" spans="3:15">
      <c r="C1651" s="2388" t="s">
        <v>6149</v>
      </c>
      <c r="D1651" s="2385">
        <v>0</v>
      </c>
      <c r="E1651" s="2385">
        <v>0</v>
      </c>
      <c r="F1651" s="2386">
        <v>0</v>
      </c>
      <c r="G1651" s="2412" t="s">
        <v>6149</v>
      </c>
      <c r="H1651" s="2383">
        <v>0</v>
      </c>
      <c r="I1651" s="2383">
        <v>0</v>
      </c>
      <c r="J1651" s="2413">
        <v>0</v>
      </c>
      <c r="K1651" s="2387"/>
      <c r="L1651" s="2381">
        <v>13139001003</v>
      </c>
      <c r="M1651" s="2382">
        <v>0</v>
      </c>
      <c r="N1651" s="2382">
        <v>0</v>
      </c>
      <c r="O1651" s="2383">
        <v>0</v>
      </c>
    </row>
    <row r="1652" spans="3:15">
      <c r="C1652" s="2388" t="s">
        <v>6150</v>
      </c>
      <c r="D1652" s="2385">
        <v>1</v>
      </c>
      <c r="E1652" s="2385">
        <v>1</v>
      </c>
      <c r="F1652" s="2386">
        <v>2</v>
      </c>
      <c r="G1652" s="2412" t="s">
        <v>6150</v>
      </c>
      <c r="H1652" s="2383">
        <v>0</v>
      </c>
      <c r="I1652" s="2383">
        <v>0</v>
      </c>
      <c r="J1652" s="2413">
        <v>0</v>
      </c>
      <c r="K1652" s="2387"/>
      <c r="L1652" s="2381">
        <v>13139001004</v>
      </c>
      <c r="M1652" s="2382">
        <v>1</v>
      </c>
      <c r="N1652" s="2382">
        <v>1</v>
      </c>
      <c r="O1652" s="2383">
        <v>2</v>
      </c>
    </row>
    <row r="1653" spans="3:15">
      <c r="C1653" s="2388" t="s">
        <v>6151</v>
      </c>
      <c r="D1653" s="2385">
        <v>0</v>
      </c>
      <c r="E1653" s="2385">
        <v>0</v>
      </c>
      <c r="F1653" s="2386">
        <v>0</v>
      </c>
      <c r="G1653" s="2412" t="s">
        <v>6151</v>
      </c>
      <c r="H1653" s="2383">
        <v>0</v>
      </c>
      <c r="I1653" s="2383" t="s">
        <v>4493</v>
      </c>
      <c r="J1653" s="2413">
        <v>0</v>
      </c>
      <c r="K1653" s="2387"/>
      <c r="L1653" s="2381">
        <v>13139001101</v>
      </c>
      <c r="M1653" s="2382">
        <v>0</v>
      </c>
      <c r="N1653" s="2382">
        <v>0</v>
      </c>
      <c r="O1653" s="2383">
        <v>0</v>
      </c>
    </row>
    <row r="1654" spans="3:15">
      <c r="C1654" s="2388" t="s">
        <v>6152</v>
      </c>
      <c r="D1654" s="2385">
        <v>0</v>
      </c>
      <c r="E1654" s="2385">
        <v>0</v>
      </c>
      <c r="F1654" s="2386">
        <v>0</v>
      </c>
      <c r="G1654" s="2412" t="s">
        <v>6152</v>
      </c>
      <c r="H1654" s="2383">
        <v>1</v>
      </c>
      <c r="I1654" s="2383">
        <v>0</v>
      </c>
      <c r="J1654" s="2413">
        <v>1</v>
      </c>
      <c r="K1654" s="2387"/>
      <c r="L1654" s="2381">
        <v>13139001102</v>
      </c>
      <c r="M1654" s="2382">
        <v>1</v>
      </c>
      <c r="N1654" s="2382">
        <v>0</v>
      </c>
      <c r="O1654" s="2383">
        <v>1</v>
      </c>
    </row>
    <row r="1655" spans="3:15">
      <c r="C1655" s="2388" t="s">
        <v>6153</v>
      </c>
      <c r="D1655" s="2385">
        <v>0</v>
      </c>
      <c r="E1655" s="2385">
        <v>0</v>
      </c>
      <c r="F1655" s="2386">
        <v>0</v>
      </c>
      <c r="G1655" s="2412" t="s">
        <v>6153</v>
      </c>
      <c r="H1655" s="2383">
        <v>0</v>
      </c>
      <c r="I1655" s="2383">
        <v>0</v>
      </c>
      <c r="J1655" s="2413">
        <v>0</v>
      </c>
      <c r="K1655" s="2387"/>
      <c r="L1655" s="2381">
        <v>13139001201</v>
      </c>
      <c r="M1655" s="2382">
        <v>0</v>
      </c>
      <c r="N1655" s="2382">
        <v>0</v>
      </c>
      <c r="O1655" s="2383">
        <v>0</v>
      </c>
    </row>
    <row r="1656" spans="3:15">
      <c r="C1656" s="2388" t="s">
        <v>6154</v>
      </c>
      <c r="D1656" s="2385">
        <v>1</v>
      </c>
      <c r="E1656" s="2385">
        <v>0</v>
      </c>
      <c r="F1656" s="2386">
        <v>1</v>
      </c>
      <c r="G1656" s="2412" t="s">
        <v>6154</v>
      </c>
      <c r="H1656" s="2383">
        <v>0</v>
      </c>
      <c r="I1656" s="2383">
        <v>0</v>
      </c>
      <c r="J1656" s="2413">
        <v>0</v>
      </c>
      <c r="K1656" s="2387"/>
      <c r="L1656" s="2381">
        <v>13139001202</v>
      </c>
      <c r="M1656" s="2382">
        <v>1</v>
      </c>
      <c r="N1656" s="2382">
        <v>0</v>
      </c>
      <c r="O1656" s="2383">
        <v>1</v>
      </c>
    </row>
    <row r="1657" spans="3:15">
      <c r="C1657" s="2388" t="s">
        <v>6155</v>
      </c>
      <c r="D1657" s="2385">
        <v>1</v>
      </c>
      <c r="E1657" s="2385">
        <v>1</v>
      </c>
      <c r="F1657" s="2386">
        <v>2</v>
      </c>
      <c r="G1657" s="2412" t="s">
        <v>6155</v>
      </c>
      <c r="H1657" s="2383">
        <v>1</v>
      </c>
      <c r="I1657" s="2383">
        <v>0</v>
      </c>
      <c r="J1657" s="2413">
        <v>1</v>
      </c>
      <c r="K1657" s="2387"/>
      <c r="L1657" s="2381">
        <v>13139001301</v>
      </c>
      <c r="M1657" s="2382">
        <v>1</v>
      </c>
      <c r="N1657" s="2382">
        <v>1</v>
      </c>
      <c r="O1657" s="2383">
        <v>2</v>
      </c>
    </row>
    <row r="1658" spans="3:15">
      <c r="C1658" s="2388" t="s">
        <v>6156</v>
      </c>
      <c r="D1658" s="2385">
        <v>1</v>
      </c>
      <c r="E1658" s="2385">
        <v>1</v>
      </c>
      <c r="F1658" s="2386">
        <v>2</v>
      </c>
      <c r="G1658" s="2412" t="s">
        <v>6156</v>
      </c>
      <c r="H1658" s="2383">
        <v>1</v>
      </c>
      <c r="I1658" s="2383">
        <v>1</v>
      </c>
      <c r="J1658" s="2413">
        <v>2</v>
      </c>
      <c r="K1658" s="2387"/>
      <c r="L1658" s="2381">
        <v>13139001302</v>
      </c>
      <c r="M1658" s="2382">
        <v>1</v>
      </c>
      <c r="N1658" s="2382">
        <v>1</v>
      </c>
      <c r="O1658" s="2383">
        <v>2</v>
      </c>
    </row>
    <row r="1659" spans="3:15">
      <c r="C1659" s="2388" t="s">
        <v>6157</v>
      </c>
      <c r="D1659" s="2385">
        <v>1</v>
      </c>
      <c r="E1659" s="2385">
        <v>1</v>
      </c>
      <c r="F1659" s="2386">
        <v>2</v>
      </c>
      <c r="G1659" s="2412" t="s">
        <v>6157</v>
      </c>
      <c r="H1659" s="2383">
        <v>1</v>
      </c>
      <c r="I1659" s="2383">
        <v>0</v>
      </c>
      <c r="J1659" s="2413">
        <v>1</v>
      </c>
      <c r="K1659" s="2387"/>
      <c r="L1659" s="2381">
        <v>13139001402</v>
      </c>
      <c r="M1659" s="2382">
        <v>1</v>
      </c>
      <c r="N1659" s="2382">
        <v>1</v>
      </c>
      <c r="O1659" s="2383">
        <v>2</v>
      </c>
    </row>
    <row r="1660" spans="3:15">
      <c r="C1660" s="2388" t="s">
        <v>6158</v>
      </c>
      <c r="D1660" s="2385">
        <v>0</v>
      </c>
      <c r="E1660" s="2385">
        <v>0</v>
      </c>
      <c r="F1660" s="2386">
        <v>0</v>
      </c>
      <c r="G1660" s="2412" t="s">
        <v>6158</v>
      </c>
      <c r="H1660" s="2383">
        <v>0</v>
      </c>
      <c r="I1660" s="2383">
        <v>0</v>
      </c>
      <c r="J1660" s="2413">
        <v>0</v>
      </c>
      <c r="K1660" s="2387"/>
      <c r="L1660" s="2381">
        <v>13139001403</v>
      </c>
      <c r="M1660" s="2382">
        <v>0</v>
      </c>
      <c r="N1660" s="2382">
        <v>0</v>
      </c>
      <c r="O1660" s="2383">
        <v>0</v>
      </c>
    </row>
    <row r="1661" spans="3:15">
      <c r="C1661" s="2388" t="s">
        <v>6159</v>
      </c>
      <c r="D1661" s="2385">
        <v>1</v>
      </c>
      <c r="E1661" s="2385">
        <v>0</v>
      </c>
      <c r="F1661" s="2386">
        <v>1</v>
      </c>
      <c r="G1661" s="2412" t="s">
        <v>6159</v>
      </c>
      <c r="H1661" s="2383">
        <v>1</v>
      </c>
      <c r="I1661" s="2383">
        <v>0</v>
      </c>
      <c r="J1661" s="2413">
        <v>1</v>
      </c>
      <c r="K1661" s="2387"/>
      <c r="L1661" s="2381">
        <v>13139001404</v>
      </c>
      <c r="M1661" s="2382">
        <v>1</v>
      </c>
      <c r="N1661" s="2382">
        <v>0</v>
      </c>
      <c r="O1661" s="2383">
        <v>1</v>
      </c>
    </row>
    <row r="1662" spans="3:15">
      <c r="C1662" s="2388" t="s">
        <v>6160</v>
      </c>
      <c r="D1662" s="2385">
        <v>1</v>
      </c>
      <c r="E1662" s="2385">
        <v>1</v>
      </c>
      <c r="F1662" s="2386">
        <v>2</v>
      </c>
      <c r="G1662" s="2412" t="s">
        <v>6160</v>
      </c>
      <c r="H1662" s="2383">
        <v>1</v>
      </c>
      <c r="I1662" s="2383">
        <v>1</v>
      </c>
      <c r="J1662" s="2413">
        <v>2</v>
      </c>
      <c r="K1662" s="2387"/>
      <c r="L1662" s="2381">
        <v>13139001501</v>
      </c>
      <c r="M1662" s="2382">
        <v>1</v>
      </c>
      <c r="N1662" s="2382">
        <v>1</v>
      </c>
      <c r="O1662" s="2383">
        <v>2</v>
      </c>
    </row>
    <row r="1663" spans="3:15">
      <c r="C1663" s="2388" t="s">
        <v>6161</v>
      </c>
      <c r="D1663" s="2385">
        <v>1</v>
      </c>
      <c r="E1663" s="2385">
        <v>1</v>
      </c>
      <c r="F1663" s="2386">
        <v>2</v>
      </c>
      <c r="G1663" s="2412" t="s">
        <v>6161</v>
      </c>
      <c r="H1663" s="2383">
        <v>1</v>
      </c>
      <c r="I1663" s="2383">
        <v>1</v>
      </c>
      <c r="J1663" s="2413">
        <v>2</v>
      </c>
      <c r="K1663" s="2387"/>
      <c r="L1663" s="2381">
        <v>13139001502</v>
      </c>
      <c r="M1663" s="2382">
        <v>1</v>
      </c>
      <c r="N1663" s="2382">
        <v>1</v>
      </c>
      <c r="O1663" s="2383">
        <v>2</v>
      </c>
    </row>
    <row r="1664" spans="3:15">
      <c r="C1664" s="2388" t="s">
        <v>6162</v>
      </c>
      <c r="D1664" s="2385">
        <v>1</v>
      </c>
      <c r="E1664" s="2385">
        <v>1</v>
      </c>
      <c r="F1664" s="2386">
        <v>2</v>
      </c>
      <c r="G1664" s="2412" t="s">
        <v>6162</v>
      </c>
      <c r="H1664" s="2383">
        <v>1</v>
      </c>
      <c r="I1664" s="2383">
        <v>0</v>
      </c>
      <c r="J1664" s="2413">
        <v>1</v>
      </c>
      <c r="K1664" s="2387"/>
      <c r="L1664" s="2381">
        <v>13139001603</v>
      </c>
      <c r="M1664" s="2382">
        <v>1</v>
      </c>
      <c r="N1664" s="2382">
        <v>1</v>
      </c>
      <c r="O1664" s="2383">
        <v>2</v>
      </c>
    </row>
    <row r="1665" spans="3:15">
      <c r="C1665" s="2388" t="s">
        <v>6163</v>
      </c>
      <c r="D1665" s="2385">
        <v>1</v>
      </c>
      <c r="E1665" s="2385">
        <v>1</v>
      </c>
      <c r="F1665" s="2386">
        <v>2</v>
      </c>
      <c r="G1665" s="2412" t="s">
        <v>6163</v>
      </c>
      <c r="H1665" s="2383">
        <v>1</v>
      </c>
      <c r="I1665" s="2383">
        <v>1</v>
      </c>
      <c r="J1665" s="2413">
        <v>2</v>
      </c>
      <c r="K1665" s="2387"/>
      <c r="L1665" s="2381">
        <v>13139001604</v>
      </c>
      <c r="M1665" s="2382">
        <v>1</v>
      </c>
      <c r="N1665" s="2382">
        <v>1</v>
      </c>
      <c r="O1665" s="2383">
        <v>2</v>
      </c>
    </row>
    <row r="1666" spans="3:15">
      <c r="C1666" s="2388" t="s">
        <v>6164</v>
      </c>
      <c r="D1666" s="2385">
        <v>1</v>
      </c>
      <c r="E1666" s="2385">
        <v>1</v>
      </c>
      <c r="F1666" s="2386">
        <v>2</v>
      </c>
      <c r="G1666" s="2412" t="s">
        <v>6164</v>
      </c>
      <c r="H1666" s="2383">
        <v>1</v>
      </c>
      <c r="I1666" s="2383" t="s">
        <v>4493</v>
      </c>
      <c r="J1666" s="2413">
        <v>1</v>
      </c>
      <c r="K1666" s="2387"/>
      <c r="L1666" s="2381">
        <v>13139001605</v>
      </c>
      <c r="M1666" s="2382">
        <v>1</v>
      </c>
      <c r="N1666" s="2382">
        <v>1</v>
      </c>
      <c r="O1666" s="2383">
        <v>2</v>
      </c>
    </row>
    <row r="1667" spans="3:15">
      <c r="C1667" s="2388" t="s">
        <v>6165</v>
      </c>
      <c r="D1667" s="2385">
        <v>1</v>
      </c>
      <c r="E1667" s="2385">
        <v>1</v>
      </c>
      <c r="F1667" s="2386">
        <v>2</v>
      </c>
      <c r="G1667" s="2412" t="s">
        <v>6165</v>
      </c>
      <c r="H1667" s="2383">
        <v>1</v>
      </c>
      <c r="I1667" s="2383">
        <v>1</v>
      </c>
      <c r="J1667" s="2413">
        <v>2</v>
      </c>
      <c r="K1667" s="2387"/>
      <c r="L1667" s="2381">
        <v>13139001606</v>
      </c>
      <c r="M1667" s="2382">
        <v>1</v>
      </c>
      <c r="N1667" s="2382">
        <v>1</v>
      </c>
      <c r="O1667" s="2383">
        <v>2</v>
      </c>
    </row>
    <row r="1668" spans="3:15">
      <c r="C1668" s="2388" t="s">
        <v>6166</v>
      </c>
      <c r="D1668" s="2385">
        <v>0</v>
      </c>
      <c r="E1668" s="2385">
        <v>1</v>
      </c>
      <c r="F1668" s="2386">
        <v>1</v>
      </c>
      <c r="G1668" s="2412" t="s">
        <v>6166</v>
      </c>
      <c r="H1668" s="2383">
        <v>1</v>
      </c>
      <c r="I1668" s="2383">
        <v>1</v>
      </c>
      <c r="J1668" s="2413">
        <v>2</v>
      </c>
      <c r="K1668" s="2387"/>
      <c r="L1668" s="2381">
        <v>13139001607</v>
      </c>
      <c r="M1668" s="2382">
        <v>1</v>
      </c>
      <c r="N1668" s="2382">
        <v>1</v>
      </c>
      <c r="O1668" s="2383">
        <v>2</v>
      </c>
    </row>
    <row r="1669" spans="3:15">
      <c r="C1669" s="2388" t="s">
        <v>6167</v>
      </c>
      <c r="D1669" s="2385">
        <v>1</v>
      </c>
      <c r="E1669" s="2385">
        <v>1</v>
      </c>
      <c r="F1669" s="2386">
        <v>2</v>
      </c>
      <c r="G1669" s="2412" t="s">
        <v>6167</v>
      </c>
      <c r="H1669" s="2383">
        <v>1</v>
      </c>
      <c r="I1669" s="2383">
        <v>1</v>
      </c>
      <c r="J1669" s="2413">
        <v>2</v>
      </c>
      <c r="K1669" s="2387"/>
      <c r="L1669" s="2381">
        <v>13139001608</v>
      </c>
      <c r="M1669" s="2382">
        <v>1</v>
      </c>
      <c r="N1669" s="2382">
        <v>1</v>
      </c>
      <c r="O1669" s="2383">
        <v>2</v>
      </c>
    </row>
    <row r="1670" spans="3:15">
      <c r="C1670" s="2388" t="s">
        <v>6168</v>
      </c>
      <c r="D1670" s="2385">
        <v>0</v>
      </c>
      <c r="E1670" s="2385">
        <v>0</v>
      </c>
      <c r="F1670" s="2386">
        <v>0</v>
      </c>
      <c r="G1670" s="2412" t="s">
        <v>6168</v>
      </c>
      <c r="H1670" s="2383">
        <v>0</v>
      </c>
      <c r="I1670" s="2383">
        <v>1</v>
      </c>
      <c r="J1670" s="2413">
        <v>1</v>
      </c>
      <c r="K1670" s="2387"/>
      <c r="L1670" s="2381">
        <v>13141480300</v>
      </c>
      <c r="M1670" s="2382">
        <v>0</v>
      </c>
      <c r="N1670" s="2382">
        <v>1</v>
      </c>
      <c r="O1670" s="2383">
        <v>1</v>
      </c>
    </row>
    <row r="1671" spans="3:15">
      <c r="C1671" s="2388" t="s">
        <v>6169</v>
      </c>
      <c r="D1671" s="2385">
        <v>0</v>
      </c>
      <c r="E1671" s="2385">
        <v>0</v>
      </c>
      <c r="F1671" s="2386">
        <v>0</v>
      </c>
      <c r="G1671" s="2412" t="s">
        <v>6169</v>
      </c>
      <c r="H1671" s="2383">
        <v>0</v>
      </c>
      <c r="I1671" s="2383">
        <v>1</v>
      </c>
      <c r="J1671" s="2413">
        <v>1</v>
      </c>
      <c r="K1671" s="2387"/>
      <c r="L1671" s="2381">
        <v>13141480400</v>
      </c>
      <c r="M1671" s="2382">
        <v>0</v>
      </c>
      <c r="N1671" s="2382">
        <v>1</v>
      </c>
      <c r="O1671" s="2383">
        <v>1</v>
      </c>
    </row>
    <row r="1672" spans="3:15">
      <c r="C1672" s="2388" t="s">
        <v>6170</v>
      </c>
      <c r="D1672" s="2385">
        <v>0</v>
      </c>
      <c r="E1672" s="2385">
        <v>0</v>
      </c>
      <c r="F1672" s="2386">
        <v>0</v>
      </c>
      <c r="G1672" s="2412" t="s">
        <v>6170</v>
      </c>
      <c r="H1672" s="2383">
        <v>0</v>
      </c>
      <c r="I1672" s="2383">
        <v>0</v>
      </c>
      <c r="J1672" s="2413">
        <v>0</v>
      </c>
      <c r="K1672" s="2387"/>
      <c r="L1672" s="2381">
        <v>13143010100</v>
      </c>
      <c r="M1672" s="2382">
        <v>0</v>
      </c>
      <c r="N1672" s="2382">
        <v>0</v>
      </c>
      <c r="O1672" s="2383">
        <v>0</v>
      </c>
    </row>
    <row r="1673" spans="3:15">
      <c r="C1673" s="2388" t="s">
        <v>6171</v>
      </c>
      <c r="D1673" s="2385">
        <v>0</v>
      </c>
      <c r="E1673" s="2385">
        <v>1</v>
      </c>
      <c r="F1673" s="2386">
        <v>1</v>
      </c>
      <c r="G1673" s="2412" t="s">
        <v>6171</v>
      </c>
      <c r="H1673" s="2383">
        <v>0</v>
      </c>
      <c r="I1673" s="2383">
        <v>0</v>
      </c>
      <c r="J1673" s="2413">
        <v>0</v>
      </c>
      <c r="K1673" s="2387"/>
      <c r="L1673" s="2381">
        <v>13143010200</v>
      </c>
      <c r="M1673" s="2382">
        <v>0</v>
      </c>
      <c r="N1673" s="2382">
        <v>1</v>
      </c>
      <c r="O1673" s="2383">
        <v>1</v>
      </c>
    </row>
    <row r="1674" spans="3:15">
      <c r="C1674" s="2388" t="s">
        <v>6172</v>
      </c>
      <c r="D1674" s="2385">
        <v>0</v>
      </c>
      <c r="E1674" s="2385">
        <v>0</v>
      </c>
      <c r="F1674" s="2386">
        <v>0</v>
      </c>
      <c r="G1674" s="2412" t="s">
        <v>6172</v>
      </c>
      <c r="H1674" s="2383">
        <v>0</v>
      </c>
      <c r="I1674" s="2383">
        <v>0</v>
      </c>
      <c r="J1674" s="2413">
        <v>0</v>
      </c>
      <c r="K1674" s="2387"/>
      <c r="L1674" s="2381">
        <v>13143010301</v>
      </c>
      <c r="M1674" s="2382">
        <v>0</v>
      </c>
      <c r="N1674" s="2382">
        <v>0</v>
      </c>
      <c r="O1674" s="2383">
        <v>0</v>
      </c>
    </row>
    <row r="1675" spans="3:15">
      <c r="C1675" s="2388" t="s">
        <v>6173</v>
      </c>
      <c r="D1675" s="2385">
        <v>0</v>
      </c>
      <c r="E1675" s="2385">
        <v>0</v>
      </c>
      <c r="F1675" s="2386">
        <v>0</v>
      </c>
      <c r="G1675" s="2412" t="s">
        <v>6173</v>
      </c>
      <c r="H1675" s="2383">
        <v>1</v>
      </c>
      <c r="I1675" s="2383">
        <v>0</v>
      </c>
      <c r="J1675" s="2413">
        <v>1</v>
      </c>
      <c r="K1675" s="2387"/>
      <c r="L1675" s="2381">
        <v>13143010302</v>
      </c>
      <c r="M1675" s="2382">
        <v>1</v>
      </c>
      <c r="N1675" s="2382">
        <v>0</v>
      </c>
      <c r="O1675" s="2383">
        <v>1</v>
      </c>
    </row>
    <row r="1676" spans="3:15">
      <c r="C1676" s="2388" t="s">
        <v>6174</v>
      </c>
      <c r="D1676" s="2385">
        <v>0</v>
      </c>
      <c r="E1676" s="2385">
        <v>0</v>
      </c>
      <c r="F1676" s="2386">
        <v>0</v>
      </c>
      <c r="G1676" s="2412" t="s">
        <v>6174</v>
      </c>
      <c r="H1676" s="2383">
        <v>0</v>
      </c>
      <c r="I1676" s="2383">
        <v>0</v>
      </c>
      <c r="J1676" s="2413">
        <v>0</v>
      </c>
      <c r="K1676" s="2387"/>
      <c r="L1676" s="2381">
        <v>13143010400</v>
      </c>
      <c r="M1676" s="2382">
        <v>0</v>
      </c>
      <c r="N1676" s="2382">
        <v>0</v>
      </c>
      <c r="O1676" s="2383">
        <v>0</v>
      </c>
    </row>
    <row r="1677" spans="3:15">
      <c r="C1677" s="2388" t="s">
        <v>6175</v>
      </c>
      <c r="D1677" s="2385">
        <v>0</v>
      </c>
      <c r="E1677" s="2385">
        <v>0</v>
      </c>
      <c r="F1677" s="2386">
        <v>0</v>
      </c>
      <c r="G1677" s="2412" t="s">
        <v>6175</v>
      </c>
      <c r="H1677" s="2383">
        <v>0</v>
      </c>
      <c r="I1677" s="2383">
        <v>1</v>
      </c>
      <c r="J1677" s="2413">
        <v>1</v>
      </c>
      <c r="K1677" s="2387"/>
      <c r="L1677" s="2381">
        <v>13145120198</v>
      </c>
      <c r="M1677" s="2382">
        <v>0</v>
      </c>
      <c r="N1677" s="2382">
        <v>1</v>
      </c>
      <c r="O1677" s="2383">
        <v>1</v>
      </c>
    </row>
    <row r="1678" spans="3:15">
      <c r="C1678" s="2388" t="s">
        <v>6176</v>
      </c>
      <c r="D1678" s="2385">
        <v>0</v>
      </c>
      <c r="E1678" s="2385">
        <v>1</v>
      </c>
      <c r="F1678" s="2386">
        <v>1</v>
      </c>
      <c r="G1678" s="2412" t="s">
        <v>6176</v>
      </c>
      <c r="H1678" s="2383">
        <v>0</v>
      </c>
      <c r="I1678" s="2383" t="s">
        <v>4493</v>
      </c>
      <c r="J1678" s="2413">
        <v>0</v>
      </c>
      <c r="K1678" s="2387"/>
      <c r="L1678" s="2381">
        <v>13145120200</v>
      </c>
      <c r="M1678" s="2382">
        <v>0</v>
      </c>
      <c r="N1678" s="2382">
        <v>1</v>
      </c>
      <c r="O1678" s="2383">
        <v>1</v>
      </c>
    </row>
    <row r="1679" spans="3:15">
      <c r="C1679" s="2388" t="s">
        <v>6177</v>
      </c>
      <c r="D1679" s="2385">
        <v>1</v>
      </c>
      <c r="E1679" s="2385">
        <v>1</v>
      </c>
      <c r="F1679" s="2386">
        <v>2</v>
      </c>
      <c r="G1679" s="2412" t="s">
        <v>6177</v>
      </c>
      <c r="H1679" s="2383">
        <v>1</v>
      </c>
      <c r="I1679" s="2383">
        <v>1</v>
      </c>
      <c r="J1679" s="2413">
        <v>2</v>
      </c>
      <c r="K1679" s="2387"/>
      <c r="L1679" s="2381">
        <v>13145120300</v>
      </c>
      <c r="M1679" s="2382">
        <v>1</v>
      </c>
      <c r="N1679" s="2382">
        <v>1</v>
      </c>
      <c r="O1679" s="2383">
        <v>2</v>
      </c>
    </row>
    <row r="1680" spans="3:15">
      <c r="C1680" s="2388" t="s">
        <v>6178</v>
      </c>
      <c r="D1680" s="2385">
        <v>1</v>
      </c>
      <c r="E1680" s="2385">
        <v>1</v>
      </c>
      <c r="F1680" s="2386">
        <v>2</v>
      </c>
      <c r="G1680" s="2412" t="s">
        <v>6178</v>
      </c>
      <c r="H1680" s="2383">
        <v>1</v>
      </c>
      <c r="I1680" s="2383">
        <v>1</v>
      </c>
      <c r="J1680" s="2413">
        <v>2</v>
      </c>
      <c r="K1680" s="2387"/>
      <c r="L1680" s="2381">
        <v>13145120401</v>
      </c>
      <c r="M1680" s="2382">
        <v>1</v>
      </c>
      <c r="N1680" s="2382">
        <v>1</v>
      </c>
      <c r="O1680" s="2383">
        <v>2</v>
      </c>
    </row>
    <row r="1681" spans="3:15">
      <c r="C1681" s="2388" t="s">
        <v>6179</v>
      </c>
      <c r="D1681" s="2385">
        <v>1</v>
      </c>
      <c r="E1681" s="2385">
        <v>1</v>
      </c>
      <c r="F1681" s="2386">
        <v>2</v>
      </c>
      <c r="G1681" s="2412" t="s">
        <v>6179</v>
      </c>
      <c r="H1681" s="2383">
        <v>0</v>
      </c>
      <c r="I1681" s="2383">
        <v>1</v>
      </c>
      <c r="J1681" s="2413">
        <v>1</v>
      </c>
      <c r="K1681" s="2387"/>
      <c r="L1681" s="2381">
        <v>13145120402</v>
      </c>
      <c r="M1681" s="2382">
        <v>1</v>
      </c>
      <c r="N1681" s="2382">
        <v>1</v>
      </c>
      <c r="O1681" s="2383">
        <v>2</v>
      </c>
    </row>
    <row r="1682" spans="3:15">
      <c r="C1682" s="2388" t="s">
        <v>6180</v>
      </c>
      <c r="D1682" s="2385">
        <v>0</v>
      </c>
      <c r="E1682" s="2385">
        <v>1</v>
      </c>
      <c r="F1682" s="2386">
        <v>1</v>
      </c>
      <c r="G1682" s="2412" t="s">
        <v>6180</v>
      </c>
      <c r="H1682" s="2383">
        <v>0</v>
      </c>
      <c r="I1682" s="2383">
        <v>1</v>
      </c>
      <c r="J1682" s="2413">
        <v>1</v>
      </c>
      <c r="K1682" s="2387"/>
      <c r="L1682" s="2381">
        <v>13147960100</v>
      </c>
      <c r="M1682" s="2382">
        <v>0</v>
      </c>
      <c r="N1682" s="2382">
        <v>1</v>
      </c>
      <c r="O1682" s="2383">
        <v>1</v>
      </c>
    </row>
    <row r="1683" spans="3:15">
      <c r="C1683" s="2388" t="s">
        <v>6181</v>
      </c>
      <c r="D1683" s="2385">
        <v>1</v>
      </c>
      <c r="E1683" s="2385">
        <v>1</v>
      </c>
      <c r="F1683" s="2386">
        <v>2</v>
      </c>
      <c r="G1683" s="2412" t="s">
        <v>6181</v>
      </c>
      <c r="H1683" s="2383">
        <v>0</v>
      </c>
      <c r="I1683" s="2383">
        <v>1</v>
      </c>
      <c r="J1683" s="2413">
        <v>1</v>
      </c>
      <c r="K1683" s="2387"/>
      <c r="L1683" s="2381">
        <v>13147960200</v>
      </c>
      <c r="M1683" s="2382">
        <v>1</v>
      </c>
      <c r="N1683" s="2382">
        <v>1</v>
      </c>
      <c r="O1683" s="2383">
        <v>2</v>
      </c>
    </row>
    <row r="1684" spans="3:15">
      <c r="C1684" s="2388" t="s">
        <v>6182</v>
      </c>
      <c r="D1684" s="2385">
        <v>0</v>
      </c>
      <c r="E1684" s="2385">
        <v>0</v>
      </c>
      <c r="F1684" s="2386">
        <v>0</v>
      </c>
      <c r="G1684" s="2412" t="s">
        <v>6182</v>
      </c>
      <c r="H1684" s="2383">
        <v>0</v>
      </c>
      <c r="I1684" s="2383">
        <v>0</v>
      </c>
      <c r="J1684" s="2413">
        <v>0</v>
      </c>
      <c r="K1684" s="2387"/>
      <c r="L1684" s="2381">
        <v>13147960300</v>
      </c>
      <c r="M1684" s="2382">
        <v>0</v>
      </c>
      <c r="N1684" s="2382">
        <v>0</v>
      </c>
      <c r="O1684" s="2383">
        <v>0</v>
      </c>
    </row>
    <row r="1685" spans="3:15">
      <c r="C1685" s="2388" t="s">
        <v>6183</v>
      </c>
      <c r="D1685" s="2385">
        <v>0</v>
      </c>
      <c r="E1685" s="2385">
        <v>0</v>
      </c>
      <c r="F1685" s="2386">
        <v>0</v>
      </c>
      <c r="G1685" s="2412" t="s">
        <v>6183</v>
      </c>
      <c r="H1685" s="2383">
        <v>0</v>
      </c>
      <c r="I1685" s="2383">
        <v>0</v>
      </c>
      <c r="J1685" s="2413">
        <v>0</v>
      </c>
      <c r="K1685" s="2387"/>
      <c r="L1685" s="2381">
        <v>13147960400</v>
      </c>
      <c r="M1685" s="2382">
        <v>0</v>
      </c>
      <c r="N1685" s="2382">
        <v>0</v>
      </c>
      <c r="O1685" s="2383">
        <v>0</v>
      </c>
    </row>
    <row r="1686" spans="3:15">
      <c r="C1686" s="2388" t="s">
        <v>6184</v>
      </c>
      <c r="D1686" s="2385">
        <v>0</v>
      </c>
      <c r="E1686" s="2385">
        <v>0</v>
      </c>
      <c r="F1686" s="2386">
        <v>0</v>
      </c>
      <c r="G1686" s="2412" t="s">
        <v>6184</v>
      </c>
      <c r="H1686" s="2383">
        <v>0</v>
      </c>
      <c r="I1686" s="2383">
        <v>1</v>
      </c>
      <c r="J1686" s="2413">
        <v>1</v>
      </c>
      <c r="K1686" s="2387"/>
      <c r="L1686" s="2381">
        <v>13147960500</v>
      </c>
      <c r="M1686" s="2382">
        <v>0</v>
      </c>
      <c r="N1686" s="2382">
        <v>1</v>
      </c>
      <c r="O1686" s="2383">
        <v>1</v>
      </c>
    </row>
    <row r="1687" spans="3:15">
      <c r="C1687" s="2388" t="s">
        <v>6185</v>
      </c>
      <c r="D1687" s="2385">
        <v>0</v>
      </c>
      <c r="E1687" s="2385">
        <v>0</v>
      </c>
      <c r="F1687" s="2386">
        <v>0</v>
      </c>
      <c r="G1687" s="2412" t="s">
        <v>6185</v>
      </c>
      <c r="H1687" s="2383">
        <v>0</v>
      </c>
      <c r="I1687" s="2383">
        <v>0</v>
      </c>
      <c r="J1687" s="2413">
        <v>0</v>
      </c>
      <c r="K1687" s="2387"/>
      <c r="L1687" s="2381">
        <v>13149970100</v>
      </c>
      <c r="M1687" s="2382">
        <v>0</v>
      </c>
      <c r="N1687" s="2382">
        <v>0</v>
      </c>
      <c r="O1687" s="2383">
        <v>0</v>
      </c>
    </row>
    <row r="1688" spans="3:15">
      <c r="C1688" s="2388" t="s">
        <v>6186</v>
      </c>
      <c r="D1688" s="2385">
        <v>0</v>
      </c>
      <c r="E1688" s="2385">
        <v>1</v>
      </c>
      <c r="F1688" s="2386">
        <v>1</v>
      </c>
      <c r="G1688" s="2412" t="s">
        <v>6186</v>
      </c>
      <c r="H1688" s="2383">
        <v>0</v>
      </c>
      <c r="I1688" s="2383">
        <v>1</v>
      </c>
      <c r="J1688" s="2413">
        <v>1</v>
      </c>
      <c r="K1688" s="2387"/>
      <c r="L1688" s="2381">
        <v>13149970200</v>
      </c>
      <c r="M1688" s="2382">
        <v>0</v>
      </c>
      <c r="N1688" s="2382">
        <v>1</v>
      </c>
      <c r="O1688" s="2383">
        <v>1</v>
      </c>
    </row>
    <row r="1689" spans="3:15">
      <c r="C1689" s="2388" t="s">
        <v>6187</v>
      </c>
      <c r="D1689" s="2385">
        <v>0</v>
      </c>
      <c r="E1689" s="2385">
        <v>0</v>
      </c>
      <c r="F1689" s="2386">
        <v>0</v>
      </c>
      <c r="G1689" s="2412" t="s">
        <v>6187</v>
      </c>
      <c r="H1689" s="2383">
        <v>1</v>
      </c>
      <c r="I1689" s="2383">
        <v>0</v>
      </c>
      <c r="J1689" s="2413">
        <v>1</v>
      </c>
      <c r="K1689" s="2387"/>
      <c r="L1689" s="2381">
        <v>13149970300</v>
      </c>
      <c r="M1689" s="2382">
        <v>1</v>
      </c>
      <c r="N1689" s="2382">
        <v>0</v>
      </c>
      <c r="O1689" s="2383">
        <v>1</v>
      </c>
    </row>
    <row r="1690" spans="3:15">
      <c r="C1690" s="2388" t="s">
        <v>6188</v>
      </c>
      <c r="D1690" s="2385">
        <v>1</v>
      </c>
      <c r="E1690" s="2385">
        <v>1</v>
      </c>
      <c r="F1690" s="2386">
        <v>2</v>
      </c>
      <c r="G1690" s="2412" t="s">
        <v>6188</v>
      </c>
      <c r="H1690" s="2383">
        <v>1</v>
      </c>
      <c r="I1690" s="2383">
        <v>1</v>
      </c>
      <c r="J1690" s="2413">
        <v>2</v>
      </c>
      <c r="K1690" s="2387"/>
      <c r="L1690" s="2381">
        <v>13151070104</v>
      </c>
      <c r="M1690" s="2382">
        <v>1</v>
      </c>
      <c r="N1690" s="2382">
        <v>1</v>
      </c>
      <c r="O1690" s="2383">
        <v>2</v>
      </c>
    </row>
    <row r="1691" spans="3:15">
      <c r="C1691" s="2388" t="s">
        <v>6189</v>
      </c>
      <c r="D1691" s="2385">
        <v>0</v>
      </c>
      <c r="E1691" s="2385">
        <v>0</v>
      </c>
      <c r="F1691" s="2386">
        <v>0</v>
      </c>
      <c r="G1691" s="2412" t="s">
        <v>6189</v>
      </c>
      <c r="H1691" s="2383">
        <v>0</v>
      </c>
      <c r="I1691" s="2383">
        <v>0</v>
      </c>
      <c r="J1691" s="2413">
        <v>0</v>
      </c>
      <c r="K1691" s="2387"/>
      <c r="L1691" s="2381">
        <v>13151070106</v>
      </c>
      <c r="M1691" s="2382">
        <v>0</v>
      </c>
      <c r="N1691" s="2382">
        <v>0</v>
      </c>
      <c r="O1691" s="2383">
        <v>0</v>
      </c>
    </row>
    <row r="1692" spans="3:15">
      <c r="C1692" s="2388" t="s">
        <v>6190</v>
      </c>
      <c r="D1692" s="2385">
        <v>1</v>
      </c>
      <c r="E1692" s="2385">
        <v>1</v>
      </c>
      <c r="F1692" s="2386">
        <v>2</v>
      </c>
      <c r="G1692" s="2412" t="s">
        <v>6190</v>
      </c>
      <c r="H1692" s="2383">
        <v>1</v>
      </c>
      <c r="I1692" s="2383">
        <v>1</v>
      </c>
      <c r="J1692" s="2413">
        <v>2</v>
      </c>
      <c r="K1692" s="2387"/>
      <c r="L1692" s="2381">
        <v>13151070107</v>
      </c>
      <c r="M1692" s="2382">
        <v>1</v>
      </c>
      <c r="N1692" s="2382">
        <v>1</v>
      </c>
      <c r="O1692" s="2383">
        <v>2</v>
      </c>
    </row>
    <row r="1693" spans="3:15">
      <c r="C1693" s="2388" t="s">
        <v>6191</v>
      </c>
      <c r="D1693" s="2385">
        <v>1</v>
      </c>
      <c r="E1693" s="2385">
        <v>1</v>
      </c>
      <c r="F1693" s="2386">
        <v>2</v>
      </c>
      <c r="G1693" s="2412" t="s">
        <v>6191</v>
      </c>
      <c r="H1693" s="2383">
        <v>1</v>
      </c>
      <c r="I1693" s="2383">
        <v>1</v>
      </c>
      <c r="J1693" s="2413">
        <v>2</v>
      </c>
      <c r="K1693" s="2387"/>
      <c r="L1693" s="2381">
        <v>13151070108</v>
      </c>
      <c r="M1693" s="2382">
        <v>1</v>
      </c>
      <c r="N1693" s="2382">
        <v>1</v>
      </c>
      <c r="O1693" s="2383">
        <v>2</v>
      </c>
    </row>
    <row r="1694" spans="3:15">
      <c r="C1694" s="2388" t="s">
        <v>6192</v>
      </c>
      <c r="D1694" s="2385">
        <v>1</v>
      </c>
      <c r="E1694" s="2385">
        <v>1</v>
      </c>
      <c r="F1694" s="2386">
        <v>2</v>
      </c>
      <c r="G1694" s="2412" t="s">
        <v>6192</v>
      </c>
      <c r="H1694" s="2383">
        <v>1</v>
      </c>
      <c r="I1694" s="2383">
        <v>1</v>
      </c>
      <c r="J1694" s="2413">
        <v>2</v>
      </c>
      <c r="K1694" s="2387"/>
      <c r="L1694" s="2381">
        <v>13151070109</v>
      </c>
      <c r="M1694" s="2382">
        <v>1</v>
      </c>
      <c r="N1694" s="2382">
        <v>1</v>
      </c>
      <c r="O1694" s="2383">
        <v>2</v>
      </c>
    </row>
    <row r="1695" spans="3:15">
      <c r="C1695" s="2388" t="s">
        <v>6193</v>
      </c>
      <c r="D1695" s="2385">
        <v>1</v>
      </c>
      <c r="E1695" s="2385">
        <v>1</v>
      </c>
      <c r="F1695" s="2386">
        <v>2</v>
      </c>
      <c r="G1695" s="2412" t="s">
        <v>6193</v>
      </c>
      <c r="H1695" s="2383">
        <v>1</v>
      </c>
      <c r="I1695" s="2383">
        <v>1</v>
      </c>
      <c r="J1695" s="2413">
        <v>2</v>
      </c>
      <c r="K1695" s="2387"/>
      <c r="L1695" s="2381">
        <v>13151070110</v>
      </c>
      <c r="M1695" s="2382">
        <v>1</v>
      </c>
      <c r="N1695" s="2382">
        <v>1</v>
      </c>
      <c r="O1695" s="2383">
        <v>2</v>
      </c>
    </row>
    <row r="1696" spans="3:15">
      <c r="C1696" s="2388" t="s">
        <v>6194</v>
      </c>
      <c r="D1696" s="2385">
        <v>0</v>
      </c>
      <c r="E1696" s="2385">
        <v>0</v>
      </c>
      <c r="F1696" s="2386">
        <v>0</v>
      </c>
      <c r="G1696" s="2412" t="s">
        <v>6194</v>
      </c>
      <c r="H1696" s="2383">
        <v>0</v>
      </c>
      <c r="I1696" s="2383">
        <v>0</v>
      </c>
      <c r="J1696" s="2413">
        <v>0</v>
      </c>
      <c r="K1696" s="2387"/>
      <c r="L1696" s="2381">
        <v>13151070111</v>
      </c>
      <c r="M1696" s="2382">
        <v>0</v>
      </c>
      <c r="N1696" s="2382">
        <v>0</v>
      </c>
      <c r="O1696" s="2383">
        <v>0</v>
      </c>
    </row>
    <row r="1697" spans="3:15">
      <c r="C1697" s="2388" t="s">
        <v>6195</v>
      </c>
      <c r="D1697" s="2385">
        <v>0</v>
      </c>
      <c r="E1697" s="2385">
        <v>0</v>
      </c>
      <c r="F1697" s="2386">
        <v>0</v>
      </c>
      <c r="G1697" s="2412" t="s">
        <v>6195</v>
      </c>
      <c r="H1697" s="2383">
        <v>0</v>
      </c>
      <c r="I1697" s="2383">
        <v>0</v>
      </c>
      <c r="J1697" s="2413">
        <v>0</v>
      </c>
      <c r="K1697" s="2387"/>
      <c r="L1697" s="2381">
        <v>13151070113</v>
      </c>
      <c r="M1697" s="2382">
        <v>0</v>
      </c>
      <c r="N1697" s="2382">
        <v>0</v>
      </c>
      <c r="O1697" s="2383">
        <v>0</v>
      </c>
    </row>
    <row r="1698" spans="3:15">
      <c r="C1698" s="2388" t="s">
        <v>6196</v>
      </c>
      <c r="D1698" s="2385">
        <v>0</v>
      </c>
      <c r="E1698" s="2385">
        <v>1</v>
      </c>
      <c r="F1698" s="2386">
        <v>1</v>
      </c>
      <c r="G1698" s="2412" t="s">
        <v>6196</v>
      </c>
      <c r="H1698" s="2383">
        <v>0</v>
      </c>
      <c r="I1698" s="2383">
        <v>1</v>
      </c>
      <c r="J1698" s="2413">
        <v>1</v>
      </c>
      <c r="K1698" s="2387"/>
      <c r="L1698" s="2381">
        <v>13151070114</v>
      </c>
      <c r="M1698" s="2382">
        <v>0</v>
      </c>
      <c r="N1698" s="2382">
        <v>1</v>
      </c>
      <c r="O1698" s="2383">
        <v>1</v>
      </c>
    </row>
    <row r="1699" spans="3:15">
      <c r="C1699" s="2388" t="s">
        <v>6197</v>
      </c>
      <c r="D1699" s="2385">
        <v>1</v>
      </c>
      <c r="E1699" s="2385">
        <v>1</v>
      </c>
      <c r="F1699" s="2386">
        <v>2</v>
      </c>
      <c r="G1699" s="2412" t="s">
        <v>6197</v>
      </c>
      <c r="H1699" s="2383">
        <v>1</v>
      </c>
      <c r="I1699" s="2383">
        <v>1</v>
      </c>
      <c r="J1699" s="2413">
        <v>2</v>
      </c>
      <c r="K1699" s="2387"/>
      <c r="L1699" s="2381">
        <v>13151070202</v>
      </c>
      <c r="M1699" s="2382">
        <v>1</v>
      </c>
      <c r="N1699" s="2382">
        <v>1</v>
      </c>
      <c r="O1699" s="2383">
        <v>2</v>
      </c>
    </row>
    <row r="1700" spans="3:15">
      <c r="C1700" s="2388" t="s">
        <v>6198</v>
      </c>
      <c r="D1700" s="2385">
        <v>1</v>
      </c>
      <c r="E1700" s="2385">
        <v>1</v>
      </c>
      <c r="F1700" s="2386">
        <v>2</v>
      </c>
      <c r="G1700" s="2412" t="s">
        <v>6198</v>
      </c>
      <c r="H1700" s="2383">
        <v>1</v>
      </c>
      <c r="I1700" s="2383">
        <v>1</v>
      </c>
      <c r="J1700" s="2413">
        <v>2</v>
      </c>
      <c r="K1700" s="2387"/>
      <c r="L1700" s="2381">
        <v>13151070203</v>
      </c>
      <c r="M1700" s="2382">
        <v>1</v>
      </c>
      <c r="N1700" s="2382">
        <v>1</v>
      </c>
      <c r="O1700" s="2383">
        <v>2</v>
      </c>
    </row>
    <row r="1701" spans="3:15">
      <c r="C1701" s="2388" t="s">
        <v>6199</v>
      </c>
      <c r="D1701" s="2385">
        <v>1</v>
      </c>
      <c r="E1701" s="2385">
        <v>1</v>
      </c>
      <c r="F1701" s="2386">
        <v>2</v>
      </c>
      <c r="G1701" s="2412" t="s">
        <v>6199</v>
      </c>
      <c r="H1701" s="2383">
        <v>1</v>
      </c>
      <c r="I1701" s="2383">
        <v>1</v>
      </c>
      <c r="J1701" s="2413">
        <v>2</v>
      </c>
      <c r="K1701" s="2387"/>
      <c r="L1701" s="2381">
        <v>13151070204</v>
      </c>
      <c r="M1701" s="2382">
        <v>1</v>
      </c>
      <c r="N1701" s="2382">
        <v>1</v>
      </c>
      <c r="O1701" s="2383">
        <v>2</v>
      </c>
    </row>
    <row r="1702" spans="3:15">
      <c r="C1702" s="2388" t="s">
        <v>6200</v>
      </c>
      <c r="D1702" s="2385">
        <v>0</v>
      </c>
      <c r="E1702" s="2385">
        <v>1</v>
      </c>
      <c r="F1702" s="2386">
        <v>1</v>
      </c>
      <c r="G1702" s="2412" t="s">
        <v>6200</v>
      </c>
      <c r="H1702" s="2383">
        <v>0</v>
      </c>
      <c r="I1702" s="2383">
        <v>1</v>
      </c>
      <c r="J1702" s="2413">
        <v>1</v>
      </c>
      <c r="K1702" s="2387"/>
      <c r="L1702" s="2381">
        <v>13151070205</v>
      </c>
      <c r="M1702" s="2382">
        <v>0</v>
      </c>
      <c r="N1702" s="2382">
        <v>1</v>
      </c>
      <c r="O1702" s="2383">
        <v>1</v>
      </c>
    </row>
    <row r="1703" spans="3:15">
      <c r="C1703" s="2388" t="s">
        <v>6201</v>
      </c>
      <c r="D1703" s="2385">
        <v>0</v>
      </c>
      <c r="E1703" s="2385">
        <v>0</v>
      </c>
      <c r="F1703" s="2386">
        <v>0</v>
      </c>
      <c r="G1703" s="2412" t="s">
        <v>6201</v>
      </c>
      <c r="H1703" s="2383">
        <v>0</v>
      </c>
      <c r="I1703" s="2383">
        <v>1</v>
      </c>
      <c r="J1703" s="2413">
        <v>1</v>
      </c>
      <c r="K1703" s="2387"/>
      <c r="L1703" s="2381">
        <v>13151070304</v>
      </c>
      <c r="M1703" s="2382">
        <v>0</v>
      </c>
      <c r="N1703" s="2382">
        <v>1</v>
      </c>
      <c r="O1703" s="2383">
        <v>1</v>
      </c>
    </row>
    <row r="1704" spans="3:15">
      <c r="C1704" s="2388" t="s">
        <v>6202</v>
      </c>
      <c r="D1704" s="2385">
        <v>1</v>
      </c>
      <c r="E1704" s="2385">
        <v>1</v>
      </c>
      <c r="F1704" s="2386">
        <v>2</v>
      </c>
      <c r="G1704" s="2412" t="s">
        <v>6202</v>
      </c>
      <c r="H1704" s="2383">
        <v>1</v>
      </c>
      <c r="I1704" s="2383" t="s">
        <v>4493</v>
      </c>
      <c r="J1704" s="2413">
        <v>1</v>
      </c>
      <c r="K1704" s="2387"/>
      <c r="L1704" s="2381">
        <v>13151070305</v>
      </c>
      <c r="M1704" s="2382">
        <v>1</v>
      </c>
      <c r="N1704" s="2382">
        <v>1</v>
      </c>
      <c r="O1704" s="2383">
        <v>2</v>
      </c>
    </row>
    <row r="1705" spans="3:15">
      <c r="C1705" s="2388" t="s">
        <v>6203</v>
      </c>
      <c r="D1705" s="2385">
        <v>1</v>
      </c>
      <c r="E1705" s="2385">
        <v>1</v>
      </c>
      <c r="F1705" s="2386">
        <v>2</v>
      </c>
      <c r="G1705" s="2412" t="s">
        <v>6203</v>
      </c>
      <c r="H1705" s="2383">
        <v>1</v>
      </c>
      <c r="I1705" s="2383">
        <v>1</v>
      </c>
      <c r="J1705" s="2413">
        <v>2</v>
      </c>
      <c r="K1705" s="2387"/>
      <c r="L1705" s="2381">
        <v>13151070306</v>
      </c>
      <c r="M1705" s="2382">
        <v>1</v>
      </c>
      <c r="N1705" s="2382">
        <v>1</v>
      </c>
      <c r="O1705" s="2383">
        <v>2</v>
      </c>
    </row>
    <row r="1706" spans="3:15">
      <c r="C1706" s="2388" t="s">
        <v>6204</v>
      </c>
      <c r="D1706" s="2385">
        <v>1</v>
      </c>
      <c r="E1706" s="2385">
        <v>1</v>
      </c>
      <c r="F1706" s="2386">
        <v>2</v>
      </c>
      <c r="G1706" s="2412" t="s">
        <v>6204</v>
      </c>
      <c r="H1706" s="2383">
        <v>1</v>
      </c>
      <c r="I1706" s="2383">
        <v>1</v>
      </c>
      <c r="J1706" s="2413">
        <v>2</v>
      </c>
      <c r="K1706" s="2387"/>
      <c r="L1706" s="2381">
        <v>13151070307</v>
      </c>
      <c r="M1706" s="2382">
        <v>1</v>
      </c>
      <c r="N1706" s="2382">
        <v>1</v>
      </c>
      <c r="O1706" s="2383">
        <v>2</v>
      </c>
    </row>
    <row r="1707" spans="3:15">
      <c r="C1707" s="2388" t="s">
        <v>6205</v>
      </c>
      <c r="D1707" s="2385">
        <v>1</v>
      </c>
      <c r="E1707" s="2385">
        <v>1</v>
      </c>
      <c r="F1707" s="2386">
        <v>2</v>
      </c>
      <c r="G1707" s="2412" t="s">
        <v>6205</v>
      </c>
      <c r="H1707" s="2383">
        <v>1</v>
      </c>
      <c r="I1707" s="2383">
        <v>1</v>
      </c>
      <c r="J1707" s="2413">
        <v>2</v>
      </c>
      <c r="K1707" s="2387"/>
      <c r="L1707" s="2381">
        <v>13151070309</v>
      </c>
      <c r="M1707" s="2382">
        <v>1</v>
      </c>
      <c r="N1707" s="2382">
        <v>1</v>
      </c>
      <c r="O1707" s="2383">
        <v>2</v>
      </c>
    </row>
    <row r="1708" spans="3:15">
      <c r="C1708" s="2388" t="s">
        <v>6206</v>
      </c>
      <c r="D1708" s="2385">
        <v>1</v>
      </c>
      <c r="E1708" s="2385">
        <v>1</v>
      </c>
      <c r="F1708" s="2386">
        <v>2</v>
      </c>
      <c r="G1708" s="2412" t="s">
        <v>6206</v>
      </c>
      <c r="H1708" s="2383">
        <v>1</v>
      </c>
      <c r="I1708" s="2383">
        <v>0</v>
      </c>
      <c r="J1708" s="2413">
        <v>1</v>
      </c>
      <c r="K1708" s="2387"/>
      <c r="L1708" s="2381">
        <v>13151070310</v>
      </c>
      <c r="M1708" s="2382">
        <v>1</v>
      </c>
      <c r="N1708" s="2382">
        <v>1</v>
      </c>
      <c r="O1708" s="2383">
        <v>2</v>
      </c>
    </row>
    <row r="1709" spans="3:15">
      <c r="C1709" s="2388" t="s">
        <v>6207</v>
      </c>
      <c r="D1709" s="2385">
        <v>0</v>
      </c>
      <c r="E1709" s="2385">
        <v>0</v>
      </c>
      <c r="F1709" s="2386">
        <v>0</v>
      </c>
      <c r="G1709" s="2412" t="s">
        <v>6207</v>
      </c>
      <c r="H1709" s="2383">
        <v>0</v>
      </c>
      <c r="I1709" s="2383" t="s">
        <v>4493</v>
      </c>
      <c r="J1709" s="2413">
        <v>0</v>
      </c>
      <c r="K1709" s="2387"/>
      <c r="L1709" s="2381">
        <v>13151070311</v>
      </c>
      <c r="M1709" s="2382">
        <v>0</v>
      </c>
      <c r="N1709" s="2382">
        <v>0</v>
      </c>
      <c r="O1709" s="2383">
        <v>0</v>
      </c>
    </row>
    <row r="1710" spans="3:15">
      <c r="C1710" s="2388" t="s">
        <v>6208</v>
      </c>
      <c r="D1710" s="2385">
        <v>1</v>
      </c>
      <c r="E1710" s="2385">
        <v>1</v>
      </c>
      <c r="F1710" s="2386">
        <v>2</v>
      </c>
      <c r="G1710" s="2412" t="s">
        <v>6208</v>
      </c>
      <c r="H1710" s="2383">
        <v>1</v>
      </c>
      <c r="I1710" s="2383">
        <v>1</v>
      </c>
      <c r="J1710" s="2413">
        <v>2</v>
      </c>
      <c r="K1710" s="2387"/>
      <c r="L1710" s="2381">
        <v>13151070402</v>
      </c>
      <c r="M1710" s="2382">
        <v>1</v>
      </c>
      <c r="N1710" s="2382">
        <v>1</v>
      </c>
      <c r="O1710" s="2383">
        <v>2</v>
      </c>
    </row>
    <row r="1711" spans="3:15">
      <c r="C1711" s="2388" t="s">
        <v>6209</v>
      </c>
      <c r="D1711" s="2385">
        <v>0</v>
      </c>
      <c r="E1711" s="2385">
        <v>1</v>
      </c>
      <c r="F1711" s="2386">
        <v>1</v>
      </c>
      <c r="G1711" s="2412" t="s">
        <v>6209</v>
      </c>
      <c r="H1711" s="2383">
        <v>0</v>
      </c>
      <c r="I1711" s="2383">
        <v>0</v>
      </c>
      <c r="J1711" s="2413">
        <v>0</v>
      </c>
      <c r="K1711" s="2387"/>
      <c r="L1711" s="2381">
        <v>13151070403</v>
      </c>
      <c r="M1711" s="2382">
        <v>0</v>
      </c>
      <c r="N1711" s="2382">
        <v>1</v>
      </c>
      <c r="O1711" s="2383">
        <v>1</v>
      </c>
    </row>
    <row r="1712" spans="3:15">
      <c r="C1712" s="2388" t="s">
        <v>6210</v>
      </c>
      <c r="D1712" s="2385">
        <v>1</v>
      </c>
      <c r="E1712" s="2385">
        <v>1</v>
      </c>
      <c r="F1712" s="2386">
        <v>2</v>
      </c>
      <c r="G1712" s="2412" t="s">
        <v>6210</v>
      </c>
      <c r="H1712" s="2383">
        <v>1</v>
      </c>
      <c r="I1712" s="2383">
        <v>1</v>
      </c>
      <c r="J1712" s="2413">
        <v>2</v>
      </c>
      <c r="K1712" s="2387"/>
      <c r="L1712" s="2381">
        <v>13151070404</v>
      </c>
      <c r="M1712" s="2382">
        <v>1</v>
      </c>
      <c r="N1712" s="2382">
        <v>1</v>
      </c>
      <c r="O1712" s="2383">
        <v>2</v>
      </c>
    </row>
    <row r="1713" spans="3:15">
      <c r="C1713" s="2388" t="s">
        <v>6211</v>
      </c>
      <c r="D1713" s="2385">
        <v>0</v>
      </c>
      <c r="E1713" s="2385">
        <v>0</v>
      </c>
      <c r="F1713" s="2386">
        <v>0</v>
      </c>
      <c r="G1713" s="2412" t="s">
        <v>6211</v>
      </c>
      <c r="H1713" s="2383">
        <v>1</v>
      </c>
      <c r="I1713" s="2383">
        <v>0</v>
      </c>
      <c r="J1713" s="2413">
        <v>1</v>
      </c>
      <c r="K1713" s="2387"/>
      <c r="L1713" s="2381">
        <v>13151070501</v>
      </c>
      <c r="M1713" s="2382">
        <v>1</v>
      </c>
      <c r="N1713" s="2382">
        <v>0</v>
      </c>
      <c r="O1713" s="2383">
        <v>1</v>
      </c>
    </row>
    <row r="1714" spans="3:15">
      <c r="C1714" s="2388" t="s">
        <v>6212</v>
      </c>
      <c r="D1714" s="2385">
        <v>1</v>
      </c>
      <c r="E1714" s="2385">
        <v>1</v>
      </c>
      <c r="F1714" s="2386">
        <v>2</v>
      </c>
      <c r="G1714" s="2412" t="s">
        <v>6212</v>
      </c>
      <c r="H1714" s="2383">
        <v>1</v>
      </c>
      <c r="I1714" s="2383">
        <v>1</v>
      </c>
      <c r="J1714" s="2413">
        <v>2</v>
      </c>
      <c r="K1714" s="2387"/>
      <c r="L1714" s="2381">
        <v>13151070502</v>
      </c>
      <c r="M1714" s="2382">
        <v>1</v>
      </c>
      <c r="N1714" s="2382">
        <v>1</v>
      </c>
      <c r="O1714" s="2383">
        <v>2</v>
      </c>
    </row>
    <row r="1715" spans="3:15">
      <c r="C1715" s="2388" t="s">
        <v>6213</v>
      </c>
      <c r="D1715" s="2385">
        <v>0</v>
      </c>
      <c r="E1715" s="2385">
        <v>0</v>
      </c>
      <c r="F1715" s="2386">
        <v>0</v>
      </c>
      <c r="G1715" s="2412" t="s">
        <v>6213</v>
      </c>
      <c r="H1715" s="2383">
        <v>0</v>
      </c>
      <c r="I1715" s="2383">
        <v>1</v>
      </c>
      <c r="J1715" s="2413">
        <v>0</v>
      </c>
      <c r="K1715" s="2387"/>
      <c r="L1715" s="2381">
        <v>13153020105</v>
      </c>
      <c r="M1715" s="2382">
        <v>0</v>
      </c>
      <c r="N1715" s="2382">
        <v>1</v>
      </c>
      <c r="O1715" s="2383">
        <v>0</v>
      </c>
    </row>
    <row r="1716" spans="3:15">
      <c r="C1716" s="2388" t="s">
        <v>6214</v>
      </c>
      <c r="D1716" s="2385">
        <v>0</v>
      </c>
      <c r="E1716" s="2385">
        <v>1</v>
      </c>
      <c r="F1716" s="2386">
        <v>1</v>
      </c>
      <c r="G1716" s="2412" t="s">
        <v>6214</v>
      </c>
      <c r="H1716" s="2383">
        <v>0</v>
      </c>
      <c r="I1716" s="2383">
        <v>0</v>
      </c>
      <c r="J1716" s="2413">
        <v>0</v>
      </c>
      <c r="K1716" s="2387"/>
      <c r="L1716" s="2381">
        <v>13153020106</v>
      </c>
      <c r="M1716" s="2382">
        <v>0</v>
      </c>
      <c r="N1716" s="2382">
        <v>1</v>
      </c>
      <c r="O1716" s="2383">
        <v>1</v>
      </c>
    </row>
    <row r="1717" spans="3:15">
      <c r="C1717" s="2388" t="s">
        <v>6215</v>
      </c>
      <c r="D1717" s="2385">
        <v>0</v>
      </c>
      <c r="E1717" s="2385">
        <v>1</v>
      </c>
      <c r="F1717" s="2386">
        <v>1</v>
      </c>
      <c r="G1717" s="2412" t="s">
        <v>6215</v>
      </c>
      <c r="H1717" s="2383">
        <v>0</v>
      </c>
      <c r="I1717" s="2383">
        <v>1</v>
      </c>
      <c r="J1717" s="2413">
        <v>1</v>
      </c>
      <c r="K1717" s="2387"/>
      <c r="L1717" s="2381">
        <v>13153020108</v>
      </c>
      <c r="M1717" s="2382">
        <v>0</v>
      </c>
      <c r="N1717" s="2382">
        <v>1</v>
      </c>
      <c r="O1717" s="2383">
        <v>1</v>
      </c>
    </row>
    <row r="1718" spans="3:15">
      <c r="C1718" s="2388" t="s">
        <v>6216</v>
      </c>
      <c r="D1718" s="2385">
        <v>1</v>
      </c>
      <c r="E1718" s="2385">
        <v>1</v>
      </c>
      <c r="F1718" s="2386">
        <v>2</v>
      </c>
      <c r="G1718" s="2412" t="s">
        <v>6216</v>
      </c>
      <c r="H1718" s="2383">
        <v>1</v>
      </c>
      <c r="I1718" s="2383">
        <v>1</v>
      </c>
      <c r="J1718" s="2413">
        <v>2</v>
      </c>
      <c r="K1718" s="2387"/>
      <c r="L1718" s="2381">
        <v>13153020109</v>
      </c>
      <c r="M1718" s="2382">
        <v>1</v>
      </c>
      <c r="N1718" s="2382">
        <v>1</v>
      </c>
      <c r="O1718" s="2383">
        <v>2</v>
      </c>
    </row>
    <row r="1719" spans="3:15">
      <c r="C1719" s="2388" t="s">
        <v>6217</v>
      </c>
      <c r="D1719" s="2385">
        <v>0</v>
      </c>
      <c r="E1719" s="2385">
        <v>0</v>
      </c>
      <c r="F1719" s="2386">
        <v>0</v>
      </c>
      <c r="G1719" s="2412" t="s">
        <v>6217</v>
      </c>
      <c r="H1719" s="2383">
        <v>0</v>
      </c>
      <c r="I1719" s="2383">
        <v>0</v>
      </c>
      <c r="J1719" s="2413">
        <v>0</v>
      </c>
      <c r="K1719" s="2387"/>
      <c r="L1719" s="2381">
        <v>13153020200</v>
      </c>
      <c r="M1719" s="2382">
        <v>0</v>
      </c>
      <c r="N1719" s="2382">
        <v>0</v>
      </c>
      <c r="O1719" s="2383">
        <v>0</v>
      </c>
    </row>
    <row r="1720" spans="3:15">
      <c r="C1720" s="2388" t="s">
        <v>6218</v>
      </c>
      <c r="D1720" s="2385">
        <v>0</v>
      </c>
      <c r="E1720" s="2385">
        <v>0</v>
      </c>
      <c r="F1720" s="2386">
        <v>0</v>
      </c>
      <c r="G1720" s="2412" t="s">
        <v>6218</v>
      </c>
      <c r="H1720" s="2383">
        <v>0</v>
      </c>
      <c r="I1720" s="2383">
        <v>0</v>
      </c>
      <c r="J1720" s="2413">
        <v>0</v>
      </c>
      <c r="K1720" s="2387"/>
      <c r="L1720" s="2381">
        <v>13153020300</v>
      </c>
      <c r="M1720" s="2382">
        <v>0</v>
      </c>
      <c r="N1720" s="2382">
        <v>0</v>
      </c>
      <c r="O1720" s="2383">
        <v>0</v>
      </c>
    </row>
    <row r="1721" spans="3:15">
      <c r="C1721" s="2388" t="s">
        <v>6219</v>
      </c>
      <c r="D1721" s="2385">
        <v>0</v>
      </c>
      <c r="E1721" s="2385">
        <v>0</v>
      </c>
      <c r="F1721" s="2386">
        <v>0</v>
      </c>
      <c r="G1721" s="2412" t="s">
        <v>6219</v>
      </c>
      <c r="H1721" s="2383">
        <v>0</v>
      </c>
      <c r="I1721" s="2383">
        <v>0</v>
      </c>
      <c r="J1721" s="2413">
        <v>0</v>
      </c>
      <c r="K1721" s="2387"/>
      <c r="L1721" s="2381">
        <v>13153020400</v>
      </c>
      <c r="M1721" s="2382">
        <v>0</v>
      </c>
      <c r="N1721" s="2382">
        <v>0</v>
      </c>
      <c r="O1721" s="2383">
        <v>0</v>
      </c>
    </row>
    <row r="1722" spans="3:15">
      <c r="C1722" s="2388" t="s">
        <v>6220</v>
      </c>
      <c r="D1722" s="2385">
        <v>0</v>
      </c>
      <c r="E1722" s="2385">
        <v>1</v>
      </c>
      <c r="F1722" s="2386">
        <v>1</v>
      </c>
      <c r="G1722" s="2412" t="s">
        <v>6220</v>
      </c>
      <c r="H1722" s="2383">
        <v>0</v>
      </c>
      <c r="I1722" s="2383" t="s">
        <v>4493</v>
      </c>
      <c r="J1722" s="2413">
        <v>0</v>
      </c>
      <c r="K1722" s="2387"/>
      <c r="L1722" s="2381">
        <v>13153020600</v>
      </c>
      <c r="M1722" s="2382">
        <v>0</v>
      </c>
      <c r="N1722" s="2382">
        <v>1</v>
      </c>
      <c r="O1722" s="2383">
        <v>1</v>
      </c>
    </row>
    <row r="1723" spans="3:15">
      <c r="C1723" s="2388" t="s">
        <v>6221</v>
      </c>
      <c r="D1723" s="2385">
        <v>0</v>
      </c>
      <c r="E1723" s="2385">
        <v>0</v>
      </c>
      <c r="F1723" s="2386">
        <v>0</v>
      </c>
      <c r="G1723" s="2412" t="s">
        <v>6221</v>
      </c>
      <c r="H1723" s="2383">
        <v>0</v>
      </c>
      <c r="I1723" s="2383">
        <v>0</v>
      </c>
      <c r="J1723" s="2413">
        <v>0</v>
      </c>
      <c r="K1723" s="2387"/>
      <c r="L1723" s="2381">
        <v>13153020700</v>
      </c>
      <c r="M1723" s="2382">
        <v>0</v>
      </c>
      <c r="N1723" s="2382">
        <v>0</v>
      </c>
      <c r="O1723" s="2383">
        <v>0</v>
      </c>
    </row>
    <row r="1724" spans="3:15">
      <c r="C1724" s="2388" t="s">
        <v>6222</v>
      </c>
      <c r="D1724" s="2385">
        <v>0</v>
      </c>
      <c r="E1724" s="2385">
        <v>0</v>
      </c>
      <c r="F1724" s="2386">
        <v>0</v>
      </c>
      <c r="G1724" s="2412" t="s">
        <v>6222</v>
      </c>
      <c r="H1724" s="2383">
        <v>1</v>
      </c>
      <c r="I1724" s="2383">
        <v>0</v>
      </c>
      <c r="J1724" s="2413">
        <v>1</v>
      </c>
      <c r="K1724" s="2387"/>
      <c r="L1724" s="2381">
        <v>13153020800</v>
      </c>
      <c r="M1724" s="2382">
        <v>1</v>
      </c>
      <c r="N1724" s="2382">
        <v>0</v>
      </c>
      <c r="O1724" s="2383">
        <v>1</v>
      </c>
    </row>
    <row r="1725" spans="3:15">
      <c r="C1725" s="2388" t="s">
        <v>6223</v>
      </c>
      <c r="D1725" s="2385">
        <v>0</v>
      </c>
      <c r="E1725" s="2385">
        <v>0</v>
      </c>
      <c r="F1725" s="2386">
        <v>0</v>
      </c>
      <c r="G1725" s="2412" t="s">
        <v>6223</v>
      </c>
      <c r="H1725" s="2383">
        <v>0</v>
      </c>
      <c r="I1725" s="2383">
        <v>0</v>
      </c>
      <c r="J1725" s="2413">
        <v>0</v>
      </c>
      <c r="K1725" s="2387"/>
      <c r="L1725" s="2381">
        <v>13153020900</v>
      </c>
      <c r="M1725" s="2382">
        <v>0</v>
      </c>
      <c r="N1725" s="2382">
        <v>0</v>
      </c>
      <c r="O1725" s="2383">
        <v>0</v>
      </c>
    </row>
    <row r="1726" spans="3:15">
      <c r="C1726" s="2388" t="s">
        <v>6224</v>
      </c>
      <c r="D1726" s="2385">
        <v>0</v>
      </c>
      <c r="E1726" s="2385">
        <v>0</v>
      </c>
      <c r="F1726" s="2386">
        <v>0</v>
      </c>
      <c r="G1726" s="2412" t="s">
        <v>6224</v>
      </c>
      <c r="H1726" s="2383">
        <v>0</v>
      </c>
      <c r="I1726" s="2383">
        <v>1</v>
      </c>
      <c r="J1726" s="2413">
        <v>1</v>
      </c>
      <c r="K1726" s="2387"/>
      <c r="L1726" s="2381">
        <v>13153021000</v>
      </c>
      <c r="M1726" s="2382">
        <v>0</v>
      </c>
      <c r="N1726" s="2382">
        <v>1</v>
      </c>
      <c r="O1726" s="2383">
        <v>1</v>
      </c>
    </row>
    <row r="1727" spans="3:15">
      <c r="C1727" s="2388" t="s">
        <v>6225</v>
      </c>
      <c r="D1727" s="2385">
        <v>1</v>
      </c>
      <c r="E1727" s="2385">
        <v>1</v>
      </c>
      <c r="F1727" s="2386">
        <v>2</v>
      </c>
      <c r="G1727" s="2412" t="s">
        <v>6225</v>
      </c>
      <c r="H1727" s="2383">
        <v>1</v>
      </c>
      <c r="I1727" s="2383">
        <v>1</v>
      </c>
      <c r="J1727" s="2413">
        <v>2</v>
      </c>
      <c r="K1727" s="2387"/>
      <c r="L1727" s="2381">
        <v>13153021103</v>
      </c>
      <c r="M1727" s="2382">
        <v>1</v>
      </c>
      <c r="N1727" s="2382">
        <v>1</v>
      </c>
      <c r="O1727" s="2383">
        <v>2</v>
      </c>
    </row>
    <row r="1728" spans="3:15">
      <c r="C1728" s="2388" t="s">
        <v>6226</v>
      </c>
      <c r="D1728" s="2385">
        <v>0</v>
      </c>
      <c r="E1728" s="2385">
        <v>0</v>
      </c>
      <c r="F1728" s="2386">
        <v>0</v>
      </c>
      <c r="G1728" s="2412" t="s">
        <v>6226</v>
      </c>
      <c r="H1728" s="2383">
        <v>0</v>
      </c>
      <c r="I1728" s="2383">
        <v>0</v>
      </c>
      <c r="J1728" s="2413">
        <v>0</v>
      </c>
      <c r="K1728" s="2387"/>
      <c r="L1728" s="2381">
        <v>13153021104</v>
      </c>
      <c r="M1728" s="2382">
        <v>0</v>
      </c>
      <c r="N1728" s="2382">
        <v>0</v>
      </c>
      <c r="O1728" s="2383">
        <v>0</v>
      </c>
    </row>
    <row r="1729" spans="3:15">
      <c r="C1729" s="2388" t="s">
        <v>6227</v>
      </c>
      <c r="D1729" s="2385">
        <v>0</v>
      </c>
      <c r="E1729" s="2385">
        <v>1</v>
      </c>
      <c r="F1729" s="2386">
        <v>1</v>
      </c>
      <c r="G1729" s="2412" t="s">
        <v>6227</v>
      </c>
      <c r="H1729" s="2383">
        <v>1</v>
      </c>
      <c r="I1729" s="2383">
        <v>0</v>
      </c>
      <c r="J1729" s="2413">
        <v>1</v>
      </c>
      <c r="K1729" s="2387"/>
      <c r="L1729" s="2381">
        <v>13153021105</v>
      </c>
      <c r="M1729" s="2382">
        <v>1</v>
      </c>
      <c r="N1729" s="2382">
        <v>1</v>
      </c>
      <c r="O1729" s="2383">
        <v>1</v>
      </c>
    </row>
    <row r="1730" spans="3:15">
      <c r="C1730" s="2388" t="s">
        <v>6228</v>
      </c>
      <c r="D1730" s="2385">
        <v>1</v>
      </c>
      <c r="E1730" s="2385">
        <v>1</v>
      </c>
      <c r="F1730" s="2386">
        <v>2</v>
      </c>
      <c r="G1730" s="2412" t="s">
        <v>6228</v>
      </c>
      <c r="H1730" s="2383">
        <v>0</v>
      </c>
      <c r="I1730" s="2383">
        <v>1</v>
      </c>
      <c r="J1730" s="2413">
        <v>1</v>
      </c>
      <c r="K1730" s="2387"/>
      <c r="L1730" s="2381">
        <v>13153021107</v>
      </c>
      <c r="M1730" s="2382">
        <v>1</v>
      </c>
      <c r="N1730" s="2382">
        <v>1</v>
      </c>
      <c r="O1730" s="2383">
        <v>2</v>
      </c>
    </row>
    <row r="1731" spans="3:15">
      <c r="C1731" s="2388" t="s">
        <v>6229</v>
      </c>
      <c r="D1731" s="2385">
        <v>1</v>
      </c>
      <c r="E1731" s="2385">
        <v>1</v>
      </c>
      <c r="F1731" s="2386">
        <v>2</v>
      </c>
      <c r="G1731" s="2412" t="s">
        <v>6229</v>
      </c>
      <c r="H1731" s="2383">
        <v>1</v>
      </c>
      <c r="I1731" s="2383">
        <v>1</v>
      </c>
      <c r="J1731" s="2413">
        <v>2</v>
      </c>
      <c r="K1731" s="2387"/>
      <c r="L1731" s="2381">
        <v>13153021108</v>
      </c>
      <c r="M1731" s="2382">
        <v>1</v>
      </c>
      <c r="N1731" s="2382">
        <v>1</v>
      </c>
      <c r="O1731" s="2383">
        <v>2</v>
      </c>
    </row>
    <row r="1732" spans="3:15">
      <c r="C1732" s="2388" t="s">
        <v>6230</v>
      </c>
      <c r="D1732" s="2385">
        <v>1</v>
      </c>
      <c r="E1732" s="2385">
        <v>1</v>
      </c>
      <c r="F1732" s="2386">
        <v>2</v>
      </c>
      <c r="G1732" s="2412" t="s">
        <v>6230</v>
      </c>
      <c r="H1732" s="2383">
        <v>1</v>
      </c>
      <c r="I1732" s="2383">
        <v>1</v>
      </c>
      <c r="J1732" s="2413">
        <v>2</v>
      </c>
      <c r="K1732" s="2387"/>
      <c r="L1732" s="2381">
        <v>13153021113</v>
      </c>
      <c r="M1732" s="2382">
        <v>1</v>
      </c>
      <c r="N1732" s="2382">
        <v>1</v>
      </c>
      <c r="O1732" s="2383">
        <v>2</v>
      </c>
    </row>
    <row r="1733" spans="3:15">
      <c r="C1733" s="2388" t="s">
        <v>6231</v>
      </c>
      <c r="D1733" s="2385">
        <v>1</v>
      </c>
      <c r="E1733" s="2385">
        <v>1</v>
      </c>
      <c r="F1733" s="2386">
        <v>2</v>
      </c>
      <c r="G1733" s="2412" t="s">
        <v>6231</v>
      </c>
      <c r="H1733" s="2383">
        <v>1</v>
      </c>
      <c r="I1733" s="2383">
        <v>1</v>
      </c>
      <c r="J1733" s="2413">
        <v>2</v>
      </c>
      <c r="K1733" s="2387"/>
      <c r="L1733" s="2381">
        <v>13153021201</v>
      </c>
      <c r="M1733" s="2382">
        <v>1</v>
      </c>
      <c r="N1733" s="2382">
        <v>1</v>
      </c>
      <c r="O1733" s="2383">
        <v>2</v>
      </c>
    </row>
    <row r="1734" spans="3:15">
      <c r="C1734" s="2388" t="s">
        <v>6232</v>
      </c>
      <c r="D1734" s="2385">
        <v>0</v>
      </c>
      <c r="E1734" s="2385">
        <v>1</v>
      </c>
      <c r="F1734" s="2386">
        <v>1</v>
      </c>
      <c r="G1734" s="2412" t="s">
        <v>6232</v>
      </c>
      <c r="H1734" s="2383">
        <v>0</v>
      </c>
      <c r="I1734" s="2383">
        <v>1</v>
      </c>
      <c r="J1734" s="2413">
        <v>1</v>
      </c>
      <c r="K1734" s="2387"/>
      <c r="L1734" s="2381">
        <v>13153021202</v>
      </c>
      <c r="M1734" s="2382">
        <v>0</v>
      </c>
      <c r="N1734" s="2382">
        <v>1</v>
      </c>
      <c r="O1734" s="2383">
        <v>1</v>
      </c>
    </row>
    <row r="1735" spans="3:15">
      <c r="C1735" s="2388" t="s">
        <v>6233</v>
      </c>
      <c r="D1735" s="2385">
        <v>0</v>
      </c>
      <c r="E1735" s="2385">
        <v>0</v>
      </c>
      <c r="F1735" s="2386">
        <v>0</v>
      </c>
      <c r="G1735" s="2412" t="s">
        <v>6233</v>
      </c>
      <c r="H1735" s="2383">
        <v>0</v>
      </c>
      <c r="I1735" s="2383">
        <v>0</v>
      </c>
      <c r="J1735" s="2413">
        <v>0</v>
      </c>
      <c r="K1735" s="2387"/>
      <c r="L1735" s="2381">
        <v>13153021300</v>
      </c>
      <c r="M1735" s="2382">
        <v>0</v>
      </c>
      <c r="N1735" s="2382">
        <v>0</v>
      </c>
      <c r="O1735" s="2383">
        <v>0</v>
      </c>
    </row>
    <row r="1736" spans="3:15">
      <c r="C1736" s="2388" t="s">
        <v>6234</v>
      </c>
      <c r="D1736" s="2385">
        <v>0</v>
      </c>
      <c r="E1736" s="2385">
        <v>1</v>
      </c>
      <c r="F1736" s="2386">
        <v>1</v>
      </c>
      <c r="G1736" s="2412" t="s">
        <v>6234</v>
      </c>
      <c r="H1736" s="2383">
        <v>0</v>
      </c>
      <c r="I1736" s="2383">
        <v>1</v>
      </c>
      <c r="J1736" s="2413">
        <v>1</v>
      </c>
      <c r="K1736" s="2387"/>
      <c r="L1736" s="2381">
        <v>13153021400</v>
      </c>
      <c r="M1736" s="2382">
        <v>0</v>
      </c>
      <c r="N1736" s="2382">
        <v>1</v>
      </c>
      <c r="O1736" s="2383">
        <v>1</v>
      </c>
    </row>
    <row r="1737" spans="3:15">
      <c r="C1737" s="2388" t="s">
        <v>6235</v>
      </c>
      <c r="D1737" s="2385">
        <v>1</v>
      </c>
      <c r="E1737" s="2385">
        <v>1</v>
      </c>
      <c r="F1737" s="2386">
        <v>2</v>
      </c>
      <c r="G1737" s="2412" t="s">
        <v>6235</v>
      </c>
      <c r="H1737" s="2383">
        <v>1</v>
      </c>
      <c r="I1737" s="2383">
        <v>1</v>
      </c>
      <c r="J1737" s="2413">
        <v>2</v>
      </c>
      <c r="K1737" s="2387"/>
      <c r="L1737" s="2381">
        <v>13153021500</v>
      </c>
      <c r="M1737" s="2382">
        <v>1</v>
      </c>
      <c r="N1737" s="2382">
        <v>1</v>
      </c>
      <c r="O1737" s="2383">
        <v>2</v>
      </c>
    </row>
    <row r="1738" spans="3:15">
      <c r="C1738" s="2388" t="s">
        <v>6236</v>
      </c>
      <c r="D1738" s="2385">
        <v>0</v>
      </c>
      <c r="E1738" s="2385">
        <v>0</v>
      </c>
      <c r="F1738" s="2386">
        <v>0</v>
      </c>
      <c r="G1738" s="2412" t="s">
        <v>6236</v>
      </c>
      <c r="H1738" s="2383">
        <v>0</v>
      </c>
      <c r="I1738" s="2383">
        <v>0</v>
      </c>
      <c r="J1738" s="2413">
        <v>0</v>
      </c>
      <c r="K1738" s="2387"/>
      <c r="L1738" s="2381">
        <v>13155950100</v>
      </c>
      <c r="M1738" s="2382">
        <v>0</v>
      </c>
      <c r="N1738" s="2382">
        <v>0</v>
      </c>
      <c r="O1738" s="2383">
        <v>0</v>
      </c>
    </row>
    <row r="1739" spans="3:15">
      <c r="C1739" s="2388" t="s">
        <v>6237</v>
      </c>
      <c r="D1739" s="2385">
        <v>0</v>
      </c>
      <c r="E1739" s="2385">
        <v>0</v>
      </c>
      <c r="F1739" s="2386">
        <v>0</v>
      </c>
      <c r="G1739" s="2412" t="s">
        <v>6237</v>
      </c>
      <c r="H1739" s="2383">
        <v>0</v>
      </c>
      <c r="I1739" s="2383">
        <v>0</v>
      </c>
      <c r="J1739" s="2413">
        <v>0</v>
      </c>
      <c r="K1739" s="2387"/>
      <c r="L1739" s="2381">
        <v>13155950200</v>
      </c>
      <c r="M1739" s="2382">
        <v>0</v>
      </c>
      <c r="N1739" s="2382">
        <v>0</v>
      </c>
      <c r="O1739" s="2383">
        <v>0</v>
      </c>
    </row>
    <row r="1740" spans="3:15">
      <c r="C1740" s="2388" t="s">
        <v>6238</v>
      </c>
      <c r="D1740" s="2385">
        <v>1</v>
      </c>
      <c r="E1740" s="2385">
        <v>1</v>
      </c>
      <c r="F1740" s="2386">
        <v>2</v>
      </c>
      <c r="G1740" s="2412" t="s">
        <v>6238</v>
      </c>
      <c r="H1740" s="2383">
        <v>1</v>
      </c>
      <c r="I1740" s="2383">
        <v>1</v>
      </c>
      <c r="J1740" s="2413">
        <v>1</v>
      </c>
      <c r="K1740" s="2387"/>
      <c r="L1740" s="2381">
        <v>13157010101</v>
      </c>
      <c r="M1740" s="2382">
        <v>1</v>
      </c>
      <c r="N1740" s="2382">
        <v>1</v>
      </c>
      <c r="O1740" s="2383">
        <v>2</v>
      </c>
    </row>
    <row r="1741" spans="3:15">
      <c r="C1741" s="2388" t="s">
        <v>6239</v>
      </c>
      <c r="D1741" s="2385">
        <v>1</v>
      </c>
      <c r="E1741" s="2385">
        <v>1</v>
      </c>
      <c r="F1741" s="2386">
        <v>2</v>
      </c>
      <c r="G1741" s="2412" t="s">
        <v>6239</v>
      </c>
      <c r="H1741" s="2383">
        <v>1</v>
      </c>
      <c r="I1741" s="2383">
        <v>1</v>
      </c>
      <c r="J1741" s="2413">
        <v>2</v>
      </c>
      <c r="K1741" s="2387"/>
      <c r="L1741" s="2381">
        <v>13157010102</v>
      </c>
      <c r="M1741" s="2382">
        <v>1</v>
      </c>
      <c r="N1741" s="2382">
        <v>1</v>
      </c>
      <c r="O1741" s="2383">
        <v>2</v>
      </c>
    </row>
    <row r="1742" spans="3:15">
      <c r="C1742" s="2388" t="s">
        <v>6240</v>
      </c>
      <c r="D1742" s="2385">
        <v>1</v>
      </c>
      <c r="E1742" s="2385">
        <v>1</v>
      </c>
      <c r="F1742" s="2386">
        <v>2</v>
      </c>
      <c r="G1742" s="2412" t="s">
        <v>6240</v>
      </c>
      <c r="H1742" s="2383">
        <v>0</v>
      </c>
      <c r="I1742" s="2383">
        <v>1</v>
      </c>
      <c r="J1742" s="2413">
        <v>1</v>
      </c>
      <c r="K1742" s="2387"/>
      <c r="L1742" s="2381">
        <v>13157010103</v>
      </c>
      <c r="M1742" s="2382">
        <v>1</v>
      </c>
      <c r="N1742" s="2382">
        <v>1</v>
      </c>
      <c r="O1742" s="2383">
        <v>2</v>
      </c>
    </row>
    <row r="1743" spans="3:15">
      <c r="C1743" s="2388" t="s">
        <v>6241</v>
      </c>
      <c r="D1743" s="2385">
        <v>0</v>
      </c>
      <c r="E1743" s="2385">
        <v>0</v>
      </c>
      <c r="F1743" s="2386">
        <v>0</v>
      </c>
      <c r="G1743" s="2412" t="s">
        <v>6241</v>
      </c>
      <c r="H1743" s="2383">
        <v>0</v>
      </c>
      <c r="I1743" s="2383">
        <v>0</v>
      </c>
      <c r="J1743" s="2413">
        <v>0</v>
      </c>
      <c r="K1743" s="2387"/>
      <c r="L1743" s="2381">
        <v>13157010200</v>
      </c>
      <c r="M1743" s="2382">
        <v>0</v>
      </c>
      <c r="N1743" s="2382">
        <v>0</v>
      </c>
      <c r="O1743" s="2383">
        <v>0</v>
      </c>
    </row>
    <row r="1744" spans="3:15">
      <c r="C1744" s="2388" t="s">
        <v>6242</v>
      </c>
      <c r="D1744" s="2385">
        <v>0</v>
      </c>
      <c r="E1744" s="2385">
        <v>0</v>
      </c>
      <c r="F1744" s="2386">
        <v>0</v>
      </c>
      <c r="G1744" s="2412" t="s">
        <v>6242</v>
      </c>
      <c r="H1744" s="2383">
        <v>0</v>
      </c>
      <c r="I1744" s="2383">
        <v>0</v>
      </c>
      <c r="J1744" s="2413">
        <v>0</v>
      </c>
      <c r="K1744" s="2387"/>
      <c r="L1744" s="2381">
        <v>13157010300</v>
      </c>
      <c r="M1744" s="2382">
        <v>0</v>
      </c>
      <c r="N1744" s="2382">
        <v>0</v>
      </c>
      <c r="O1744" s="2383">
        <v>0</v>
      </c>
    </row>
    <row r="1745" spans="3:15">
      <c r="C1745" s="2388" t="s">
        <v>6243</v>
      </c>
      <c r="D1745" s="2385">
        <v>0</v>
      </c>
      <c r="E1745" s="2385">
        <v>0</v>
      </c>
      <c r="F1745" s="2386">
        <v>0</v>
      </c>
      <c r="G1745" s="2412" t="s">
        <v>6243</v>
      </c>
      <c r="H1745" s="2383">
        <v>0</v>
      </c>
      <c r="I1745" s="2383">
        <v>0</v>
      </c>
      <c r="J1745" s="2413">
        <v>0</v>
      </c>
      <c r="K1745" s="2387"/>
      <c r="L1745" s="2381">
        <v>13157010400</v>
      </c>
      <c r="M1745" s="2382">
        <v>0</v>
      </c>
      <c r="N1745" s="2382">
        <v>0</v>
      </c>
      <c r="O1745" s="2383">
        <v>0</v>
      </c>
    </row>
    <row r="1746" spans="3:15">
      <c r="C1746" s="2388" t="s">
        <v>6244</v>
      </c>
      <c r="D1746" s="2385">
        <v>0</v>
      </c>
      <c r="E1746" s="2385">
        <v>0</v>
      </c>
      <c r="F1746" s="2386">
        <v>0</v>
      </c>
      <c r="G1746" s="2412" t="s">
        <v>6244</v>
      </c>
      <c r="H1746" s="2383">
        <v>0</v>
      </c>
      <c r="I1746" s="2383">
        <v>0</v>
      </c>
      <c r="J1746" s="2413">
        <v>0</v>
      </c>
      <c r="K1746" s="2387"/>
      <c r="L1746" s="2381">
        <v>13157010500</v>
      </c>
      <c r="M1746" s="2382">
        <v>0</v>
      </c>
      <c r="N1746" s="2382">
        <v>0</v>
      </c>
      <c r="O1746" s="2383">
        <v>0</v>
      </c>
    </row>
    <row r="1747" spans="3:15">
      <c r="C1747" s="2388" t="s">
        <v>6245</v>
      </c>
      <c r="D1747" s="2385">
        <v>0</v>
      </c>
      <c r="E1747" s="2385">
        <v>0</v>
      </c>
      <c r="F1747" s="2386">
        <v>0</v>
      </c>
      <c r="G1747" s="2412" t="s">
        <v>6245</v>
      </c>
      <c r="H1747" s="2383">
        <v>1</v>
      </c>
      <c r="I1747" s="2383">
        <v>0</v>
      </c>
      <c r="J1747" s="2413">
        <v>1</v>
      </c>
      <c r="K1747" s="2387"/>
      <c r="L1747" s="2381">
        <v>13157010600</v>
      </c>
      <c r="M1747" s="2382">
        <v>1</v>
      </c>
      <c r="N1747" s="2382">
        <v>0</v>
      </c>
      <c r="O1747" s="2383">
        <v>1</v>
      </c>
    </row>
    <row r="1748" spans="3:15">
      <c r="C1748" s="2388" t="s">
        <v>6246</v>
      </c>
      <c r="D1748" s="2385">
        <v>0</v>
      </c>
      <c r="E1748" s="2385">
        <v>1</v>
      </c>
      <c r="F1748" s="2386">
        <v>1</v>
      </c>
      <c r="G1748" s="2412" t="s">
        <v>6246</v>
      </c>
      <c r="H1748" s="2383">
        <v>1</v>
      </c>
      <c r="I1748" s="2383">
        <v>1</v>
      </c>
      <c r="J1748" s="2413">
        <v>1</v>
      </c>
      <c r="K1748" s="2387"/>
      <c r="L1748" s="2381">
        <v>13157010701</v>
      </c>
      <c r="M1748" s="2382">
        <v>1</v>
      </c>
      <c r="N1748" s="2382">
        <v>1</v>
      </c>
      <c r="O1748" s="2383">
        <v>1</v>
      </c>
    </row>
    <row r="1749" spans="3:15">
      <c r="C1749" s="2388" t="s">
        <v>6247</v>
      </c>
      <c r="D1749" s="2385">
        <v>1</v>
      </c>
      <c r="E1749" s="2385">
        <v>1</v>
      </c>
      <c r="F1749" s="2386">
        <v>2</v>
      </c>
      <c r="G1749" s="2412" t="s">
        <v>6247</v>
      </c>
      <c r="H1749" s="2383">
        <v>1</v>
      </c>
      <c r="I1749" s="2383">
        <v>1</v>
      </c>
      <c r="J1749" s="2413">
        <v>2</v>
      </c>
      <c r="K1749" s="2387"/>
      <c r="L1749" s="2381">
        <v>13157010702</v>
      </c>
      <c r="M1749" s="2382">
        <v>1</v>
      </c>
      <c r="N1749" s="2382">
        <v>1</v>
      </c>
      <c r="O1749" s="2383">
        <v>2</v>
      </c>
    </row>
    <row r="1750" spans="3:15">
      <c r="C1750" s="2388" t="s">
        <v>6248</v>
      </c>
      <c r="D1750" s="2385">
        <v>1</v>
      </c>
      <c r="E1750" s="2385">
        <v>1</v>
      </c>
      <c r="F1750" s="2386">
        <v>2</v>
      </c>
      <c r="G1750" s="2412" t="s">
        <v>6248</v>
      </c>
      <c r="H1750" s="2383">
        <v>1</v>
      </c>
      <c r="I1750" s="2383">
        <v>1</v>
      </c>
      <c r="J1750" s="2413">
        <v>2</v>
      </c>
      <c r="K1750" s="2387"/>
      <c r="L1750" s="2381">
        <v>13157010703</v>
      </c>
      <c r="M1750" s="2382">
        <v>1</v>
      </c>
      <c r="N1750" s="2382">
        <v>1</v>
      </c>
      <c r="O1750" s="2383">
        <v>2</v>
      </c>
    </row>
    <row r="1751" spans="3:15">
      <c r="C1751" s="2388" t="s">
        <v>6249</v>
      </c>
      <c r="D1751" s="2385">
        <v>0</v>
      </c>
      <c r="E1751" s="2385">
        <v>0</v>
      </c>
      <c r="F1751" s="2386">
        <v>0</v>
      </c>
      <c r="G1751" s="2412" t="s">
        <v>6249</v>
      </c>
      <c r="H1751" s="2383">
        <v>0</v>
      </c>
      <c r="I1751" s="2383">
        <v>0</v>
      </c>
      <c r="J1751" s="2413">
        <v>0</v>
      </c>
      <c r="K1751" s="2387"/>
      <c r="L1751" s="2381">
        <v>13159010100</v>
      </c>
      <c r="M1751" s="2382">
        <v>0</v>
      </c>
      <c r="N1751" s="2382">
        <v>0</v>
      </c>
      <c r="O1751" s="2383">
        <v>0</v>
      </c>
    </row>
    <row r="1752" spans="3:15">
      <c r="C1752" s="2388" t="s">
        <v>6250</v>
      </c>
      <c r="D1752" s="2385">
        <v>1</v>
      </c>
      <c r="E1752" s="2385">
        <v>1</v>
      </c>
      <c r="F1752" s="2386">
        <v>2</v>
      </c>
      <c r="G1752" s="2412" t="s">
        <v>6250</v>
      </c>
      <c r="H1752" s="2383">
        <v>0</v>
      </c>
      <c r="I1752" s="2383">
        <v>0</v>
      </c>
      <c r="J1752" s="2413">
        <v>0</v>
      </c>
      <c r="K1752" s="2387"/>
      <c r="L1752" s="2381">
        <v>13159010200</v>
      </c>
      <c r="M1752" s="2382">
        <v>1</v>
      </c>
      <c r="N1752" s="2382">
        <v>1</v>
      </c>
      <c r="O1752" s="2383">
        <v>2</v>
      </c>
    </row>
    <row r="1753" spans="3:15">
      <c r="C1753" s="2388" t="s">
        <v>6251</v>
      </c>
      <c r="D1753" s="2385">
        <v>0</v>
      </c>
      <c r="E1753" s="2385">
        <v>0</v>
      </c>
      <c r="F1753" s="2386">
        <v>0</v>
      </c>
      <c r="G1753" s="2412" t="s">
        <v>6251</v>
      </c>
      <c r="H1753" s="2383">
        <v>0</v>
      </c>
      <c r="I1753" s="2383">
        <v>0</v>
      </c>
      <c r="J1753" s="2413">
        <v>0</v>
      </c>
      <c r="K1753" s="2387"/>
      <c r="L1753" s="2381">
        <v>13159010500</v>
      </c>
      <c r="M1753" s="2382">
        <v>0</v>
      </c>
      <c r="N1753" s="2382">
        <v>0</v>
      </c>
      <c r="O1753" s="2383">
        <v>0</v>
      </c>
    </row>
    <row r="1754" spans="3:15">
      <c r="C1754" s="2388" t="s">
        <v>6252</v>
      </c>
      <c r="D1754" s="2385">
        <v>0</v>
      </c>
      <c r="E1754" s="2385">
        <v>0</v>
      </c>
      <c r="F1754" s="2386">
        <v>0</v>
      </c>
      <c r="G1754" s="2412" t="s">
        <v>6252</v>
      </c>
      <c r="H1754" s="2383">
        <v>0</v>
      </c>
      <c r="I1754" s="2383">
        <v>0</v>
      </c>
      <c r="J1754" s="2413">
        <v>0</v>
      </c>
      <c r="K1754" s="2387"/>
      <c r="L1754" s="2381">
        <v>13161960100</v>
      </c>
      <c r="M1754" s="2382">
        <v>0</v>
      </c>
      <c r="N1754" s="2382">
        <v>0</v>
      </c>
      <c r="O1754" s="2383">
        <v>0</v>
      </c>
    </row>
    <row r="1755" spans="3:15">
      <c r="C1755" s="2388" t="s">
        <v>6253</v>
      </c>
      <c r="D1755" s="2385">
        <v>0</v>
      </c>
      <c r="E1755" s="2385">
        <v>0</v>
      </c>
      <c r="F1755" s="2386">
        <v>0</v>
      </c>
      <c r="G1755" s="2412" t="s">
        <v>6253</v>
      </c>
      <c r="H1755" s="2383">
        <v>0</v>
      </c>
      <c r="I1755" s="2383">
        <v>0</v>
      </c>
      <c r="J1755" s="2413">
        <v>0</v>
      </c>
      <c r="K1755" s="2387"/>
      <c r="L1755" s="2381">
        <v>13161960200</v>
      </c>
      <c r="M1755" s="2382">
        <v>0</v>
      </c>
      <c r="N1755" s="2382">
        <v>0</v>
      </c>
      <c r="O1755" s="2383">
        <v>0</v>
      </c>
    </row>
    <row r="1756" spans="3:15">
      <c r="C1756" s="2388" t="s">
        <v>6254</v>
      </c>
      <c r="D1756" s="2385">
        <v>0</v>
      </c>
      <c r="E1756" s="2385">
        <v>0</v>
      </c>
      <c r="F1756" s="2386">
        <v>0</v>
      </c>
      <c r="G1756" s="2412" t="s">
        <v>6254</v>
      </c>
      <c r="H1756" s="2383">
        <v>0</v>
      </c>
      <c r="I1756" s="2383">
        <v>0</v>
      </c>
      <c r="J1756" s="2413">
        <v>0</v>
      </c>
      <c r="K1756" s="2387"/>
      <c r="L1756" s="2381">
        <v>13161960300</v>
      </c>
      <c r="M1756" s="2382">
        <v>0</v>
      </c>
      <c r="N1756" s="2382">
        <v>0</v>
      </c>
      <c r="O1756" s="2383">
        <v>0</v>
      </c>
    </row>
    <row r="1757" spans="3:15">
      <c r="C1757" s="2388" t="s">
        <v>6255</v>
      </c>
      <c r="D1757" s="2385">
        <v>0</v>
      </c>
      <c r="E1757" s="2385">
        <v>0</v>
      </c>
      <c r="F1757" s="2386">
        <v>0</v>
      </c>
      <c r="G1757" s="2412" t="s">
        <v>6255</v>
      </c>
      <c r="H1757" s="2383">
        <v>0</v>
      </c>
      <c r="I1757" s="2383">
        <v>0</v>
      </c>
      <c r="J1757" s="2413">
        <v>0</v>
      </c>
      <c r="K1757" s="2387"/>
      <c r="L1757" s="2381">
        <v>13163960100</v>
      </c>
      <c r="M1757" s="2382">
        <v>0</v>
      </c>
      <c r="N1757" s="2382">
        <v>0</v>
      </c>
      <c r="O1757" s="2383">
        <v>0</v>
      </c>
    </row>
    <row r="1758" spans="3:15">
      <c r="C1758" s="2388" t="s">
        <v>6256</v>
      </c>
      <c r="D1758" s="2385">
        <v>0</v>
      </c>
      <c r="E1758" s="2385">
        <v>0</v>
      </c>
      <c r="F1758" s="2386">
        <v>0</v>
      </c>
      <c r="G1758" s="2412" t="s">
        <v>6256</v>
      </c>
      <c r="H1758" s="2383">
        <v>0</v>
      </c>
      <c r="I1758" s="2383">
        <v>0</v>
      </c>
      <c r="J1758" s="2413">
        <v>0</v>
      </c>
      <c r="K1758" s="2387"/>
      <c r="L1758" s="2381">
        <v>13163960200</v>
      </c>
      <c r="M1758" s="2382">
        <v>0</v>
      </c>
      <c r="N1758" s="2382">
        <v>0</v>
      </c>
      <c r="O1758" s="2383">
        <v>0</v>
      </c>
    </row>
    <row r="1759" spans="3:15">
      <c r="C1759" s="2388" t="s">
        <v>6257</v>
      </c>
      <c r="D1759" s="2385">
        <v>0</v>
      </c>
      <c r="E1759" s="2385">
        <v>0</v>
      </c>
      <c r="F1759" s="2386">
        <v>0</v>
      </c>
      <c r="G1759" s="2412" t="s">
        <v>6257</v>
      </c>
      <c r="H1759" s="2383">
        <v>0</v>
      </c>
      <c r="I1759" s="2383">
        <v>0</v>
      </c>
      <c r="J1759" s="2413">
        <v>0</v>
      </c>
      <c r="K1759" s="2387"/>
      <c r="L1759" s="2381">
        <v>13163960300</v>
      </c>
      <c r="M1759" s="2382">
        <v>0</v>
      </c>
      <c r="N1759" s="2382">
        <v>0</v>
      </c>
      <c r="O1759" s="2383">
        <v>0</v>
      </c>
    </row>
    <row r="1760" spans="3:15">
      <c r="C1760" s="2388" t="s">
        <v>6258</v>
      </c>
      <c r="D1760" s="2385">
        <v>0</v>
      </c>
      <c r="E1760" s="2385">
        <v>0</v>
      </c>
      <c r="F1760" s="2386">
        <v>0</v>
      </c>
      <c r="G1760" s="2412" t="s">
        <v>6258</v>
      </c>
      <c r="H1760" s="2383">
        <v>0</v>
      </c>
      <c r="I1760" s="2383" t="s">
        <v>4493</v>
      </c>
      <c r="J1760" s="2413">
        <v>0</v>
      </c>
      <c r="K1760" s="2387"/>
      <c r="L1760" s="2381">
        <v>13163960400</v>
      </c>
      <c r="M1760" s="2382">
        <v>0</v>
      </c>
      <c r="N1760" s="2382">
        <v>0</v>
      </c>
      <c r="O1760" s="2383">
        <v>0</v>
      </c>
    </row>
    <row r="1761" spans="3:15">
      <c r="C1761" s="2388" t="s">
        <v>6259</v>
      </c>
      <c r="D1761" s="2385">
        <v>0</v>
      </c>
      <c r="E1761" s="2385">
        <v>0</v>
      </c>
      <c r="F1761" s="2386">
        <v>0</v>
      </c>
      <c r="G1761" s="2412" t="s">
        <v>6259</v>
      </c>
      <c r="H1761" s="2383">
        <v>0</v>
      </c>
      <c r="I1761" s="2383">
        <v>0</v>
      </c>
      <c r="J1761" s="2413">
        <v>0</v>
      </c>
      <c r="K1761" s="2387"/>
      <c r="L1761" s="2381">
        <v>13165960100</v>
      </c>
      <c r="M1761" s="2382">
        <v>0</v>
      </c>
      <c r="N1761" s="2382">
        <v>0</v>
      </c>
      <c r="O1761" s="2383">
        <v>0</v>
      </c>
    </row>
    <row r="1762" spans="3:15">
      <c r="C1762" s="2388" t="s">
        <v>6260</v>
      </c>
      <c r="D1762" s="2385">
        <v>0</v>
      </c>
      <c r="E1762" s="2385">
        <v>0</v>
      </c>
      <c r="F1762" s="2386">
        <v>0</v>
      </c>
      <c r="G1762" s="2412" t="s">
        <v>6260</v>
      </c>
      <c r="H1762" s="2383">
        <v>0</v>
      </c>
      <c r="I1762" s="2383">
        <v>0</v>
      </c>
      <c r="J1762" s="2413">
        <v>0</v>
      </c>
      <c r="K1762" s="2387"/>
      <c r="L1762" s="2381">
        <v>13165960200</v>
      </c>
      <c r="M1762" s="2382">
        <v>0</v>
      </c>
      <c r="N1762" s="2382">
        <v>0</v>
      </c>
      <c r="O1762" s="2383">
        <v>0</v>
      </c>
    </row>
    <row r="1763" spans="3:15">
      <c r="C1763" s="2388" t="s">
        <v>6261</v>
      </c>
      <c r="D1763" s="2385">
        <v>0</v>
      </c>
      <c r="E1763" s="2385">
        <v>0</v>
      </c>
      <c r="F1763" s="2386">
        <v>0</v>
      </c>
      <c r="G1763" s="2412" t="s">
        <v>6261</v>
      </c>
      <c r="H1763" s="2383">
        <v>0</v>
      </c>
      <c r="I1763" s="2383">
        <v>1</v>
      </c>
      <c r="J1763" s="2413">
        <v>0</v>
      </c>
      <c r="K1763" s="2387"/>
      <c r="L1763" s="2381">
        <v>13167960100</v>
      </c>
      <c r="M1763" s="2382">
        <v>0</v>
      </c>
      <c r="N1763" s="2382">
        <v>1</v>
      </c>
      <c r="O1763" s="2383">
        <v>0</v>
      </c>
    </row>
    <row r="1764" spans="3:15">
      <c r="C1764" s="2388" t="s">
        <v>6262</v>
      </c>
      <c r="D1764" s="2385">
        <v>0</v>
      </c>
      <c r="E1764" s="2385">
        <v>0</v>
      </c>
      <c r="F1764" s="2386">
        <v>0</v>
      </c>
      <c r="G1764" s="2412" t="s">
        <v>6262</v>
      </c>
      <c r="H1764" s="2383">
        <v>0</v>
      </c>
      <c r="I1764" s="2383">
        <v>0</v>
      </c>
      <c r="J1764" s="2413">
        <v>0</v>
      </c>
      <c r="K1764" s="2387"/>
      <c r="L1764" s="2381">
        <v>13167960200</v>
      </c>
      <c r="M1764" s="2382">
        <v>0</v>
      </c>
      <c r="N1764" s="2382">
        <v>0</v>
      </c>
      <c r="O1764" s="2383">
        <v>0</v>
      </c>
    </row>
    <row r="1765" spans="3:15">
      <c r="C1765" s="2388" t="s">
        <v>6263</v>
      </c>
      <c r="D1765" s="2385">
        <v>0</v>
      </c>
      <c r="E1765" s="2385">
        <v>0</v>
      </c>
      <c r="F1765" s="2386">
        <v>0</v>
      </c>
      <c r="G1765" s="2412" t="s">
        <v>6263</v>
      </c>
      <c r="H1765" s="2383">
        <v>1</v>
      </c>
      <c r="I1765" s="2383">
        <v>1</v>
      </c>
      <c r="J1765" s="2413">
        <v>2</v>
      </c>
      <c r="K1765" s="2387"/>
      <c r="L1765" s="2381">
        <v>13167960300</v>
      </c>
      <c r="M1765" s="2382">
        <v>1</v>
      </c>
      <c r="N1765" s="2382">
        <v>1</v>
      </c>
      <c r="O1765" s="2383">
        <v>2</v>
      </c>
    </row>
    <row r="1766" spans="3:15">
      <c r="C1766" s="2388" t="s">
        <v>6264</v>
      </c>
      <c r="D1766" s="2385">
        <v>1</v>
      </c>
      <c r="E1766" s="2385">
        <v>1</v>
      </c>
      <c r="F1766" s="2386">
        <v>2</v>
      </c>
      <c r="G1766" s="2412" t="s">
        <v>6264</v>
      </c>
      <c r="H1766" s="2383">
        <v>1</v>
      </c>
      <c r="I1766" s="2383">
        <v>1</v>
      </c>
      <c r="J1766" s="2413">
        <v>2</v>
      </c>
      <c r="K1766" s="2387"/>
      <c r="L1766" s="2381">
        <v>13169030101</v>
      </c>
      <c r="M1766" s="2382">
        <v>1</v>
      </c>
      <c r="N1766" s="2382">
        <v>1</v>
      </c>
      <c r="O1766" s="2383">
        <v>2</v>
      </c>
    </row>
    <row r="1767" spans="3:15">
      <c r="C1767" s="2388" t="s">
        <v>6265</v>
      </c>
      <c r="D1767" s="2385">
        <v>1</v>
      </c>
      <c r="E1767" s="2385">
        <v>1</v>
      </c>
      <c r="F1767" s="2386">
        <v>2</v>
      </c>
      <c r="G1767" s="2412" t="s">
        <v>6265</v>
      </c>
      <c r="H1767" s="2383">
        <v>1</v>
      </c>
      <c r="I1767" s="2383">
        <v>0</v>
      </c>
      <c r="J1767" s="2413">
        <v>1</v>
      </c>
      <c r="K1767" s="2387"/>
      <c r="L1767" s="2381">
        <v>13169030103</v>
      </c>
      <c r="M1767" s="2382">
        <v>1</v>
      </c>
      <c r="N1767" s="2382">
        <v>1</v>
      </c>
      <c r="O1767" s="2383">
        <v>2</v>
      </c>
    </row>
    <row r="1768" spans="3:15">
      <c r="C1768" s="2388" t="s">
        <v>6266</v>
      </c>
      <c r="D1768" s="2385">
        <v>0</v>
      </c>
      <c r="E1768" s="2385">
        <v>0</v>
      </c>
      <c r="F1768" s="2386">
        <v>0</v>
      </c>
      <c r="G1768" s="2412" t="s">
        <v>6266</v>
      </c>
      <c r="H1768" s="2383">
        <v>0</v>
      </c>
      <c r="I1768" s="2383">
        <v>0</v>
      </c>
      <c r="J1768" s="2413">
        <v>0</v>
      </c>
      <c r="K1768" s="2387"/>
      <c r="L1768" s="2381">
        <v>13169030104</v>
      </c>
      <c r="M1768" s="2382">
        <v>0</v>
      </c>
      <c r="N1768" s="2382">
        <v>0</v>
      </c>
      <c r="O1768" s="2383">
        <v>0</v>
      </c>
    </row>
    <row r="1769" spans="3:15">
      <c r="C1769" s="2388" t="s">
        <v>6267</v>
      </c>
      <c r="D1769" s="2385">
        <v>0</v>
      </c>
      <c r="E1769" s="2385">
        <v>0</v>
      </c>
      <c r="F1769" s="2386">
        <v>0</v>
      </c>
      <c r="G1769" s="2412" t="s">
        <v>6267</v>
      </c>
      <c r="H1769" s="2383">
        <v>0</v>
      </c>
      <c r="I1769" s="2383">
        <v>0</v>
      </c>
      <c r="J1769" s="2413">
        <v>0</v>
      </c>
      <c r="K1769" s="2387"/>
      <c r="L1769" s="2381">
        <v>13169030200</v>
      </c>
      <c r="M1769" s="2382">
        <v>0</v>
      </c>
      <c r="N1769" s="2382">
        <v>0</v>
      </c>
      <c r="O1769" s="2383">
        <v>0</v>
      </c>
    </row>
    <row r="1770" spans="3:15">
      <c r="C1770" s="2388" t="s">
        <v>6268</v>
      </c>
      <c r="D1770" s="2385">
        <v>1</v>
      </c>
      <c r="E1770" s="2385">
        <v>1</v>
      </c>
      <c r="F1770" s="2386">
        <v>2</v>
      </c>
      <c r="G1770" s="2412" t="s">
        <v>6268</v>
      </c>
      <c r="H1770" s="2383">
        <v>1</v>
      </c>
      <c r="I1770" s="2383">
        <v>1</v>
      </c>
      <c r="J1770" s="2413">
        <v>2</v>
      </c>
      <c r="K1770" s="2387"/>
      <c r="L1770" s="2381">
        <v>13169030301</v>
      </c>
      <c r="M1770" s="2382">
        <v>1</v>
      </c>
      <c r="N1770" s="2382">
        <v>1</v>
      </c>
      <c r="O1770" s="2383">
        <v>2</v>
      </c>
    </row>
    <row r="1771" spans="3:15">
      <c r="C1771" s="2388" t="s">
        <v>6269</v>
      </c>
      <c r="D1771" s="2385">
        <v>0</v>
      </c>
      <c r="E1771" s="2385">
        <v>1</v>
      </c>
      <c r="F1771" s="2386">
        <v>1</v>
      </c>
      <c r="G1771" s="2412" t="s">
        <v>6269</v>
      </c>
      <c r="H1771" s="2383">
        <v>0</v>
      </c>
      <c r="I1771" s="2383">
        <v>0</v>
      </c>
      <c r="J1771" s="2413">
        <v>0</v>
      </c>
      <c r="K1771" s="2387"/>
      <c r="L1771" s="2381">
        <v>13169030302</v>
      </c>
      <c r="M1771" s="2382">
        <v>0</v>
      </c>
      <c r="N1771" s="2382">
        <v>1</v>
      </c>
      <c r="O1771" s="2383">
        <v>1</v>
      </c>
    </row>
    <row r="1772" spans="3:15">
      <c r="C1772" s="2388" t="s">
        <v>6270</v>
      </c>
      <c r="D1772" s="2385">
        <v>0</v>
      </c>
      <c r="E1772" s="2385">
        <v>0</v>
      </c>
      <c r="F1772" s="2386">
        <v>0</v>
      </c>
      <c r="G1772" s="2412" t="s">
        <v>6270</v>
      </c>
      <c r="H1772" s="2383">
        <v>0</v>
      </c>
      <c r="I1772" s="2383">
        <v>0</v>
      </c>
      <c r="J1772" s="2413">
        <v>0</v>
      </c>
      <c r="K1772" s="2387"/>
      <c r="L1772" s="2381">
        <v>13171970100</v>
      </c>
      <c r="M1772" s="2382">
        <v>0</v>
      </c>
      <c r="N1772" s="2382">
        <v>0</v>
      </c>
      <c r="O1772" s="2383">
        <v>0</v>
      </c>
    </row>
    <row r="1773" spans="3:15">
      <c r="C1773" s="2388" t="s">
        <v>6271</v>
      </c>
      <c r="D1773" s="2385">
        <v>0</v>
      </c>
      <c r="E1773" s="2385">
        <v>0</v>
      </c>
      <c r="F1773" s="2386">
        <v>0</v>
      </c>
      <c r="G1773" s="2412" t="s">
        <v>6271</v>
      </c>
      <c r="H1773" s="2383">
        <v>0</v>
      </c>
      <c r="I1773" s="2383">
        <v>0</v>
      </c>
      <c r="J1773" s="2413">
        <v>0</v>
      </c>
      <c r="K1773" s="2387"/>
      <c r="L1773" s="2381">
        <v>13171970200</v>
      </c>
      <c r="M1773" s="2382">
        <v>0</v>
      </c>
      <c r="N1773" s="2382">
        <v>0</v>
      </c>
      <c r="O1773" s="2383">
        <v>0</v>
      </c>
    </row>
    <row r="1774" spans="3:15">
      <c r="C1774" s="2388" t="s">
        <v>6272</v>
      </c>
      <c r="D1774" s="2385">
        <v>0</v>
      </c>
      <c r="E1774" s="2385">
        <v>0</v>
      </c>
      <c r="F1774" s="2386">
        <v>0</v>
      </c>
      <c r="G1774" s="2412" t="s">
        <v>6272</v>
      </c>
      <c r="H1774" s="2383">
        <v>0</v>
      </c>
      <c r="I1774" s="2383">
        <v>0</v>
      </c>
      <c r="J1774" s="2413">
        <v>0</v>
      </c>
      <c r="K1774" s="2387"/>
      <c r="L1774" s="2381">
        <v>13171970300</v>
      </c>
      <c r="M1774" s="2382">
        <v>0</v>
      </c>
      <c r="N1774" s="2382">
        <v>0</v>
      </c>
      <c r="O1774" s="2383">
        <v>0</v>
      </c>
    </row>
    <row r="1775" spans="3:15">
      <c r="C1775" s="2388" t="s">
        <v>6273</v>
      </c>
      <c r="D1775" s="2385">
        <v>0</v>
      </c>
      <c r="E1775" s="2385">
        <v>0</v>
      </c>
      <c r="F1775" s="2386">
        <v>0</v>
      </c>
      <c r="G1775" s="2412" t="s">
        <v>6273</v>
      </c>
      <c r="H1775" s="2383">
        <v>0</v>
      </c>
      <c r="I1775" s="2383">
        <v>0</v>
      </c>
      <c r="J1775" s="2413">
        <v>0</v>
      </c>
      <c r="K1775" s="2387"/>
      <c r="L1775" s="2381">
        <v>13173950100</v>
      </c>
      <c r="M1775" s="2382">
        <v>0</v>
      </c>
      <c r="N1775" s="2382">
        <v>0</v>
      </c>
      <c r="O1775" s="2383">
        <v>0</v>
      </c>
    </row>
    <row r="1776" spans="3:15">
      <c r="C1776" s="2388" t="s">
        <v>6274</v>
      </c>
      <c r="D1776" s="2385">
        <v>0</v>
      </c>
      <c r="E1776" s="2385">
        <v>0</v>
      </c>
      <c r="F1776" s="2386">
        <v>0</v>
      </c>
      <c r="G1776" s="2412" t="s">
        <v>6274</v>
      </c>
      <c r="H1776" s="2383">
        <v>0</v>
      </c>
      <c r="I1776" s="2383">
        <v>0</v>
      </c>
      <c r="J1776" s="2413">
        <v>0</v>
      </c>
      <c r="K1776" s="2387"/>
      <c r="L1776" s="2381">
        <v>13173950200</v>
      </c>
      <c r="M1776" s="2382">
        <v>0</v>
      </c>
      <c r="N1776" s="2382">
        <v>0</v>
      </c>
      <c r="O1776" s="2383">
        <v>0</v>
      </c>
    </row>
    <row r="1777" spans="3:15">
      <c r="C1777" s="2388" t="s">
        <v>6275</v>
      </c>
      <c r="D1777" s="2385">
        <v>0</v>
      </c>
      <c r="E1777" s="2385">
        <v>0</v>
      </c>
      <c r="F1777" s="2386">
        <v>0</v>
      </c>
      <c r="G1777" s="2412" t="s">
        <v>6275</v>
      </c>
      <c r="H1777" s="2383">
        <v>0</v>
      </c>
      <c r="I1777" s="2383">
        <v>0</v>
      </c>
      <c r="J1777" s="2413">
        <v>0</v>
      </c>
      <c r="K1777" s="2387"/>
      <c r="L1777" s="2381">
        <v>13175950100</v>
      </c>
      <c r="M1777" s="2382">
        <v>0</v>
      </c>
      <c r="N1777" s="2382">
        <v>0</v>
      </c>
      <c r="O1777" s="2383">
        <v>0</v>
      </c>
    </row>
    <row r="1778" spans="3:15">
      <c r="C1778" s="2388" t="s">
        <v>6276</v>
      </c>
      <c r="D1778" s="2385">
        <v>0</v>
      </c>
      <c r="E1778" s="2385">
        <v>1</v>
      </c>
      <c r="F1778" s="2386">
        <v>1</v>
      </c>
      <c r="G1778" s="2412" t="s">
        <v>6276</v>
      </c>
      <c r="H1778" s="2383">
        <v>1</v>
      </c>
      <c r="I1778" s="2383">
        <v>1</v>
      </c>
      <c r="J1778" s="2413">
        <v>2</v>
      </c>
      <c r="K1778" s="2387"/>
      <c r="L1778" s="2381">
        <v>13175950201</v>
      </c>
      <c r="M1778" s="2382">
        <v>1</v>
      </c>
      <c r="N1778" s="2382">
        <v>1</v>
      </c>
      <c r="O1778" s="2383">
        <v>2</v>
      </c>
    </row>
    <row r="1779" spans="3:15">
      <c r="C1779" s="2388" t="s">
        <v>6277</v>
      </c>
      <c r="D1779" s="2385">
        <v>1</v>
      </c>
      <c r="E1779" s="2385">
        <v>1</v>
      </c>
      <c r="F1779" s="2386">
        <v>2</v>
      </c>
      <c r="G1779" s="2412" t="s">
        <v>6277</v>
      </c>
      <c r="H1779" s="2383">
        <v>1</v>
      </c>
      <c r="I1779" s="2383">
        <v>1</v>
      </c>
      <c r="J1779" s="2413">
        <v>2</v>
      </c>
      <c r="K1779" s="2387"/>
      <c r="L1779" s="2381">
        <v>13175950202</v>
      </c>
      <c r="M1779" s="2382">
        <v>1</v>
      </c>
      <c r="N1779" s="2382">
        <v>1</v>
      </c>
      <c r="O1779" s="2383">
        <v>2</v>
      </c>
    </row>
    <row r="1780" spans="3:15">
      <c r="C1780" s="2388" t="s">
        <v>6278</v>
      </c>
      <c r="D1780" s="2385">
        <v>0</v>
      </c>
      <c r="E1780" s="2385">
        <v>0</v>
      </c>
      <c r="F1780" s="2386">
        <v>0</v>
      </c>
      <c r="G1780" s="2412" t="s">
        <v>6278</v>
      </c>
      <c r="H1780" s="2383">
        <v>0</v>
      </c>
      <c r="I1780" s="2383">
        <v>0</v>
      </c>
      <c r="J1780" s="2413">
        <v>0</v>
      </c>
      <c r="K1780" s="2387"/>
      <c r="L1780" s="2381">
        <v>13175950300</v>
      </c>
      <c r="M1780" s="2382">
        <v>0</v>
      </c>
      <c r="N1780" s="2382">
        <v>0</v>
      </c>
      <c r="O1780" s="2383">
        <v>0</v>
      </c>
    </row>
    <row r="1781" spans="3:15">
      <c r="C1781" s="2388" t="s">
        <v>6279</v>
      </c>
      <c r="D1781" s="2385">
        <v>0</v>
      </c>
      <c r="E1781" s="2385">
        <v>0</v>
      </c>
      <c r="F1781" s="2386">
        <v>0</v>
      </c>
      <c r="G1781" s="2412" t="s">
        <v>6279</v>
      </c>
      <c r="H1781" s="2383">
        <v>0</v>
      </c>
      <c r="I1781" s="2383">
        <v>0</v>
      </c>
      <c r="J1781" s="2413">
        <v>0</v>
      </c>
      <c r="K1781" s="2387"/>
      <c r="L1781" s="2381">
        <v>13175950400</v>
      </c>
      <c r="M1781" s="2382">
        <v>0</v>
      </c>
      <c r="N1781" s="2382">
        <v>0</v>
      </c>
      <c r="O1781" s="2383">
        <v>0</v>
      </c>
    </row>
    <row r="1782" spans="3:15">
      <c r="C1782" s="2388" t="s">
        <v>6280</v>
      </c>
      <c r="D1782" s="2385">
        <v>0</v>
      </c>
      <c r="E1782" s="2385">
        <v>0</v>
      </c>
      <c r="F1782" s="2386">
        <v>0</v>
      </c>
      <c r="G1782" s="2412" t="s">
        <v>6280</v>
      </c>
      <c r="H1782" s="2383">
        <v>0</v>
      </c>
      <c r="I1782" s="2383">
        <v>0</v>
      </c>
      <c r="J1782" s="2413">
        <v>0</v>
      </c>
      <c r="K1782" s="2387"/>
      <c r="L1782" s="2381">
        <v>13175950500</v>
      </c>
      <c r="M1782" s="2382">
        <v>0</v>
      </c>
      <c r="N1782" s="2382">
        <v>0</v>
      </c>
      <c r="O1782" s="2383">
        <v>0</v>
      </c>
    </row>
    <row r="1783" spans="3:15">
      <c r="C1783" s="2388" t="s">
        <v>6281</v>
      </c>
      <c r="D1783" s="2385">
        <v>1</v>
      </c>
      <c r="E1783" s="2385">
        <v>0</v>
      </c>
      <c r="F1783" s="2386">
        <v>1</v>
      </c>
      <c r="G1783" s="2412" t="s">
        <v>6281</v>
      </c>
      <c r="H1783" s="2383">
        <v>0</v>
      </c>
      <c r="I1783" s="2383">
        <v>1</v>
      </c>
      <c r="J1783" s="2413">
        <v>1</v>
      </c>
      <c r="K1783" s="2387"/>
      <c r="L1783" s="2381">
        <v>13175950600</v>
      </c>
      <c r="M1783" s="2382">
        <v>1</v>
      </c>
      <c r="N1783" s="2382">
        <v>1</v>
      </c>
      <c r="O1783" s="2383">
        <v>1</v>
      </c>
    </row>
    <row r="1784" spans="3:15">
      <c r="C1784" s="2388" t="s">
        <v>6282</v>
      </c>
      <c r="D1784" s="2385">
        <v>0</v>
      </c>
      <c r="E1784" s="2385">
        <v>0</v>
      </c>
      <c r="F1784" s="2386">
        <v>0</v>
      </c>
      <c r="G1784" s="2412" t="s">
        <v>6282</v>
      </c>
      <c r="H1784" s="2383">
        <v>0</v>
      </c>
      <c r="I1784" s="2383">
        <v>1</v>
      </c>
      <c r="J1784" s="2413">
        <v>1</v>
      </c>
      <c r="K1784" s="2387"/>
      <c r="L1784" s="2381">
        <v>13175950700</v>
      </c>
      <c r="M1784" s="2382">
        <v>0</v>
      </c>
      <c r="N1784" s="2382">
        <v>1</v>
      </c>
      <c r="O1784" s="2383">
        <v>1</v>
      </c>
    </row>
    <row r="1785" spans="3:15">
      <c r="C1785" s="2388" t="s">
        <v>6283</v>
      </c>
      <c r="D1785" s="2385">
        <v>0</v>
      </c>
      <c r="E1785" s="2385">
        <v>0</v>
      </c>
      <c r="F1785" s="2386">
        <v>0</v>
      </c>
      <c r="G1785" s="2412" t="s">
        <v>6283</v>
      </c>
      <c r="H1785" s="2383">
        <v>0</v>
      </c>
      <c r="I1785" s="2383">
        <v>0</v>
      </c>
      <c r="J1785" s="2413">
        <v>0</v>
      </c>
      <c r="K1785" s="2387"/>
      <c r="L1785" s="2381">
        <v>13175950800</v>
      </c>
      <c r="M1785" s="2382">
        <v>0</v>
      </c>
      <c r="N1785" s="2382">
        <v>0</v>
      </c>
      <c r="O1785" s="2383">
        <v>0</v>
      </c>
    </row>
    <row r="1786" spans="3:15">
      <c r="C1786" s="2388" t="s">
        <v>6284</v>
      </c>
      <c r="D1786" s="2385">
        <v>0</v>
      </c>
      <c r="E1786" s="2385">
        <v>0</v>
      </c>
      <c r="F1786" s="2386">
        <v>0</v>
      </c>
      <c r="G1786" s="2412" t="s">
        <v>6284</v>
      </c>
      <c r="H1786" s="2383">
        <v>0</v>
      </c>
      <c r="I1786" s="2383">
        <v>0</v>
      </c>
      <c r="J1786" s="2413">
        <v>0</v>
      </c>
      <c r="K1786" s="2387"/>
      <c r="L1786" s="2381">
        <v>13175950900</v>
      </c>
      <c r="M1786" s="2382">
        <v>0</v>
      </c>
      <c r="N1786" s="2382">
        <v>0</v>
      </c>
      <c r="O1786" s="2383">
        <v>0</v>
      </c>
    </row>
    <row r="1787" spans="3:15">
      <c r="C1787" s="2388" t="s">
        <v>6285</v>
      </c>
      <c r="D1787" s="2385">
        <v>0</v>
      </c>
      <c r="E1787" s="2385">
        <v>0</v>
      </c>
      <c r="F1787" s="2386">
        <v>0</v>
      </c>
      <c r="G1787" s="2412" t="s">
        <v>6285</v>
      </c>
      <c r="H1787" s="2383">
        <v>0</v>
      </c>
      <c r="I1787" s="2383">
        <v>0</v>
      </c>
      <c r="J1787" s="2413">
        <v>0</v>
      </c>
      <c r="K1787" s="2387"/>
      <c r="L1787" s="2381">
        <v>13175951000</v>
      </c>
      <c r="M1787" s="2382">
        <v>0</v>
      </c>
      <c r="N1787" s="2382">
        <v>0</v>
      </c>
      <c r="O1787" s="2383">
        <v>0</v>
      </c>
    </row>
    <row r="1788" spans="3:15">
      <c r="C1788" s="2388" t="s">
        <v>6286</v>
      </c>
      <c r="D1788" s="2385">
        <v>0</v>
      </c>
      <c r="E1788" s="2385">
        <v>0</v>
      </c>
      <c r="F1788" s="2386">
        <v>0</v>
      </c>
      <c r="G1788" s="2412" t="s">
        <v>6286</v>
      </c>
      <c r="H1788" s="2383">
        <v>0</v>
      </c>
      <c r="I1788" s="2383">
        <v>0</v>
      </c>
      <c r="J1788" s="2413">
        <v>0</v>
      </c>
      <c r="K1788" s="2387"/>
      <c r="L1788" s="2381">
        <v>13175951100</v>
      </c>
      <c r="M1788" s="2382">
        <v>0</v>
      </c>
      <c r="N1788" s="2382">
        <v>0</v>
      </c>
      <c r="O1788" s="2383">
        <v>0</v>
      </c>
    </row>
    <row r="1789" spans="3:15">
      <c r="C1789" s="2388" t="s">
        <v>6287</v>
      </c>
      <c r="D1789" s="2385">
        <v>0</v>
      </c>
      <c r="E1789" s="2385">
        <v>0</v>
      </c>
      <c r="F1789" s="2386">
        <v>0</v>
      </c>
      <c r="G1789" s="2412" t="s">
        <v>6287</v>
      </c>
      <c r="H1789" s="2383">
        <v>0</v>
      </c>
      <c r="I1789" s="2383" t="s">
        <v>4493</v>
      </c>
      <c r="J1789" s="2413">
        <v>0</v>
      </c>
      <c r="K1789" s="2387"/>
      <c r="L1789" s="2381">
        <v>13175951400</v>
      </c>
      <c r="M1789" s="2382">
        <v>0</v>
      </c>
      <c r="N1789" s="2382">
        <v>0</v>
      </c>
      <c r="O1789" s="2383">
        <v>0</v>
      </c>
    </row>
    <row r="1790" spans="3:15">
      <c r="C1790" s="2388" t="s">
        <v>6288</v>
      </c>
      <c r="D1790" s="2385">
        <v>1</v>
      </c>
      <c r="E1790" s="2385">
        <v>1</v>
      </c>
      <c r="F1790" s="2386">
        <v>2</v>
      </c>
      <c r="G1790" s="2412" t="s">
        <v>6288</v>
      </c>
      <c r="H1790" s="2383">
        <v>0</v>
      </c>
      <c r="I1790" s="2383">
        <v>1</v>
      </c>
      <c r="J1790" s="2413">
        <v>1</v>
      </c>
      <c r="K1790" s="2387"/>
      <c r="L1790" s="2381">
        <v>13177020100</v>
      </c>
      <c r="M1790" s="2382">
        <v>1</v>
      </c>
      <c r="N1790" s="2382">
        <v>1</v>
      </c>
      <c r="O1790" s="2383">
        <v>2</v>
      </c>
    </row>
    <row r="1791" spans="3:15">
      <c r="C1791" s="2388" t="s">
        <v>6289</v>
      </c>
      <c r="D1791" s="2385">
        <v>0</v>
      </c>
      <c r="E1791" s="2385">
        <v>0</v>
      </c>
      <c r="F1791" s="2386">
        <v>0</v>
      </c>
      <c r="G1791" s="2412" t="s">
        <v>6289</v>
      </c>
      <c r="H1791" s="2383">
        <v>0</v>
      </c>
      <c r="I1791" s="2383" t="s">
        <v>4493</v>
      </c>
      <c r="J1791" s="2413">
        <v>0</v>
      </c>
      <c r="K1791" s="2387"/>
      <c r="L1791" s="2381">
        <v>13177020200</v>
      </c>
      <c r="M1791" s="2382">
        <v>0</v>
      </c>
      <c r="N1791" s="2382">
        <v>0</v>
      </c>
      <c r="O1791" s="2383">
        <v>0</v>
      </c>
    </row>
    <row r="1792" spans="3:15">
      <c r="C1792" s="2388" t="s">
        <v>6290</v>
      </c>
      <c r="D1792" s="2385">
        <v>0</v>
      </c>
      <c r="E1792" s="2385">
        <v>1</v>
      </c>
      <c r="F1792" s="2386">
        <v>1</v>
      </c>
      <c r="G1792" s="2412" t="s">
        <v>6290</v>
      </c>
      <c r="H1792" s="2383">
        <v>0</v>
      </c>
      <c r="I1792" s="2383">
        <v>0</v>
      </c>
      <c r="J1792" s="2413">
        <v>0</v>
      </c>
      <c r="K1792" s="2387"/>
      <c r="L1792" s="2381">
        <v>13177020300</v>
      </c>
      <c r="M1792" s="2382">
        <v>0</v>
      </c>
      <c r="N1792" s="2382">
        <v>1</v>
      </c>
      <c r="O1792" s="2383">
        <v>1</v>
      </c>
    </row>
    <row r="1793" spans="3:15">
      <c r="C1793" s="2388" t="s">
        <v>6291</v>
      </c>
      <c r="D1793" s="2385">
        <v>1</v>
      </c>
      <c r="E1793" s="2385">
        <v>1</v>
      </c>
      <c r="F1793" s="2386">
        <v>2</v>
      </c>
      <c r="G1793" s="2412" t="s">
        <v>6291</v>
      </c>
      <c r="H1793" s="2383">
        <v>1</v>
      </c>
      <c r="I1793" s="2383">
        <v>0</v>
      </c>
      <c r="J1793" s="2413">
        <v>1</v>
      </c>
      <c r="K1793" s="2387"/>
      <c r="L1793" s="2381">
        <v>13177020402</v>
      </c>
      <c r="M1793" s="2382">
        <v>1</v>
      </c>
      <c r="N1793" s="2382">
        <v>1</v>
      </c>
      <c r="O1793" s="2383">
        <v>2</v>
      </c>
    </row>
    <row r="1794" spans="3:15">
      <c r="C1794" s="2388" t="s">
        <v>6292</v>
      </c>
      <c r="D1794" s="2385">
        <v>1</v>
      </c>
      <c r="E1794" s="2385">
        <v>1</v>
      </c>
      <c r="F1794" s="2386">
        <v>2</v>
      </c>
      <c r="G1794" s="2412" t="s">
        <v>6292</v>
      </c>
      <c r="H1794" s="2383">
        <v>1</v>
      </c>
      <c r="I1794" s="2383">
        <v>1</v>
      </c>
      <c r="J1794" s="2413">
        <v>2</v>
      </c>
      <c r="K1794" s="2387"/>
      <c r="L1794" s="2381">
        <v>13177020403</v>
      </c>
      <c r="M1794" s="2382">
        <v>1</v>
      </c>
      <c r="N1794" s="2382">
        <v>1</v>
      </c>
      <c r="O1794" s="2383">
        <v>2</v>
      </c>
    </row>
    <row r="1795" spans="3:15">
      <c r="C1795" s="2388" t="s">
        <v>6293</v>
      </c>
      <c r="D1795" s="2385">
        <v>0</v>
      </c>
      <c r="E1795" s="2385">
        <v>1</v>
      </c>
      <c r="F1795" s="2386">
        <v>1</v>
      </c>
      <c r="G1795" s="2412" t="s">
        <v>6293</v>
      </c>
      <c r="H1795" s="2383">
        <v>0</v>
      </c>
      <c r="I1795" s="2383" t="s">
        <v>4493</v>
      </c>
      <c r="J1795" s="2413">
        <v>0</v>
      </c>
      <c r="K1795" s="2387"/>
      <c r="L1795" s="2381">
        <v>13179010101</v>
      </c>
      <c r="M1795" s="2382">
        <v>0</v>
      </c>
      <c r="N1795" s="2382">
        <v>1</v>
      </c>
      <c r="O1795" s="2383">
        <v>1</v>
      </c>
    </row>
    <row r="1796" spans="3:15">
      <c r="C1796" s="2388" t="s">
        <v>6294</v>
      </c>
      <c r="D1796" s="2385">
        <v>1</v>
      </c>
      <c r="E1796" s="2385">
        <v>1</v>
      </c>
      <c r="F1796" s="2386">
        <v>2</v>
      </c>
      <c r="G1796" s="2412" t="s">
        <v>6294</v>
      </c>
      <c r="H1796" s="2383">
        <v>1</v>
      </c>
      <c r="I1796" s="2383" t="s">
        <v>4493</v>
      </c>
      <c r="J1796" s="2413">
        <v>1</v>
      </c>
      <c r="K1796" s="2387"/>
      <c r="L1796" s="2381">
        <v>13179010102</v>
      </c>
      <c r="M1796" s="2382">
        <v>1</v>
      </c>
      <c r="N1796" s="2382">
        <v>1</v>
      </c>
      <c r="O1796" s="2383">
        <v>2</v>
      </c>
    </row>
    <row r="1797" spans="3:15">
      <c r="C1797" s="2388" t="s">
        <v>6295</v>
      </c>
      <c r="D1797" s="2385">
        <v>0</v>
      </c>
      <c r="E1797" s="2385">
        <v>1</v>
      </c>
      <c r="F1797" s="2386">
        <v>1</v>
      </c>
      <c r="G1797" s="2412" t="s">
        <v>6295</v>
      </c>
      <c r="H1797" s="2383">
        <v>0</v>
      </c>
      <c r="I1797" s="2383" t="s">
        <v>4493</v>
      </c>
      <c r="J1797" s="2413">
        <v>0</v>
      </c>
      <c r="K1797" s="2387"/>
      <c r="L1797" s="2381">
        <v>13179010103</v>
      </c>
      <c r="M1797" s="2382">
        <v>0</v>
      </c>
      <c r="N1797" s="2382">
        <v>1</v>
      </c>
      <c r="O1797" s="2383">
        <v>1</v>
      </c>
    </row>
    <row r="1798" spans="3:15">
      <c r="C1798" s="2388" t="s">
        <v>6296</v>
      </c>
      <c r="D1798" s="2385">
        <v>0</v>
      </c>
      <c r="E1798" s="2385">
        <v>1</v>
      </c>
      <c r="F1798" s="2386">
        <v>1</v>
      </c>
      <c r="G1798" s="2412" t="s">
        <v>6296</v>
      </c>
      <c r="H1798" s="2383">
        <v>0</v>
      </c>
      <c r="I1798" s="2383">
        <v>1</v>
      </c>
      <c r="J1798" s="2413">
        <v>1</v>
      </c>
      <c r="K1798" s="2387"/>
      <c r="L1798" s="2381">
        <v>13179010202</v>
      </c>
      <c r="M1798" s="2382">
        <v>0</v>
      </c>
      <c r="N1798" s="2382">
        <v>1</v>
      </c>
      <c r="O1798" s="2383">
        <v>1</v>
      </c>
    </row>
    <row r="1799" spans="3:15">
      <c r="C1799" s="2388" t="s">
        <v>6297</v>
      </c>
      <c r="D1799" s="2385">
        <v>0</v>
      </c>
      <c r="E1799" s="2385">
        <v>0</v>
      </c>
      <c r="F1799" s="2386">
        <v>0</v>
      </c>
      <c r="G1799" s="2412" t="s">
        <v>6297</v>
      </c>
      <c r="H1799" s="2383">
        <v>0</v>
      </c>
      <c r="I1799" s="2383">
        <v>0</v>
      </c>
      <c r="J1799" s="2413">
        <v>0</v>
      </c>
      <c r="K1799" s="2387"/>
      <c r="L1799" s="2381">
        <v>13179010204</v>
      </c>
      <c r="M1799" s="2382">
        <v>0</v>
      </c>
      <c r="N1799" s="2382">
        <v>0</v>
      </c>
      <c r="O1799" s="2383">
        <v>0</v>
      </c>
    </row>
    <row r="1800" spans="3:15">
      <c r="C1800" s="2388" t="s">
        <v>6298</v>
      </c>
      <c r="D1800" s="2385">
        <v>0</v>
      </c>
      <c r="E1800" s="2385">
        <v>1</v>
      </c>
      <c r="F1800" s="2386">
        <v>1</v>
      </c>
      <c r="G1800" s="2412" t="s">
        <v>6298</v>
      </c>
      <c r="H1800" s="2383">
        <v>0</v>
      </c>
      <c r="I1800" s="2383">
        <v>0</v>
      </c>
      <c r="J1800" s="2413">
        <v>0</v>
      </c>
      <c r="K1800" s="2387"/>
      <c r="L1800" s="2381">
        <v>13179010205</v>
      </c>
      <c r="M1800" s="2382">
        <v>0</v>
      </c>
      <c r="N1800" s="2382">
        <v>1</v>
      </c>
      <c r="O1800" s="2383">
        <v>1</v>
      </c>
    </row>
    <row r="1801" spans="3:15">
      <c r="C1801" s="2388" t="s">
        <v>6299</v>
      </c>
      <c r="D1801" s="2385">
        <v>0</v>
      </c>
      <c r="E1801" s="2385">
        <v>1</v>
      </c>
      <c r="F1801" s="2386">
        <v>1</v>
      </c>
      <c r="G1801" s="2412" t="s">
        <v>6299</v>
      </c>
      <c r="H1801" s="2383">
        <v>0</v>
      </c>
      <c r="I1801" s="2383">
        <v>1</v>
      </c>
      <c r="J1801" s="2413">
        <v>1</v>
      </c>
      <c r="K1801" s="2387"/>
      <c r="L1801" s="2381">
        <v>13179010206</v>
      </c>
      <c r="M1801" s="2382">
        <v>0</v>
      </c>
      <c r="N1801" s="2382">
        <v>1</v>
      </c>
      <c r="O1801" s="2383">
        <v>1</v>
      </c>
    </row>
    <row r="1802" spans="3:15">
      <c r="C1802" s="2388" t="s">
        <v>6300</v>
      </c>
      <c r="D1802" s="2385">
        <v>0</v>
      </c>
      <c r="E1802" s="2385">
        <v>0</v>
      </c>
      <c r="F1802" s="2386">
        <v>0</v>
      </c>
      <c r="G1802" s="2412" t="s">
        <v>6300</v>
      </c>
      <c r="H1802" s="2383">
        <v>0</v>
      </c>
      <c r="I1802" s="2383">
        <v>0</v>
      </c>
      <c r="J1802" s="2413">
        <v>0</v>
      </c>
      <c r="K1802" s="2387"/>
      <c r="L1802" s="2381">
        <v>13179010207</v>
      </c>
      <c r="M1802" s="2382">
        <v>0</v>
      </c>
      <c r="N1802" s="2382">
        <v>0</v>
      </c>
      <c r="O1802" s="2383">
        <v>0</v>
      </c>
    </row>
    <row r="1803" spans="3:15">
      <c r="C1803" s="2388" t="s">
        <v>6301</v>
      </c>
      <c r="D1803" s="2385">
        <v>0</v>
      </c>
      <c r="E1803" s="2385">
        <v>1</v>
      </c>
      <c r="F1803" s="2386">
        <v>1</v>
      </c>
      <c r="G1803" s="2412" t="s">
        <v>6301</v>
      </c>
      <c r="H1803" s="2383">
        <v>0</v>
      </c>
      <c r="I1803" s="2383" t="s">
        <v>4493</v>
      </c>
      <c r="J1803" s="2413">
        <v>0</v>
      </c>
      <c r="K1803" s="2387"/>
      <c r="L1803" s="2381">
        <v>13179010208</v>
      </c>
      <c r="M1803" s="2382">
        <v>0</v>
      </c>
      <c r="N1803" s="2382">
        <v>1</v>
      </c>
      <c r="O1803" s="2383">
        <v>1</v>
      </c>
    </row>
    <row r="1804" spans="3:15">
      <c r="C1804" s="2388" t="s">
        <v>6302</v>
      </c>
      <c r="D1804" s="2385">
        <v>0</v>
      </c>
      <c r="E1804" s="2385">
        <v>1</v>
      </c>
      <c r="F1804" s="2386">
        <v>1</v>
      </c>
      <c r="G1804" s="2412" t="s">
        <v>6302</v>
      </c>
      <c r="H1804" s="2383">
        <v>0</v>
      </c>
      <c r="I1804" s="2383">
        <v>1</v>
      </c>
      <c r="J1804" s="2413">
        <v>1</v>
      </c>
      <c r="K1804" s="2387"/>
      <c r="L1804" s="2381">
        <v>13179010300</v>
      </c>
      <c r="M1804" s="2382">
        <v>0</v>
      </c>
      <c r="N1804" s="2382">
        <v>1</v>
      </c>
      <c r="O1804" s="2383">
        <v>1</v>
      </c>
    </row>
    <row r="1805" spans="3:15">
      <c r="C1805" s="2388" t="s">
        <v>6303</v>
      </c>
      <c r="D1805" s="2385">
        <v>0</v>
      </c>
      <c r="E1805" s="2385">
        <v>0</v>
      </c>
      <c r="F1805" s="2386">
        <v>0</v>
      </c>
      <c r="G1805" s="2412" t="s">
        <v>6303</v>
      </c>
      <c r="H1805" s="2383">
        <v>0</v>
      </c>
      <c r="I1805" s="2383">
        <v>0</v>
      </c>
      <c r="J1805" s="2413">
        <v>0</v>
      </c>
      <c r="K1805" s="2387"/>
      <c r="L1805" s="2381">
        <v>13179010400</v>
      </c>
      <c r="M1805" s="2382">
        <v>0</v>
      </c>
      <c r="N1805" s="2382">
        <v>0</v>
      </c>
      <c r="O1805" s="2383">
        <v>0</v>
      </c>
    </row>
    <row r="1806" spans="3:15">
      <c r="C1806" s="2388" t="s">
        <v>6304</v>
      </c>
      <c r="D1806" s="2385">
        <v>1</v>
      </c>
      <c r="E1806" s="2385">
        <v>1</v>
      </c>
      <c r="F1806" s="2386">
        <v>2</v>
      </c>
      <c r="G1806" s="2412" t="s">
        <v>6304</v>
      </c>
      <c r="H1806" s="2383">
        <v>0</v>
      </c>
      <c r="I1806" s="2383">
        <v>0</v>
      </c>
      <c r="J1806" s="2413">
        <v>0</v>
      </c>
      <c r="K1806" s="2387"/>
      <c r="L1806" s="2381">
        <v>13179010501</v>
      </c>
      <c r="M1806" s="2382">
        <v>1</v>
      </c>
      <c r="N1806" s="2382">
        <v>1</v>
      </c>
      <c r="O1806" s="2383">
        <v>2</v>
      </c>
    </row>
    <row r="1807" spans="3:15">
      <c r="C1807" s="2388" t="s">
        <v>6305</v>
      </c>
      <c r="D1807" s="2385">
        <v>0</v>
      </c>
      <c r="E1807" s="2385">
        <v>0</v>
      </c>
      <c r="F1807" s="2386">
        <v>0</v>
      </c>
      <c r="G1807" s="2412" t="s">
        <v>6305</v>
      </c>
      <c r="H1807" s="2383">
        <v>0</v>
      </c>
      <c r="I1807" s="2383">
        <v>0</v>
      </c>
      <c r="J1807" s="2413">
        <v>0</v>
      </c>
      <c r="K1807" s="2387"/>
      <c r="L1807" s="2381">
        <v>13179010502</v>
      </c>
      <c r="M1807" s="2382">
        <v>0</v>
      </c>
      <c r="N1807" s="2382">
        <v>0</v>
      </c>
      <c r="O1807" s="2383">
        <v>0</v>
      </c>
    </row>
    <row r="1808" spans="3:15">
      <c r="C1808" s="2388" t="s">
        <v>6306</v>
      </c>
      <c r="D1808" s="2385">
        <v>0</v>
      </c>
      <c r="E1808" s="2385">
        <v>0</v>
      </c>
      <c r="F1808" s="2386">
        <v>0</v>
      </c>
      <c r="G1808" s="2412" t="s">
        <v>6306</v>
      </c>
      <c r="H1808" s="2383">
        <v>0</v>
      </c>
      <c r="I1808" s="2383">
        <v>0</v>
      </c>
      <c r="J1808" s="2413">
        <v>0</v>
      </c>
      <c r="K1808" s="2387"/>
      <c r="L1808" s="2381">
        <v>13179010600</v>
      </c>
      <c r="M1808" s="2382">
        <v>0</v>
      </c>
      <c r="N1808" s="2382">
        <v>0</v>
      </c>
      <c r="O1808" s="2383">
        <v>0</v>
      </c>
    </row>
    <row r="1809" spans="3:15">
      <c r="C1809" s="2388" t="s">
        <v>6307</v>
      </c>
      <c r="D1809" s="2385" t="s">
        <v>4493</v>
      </c>
      <c r="E1809" s="2385" t="s">
        <v>4493</v>
      </c>
      <c r="F1809" s="2386">
        <v>0</v>
      </c>
      <c r="G1809" s="2412" t="s">
        <v>6307</v>
      </c>
      <c r="H1809" s="2383" t="s">
        <v>4493</v>
      </c>
      <c r="I1809" s="2383" t="s">
        <v>4493</v>
      </c>
      <c r="J1809" s="2413">
        <v>0</v>
      </c>
      <c r="K1809" s="2387"/>
      <c r="L1809" s="2381">
        <v>13179990000</v>
      </c>
      <c r="M1809" s="2382">
        <v>0</v>
      </c>
      <c r="N1809" s="2382">
        <v>0</v>
      </c>
      <c r="O1809" s="2383">
        <v>0</v>
      </c>
    </row>
    <row r="1810" spans="3:15">
      <c r="C1810" s="2388" t="s">
        <v>6308</v>
      </c>
      <c r="D1810" s="2385">
        <v>0</v>
      </c>
      <c r="E1810" s="2385">
        <v>0</v>
      </c>
      <c r="F1810" s="2386">
        <v>0</v>
      </c>
      <c r="G1810" s="2412" t="s">
        <v>6308</v>
      </c>
      <c r="H1810" s="2383">
        <v>0</v>
      </c>
      <c r="I1810" s="2383">
        <v>1</v>
      </c>
      <c r="J1810" s="2413">
        <v>1</v>
      </c>
      <c r="K1810" s="2387"/>
      <c r="L1810" s="2381">
        <v>13181970100</v>
      </c>
      <c r="M1810" s="2382">
        <v>0</v>
      </c>
      <c r="N1810" s="2382">
        <v>1</v>
      </c>
      <c r="O1810" s="2383">
        <v>1</v>
      </c>
    </row>
    <row r="1811" spans="3:15">
      <c r="C1811" s="2388" t="s">
        <v>6309</v>
      </c>
      <c r="D1811" s="2385">
        <v>0</v>
      </c>
      <c r="E1811" s="2385">
        <v>0</v>
      </c>
      <c r="F1811" s="2386">
        <v>0</v>
      </c>
      <c r="G1811" s="2412" t="s">
        <v>6309</v>
      </c>
      <c r="H1811" s="2383">
        <v>0</v>
      </c>
      <c r="I1811" s="2383">
        <v>0</v>
      </c>
      <c r="J1811" s="2413">
        <v>0</v>
      </c>
      <c r="K1811" s="2387"/>
      <c r="L1811" s="2381">
        <v>13181970200</v>
      </c>
      <c r="M1811" s="2382">
        <v>0</v>
      </c>
      <c r="N1811" s="2382">
        <v>0</v>
      </c>
      <c r="O1811" s="2383">
        <v>0</v>
      </c>
    </row>
    <row r="1812" spans="3:15">
      <c r="C1812" s="2388" t="s">
        <v>6310</v>
      </c>
      <c r="D1812" s="2385">
        <v>0</v>
      </c>
      <c r="E1812" s="2385">
        <v>0</v>
      </c>
      <c r="F1812" s="2386">
        <v>0</v>
      </c>
      <c r="G1812" s="2412" t="s">
        <v>6310</v>
      </c>
      <c r="H1812" s="2383">
        <v>0</v>
      </c>
      <c r="I1812" s="2383">
        <v>0</v>
      </c>
      <c r="J1812" s="2413">
        <v>0</v>
      </c>
      <c r="K1812" s="2387"/>
      <c r="L1812" s="2381">
        <v>13183970100</v>
      </c>
      <c r="M1812" s="2382">
        <v>0</v>
      </c>
      <c r="N1812" s="2382">
        <v>0</v>
      </c>
      <c r="O1812" s="2383">
        <v>0</v>
      </c>
    </row>
    <row r="1813" spans="3:15">
      <c r="C1813" s="2388" t="s">
        <v>6311</v>
      </c>
      <c r="D1813" s="2385">
        <v>0</v>
      </c>
      <c r="E1813" s="2385">
        <v>0</v>
      </c>
      <c r="F1813" s="2386">
        <v>0</v>
      </c>
      <c r="G1813" s="2412" t="s">
        <v>6311</v>
      </c>
      <c r="H1813" s="2383">
        <v>0</v>
      </c>
      <c r="I1813" s="2383">
        <v>1</v>
      </c>
      <c r="J1813" s="2413">
        <v>1</v>
      </c>
      <c r="K1813" s="2387"/>
      <c r="L1813" s="2381">
        <v>13183970200</v>
      </c>
      <c r="M1813" s="2382">
        <v>0</v>
      </c>
      <c r="N1813" s="2382">
        <v>1</v>
      </c>
      <c r="O1813" s="2383">
        <v>1</v>
      </c>
    </row>
    <row r="1814" spans="3:15">
      <c r="C1814" s="2388" t="s">
        <v>6312</v>
      </c>
      <c r="D1814" s="2385" t="s">
        <v>4493</v>
      </c>
      <c r="E1814" s="2385" t="s">
        <v>4493</v>
      </c>
      <c r="F1814" s="2386">
        <v>0</v>
      </c>
      <c r="G1814" s="2412" t="s">
        <v>6312</v>
      </c>
      <c r="H1814" s="2383" t="s">
        <v>4493</v>
      </c>
      <c r="I1814" s="2383" t="s">
        <v>4493</v>
      </c>
      <c r="J1814" s="2413">
        <v>0</v>
      </c>
      <c r="K1814" s="2387"/>
      <c r="L1814" s="2381">
        <v>13183980000</v>
      </c>
      <c r="M1814" s="2382">
        <v>0</v>
      </c>
      <c r="N1814" s="2382">
        <v>0</v>
      </c>
      <c r="O1814" s="2383">
        <v>0</v>
      </c>
    </row>
    <row r="1815" spans="3:15">
      <c r="C1815" s="2388" t="s">
        <v>6313</v>
      </c>
      <c r="D1815" s="2385">
        <v>0</v>
      </c>
      <c r="E1815" s="2385">
        <v>1</v>
      </c>
      <c r="F1815" s="2386">
        <v>1</v>
      </c>
      <c r="G1815" s="2412" t="s">
        <v>6313</v>
      </c>
      <c r="H1815" s="2383">
        <v>0</v>
      </c>
      <c r="I1815" s="2383">
        <v>0</v>
      </c>
      <c r="J1815" s="2413">
        <v>0</v>
      </c>
      <c r="K1815" s="2387"/>
      <c r="L1815" s="2381">
        <v>13185010101</v>
      </c>
      <c r="M1815" s="2382">
        <v>0</v>
      </c>
      <c r="N1815" s="2382">
        <v>1</v>
      </c>
      <c r="O1815" s="2383">
        <v>1</v>
      </c>
    </row>
    <row r="1816" spans="3:15">
      <c r="C1816" s="2388" t="s">
        <v>6314</v>
      </c>
      <c r="D1816" s="2385">
        <v>0</v>
      </c>
      <c r="E1816" s="2385">
        <v>1</v>
      </c>
      <c r="F1816" s="2386">
        <v>1</v>
      </c>
      <c r="G1816" s="2412" t="s">
        <v>6314</v>
      </c>
      <c r="H1816" s="2383">
        <v>0</v>
      </c>
      <c r="I1816" s="2383">
        <v>1</v>
      </c>
      <c r="J1816" s="2413">
        <v>1</v>
      </c>
      <c r="K1816" s="2387"/>
      <c r="L1816" s="2381">
        <v>13185010102</v>
      </c>
      <c r="M1816" s="2382">
        <v>0</v>
      </c>
      <c r="N1816" s="2382">
        <v>1</v>
      </c>
      <c r="O1816" s="2383">
        <v>1</v>
      </c>
    </row>
    <row r="1817" spans="3:15">
      <c r="C1817" s="2388" t="s">
        <v>6315</v>
      </c>
      <c r="D1817" s="2385">
        <v>1</v>
      </c>
      <c r="E1817" s="2385">
        <v>1</v>
      </c>
      <c r="F1817" s="2386">
        <v>2</v>
      </c>
      <c r="G1817" s="2412" t="s">
        <v>6315</v>
      </c>
      <c r="H1817" s="2383">
        <v>1</v>
      </c>
      <c r="I1817" s="2383">
        <v>1</v>
      </c>
      <c r="J1817" s="2413">
        <v>2</v>
      </c>
      <c r="K1817" s="2387"/>
      <c r="L1817" s="2381">
        <v>13185010103</v>
      </c>
      <c r="M1817" s="2382">
        <v>1</v>
      </c>
      <c r="N1817" s="2382">
        <v>1</v>
      </c>
      <c r="O1817" s="2383">
        <v>2</v>
      </c>
    </row>
    <row r="1818" spans="3:15">
      <c r="C1818" s="2388" t="s">
        <v>6316</v>
      </c>
      <c r="D1818" s="2385">
        <v>0</v>
      </c>
      <c r="E1818" s="2385">
        <v>1</v>
      </c>
      <c r="F1818" s="2386">
        <v>1</v>
      </c>
      <c r="G1818" s="2412" t="s">
        <v>6316</v>
      </c>
      <c r="H1818" s="2383">
        <v>0</v>
      </c>
      <c r="I1818" s="2383">
        <v>1</v>
      </c>
      <c r="J1818" s="2413">
        <v>1</v>
      </c>
      <c r="K1818" s="2387"/>
      <c r="L1818" s="2381">
        <v>13185010201</v>
      </c>
      <c r="M1818" s="2382">
        <v>0</v>
      </c>
      <c r="N1818" s="2382">
        <v>1</v>
      </c>
      <c r="O1818" s="2383">
        <v>1</v>
      </c>
    </row>
    <row r="1819" spans="3:15">
      <c r="C1819" s="2388" t="s">
        <v>6317</v>
      </c>
      <c r="D1819" s="2385">
        <v>1</v>
      </c>
      <c r="E1819" s="2385">
        <v>1</v>
      </c>
      <c r="F1819" s="2386">
        <v>2</v>
      </c>
      <c r="G1819" s="2412" t="s">
        <v>6317</v>
      </c>
      <c r="H1819" s="2383">
        <v>1</v>
      </c>
      <c r="I1819" s="2383">
        <v>1</v>
      </c>
      <c r="J1819" s="2413">
        <v>2</v>
      </c>
      <c r="K1819" s="2387"/>
      <c r="L1819" s="2381">
        <v>13185010202</v>
      </c>
      <c r="M1819" s="2382">
        <v>1</v>
      </c>
      <c r="N1819" s="2382">
        <v>1</v>
      </c>
      <c r="O1819" s="2383">
        <v>2</v>
      </c>
    </row>
    <row r="1820" spans="3:15">
      <c r="C1820" s="2388" t="s">
        <v>6318</v>
      </c>
      <c r="D1820" s="2385">
        <v>1</v>
      </c>
      <c r="E1820" s="2385">
        <v>1</v>
      </c>
      <c r="F1820" s="2386">
        <v>2</v>
      </c>
      <c r="G1820" s="2412" t="s">
        <v>6318</v>
      </c>
      <c r="H1820" s="2383">
        <v>1</v>
      </c>
      <c r="I1820" s="2383">
        <v>1</v>
      </c>
      <c r="J1820" s="2413">
        <v>2</v>
      </c>
      <c r="K1820" s="2387"/>
      <c r="L1820" s="2381">
        <v>13185010301</v>
      </c>
      <c r="M1820" s="2382">
        <v>1</v>
      </c>
      <c r="N1820" s="2382">
        <v>1</v>
      </c>
      <c r="O1820" s="2383">
        <v>2</v>
      </c>
    </row>
    <row r="1821" spans="3:15">
      <c r="C1821" s="2388" t="s">
        <v>6319</v>
      </c>
      <c r="D1821" s="2385">
        <v>1</v>
      </c>
      <c r="E1821" s="2385">
        <v>1</v>
      </c>
      <c r="F1821" s="2386">
        <v>2</v>
      </c>
      <c r="G1821" s="2412" t="s">
        <v>6319</v>
      </c>
      <c r="H1821" s="2383">
        <v>1</v>
      </c>
      <c r="I1821" s="2383">
        <v>1</v>
      </c>
      <c r="J1821" s="2413">
        <v>2</v>
      </c>
      <c r="K1821" s="2387"/>
      <c r="L1821" s="2381">
        <v>13185010302</v>
      </c>
      <c r="M1821" s="2382">
        <v>1</v>
      </c>
      <c r="N1821" s="2382">
        <v>1</v>
      </c>
      <c r="O1821" s="2383">
        <v>2</v>
      </c>
    </row>
    <row r="1822" spans="3:15">
      <c r="C1822" s="2388" t="s">
        <v>6320</v>
      </c>
      <c r="D1822" s="2385">
        <v>1</v>
      </c>
      <c r="E1822" s="2385">
        <v>1</v>
      </c>
      <c r="F1822" s="2386">
        <v>2</v>
      </c>
      <c r="G1822" s="2412" t="s">
        <v>6320</v>
      </c>
      <c r="H1822" s="2383">
        <v>1</v>
      </c>
      <c r="I1822" s="2383">
        <v>1</v>
      </c>
      <c r="J1822" s="2413">
        <v>2</v>
      </c>
      <c r="K1822" s="2387"/>
      <c r="L1822" s="2381">
        <v>13185010401</v>
      </c>
      <c r="M1822" s="2382">
        <v>1</v>
      </c>
      <c r="N1822" s="2382">
        <v>1</v>
      </c>
      <c r="O1822" s="2383">
        <v>2</v>
      </c>
    </row>
    <row r="1823" spans="3:15">
      <c r="C1823" s="2388" t="s">
        <v>6321</v>
      </c>
      <c r="D1823" s="2385">
        <v>0</v>
      </c>
      <c r="E1823" s="2385">
        <v>0</v>
      </c>
      <c r="F1823" s="2386">
        <v>0</v>
      </c>
      <c r="G1823" s="2412" t="s">
        <v>6321</v>
      </c>
      <c r="H1823" s="2383">
        <v>0</v>
      </c>
      <c r="I1823" s="2383">
        <v>0</v>
      </c>
      <c r="J1823" s="2413">
        <v>0</v>
      </c>
      <c r="K1823" s="2387"/>
      <c r="L1823" s="2381">
        <v>13185010402</v>
      </c>
      <c r="M1823" s="2382">
        <v>0</v>
      </c>
      <c r="N1823" s="2382">
        <v>0</v>
      </c>
      <c r="O1823" s="2383">
        <v>0</v>
      </c>
    </row>
    <row r="1824" spans="3:15">
      <c r="C1824" s="2388" t="s">
        <v>6322</v>
      </c>
      <c r="D1824" s="2385">
        <v>0</v>
      </c>
      <c r="E1824" s="2385">
        <v>0</v>
      </c>
      <c r="F1824" s="2386">
        <v>0</v>
      </c>
      <c r="G1824" s="2412" t="s">
        <v>6322</v>
      </c>
      <c r="H1824" s="2383">
        <v>0</v>
      </c>
      <c r="I1824" s="2383">
        <v>0</v>
      </c>
      <c r="J1824" s="2413">
        <v>0</v>
      </c>
      <c r="K1824" s="2387"/>
      <c r="L1824" s="2381">
        <v>13185010500</v>
      </c>
      <c r="M1824" s="2382">
        <v>0</v>
      </c>
      <c r="N1824" s="2382">
        <v>0</v>
      </c>
      <c r="O1824" s="2383">
        <v>0</v>
      </c>
    </row>
    <row r="1825" spans="3:15">
      <c r="C1825" s="2388" t="s">
        <v>6323</v>
      </c>
      <c r="D1825" s="2385">
        <v>0</v>
      </c>
      <c r="E1825" s="2385">
        <v>0</v>
      </c>
      <c r="F1825" s="2386">
        <v>0</v>
      </c>
      <c r="G1825" s="2412" t="s">
        <v>6323</v>
      </c>
      <c r="H1825" s="2383">
        <v>0</v>
      </c>
      <c r="I1825" s="2383">
        <v>1</v>
      </c>
      <c r="J1825" s="2413">
        <v>1</v>
      </c>
      <c r="K1825" s="2387"/>
      <c r="L1825" s="2381">
        <v>13185010601</v>
      </c>
      <c r="M1825" s="2382">
        <v>0</v>
      </c>
      <c r="N1825" s="2382">
        <v>1</v>
      </c>
      <c r="O1825" s="2383">
        <v>1</v>
      </c>
    </row>
    <row r="1826" spans="3:15">
      <c r="C1826" s="2388" t="s">
        <v>6324</v>
      </c>
      <c r="D1826" s="2385">
        <v>1</v>
      </c>
      <c r="E1826" s="2385">
        <v>1</v>
      </c>
      <c r="F1826" s="2386">
        <v>2</v>
      </c>
      <c r="G1826" s="2412" t="s">
        <v>6324</v>
      </c>
      <c r="H1826" s="2383">
        <v>1</v>
      </c>
      <c r="I1826" s="2383">
        <v>1</v>
      </c>
      <c r="J1826" s="2413">
        <v>2</v>
      </c>
      <c r="K1826" s="2387"/>
      <c r="L1826" s="2381">
        <v>13185010604</v>
      </c>
      <c r="M1826" s="2382">
        <v>1</v>
      </c>
      <c r="N1826" s="2382">
        <v>1</v>
      </c>
      <c r="O1826" s="2383">
        <v>2</v>
      </c>
    </row>
    <row r="1827" spans="3:15">
      <c r="C1827" s="2388" t="s">
        <v>6325</v>
      </c>
      <c r="D1827" s="2385">
        <v>0</v>
      </c>
      <c r="E1827" s="2385">
        <v>0</v>
      </c>
      <c r="F1827" s="2386">
        <v>0</v>
      </c>
      <c r="G1827" s="2412" t="s">
        <v>6325</v>
      </c>
      <c r="H1827" s="2383">
        <v>0</v>
      </c>
      <c r="I1827" s="2383">
        <v>0</v>
      </c>
      <c r="J1827" s="2413">
        <v>0</v>
      </c>
      <c r="K1827" s="2387"/>
      <c r="L1827" s="2381">
        <v>13185010700</v>
      </c>
      <c r="M1827" s="2382">
        <v>0</v>
      </c>
      <c r="N1827" s="2382">
        <v>0</v>
      </c>
      <c r="O1827" s="2383">
        <v>0</v>
      </c>
    </row>
    <row r="1828" spans="3:15">
      <c r="C1828" s="2388" t="s">
        <v>6326</v>
      </c>
      <c r="D1828" s="2385">
        <v>0</v>
      </c>
      <c r="E1828" s="2385">
        <v>0</v>
      </c>
      <c r="F1828" s="2386">
        <v>0</v>
      </c>
      <c r="G1828" s="2412" t="s">
        <v>6326</v>
      </c>
      <c r="H1828" s="2383">
        <v>0</v>
      </c>
      <c r="I1828" s="2383">
        <v>0</v>
      </c>
      <c r="J1828" s="2413">
        <v>0</v>
      </c>
      <c r="K1828" s="2387"/>
      <c r="L1828" s="2381">
        <v>13185010800</v>
      </c>
      <c r="M1828" s="2382">
        <v>0</v>
      </c>
      <c r="N1828" s="2382">
        <v>0</v>
      </c>
      <c r="O1828" s="2383">
        <v>0</v>
      </c>
    </row>
    <row r="1829" spans="3:15">
      <c r="C1829" s="2388" t="s">
        <v>6327</v>
      </c>
      <c r="D1829" s="2385">
        <v>0</v>
      </c>
      <c r="E1829" s="2385">
        <v>0</v>
      </c>
      <c r="F1829" s="2386">
        <v>0</v>
      </c>
      <c r="G1829" s="2412" t="s">
        <v>6327</v>
      </c>
      <c r="H1829" s="2383">
        <v>0</v>
      </c>
      <c r="I1829" s="2383">
        <v>0</v>
      </c>
      <c r="J1829" s="2413">
        <v>0</v>
      </c>
      <c r="K1829" s="2387"/>
      <c r="L1829" s="2381">
        <v>13185010900</v>
      </c>
      <c r="M1829" s="2382">
        <v>0</v>
      </c>
      <c r="N1829" s="2382">
        <v>0</v>
      </c>
      <c r="O1829" s="2383">
        <v>0</v>
      </c>
    </row>
    <row r="1830" spans="3:15">
      <c r="C1830" s="2388" t="s">
        <v>6328</v>
      </c>
      <c r="D1830" s="2385">
        <v>0</v>
      </c>
      <c r="E1830" s="2385">
        <v>0</v>
      </c>
      <c r="F1830" s="2386">
        <v>0</v>
      </c>
      <c r="G1830" s="2412" t="s">
        <v>6328</v>
      </c>
      <c r="H1830" s="2383">
        <v>0</v>
      </c>
      <c r="I1830" s="2383">
        <v>0</v>
      </c>
      <c r="J1830" s="2413">
        <v>0</v>
      </c>
      <c r="K1830" s="2387"/>
      <c r="L1830" s="2381">
        <v>13185011000</v>
      </c>
      <c r="M1830" s="2382">
        <v>0</v>
      </c>
      <c r="N1830" s="2382">
        <v>0</v>
      </c>
      <c r="O1830" s="2383">
        <v>0</v>
      </c>
    </row>
    <row r="1831" spans="3:15">
      <c r="C1831" s="2388" t="s">
        <v>6329</v>
      </c>
      <c r="D1831" s="2385">
        <v>0</v>
      </c>
      <c r="E1831" s="2385">
        <v>0</v>
      </c>
      <c r="F1831" s="2386">
        <v>0</v>
      </c>
      <c r="G1831" s="2412" t="s">
        <v>6329</v>
      </c>
      <c r="H1831" s="2383">
        <v>0</v>
      </c>
      <c r="I1831" s="2383">
        <v>1</v>
      </c>
      <c r="J1831" s="2413">
        <v>1</v>
      </c>
      <c r="K1831" s="2387"/>
      <c r="L1831" s="2381">
        <v>13185011100</v>
      </c>
      <c r="M1831" s="2382">
        <v>0</v>
      </c>
      <c r="N1831" s="2382">
        <v>1</v>
      </c>
      <c r="O1831" s="2383">
        <v>1</v>
      </c>
    </row>
    <row r="1832" spans="3:15">
      <c r="C1832" s="2388" t="s">
        <v>6330</v>
      </c>
      <c r="D1832" s="2385">
        <v>0</v>
      </c>
      <c r="E1832" s="2385">
        <v>0</v>
      </c>
      <c r="F1832" s="2386">
        <v>0</v>
      </c>
      <c r="G1832" s="2412" t="s">
        <v>6330</v>
      </c>
      <c r="H1832" s="2383">
        <v>0</v>
      </c>
      <c r="I1832" s="2383">
        <v>0</v>
      </c>
      <c r="J1832" s="2413">
        <v>0</v>
      </c>
      <c r="K1832" s="2387"/>
      <c r="L1832" s="2381">
        <v>13185011200</v>
      </c>
      <c r="M1832" s="2382">
        <v>0</v>
      </c>
      <c r="N1832" s="2382">
        <v>0</v>
      </c>
      <c r="O1832" s="2383">
        <v>0</v>
      </c>
    </row>
    <row r="1833" spans="3:15">
      <c r="C1833" s="2388" t="s">
        <v>6331</v>
      </c>
      <c r="D1833" s="2385">
        <v>0</v>
      </c>
      <c r="E1833" s="2385">
        <v>0</v>
      </c>
      <c r="F1833" s="2386">
        <v>0</v>
      </c>
      <c r="G1833" s="2412" t="s">
        <v>6331</v>
      </c>
      <c r="H1833" s="2383">
        <v>0</v>
      </c>
      <c r="I1833" s="2383">
        <v>0</v>
      </c>
      <c r="J1833" s="2413">
        <v>0</v>
      </c>
      <c r="K1833" s="2387"/>
      <c r="L1833" s="2381">
        <v>13185011301</v>
      </c>
      <c r="M1833" s="2382">
        <v>0</v>
      </c>
      <c r="N1833" s="2382">
        <v>0</v>
      </c>
      <c r="O1833" s="2383">
        <v>0</v>
      </c>
    </row>
    <row r="1834" spans="3:15">
      <c r="C1834" s="2388" t="s">
        <v>6332</v>
      </c>
      <c r="D1834" s="2385">
        <v>0</v>
      </c>
      <c r="E1834" s="2385">
        <v>0</v>
      </c>
      <c r="F1834" s="2386">
        <v>0</v>
      </c>
      <c r="G1834" s="2412" t="s">
        <v>6332</v>
      </c>
      <c r="H1834" s="2383">
        <v>0</v>
      </c>
      <c r="I1834" s="2383">
        <v>0</v>
      </c>
      <c r="J1834" s="2413">
        <v>0</v>
      </c>
      <c r="K1834" s="2387"/>
      <c r="L1834" s="2381">
        <v>13185011302</v>
      </c>
      <c r="M1834" s="2382">
        <v>0</v>
      </c>
      <c r="N1834" s="2382">
        <v>0</v>
      </c>
      <c r="O1834" s="2383">
        <v>0</v>
      </c>
    </row>
    <row r="1835" spans="3:15">
      <c r="C1835" s="2388" t="s">
        <v>6333</v>
      </c>
      <c r="D1835" s="2385">
        <v>0</v>
      </c>
      <c r="E1835" s="2385">
        <v>0</v>
      </c>
      <c r="F1835" s="2386">
        <v>0</v>
      </c>
      <c r="G1835" s="2412" t="s">
        <v>6333</v>
      </c>
      <c r="H1835" s="2383">
        <v>0</v>
      </c>
      <c r="I1835" s="2383">
        <v>1</v>
      </c>
      <c r="J1835" s="2413">
        <v>1</v>
      </c>
      <c r="K1835" s="2387"/>
      <c r="L1835" s="2381">
        <v>13185011401</v>
      </c>
      <c r="M1835" s="2382">
        <v>0</v>
      </c>
      <c r="N1835" s="2382">
        <v>1</v>
      </c>
      <c r="O1835" s="2383">
        <v>1</v>
      </c>
    </row>
    <row r="1836" spans="3:15">
      <c r="C1836" s="2388" t="s">
        <v>6334</v>
      </c>
      <c r="D1836" s="2385">
        <v>0</v>
      </c>
      <c r="E1836" s="2385">
        <v>0</v>
      </c>
      <c r="F1836" s="2386">
        <v>0</v>
      </c>
      <c r="G1836" s="2412" t="s">
        <v>6334</v>
      </c>
      <c r="H1836" s="2383">
        <v>0</v>
      </c>
      <c r="I1836" s="2383">
        <v>0</v>
      </c>
      <c r="J1836" s="2413">
        <v>0</v>
      </c>
      <c r="K1836" s="2387"/>
      <c r="L1836" s="2381">
        <v>13185011402</v>
      </c>
      <c r="M1836" s="2382">
        <v>0</v>
      </c>
      <c r="N1836" s="2382">
        <v>0</v>
      </c>
      <c r="O1836" s="2383">
        <v>0</v>
      </c>
    </row>
    <row r="1837" spans="3:15">
      <c r="C1837" s="2388" t="s">
        <v>6335</v>
      </c>
      <c r="D1837" s="2385">
        <v>0</v>
      </c>
      <c r="E1837" s="2385">
        <v>0</v>
      </c>
      <c r="F1837" s="2386">
        <v>0</v>
      </c>
      <c r="G1837" s="2412" t="s">
        <v>6335</v>
      </c>
      <c r="H1837" s="2383">
        <v>0</v>
      </c>
      <c r="I1837" s="2383">
        <v>0</v>
      </c>
      <c r="J1837" s="2413">
        <v>0</v>
      </c>
      <c r="K1837" s="2387"/>
      <c r="L1837" s="2381">
        <v>13185011403</v>
      </c>
      <c r="M1837" s="2382">
        <v>0</v>
      </c>
      <c r="N1837" s="2382">
        <v>0</v>
      </c>
      <c r="O1837" s="2383">
        <v>0</v>
      </c>
    </row>
    <row r="1838" spans="3:15">
      <c r="C1838" s="2388" t="s">
        <v>6336</v>
      </c>
      <c r="D1838" s="2385">
        <v>0</v>
      </c>
      <c r="E1838" s="2385">
        <v>0</v>
      </c>
      <c r="F1838" s="2386">
        <v>0</v>
      </c>
      <c r="G1838" s="2412" t="s">
        <v>6336</v>
      </c>
      <c r="H1838" s="2383">
        <v>0</v>
      </c>
      <c r="I1838" s="2383">
        <v>0</v>
      </c>
      <c r="J1838" s="2413">
        <v>0</v>
      </c>
      <c r="K1838" s="2387"/>
      <c r="L1838" s="2381">
        <v>13185011500</v>
      </c>
      <c r="M1838" s="2382">
        <v>0</v>
      </c>
      <c r="N1838" s="2382">
        <v>0</v>
      </c>
      <c r="O1838" s="2383">
        <v>0</v>
      </c>
    </row>
    <row r="1839" spans="3:15">
      <c r="C1839" s="2388" t="s">
        <v>6337</v>
      </c>
      <c r="D1839" s="2385">
        <v>0</v>
      </c>
      <c r="E1839" s="2385">
        <v>1</v>
      </c>
      <c r="F1839" s="2386">
        <v>1</v>
      </c>
      <c r="G1839" s="2412" t="s">
        <v>6337</v>
      </c>
      <c r="H1839" s="2383">
        <v>0</v>
      </c>
      <c r="I1839" s="2383">
        <v>0</v>
      </c>
      <c r="J1839" s="2413">
        <v>0</v>
      </c>
      <c r="K1839" s="2387"/>
      <c r="L1839" s="2381">
        <v>13185011600</v>
      </c>
      <c r="M1839" s="2382">
        <v>0</v>
      </c>
      <c r="N1839" s="2382">
        <v>1</v>
      </c>
      <c r="O1839" s="2383">
        <v>1</v>
      </c>
    </row>
    <row r="1840" spans="3:15">
      <c r="C1840" s="2388" t="s">
        <v>6338</v>
      </c>
      <c r="D1840" s="2385">
        <v>0</v>
      </c>
      <c r="E1840" s="2385">
        <v>0</v>
      </c>
      <c r="F1840" s="2386">
        <v>0</v>
      </c>
      <c r="G1840" s="2412" t="s">
        <v>6338</v>
      </c>
      <c r="H1840" s="2383">
        <v>1</v>
      </c>
      <c r="I1840" s="2383">
        <v>0</v>
      </c>
      <c r="J1840" s="2413">
        <v>1</v>
      </c>
      <c r="K1840" s="2387"/>
      <c r="L1840" s="2381">
        <v>13187960101</v>
      </c>
      <c r="M1840" s="2382">
        <v>1</v>
      </c>
      <c r="N1840" s="2382">
        <v>0</v>
      </c>
      <c r="O1840" s="2383">
        <v>1</v>
      </c>
    </row>
    <row r="1841" spans="3:15">
      <c r="C1841" s="2388" t="s">
        <v>6339</v>
      </c>
      <c r="D1841" s="2385">
        <v>1</v>
      </c>
      <c r="E1841" s="2385">
        <v>1</v>
      </c>
      <c r="F1841" s="2386">
        <v>2</v>
      </c>
      <c r="G1841" s="2412" t="s">
        <v>6339</v>
      </c>
      <c r="H1841" s="2383">
        <v>1</v>
      </c>
      <c r="I1841" s="2383">
        <v>1</v>
      </c>
      <c r="J1841" s="2413">
        <v>2</v>
      </c>
      <c r="K1841" s="2387"/>
      <c r="L1841" s="2381">
        <v>13187960102</v>
      </c>
      <c r="M1841" s="2382">
        <v>1</v>
      </c>
      <c r="N1841" s="2382">
        <v>1</v>
      </c>
      <c r="O1841" s="2383">
        <v>2</v>
      </c>
    </row>
    <row r="1842" spans="3:15">
      <c r="C1842" s="2388" t="s">
        <v>6340</v>
      </c>
      <c r="D1842" s="2385">
        <v>0</v>
      </c>
      <c r="E1842" s="2385">
        <v>1</v>
      </c>
      <c r="F1842" s="2386">
        <v>1</v>
      </c>
      <c r="G1842" s="2412" t="s">
        <v>6340</v>
      </c>
      <c r="H1842" s="2383">
        <v>0</v>
      </c>
      <c r="I1842" s="2383">
        <v>1</v>
      </c>
      <c r="J1842" s="2413">
        <v>1</v>
      </c>
      <c r="K1842" s="2387"/>
      <c r="L1842" s="2381">
        <v>13187960201</v>
      </c>
      <c r="M1842" s="2382">
        <v>0</v>
      </c>
      <c r="N1842" s="2382">
        <v>1</v>
      </c>
      <c r="O1842" s="2383">
        <v>1</v>
      </c>
    </row>
    <row r="1843" spans="3:15">
      <c r="C1843" s="2388" t="s">
        <v>6341</v>
      </c>
      <c r="D1843" s="2385">
        <v>0</v>
      </c>
      <c r="E1843" s="2385">
        <v>0</v>
      </c>
      <c r="F1843" s="2386">
        <v>0</v>
      </c>
      <c r="G1843" s="2412" t="s">
        <v>6341</v>
      </c>
      <c r="H1843" s="2383">
        <v>0</v>
      </c>
      <c r="I1843" s="2383">
        <v>0</v>
      </c>
      <c r="J1843" s="2413">
        <v>0</v>
      </c>
      <c r="K1843" s="2387"/>
      <c r="L1843" s="2381">
        <v>13187960202</v>
      </c>
      <c r="M1843" s="2382">
        <v>0</v>
      </c>
      <c r="N1843" s="2382">
        <v>0</v>
      </c>
      <c r="O1843" s="2383">
        <v>0</v>
      </c>
    </row>
    <row r="1844" spans="3:15">
      <c r="C1844" s="2388" t="s">
        <v>6342</v>
      </c>
      <c r="D1844" s="2385">
        <v>1</v>
      </c>
      <c r="E1844" s="2385">
        <v>1</v>
      </c>
      <c r="F1844" s="2386">
        <v>2</v>
      </c>
      <c r="G1844" s="2412" t="s">
        <v>6342</v>
      </c>
      <c r="H1844" s="2383">
        <v>1</v>
      </c>
      <c r="I1844" s="2383">
        <v>0</v>
      </c>
      <c r="J1844" s="2413">
        <v>1</v>
      </c>
      <c r="K1844" s="2387"/>
      <c r="L1844" s="2381">
        <v>13189950100</v>
      </c>
      <c r="M1844" s="2382">
        <v>1</v>
      </c>
      <c r="N1844" s="2382">
        <v>1</v>
      </c>
      <c r="O1844" s="2383">
        <v>2</v>
      </c>
    </row>
    <row r="1845" spans="3:15">
      <c r="C1845" s="2388" t="s">
        <v>6343</v>
      </c>
      <c r="D1845" s="2385">
        <v>0</v>
      </c>
      <c r="E1845" s="2385">
        <v>0</v>
      </c>
      <c r="F1845" s="2386">
        <v>0</v>
      </c>
      <c r="G1845" s="2412" t="s">
        <v>6343</v>
      </c>
      <c r="H1845" s="2383">
        <v>0</v>
      </c>
      <c r="I1845" s="2383">
        <v>0</v>
      </c>
      <c r="J1845" s="2413">
        <v>0</v>
      </c>
      <c r="K1845" s="2387"/>
      <c r="L1845" s="2381">
        <v>13189950200</v>
      </c>
      <c r="M1845" s="2382">
        <v>0</v>
      </c>
      <c r="N1845" s="2382">
        <v>0</v>
      </c>
      <c r="O1845" s="2383">
        <v>0</v>
      </c>
    </row>
    <row r="1846" spans="3:15">
      <c r="C1846" s="2388" t="s">
        <v>6344</v>
      </c>
      <c r="D1846" s="2385">
        <v>0</v>
      </c>
      <c r="E1846" s="2385">
        <v>0</v>
      </c>
      <c r="F1846" s="2386">
        <v>0</v>
      </c>
      <c r="G1846" s="2412" t="s">
        <v>6344</v>
      </c>
      <c r="H1846" s="2383">
        <v>0</v>
      </c>
      <c r="I1846" s="2383">
        <v>0</v>
      </c>
      <c r="J1846" s="2413">
        <v>0</v>
      </c>
      <c r="K1846" s="2387"/>
      <c r="L1846" s="2381">
        <v>13189950300</v>
      </c>
      <c r="M1846" s="2382">
        <v>0</v>
      </c>
      <c r="N1846" s="2382">
        <v>0</v>
      </c>
      <c r="O1846" s="2383">
        <v>0</v>
      </c>
    </row>
    <row r="1847" spans="3:15">
      <c r="C1847" s="2388" t="s">
        <v>6345</v>
      </c>
      <c r="D1847" s="2385">
        <v>0</v>
      </c>
      <c r="E1847" s="2385">
        <v>0</v>
      </c>
      <c r="F1847" s="2386">
        <v>0</v>
      </c>
      <c r="G1847" s="2412" t="s">
        <v>6345</v>
      </c>
      <c r="H1847" s="2383">
        <v>0</v>
      </c>
      <c r="I1847" s="2383">
        <v>0</v>
      </c>
      <c r="J1847" s="2413">
        <v>0</v>
      </c>
      <c r="K1847" s="2387"/>
      <c r="L1847" s="2381">
        <v>13189950400</v>
      </c>
      <c r="M1847" s="2382">
        <v>0</v>
      </c>
      <c r="N1847" s="2382">
        <v>0</v>
      </c>
      <c r="O1847" s="2383">
        <v>0</v>
      </c>
    </row>
    <row r="1848" spans="3:15">
      <c r="C1848" s="2388" t="s">
        <v>6346</v>
      </c>
      <c r="D1848" s="2385">
        <v>0</v>
      </c>
      <c r="E1848" s="2385">
        <v>0</v>
      </c>
      <c r="F1848" s="2386">
        <v>0</v>
      </c>
      <c r="G1848" s="2412" t="s">
        <v>6346</v>
      </c>
      <c r="H1848" s="2383">
        <v>0</v>
      </c>
      <c r="I1848" s="2383">
        <v>0</v>
      </c>
      <c r="J1848" s="2413">
        <v>0</v>
      </c>
      <c r="K1848" s="2387"/>
      <c r="L1848" s="2381">
        <v>13189950500</v>
      </c>
      <c r="M1848" s="2382">
        <v>0</v>
      </c>
      <c r="N1848" s="2382">
        <v>0</v>
      </c>
      <c r="O1848" s="2383">
        <v>0</v>
      </c>
    </row>
    <row r="1849" spans="3:15">
      <c r="C1849" s="2388" t="s">
        <v>6347</v>
      </c>
      <c r="D1849" s="2385">
        <v>0</v>
      </c>
      <c r="E1849" s="2385">
        <v>0</v>
      </c>
      <c r="F1849" s="2386">
        <v>0</v>
      </c>
      <c r="G1849" s="2412" t="s">
        <v>6347</v>
      </c>
      <c r="H1849" s="2383">
        <v>0</v>
      </c>
      <c r="I1849" s="2383">
        <v>1</v>
      </c>
      <c r="J1849" s="2413">
        <v>1</v>
      </c>
      <c r="K1849" s="2387"/>
      <c r="L1849" s="2381">
        <v>13191110100</v>
      </c>
      <c r="M1849" s="2382">
        <v>0</v>
      </c>
      <c r="N1849" s="2382">
        <v>1</v>
      </c>
      <c r="O1849" s="2383">
        <v>1</v>
      </c>
    </row>
    <row r="1850" spans="3:15">
      <c r="C1850" s="2388" t="s">
        <v>6348</v>
      </c>
      <c r="D1850" s="2385">
        <v>0</v>
      </c>
      <c r="E1850" s="2385">
        <v>0</v>
      </c>
      <c r="F1850" s="2386">
        <v>0</v>
      </c>
      <c r="G1850" s="2412" t="s">
        <v>6348</v>
      </c>
      <c r="H1850" s="2383">
        <v>0</v>
      </c>
      <c r="I1850" s="2383">
        <v>0</v>
      </c>
      <c r="J1850" s="2413">
        <v>0</v>
      </c>
      <c r="K1850" s="2387"/>
      <c r="L1850" s="2381">
        <v>13191110200</v>
      </c>
      <c r="M1850" s="2382">
        <v>0</v>
      </c>
      <c r="N1850" s="2382">
        <v>0</v>
      </c>
      <c r="O1850" s="2383">
        <v>0</v>
      </c>
    </row>
    <row r="1851" spans="3:15">
      <c r="C1851" s="2388" t="s">
        <v>6349</v>
      </c>
      <c r="D1851" s="2385">
        <v>0</v>
      </c>
      <c r="E1851" s="2385">
        <v>0</v>
      </c>
      <c r="F1851" s="2386">
        <v>0</v>
      </c>
      <c r="G1851" s="2412" t="s">
        <v>6349</v>
      </c>
      <c r="H1851" s="2383">
        <v>0</v>
      </c>
      <c r="I1851" s="2383">
        <v>0</v>
      </c>
      <c r="J1851" s="2413">
        <v>0</v>
      </c>
      <c r="K1851" s="2387"/>
      <c r="L1851" s="2381">
        <v>13191110300</v>
      </c>
      <c r="M1851" s="2382">
        <v>0</v>
      </c>
      <c r="N1851" s="2382">
        <v>0</v>
      </c>
      <c r="O1851" s="2383">
        <v>0</v>
      </c>
    </row>
    <row r="1852" spans="3:15">
      <c r="C1852" s="2388" t="s">
        <v>6350</v>
      </c>
      <c r="D1852" s="2385" t="s">
        <v>4493</v>
      </c>
      <c r="E1852" s="2385" t="s">
        <v>4493</v>
      </c>
      <c r="F1852" s="2386">
        <v>0</v>
      </c>
      <c r="G1852" s="2412" t="s">
        <v>6350</v>
      </c>
      <c r="H1852" s="2383" t="s">
        <v>4493</v>
      </c>
      <c r="I1852" s="2383" t="s">
        <v>4493</v>
      </c>
      <c r="J1852" s="2413">
        <v>0</v>
      </c>
      <c r="K1852" s="2387"/>
      <c r="L1852" s="2381">
        <v>13191980000</v>
      </c>
      <c r="M1852" s="2382">
        <v>0</v>
      </c>
      <c r="N1852" s="2382">
        <v>0</v>
      </c>
      <c r="O1852" s="2383">
        <v>0</v>
      </c>
    </row>
    <row r="1853" spans="3:15">
      <c r="C1853" s="2388" t="s">
        <v>6351</v>
      </c>
      <c r="D1853" s="2385" t="s">
        <v>4493</v>
      </c>
      <c r="E1853" s="2385" t="s">
        <v>4493</v>
      </c>
      <c r="F1853" s="2386">
        <v>0</v>
      </c>
      <c r="G1853" s="2412" t="s">
        <v>6351</v>
      </c>
      <c r="H1853" s="2383" t="s">
        <v>4493</v>
      </c>
      <c r="I1853" s="2383" t="s">
        <v>4493</v>
      </c>
      <c r="J1853" s="2413">
        <v>0</v>
      </c>
      <c r="K1853" s="2387"/>
      <c r="L1853" s="2381">
        <v>13191990000</v>
      </c>
      <c r="M1853" s="2382">
        <v>0</v>
      </c>
      <c r="N1853" s="2382">
        <v>0</v>
      </c>
      <c r="O1853" s="2383">
        <v>0</v>
      </c>
    </row>
    <row r="1854" spans="3:15">
      <c r="C1854" s="2388" t="s">
        <v>6352</v>
      </c>
      <c r="D1854" s="2385">
        <v>0</v>
      </c>
      <c r="E1854" s="2385">
        <v>0</v>
      </c>
      <c r="F1854" s="2386">
        <v>0</v>
      </c>
      <c r="G1854" s="2412" t="s">
        <v>6352</v>
      </c>
      <c r="H1854" s="2383">
        <v>0</v>
      </c>
      <c r="I1854" s="2383" t="s">
        <v>4493</v>
      </c>
      <c r="J1854" s="2413">
        <v>0</v>
      </c>
      <c r="K1854" s="2387"/>
      <c r="L1854" s="2381">
        <v>13193000100</v>
      </c>
      <c r="M1854" s="2382">
        <v>0</v>
      </c>
      <c r="N1854" s="2382">
        <v>0</v>
      </c>
      <c r="O1854" s="2383">
        <v>0</v>
      </c>
    </row>
    <row r="1855" spans="3:15">
      <c r="C1855" s="2388" t="s">
        <v>6353</v>
      </c>
      <c r="D1855" s="2385">
        <v>0</v>
      </c>
      <c r="E1855" s="2385">
        <v>0</v>
      </c>
      <c r="F1855" s="2386">
        <v>0</v>
      </c>
      <c r="G1855" s="2412" t="s">
        <v>6353</v>
      </c>
      <c r="H1855" s="2383">
        <v>0</v>
      </c>
      <c r="I1855" s="2383">
        <v>0</v>
      </c>
      <c r="J1855" s="2413">
        <v>0</v>
      </c>
      <c r="K1855" s="2387"/>
      <c r="L1855" s="2381">
        <v>13193000200</v>
      </c>
      <c r="M1855" s="2382">
        <v>0</v>
      </c>
      <c r="N1855" s="2382">
        <v>0</v>
      </c>
      <c r="O1855" s="2383">
        <v>0</v>
      </c>
    </row>
    <row r="1856" spans="3:15">
      <c r="C1856" s="2388" t="s">
        <v>6354</v>
      </c>
      <c r="D1856" s="2385">
        <v>0</v>
      </c>
      <c r="E1856" s="2385">
        <v>0</v>
      </c>
      <c r="F1856" s="2386">
        <v>0</v>
      </c>
      <c r="G1856" s="2412" t="s">
        <v>6354</v>
      </c>
      <c r="H1856" s="2383">
        <v>0</v>
      </c>
      <c r="I1856" s="2383">
        <v>1</v>
      </c>
      <c r="J1856" s="2413">
        <v>1</v>
      </c>
      <c r="K1856" s="2387"/>
      <c r="L1856" s="2381">
        <v>13193000300</v>
      </c>
      <c r="M1856" s="2382">
        <v>0</v>
      </c>
      <c r="N1856" s="2382">
        <v>1</v>
      </c>
      <c r="O1856" s="2383">
        <v>1</v>
      </c>
    </row>
    <row r="1857" spans="3:15">
      <c r="C1857" s="2388" t="s">
        <v>6355</v>
      </c>
      <c r="D1857" s="2385">
        <v>0</v>
      </c>
      <c r="E1857" s="2385">
        <v>0</v>
      </c>
      <c r="F1857" s="2386">
        <v>0</v>
      </c>
      <c r="G1857" s="2412" t="s">
        <v>6355</v>
      </c>
      <c r="H1857" s="2383">
        <v>0</v>
      </c>
      <c r="I1857" s="2383">
        <v>0</v>
      </c>
      <c r="J1857" s="2413">
        <v>0</v>
      </c>
      <c r="K1857" s="2387"/>
      <c r="L1857" s="2381">
        <v>13193000400</v>
      </c>
      <c r="M1857" s="2382">
        <v>0</v>
      </c>
      <c r="N1857" s="2382">
        <v>0</v>
      </c>
      <c r="O1857" s="2383">
        <v>0</v>
      </c>
    </row>
    <row r="1858" spans="3:15">
      <c r="C1858" s="2388" t="s">
        <v>6356</v>
      </c>
      <c r="D1858" s="2385">
        <v>0</v>
      </c>
      <c r="E1858" s="2385">
        <v>0</v>
      </c>
      <c r="F1858" s="2386">
        <v>0</v>
      </c>
      <c r="G1858" s="2412" t="s">
        <v>6356</v>
      </c>
      <c r="H1858" s="2383">
        <v>0</v>
      </c>
      <c r="I1858" s="2383">
        <v>0</v>
      </c>
      <c r="J1858" s="2413">
        <v>0</v>
      </c>
      <c r="K1858" s="2387"/>
      <c r="L1858" s="2381">
        <v>13195020100</v>
      </c>
      <c r="M1858" s="2382">
        <v>0</v>
      </c>
      <c r="N1858" s="2382">
        <v>0</v>
      </c>
      <c r="O1858" s="2383">
        <v>0</v>
      </c>
    </row>
    <row r="1859" spans="3:15">
      <c r="C1859" s="2388" t="s">
        <v>6357</v>
      </c>
      <c r="D1859" s="2385">
        <v>0</v>
      </c>
      <c r="E1859" s="2385">
        <v>0</v>
      </c>
      <c r="F1859" s="2386">
        <v>0</v>
      </c>
      <c r="G1859" s="2412" t="s">
        <v>6357</v>
      </c>
      <c r="H1859" s="2383">
        <v>0</v>
      </c>
      <c r="I1859" s="2383">
        <v>0</v>
      </c>
      <c r="J1859" s="2413">
        <v>0</v>
      </c>
      <c r="K1859" s="2387"/>
      <c r="L1859" s="2381">
        <v>13195020200</v>
      </c>
      <c r="M1859" s="2382">
        <v>0</v>
      </c>
      <c r="N1859" s="2382">
        <v>0</v>
      </c>
      <c r="O1859" s="2383">
        <v>0</v>
      </c>
    </row>
    <row r="1860" spans="3:15">
      <c r="C1860" s="2388" t="s">
        <v>6358</v>
      </c>
      <c r="D1860" s="2385">
        <v>0</v>
      </c>
      <c r="E1860" s="2385">
        <v>0</v>
      </c>
      <c r="F1860" s="2386">
        <v>0</v>
      </c>
      <c r="G1860" s="2412" t="s">
        <v>6358</v>
      </c>
      <c r="H1860" s="2383">
        <v>0</v>
      </c>
      <c r="I1860" s="2383">
        <v>0</v>
      </c>
      <c r="J1860" s="2413">
        <v>0</v>
      </c>
      <c r="K1860" s="2387"/>
      <c r="L1860" s="2381">
        <v>13195020300</v>
      </c>
      <c r="M1860" s="2382">
        <v>0</v>
      </c>
      <c r="N1860" s="2382">
        <v>0</v>
      </c>
      <c r="O1860" s="2383">
        <v>0</v>
      </c>
    </row>
    <row r="1861" spans="3:15">
      <c r="C1861" s="2388" t="s">
        <v>6359</v>
      </c>
      <c r="D1861" s="2385">
        <v>1</v>
      </c>
      <c r="E1861" s="2385">
        <v>1</v>
      </c>
      <c r="F1861" s="2386">
        <v>2</v>
      </c>
      <c r="G1861" s="2412" t="s">
        <v>6359</v>
      </c>
      <c r="H1861" s="2383">
        <v>0</v>
      </c>
      <c r="I1861" s="2383">
        <v>0</v>
      </c>
      <c r="J1861" s="2413">
        <v>0</v>
      </c>
      <c r="K1861" s="2387"/>
      <c r="L1861" s="2381">
        <v>13195020400</v>
      </c>
      <c r="M1861" s="2382">
        <v>1</v>
      </c>
      <c r="N1861" s="2382">
        <v>1</v>
      </c>
      <c r="O1861" s="2383">
        <v>2</v>
      </c>
    </row>
    <row r="1862" spans="3:15">
      <c r="C1862" s="2388" t="s">
        <v>6360</v>
      </c>
      <c r="D1862" s="2385">
        <v>0</v>
      </c>
      <c r="E1862" s="2385">
        <v>1</v>
      </c>
      <c r="F1862" s="2386">
        <v>1</v>
      </c>
      <c r="G1862" s="2412" t="s">
        <v>6360</v>
      </c>
      <c r="H1862" s="2383">
        <v>0</v>
      </c>
      <c r="I1862" s="2383">
        <v>0</v>
      </c>
      <c r="J1862" s="2413">
        <v>0</v>
      </c>
      <c r="K1862" s="2387"/>
      <c r="L1862" s="2381">
        <v>13195020500</v>
      </c>
      <c r="M1862" s="2382">
        <v>0</v>
      </c>
      <c r="N1862" s="2382">
        <v>1</v>
      </c>
      <c r="O1862" s="2383">
        <v>1</v>
      </c>
    </row>
    <row r="1863" spans="3:15">
      <c r="C1863" s="2388" t="s">
        <v>6361</v>
      </c>
      <c r="D1863" s="2385">
        <v>1</v>
      </c>
      <c r="E1863" s="2385">
        <v>0</v>
      </c>
      <c r="F1863" s="2386">
        <v>1</v>
      </c>
      <c r="G1863" s="2412" t="s">
        <v>6361</v>
      </c>
      <c r="H1863" s="2383">
        <v>0</v>
      </c>
      <c r="I1863" s="2383">
        <v>0</v>
      </c>
      <c r="J1863" s="2413">
        <v>0</v>
      </c>
      <c r="K1863" s="2387"/>
      <c r="L1863" s="2381">
        <v>13195020600</v>
      </c>
      <c r="M1863" s="2382">
        <v>1</v>
      </c>
      <c r="N1863" s="2382">
        <v>0</v>
      </c>
      <c r="O1863" s="2383">
        <v>1</v>
      </c>
    </row>
    <row r="1864" spans="3:15">
      <c r="C1864" s="2388" t="s">
        <v>6362</v>
      </c>
      <c r="D1864" s="2385">
        <v>0</v>
      </c>
      <c r="E1864" s="2385">
        <v>0</v>
      </c>
      <c r="F1864" s="2386">
        <v>0</v>
      </c>
      <c r="G1864" s="2412" t="s">
        <v>6362</v>
      </c>
      <c r="H1864" s="2383">
        <v>0</v>
      </c>
      <c r="I1864" s="2383">
        <v>0</v>
      </c>
      <c r="J1864" s="2413">
        <v>0</v>
      </c>
      <c r="K1864" s="2387"/>
      <c r="L1864" s="2381">
        <v>13197920100</v>
      </c>
      <c r="M1864" s="2382">
        <v>0</v>
      </c>
      <c r="N1864" s="2382">
        <v>0</v>
      </c>
      <c r="O1864" s="2383">
        <v>0</v>
      </c>
    </row>
    <row r="1865" spans="3:15">
      <c r="C1865" s="2388" t="s">
        <v>6363</v>
      </c>
      <c r="D1865" s="2385">
        <v>0</v>
      </c>
      <c r="E1865" s="2385">
        <v>0</v>
      </c>
      <c r="F1865" s="2386">
        <v>0</v>
      </c>
      <c r="G1865" s="2412" t="s">
        <v>6363</v>
      </c>
      <c r="H1865" s="2383">
        <v>0</v>
      </c>
      <c r="I1865" s="2383">
        <v>0</v>
      </c>
      <c r="J1865" s="2413">
        <v>0</v>
      </c>
      <c r="K1865" s="2387"/>
      <c r="L1865" s="2381">
        <v>13197920200</v>
      </c>
      <c r="M1865" s="2382">
        <v>0</v>
      </c>
      <c r="N1865" s="2382">
        <v>0</v>
      </c>
      <c r="O1865" s="2383">
        <v>0</v>
      </c>
    </row>
    <row r="1866" spans="3:15">
      <c r="C1866" s="2388" t="s">
        <v>6364</v>
      </c>
      <c r="D1866" s="2385">
        <v>0</v>
      </c>
      <c r="E1866" s="2385">
        <v>0</v>
      </c>
      <c r="F1866" s="2386">
        <v>0</v>
      </c>
      <c r="G1866" s="2412" t="s">
        <v>6364</v>
      </c>
      <c r="H1866" s="2383">
        <v>0</v>
      </c>
      <c r="I1866" s="2383">
        <v>0</v>
      </c>
      <c r="J1866" s="2413">
        <v>0</v>
      </c>
      <c r="K1866" s="2387"/>
      <c r="L1866" s="2381">
        <v>13199970500</v>
      </c>
      <c r="M1866" s="2382">
        <v>0</v>
      </c>
      <c r="N1866" s="2382">
        <v>0</v>
      </c>
      <c r="O1866" s="2383">
        <v>0</v>
      </c>
    </row>
    <row r="1867" spans="3:15">
      <c r="C1867" s="2388" t="s">
        <v>6365</v>
      </c>
      <c r="D1867" s="2385">
        <v>0</v>
      </c>
      <c r="E1867" s="2385">
        <v>0</v>
      </c>
      <c r="F1867" s="2386">
        <v>0</v>
      </c>
      <c r="G1867" s="2412" t="s">
        <v>6365</v>
      </c>
      <c r="H1867" s="2383">
        <v>0</v>
      </c>
      <c r="I1867" s="2383">
        <v>0</v>
      </c>
      <c r="J1867" s="2413">
        <v>0</v>
      </c>
      <c r="K1867" s="2387"/>
      <c r="L1867" s="2381">
        <v>13199970600</v>
      </c>
      <c r="M1867" s="2382">
        <v>0</v>
      </c>
      <c r="N1867" s="2382">
        <v>0</v>
      </c>
      <c r="O1867" s="2383">
        <v>0</v>
      </c>
    </row>
    <row r="1868" spans="3:15">
      <c r="C1868" s="2388" t="s">
        <v>6366</v>
      </c>
      <c r="D1868" s="2385">
        <v>0</v>
      </c>
      <c r="E1868" s="2385">
        <v>0</v>
      </c>
      <c r="F1868" s="2386">
        <v>0</v>
      </c>
      <c r="G1868" s="2412" t="s">
        <v>6366</v>
      </c>
      <c r="H1868" s="2383">
        <v>0</v>
      </c>
      <c r="I1868" s="2383">
        <v>0</v>
      </c>
      <c r="J1868" s="2413">
        <v>0</v>
      </c>
      <c r="K1868" s="2387"/>
      <c r="L1868" s="2381">
        <v>13199970700</v>
      </c>
      <c r="M1868" s="2382">
        <v>0</v>
      </c>
      <c r="N1868" s="2382">
        <v>0</v>
      </c>
      <c r="O1868" s="2383">
        <v>0</v>
      </c>
    </row>
    <row r="1869" spans="3:15">
      <c r="C1869" s="2388" t="s">
        <v>6367</v>
      </c>
      <c r="D1869" s="2385">
        <v>0</v>
      </c>
      <c r="E1869" s="2385">
        <v>0</v>
      </c>
      <c r="F1869" s="2386">
        <v>0</v>
      </c>
      <c r="G1869" s="2412" t="s">
        <v>6367</v>
      </c>
      <c r="H1869" s="2383">
        <v>0</v>
      </c>
      <c r="I1869" s="2383">
        <v>0</v>
      </c>
      <c r="J1869" s="2413">
        <v>0</v>
      </c>
      <c r="K1869" s="2387"/>
      <c r="L1869" s="2381">
        <v>13199970800</v>
      </c>
      <c r="M1869" s="2382">
        <v>0</v>
      </c>
      <c r="N1869" s="2382">
        <v>0</v>
      </c>
      <c r="O1869" s="2383">
        <v>0</v>
      </c>
    </row>
    <row r="1870" spans="3:15">
      <c r="C1870" s="2388" t="s">
        <v>6368</v>
      </c>
      <c r="D1870" s="2385">
        <v>0</v>
      </c>
      <c r="E1870" s="2385">
        <v>0</v>
      </c>
      <c r="F1870" s="2386">
        <v>0</v>
      </c>
      <c r="G1870" s="2412" t="s">
        <v>6368</v>
      </c>
      <c r="H1870" s="2383">
        <v>0</v>
      </c>
      <c r="I1870" s="2383">
        <v>0</v>
      </c>
      <c r="J1870" s="2413">
        <v>0</v>
      </c>
      <c r="K1870" s="2387"/>
      <c r="L1870" s="2381">
        <v>13201950100</v>
      </c>
      <c r="M1870" s="2382">
        <v>0</v>
      </c>
      <c r="N1870" s="2382">
        <v>0</v>
      </c>
      <c r="O1870" s="2383">
        <v>0</v>
      </c>
    </row>
    <row r="1871" spans="3:15">
      <c r="C1871" s="2388" t="s">
        <v>6369</v>
      </c>
      <c r="D1871" s="2385">
        <v>0</v>
      </c>
      <c r="E1871" s="2385">
        <v>0</v>
      </c>
      <c r="F1871" s="2386">
        <v>0</v>
      </c>
      <c r="G1871" s="2412" t="s">
        <v>6369</v>
      </c>
      <c r="H1871" s="2383">
        <v>0</v>
      </c>
      <c r="I1871" s="2383">
        <v>0</v>
      </c>
      <c r="J1871" s="2413">
        <v>0</v>
      </c>
      <c r="K1871" s="2387"/>
      <c r="L1871" s="2381">
        <v>13201950200</v>
      </c>
      <c r="M1871" s="2382">
        <v>0</v>
      </c>
      <c r="N1871" s="2382">
        <v>0</v>
      </c>
      <c r="O1871" s="2383">
        <v>0</v>
      </c>
    </row>
    <row r="1872" spans="3:15">
      <c r="C1872" s="2388" t="s">
        <v>6370</v>
      </c>
      <c r="D1872" s="2385">
        <v>1</v>
      </c>
      <c r="E1872" s="2385">
        <v>0</v>
      </c>
      <c r="F1872" s="2386">
        <v>1</v>
      </c>
      <c r="G1872" s="2412" t="s">
        <v>6370</v>
      </c>
      <c r="H1872" s="2383">
        <v>1</v>
      </c>
      <c r="I1872" s="2383">
        <v>1</v>
      </c>
      <c r="J1872" s="2413">
        <v>2</v>
      </c>
      <c r="K1872" s="2387"/>
      <c r="L1872" s="2381">
        <v>13201950300</v>
      </c>
      <c r="M1872" s="2382">
        <v>1</v>
      </c>
      <c r="N1872" s="2382">
        <v>1</v>
      </c>
      <c r="O1872" s="2383">
        <v>2</v>
      </c>
    </row>
    <row r="1873" spans="3:15">
      <c r="C1873" s="2388" t="s">
        <v>6371</v>
      </c>
      <c r="D1873" s="2385">
        <v>0</v>
      </c>
      <c r="E1873" s="2385">
        <v>0</v>
      </c>
      <c r="F1873" s="2386">
        <v>0</v>
      </c>
      <c r="G1873" s="2412" t="s">
        <v>6371</v>
      </c>
      <c r="H1873" s="2383">
        <v>0</v>
      </c>
      <c r="I1873" s="2383">
        <v>0</v>
      </c>
      <c r="J1873" s="2413">
        <v>0</v>
      </c>
      <c r="K1873" s="2387"/>
      <c r="L1873" s="2381">
        <v>13205090100</v>
      </c>
      <c r="M1873" s="2382">
        <v>0</v>
      </c>
      <c r="N1873" s="2382">
        <v>0</v>
      </c>
      <c r="O1873" s="2383">
        <v>0</v>
      </c>
    </row>
    <row r="1874" spans="3:15">
      <c r="C1874" s="2388" t="s">
        <v>6372</v>
      </c>
      <c r="D1874" s="2385">
        <v>0</v>
      </c>
      <c r="E1874" s="2385">
        <v>0</v>
      </c>
      <c r="F1874" s="2386">
        <v>0</v>
      </c>
      <c r="G1874" s="2412" t="s">
        <v>6372</v>
      </c>
      <c r="H1874" s="2383">
        <v>0</v>
      </c>
      <c r="I1874" s="2383">
        <v>0</v>
      </c>
      <c r="J1874" s="2413">
        <v>0</v>
      </c>
      <c r="K1874" s="2387"/>
      <c r="L1874" s="2381">
        <v>13205090200</v>
      </c>
      <c r="M1874" s="2382">
        <v>0</v>
      </c>
      <c r="N1874" s="2382">
        <v>0</v>
      </c>
      <c r="O1874" s="2383">
        <v>0</v>
      </c>
    </row>
    <row r="1875" spans="3:15">
      <c r="C1875" s="2388" t="s">
        <v>6373</v>
      </c>
      <c r="D1875" s="2385">
        <v>0</v>
      </c>
      <c r="E1875" s="2385">
        <v>0</v>
      </c>
      <c r="F1875" s="2386">
        <v>0</v>
      </c>
      <c r="G1875" s="2412" t="s">
        <v>6373</v>
      </c>
      <c r="H1875" s="2383">
        <v>0</v>
      </c>
      <c r="I1875" s="2383">
        <v>0</v>
      </c>
      <c r="J1875" s="2413">
        <v>0</v>
      </c>
      <c r="K1875" s="2387"/>
      <c r="L1875" s="2381">
        <v>13205090300</v>
      </c>
      <c r="M1875" s="2382">
        <v>0</v>
      </c>
      <c r="N1875" s="2382">
        <v>0</v>
      </c>
      <c r="O1875" s="2383">
        <v>0</v>
      </c>
    </row>
    <row r="1876" spans="3:15">
      <c r="C1876" s="2388" t="s">
        <v>6374</v>
      </c>
      <c r="D1876" s="2385">
        <v>0</v>
      </c>
      <c r="E1876" s="2385">
        <v>0</v>
      </c>
      <c r="F1876" s="2386">
        <v>0</v>
      </c>
      <c r="G1876" s="2412" t="s">
        <v>6374</v>
      </c>
      <c r="H1876" s="2383">
        <v>0</v>
      </c>
      <c r="I1876" s="2383">
        <v>0</v>
      </c>
      <c r="J1876" s="2413">
        <v>0</v>
      </c>
      <c r="K1876" s="2387"/>
      <c r="L1876" s="2381">
        <v>13205090400</v>
      </c>
      <c r="M1876" s="2382">
        <v>0</v>
      </c>
      <c r="N1876" s="2382">
        <v>0</v>
      </c>
      <c r="O1876" s="2383">
        <v>0</v>
      </c>
    </row>
    <row r="1877" spans="3:15">
      <c r="C1877" s="2388" t="s">
        <v>6375</v>
      </c>
      <c r="D1877" s="2385">
        <v>0</v>
      </c>
      <c r="E1877" s="2385">
        <v>0</v>
      </c>
      <c r="F1877" s="2386">
        <v>0</v>
      </c>
      <c r="G1877" s="2412" t="s">
        <v>6375</v>
      </c>
      <c r="H1877" s="2383">
        <v>0</v>
      </c>
      <c r="I1877" s="2383">
        <v>0</v>
      </c>
      <c r="J1877" s="2413">
        <v>0</v>
      </c>
      <c r="K1877" s="2387"/>
      <c r="L1877" s="2381">
        <v>13205090500</v>
      </c>
      <c r="M1877" s="2382">
        <v>0</v>
      </c>
      <c r="N1877" s="2382">
        <v>0</v>
      </c>
      <c r="O1877" s="2383">
        <v>0</v>
      </c>
    </row>
    <row r="1878" spans="3:15">
      <c r="C1878" s="2388" t="s">
        <v>6376</v>
      </c>
      <c r="D1878" s="2385">
        <v>0</v>
      </c>
      <c r="E1878" s="2385">
        <v>0</v>
      </c>
      <c r="F1878" s="2386">
        <v>0</v>
      </c>
      <c r="G1878" s="2412" t="s">
        <v>6376</v>
      </c>
      <c r="H1878" s="2383">
        <v>0</v>
      </c>
      <c r="I1878" s="2383">
        <v>0</v>
      </c>
      <c r="J1878" s="2413">
        <v>0</v>
      </c>
      <c r="K1878" s="2387"/>
      <c r="L1878" s="2381">
        <v>13207050101</v>
      </c>
      <c r="M1878" s="2382">
        <v>0</v>
      </c>
      <c r="N1878" s="2382">
        <v>0</v>
      </c>
      <c r="O1878" s="2383">
        <v>0</v>
      </c>
    </row>
    <row r="1879" spans="3:15">
      <c r="C1879" s="2388" t="s">
        <v>6377</v>
      </c>
      <c r="D1879" s="2385">
        <v>0</v>
      </c>
      <c r="E1879" s="2385">
        <v>0</v>
      </c>
      <c r="F1879" s="2386">
        <v>0</v>
      </c>
      <c r="G1879" s="2412" t="s">
        <v>6377</v>
      </c>
      <c r="H1879" s="2383">
        <v>0</v>
      </c>
      <c r="I1879" s="2383">
        <v>0</v>
      </c>
      <c r="J1879" s="2413">
        <v>0</v>
      </c>
      <c r="K1879" s="2387"/>
      <c r="L1879" s="2381">
        <v>13207050102</v>
      </c>
      <c r="M1879" s="2382">
        <v>0</v>
      </c>
      <c r="N1879" s="2382">
        <v>0</v>
      </c>
      <c r="O1879" s="2383">
        <v>0</v>
      </c>
    </row>
    <row r="1880" spans="3:15">
      <c r="C1880" s="2388" t="s">
        <v>6378</v>
      </c>
      <c r="D1880" s="2385">
        <v>0</v>
      </c>
      <c r="E1880" s="2385">
        <v>0</v>
      </c>
      <c r="F1880" s="2386">
        <v>0</v>
      </c>
      <c r="G1880" s="2412" t="s">
        <v>6378</v>
      </c>
      <c r="H1880" s="2383">
        <v>0</v>
      </c>
      <c r="I1880" s="2383">
        <v>0</v>
      </c>
      <c r="J1880" s="2413">
        <v>0</v>
      </c>
      <c r="K1880" s="2387"/>
      <c r="L1880" s="2381">
        <v>13207050200</v>
      </c>
      <c r="M1880" s="2382">
        <v>0</v>
      </c>
      <c r="N1880" s="2382">
        <v>0</v>
      </c>
      <c r="O1880" s="2383">
        <v>0</v>
      </c>
    </row>
    <row r="1881" spans="3:15">
      <c r="C1881" s="2388" t="s">
        <v>6379</v>
      </c>
      <c r="D1881" s="2385">
        <v>0</v>
      </c>
      <c r="E1881" s="2385">
        <v>1</v>
      </c>
      <c r="F1881" s="2386">
        <v>1</v>
      </c>
      <c r="G1881" s="2412" t="s">
        <v>6379</v>
      </c>
      <c r="H1881" s="2383">
        <v>0</v>
      </c>
      <c r="I1881" s="2383">
        <v>1</v>
      </c>
      <c r="J1881" s="2413">
        <v>1</v>
      </c>
      <c r="K1881" s="2387"/>
      <c r="L1881" s="2381">
        <v>13207050301</v>
      </c>
      <c r="M1881" s="2382">
        <v>0</v>
      </c>
      <c r="N1881" s="2382">
        <v>1</v>
      </c>
      <c r="O1881" s="2383">
        <v>1</v>
      </c>
    </row>
    <row r="1882" spans="3:15">
      <c r="C1882" s="2388" t="s">
        <v>6380</v>
      </c>
      <c r="D1882" s="2385">
        <v>1</v>
      </c>
      <c r="E1882" s="2385">
        <v>1</v>
      </c>
      <c r="F1882" s="2386">
        <v>2</v>
      </c>
      <c r="G1882" s="2412" t="s">
        <v>6380</v>
      </c>
      <c r="H1882" s="2383">
        <v>1</v>
      </c>
      <c r="I1882" s="2383">
        <v>1</v>
      </c>
      <c r="J1882" s="2413">
        <v>2</v>
      </c>
      <c r="K1882" s="2387"/>
      <c r="L1882" s="2381">
        <v>13207050302</v>
      </c>
      <c r="M1882" s="2382">
        <v>1</v>
      </c>
      <c r="N1882" s="2382">
        <v>1</v>
      </c>
      <c r="O1882" s="2383">
        <v>2</v>
      </c>
    </row>
    <row r="1883" spans="3:15">
      <c r="C1883" s="2388" t="s">
        <v>6381</v>
      </c>
      <c r="D1883" s="2385">
        <v>0</v>
      </c>
      <c r="E1883" s="2385">
        <v>0</v>
      </c>
      <c r="F1883" s="2386">
        <v>0</v>
      </c>
      <c r="G1883" s="2412" t="s">
        <v>6381</v>
      </c>
      <c r="H1883" s="2383">
        <v>0</v>
      </c>
      <c r="I1883" s="2383">
        <v>0</v>
      </c>
      <c r="J1883" s="2413">
        <v>0</v>
      </c>
      <c r="K1883" s="2387"/>
      <c r="L1883" s="2381">
        <v>13209950100</v>
      </c>
      <c r="M1883" s="2382">
        <v>0</v>
      </c>
      <c r="N1883" s="2382">
        <v>0</v>
      </c>
      <c r="O1883" s="2383">
        <v>0</v>
      </c>
    </row>
    <row r="1884" spans="3:15">
      <c r="C1884" s="2388" t="s">
        <v>6382</v>
      </c>
      <c r="D1884" s="2385">
        <v>0</v>
      </c>
      <c r="E1884" s="2385">
        <v>0</v>
      </c>
      <c r="F1884" s="2386">
        <v>0</v>
      </c>
      <c r="G1884" s="2412" t="s">
        <v>6382</v>
      </c>
      <c r="H1884" s="2383">
        <v>0</v>
      </c>
      <c r="I1884" s="2383">
        <v>1</v>
      </c>
      <c r="J1884" s="2413">
        <v>1</v>
      </c>
      <c r="K1884" s="2387"/>
      <c r="L1884" s="2381">
        <v>13209950200</v>
      </c>
      <c r="M1884" s="2382">
        <v>0</v>
      </c>
      <c r="N1884" s="2382">
        <v>1</v>
      </c>
      <c r="O1884" s="2383">
        <v>1</v>
      </c>
    </row>
    <row r="1885" spans="3:15">
      <c r="C1885" s="2388" t="s">
        <v>6383</v>
      </c>
      <c r="D1885" s="2385">
        <v>0</v>
      </c>
      <c r="E1885" s="2385">
        <v>0</v>
      </c>
      <c r="F1885" s="2386">
        <v>0</v>
      </c>
      <c r="G1885" s="2412" t="s">
        <v>6383</v>
      </c>
      <c r="H1885" s="2383">
        <v>0</v>
      </c>
      <c r="I1885" s="2383">
        <v>0</v>
      </c>
      <c r="J1885" s="2413">
        <v>0</v>
      </c>
      <c r="K1885" s="2387"/>
      <c r="L1885" s="2381">
        <v>13209950300</v>
      </c>
      <c r="M1885" s="2382">
        <v>0</v>
      </c>
      <c r="N1885" s="2382">
        <v>0</v>
      </c>
      <c r="O1885" s="2383">
        <v>0</v>
      </c>
    </row>
    <row r="1886" spans="3:15">
      <c r="C1886" s="2388" t="s">
        <v>6384</v>
      </c>
      <c r="D1886" s="2385">
        <v>1</v>
      </c>
      <c r="E1886" s="2385">
        <v>1</v>
      </c>
      <c r="F1886" s="2386">
        <v>2</v>
      </c>
      <c r="G1886" s="2412" t="s">
        <v>6384</v>
      </c>
      <c r="H1886" s="2383">
        <v>1</v>
      </c>
      <c r="I1886" s="2383">
        <v>1</v>
      </c>
      <c r="J1886" s="2413">
        <v>2</v>
      </c>
      <c r="K1886" s="2387"/>
      <c r="L1886" s="2381">
        <v>13211010100</v>
      </c>
      <c r="M1886" s="2382">
        <v>1</v>
      </c>
      <c r="N1886" s="2382">
        <v>1</v>
      </c>
      <c r="O1886" s="2383">
        <v>2</v>
      </c>
    </row>
    <row r="1887" spans="3:15">
      <c r="C1887" s="2388" t="s">
        <v>6385</v>
      </c>
      <c r="D1887" s="2385">
        <v>0</v>
      </c>
      <c r="E1887" s="2385">
        <v>0</v>
      </c>
      <c r="F1887" s="2386">
        <v>0</v>
      </c>
      <c r="G1887" s="2412" t="s">
        <v>6385</v>
      </c>
      <c r="H1887" s="2383">
        <v>0</v>
      </c>
      <c r="I1887" s="2383">
        <v>0</v>
      </c>
      <c r="J1887" s="2413">
        <v>0</v>
      </c>
      <c r="K1887" s="2387"/>
      <c r="L1887" s="2381">
        <v>13211010200</v>
      </c>
      <c r="M1887" s="2382">
        <v>0</v>
      </c>
      <c r="N1887" s="2382">
        <v>0</v>
      </c>
      <c r="O1887" s="2383">
        <v>0</v>
      </c>
    </row>
    <row r="1888" spans="3:15">
      <c r="C1888" s="2388" t="s">
        <v>6386</v>
      </c>
      <c r="D1888" s="2385">
        <v>1</v>
      </c>
      <c r="E1888" s="2385">
        <v>1</v>
      </c>
      <c r="F1888" s="2386">
        <v>2</v>
      </c>
      <c r="G1888" s="2412" t="s">
        <v>6386</v>
      </c>
      <c r="H1888" s="2383">
        <v>0</v>
      </c>
      <c r="I1888" s="2383">
        <v>1</v>
      </c>
      <c r="J1888" s="2413">
        <v>1</v>
      </c>
      <c r="K1888" s="2387"/>
      <c r="L1888" s="2381">
        <v>13211010300</v>
      </c>
      <c r="M1888" s="2382">
        <v>1</v>
      </c>
      <c r="N1888" s="2382">
        <v>1</v>
      </c>
      <c r="O1888" s="2383">
        <v>2</v>
      </c>
    </row>
    <row r="1889" spans="3:15">
      <c r="C1889" s="2388" t="s">
        <v>6387</v>
      </c>
      <c r="D1889" s="2385">
        <v>1</v>
      </c>
      <c r="E1889" s="2385">
        <v>0</v>
      </c>
      <c r="F1889" s="2386">
        <v>1</v>
      </c>
      <c r="G1889" s="2412" t="s">
        <v>6387</v>
      </c>
      <c r="H1889" s="2383">
        <v>1</v>
      </c>
      <c r="I1889" s="2383">
        <v>0</v>
      </c>
      <c r="J1889" s="2413">
        <v>1</v>
      </c>
      <c r="K1889" s="2387"/>
      <c r="L1889" s="2381">
        <v>13211010400</v>
      </c>
      <c r="M1889" s="2382">
        <v>1</v>
      </c>
      <c r="N1889" s="2382">
        <v>0</v>
      </c>
      <c r="O1889" s="2383">
        <v>1</v>
      </c>
    </row>
    <row r="1890" spans="3:15">
      <c r="C1890" s="2388" t="s">
        <v>6388</v>
      </c>
      <c r="D1890" s="2385">
        <v>1</v>
      </c>
      <c r="E1890" s="2385">
        <v>1</v>
      </c>
      <c r="F1890" s="2386">
        <v>2</v>
      </c>
      <c r="G1890" s="2412" t="s">
        <v>6388</v>
      </c>
      <c r="H1890" s="2383">
        <v>1</v>
      </c>
      <c r="I1890" s="2383">
        <v>0</v>
      </c>
      <c r="J1890" s="2413">
        <v>1</v>
      </c>
      <c r="K1890" s="2387"/>
      <c r="L1890" s="2381">
        <v>13211010500</v>
      </c>
      <c r="M1890" s="2382">
        <v>1</v>
      </c>
      <c r="N1890" s="2382">
        <v>1</v>
      </c>
      <c r="O1890" s="2383">
        <v>2</v>
      </c>
    </row>
    <row r="1891" spans="3:15">
      <c r="C1891" s="2388" t="s">
        <v>6389</v>
      </c>
      <c r="D1891" s="2385">
        <v>0</v>
      </c>
      <c r="E1891" s="2385">
        <v>0</v>
      </c>
      <c r="F1891" s="2386">
        <v>0</v>
      </c>
      <c r="G1891" s="2412" t="s">
        <v>6389</v>
      </c>
      <c r="H1891" s="2383">
        <v>0</v>
      </c>
      <c r="I1891" s="2383">
        <v>0</v>
      </c>
      <c r="J1891" s="2413">
        <v>0</v>
      </c>
      <c r="K1891" s="2387"/>
      <c r="L1891" s="2381">
        <v>13213010100</v>
      </c>
      <c r="M1891" s="2382">
        <v>0</v>
      </c>
      <c r="N1891" s="2382">
        <v>0</v>
      </c>
      <c r="O1891" s="2383">
        <v>0</v>
      </c>
    </row>
    <row r="1892" spans="3:15">
      <c r="C1892" s="2388" t="s">
        <v>6390</v>
      </c>
      <c r="D1892" s="2385">
        <v>0</v>
      </c>
      <c r="E1892" s="2385">
        <v>0</v>
      </c>
      <c r="F1892" s="2386">
        <v>0</v>
      </c>
      <c r="G1892" s="2412" t="s">
        <v>6390</v>
      </c>
      <c r="H1892" s="2383">
        <v>0</v>
      </c>
      <c r="I1892" s="2383">
        <v>0</v>
      </c>
      <c r="J1892" s="2413">
        <v>0</v>
      </c>
      <c r="K1892" s="2387"/>
      <c r="L1892" s="2381">
        <v>13213010201</v>
      </c>
      <c r="M1892" s="2382">
        <v>0</v>
      </c>
      <c r="N1892" s="2382">
        <v>0</v>
      </c>
      <c r="O1892" s="2383">
        <v>0</v>
      </c>
    </row>
    <row r="1893" spans="3:15">
      <c r="C1893" s="2388" t="s">
        <v>6391</v>
      </c>
      <c r="D1893" s="2385">
        <v>0</v>
      </c>
      <c r="E1893" s="2385">
        <v>0</v>
      </c>
      <c r="F1893" s="2386">
        <v>0</v>
      </c>
      <c r="G1893" s="2412" t="s">
        <v>6391</v>
      </c>
      <c r="H1893" s="2383">
        <v>0</v>
      </c>
      <c r="I1893" s="2383">
        <v>0</v>
      </c>
      <c r="J1893" s="2413">
        <v>0</v>
      </c>
      <c r="K1893" s="2387"/>
      <c r="L1893" s="2381">
        <v>13213010202</v>
      </c>
      <c r="M1893" s="2382">
        <v>0</v>
      </c>
      <c r="N1893" s="2382">
        <v>0</v>
      </c>
      <c r="O1893" s="2383">
        <v>0</v>
      </c>
    </row>
    <row r="1894" spans="3:15">
      <c r="C1894" s="2388" t="s">
        <v>6392</v>
      </c>
      <c r="D1894" s="2385">
        <v>0</v>
      </c>
      <c r="E1894" s="2385">
        <v>0</v>
      </c>
      <c r="F1894" s="2386">
        <v>0</v>
      </c>
      <c r="G1894" s="2412" t="s">
        <v>6392</v>
      </c>
      <c r="H1894" s="2383">
        <v>0</v>
      </c>
      <c r="I1894" s="2383">
        <v>0</v>
      </c>
      <c r="J1894" s="2413">
        <v>0</v>
      </c>
      <c r="K1894" s="2387"/>
      <c r="L1894" s="2381">
        <v>13213010300</v>
      </c>
      <c r="M1894" s="2382">
        <v>0</v>
      </c>
      <c r="N1894" s="2382">
        <v>0</v>
      </c>
      <c r="O1894" s="2383">
        <v>0</v>
      </c>
    </row>
    <row r="1895" spans="3:15">
      <c r="C1895" s="2388" t="s">
        <v>6393</v>
      </c>
      <c r="D1895" s="2385">
        <v>0</v>
      </c>
      <c r="E1895" s="2385">
        <v>0</v>
      </c>
      <c r="F1895" s="2386">
        <v>0</v>
      </c>
      <c r="G1895" s="2412" t="s">
        <v>6393</v>
      </c>
      <c r="H1895" s="2383">
        <v>0</v>
      </c>
      <c r="I1895" s="2383">
        <v>0</v>
      </c>
      <c r="J1895" s="2413">
        <v>0</v>
      </c>
      <c r="K1895" s="2387"/>
      <c r="L1895" s="2381">
        <v>13213010400</v>
      </c>
      <c r="M1895" s="2382">
        <v>0</v>
      </c>
      <c r="N1895" s="2382">
        <v>0</v>
      </c>
      <c r="O1895" s="2383">
        <v>0</v>
      </c>
    </row>
    <row r="1896" spans="3:15">
      <c r="C1896" s="2388" t="s">
        <v>6394</v>
      </c>
      <c r="D1896" s="2385">
        <v>0</v>
      </c>
      <c r="E1896" s="2385">
        <v>0</v>
      </c>
      <c r="F1896" s="2386">
        <v>0</v>
      </c>
      <c r="G1896" s="2412" t="s">
        <v>6394</v>
      </c>
      <c r="H1896" s="2383">
        <v>0</v>
      </c>
      <c r="I1896" s="2383">
        <v>0</v>
      </c>
      <c r="J1896" s="2413">
        <v>0</v>
      </c>
      <c r="K1896" s="2387"/>
      <c r="L1896" s="2381">
        <v>13213010500</v>
      </c>
      <c r="M1896" s="2382">
        <v>0</v>
      </c>
      <c r="N1896" s="2382">
        <v>0</v>
      </c>
      <c r="O1896" s="2383">
        <v>0</v>
      </c>
    </row>
    <row r="1897" spans="3:15">
      <c r="C1897" s="2388" t="s">
        <v>6395</v>
      </c>
      <c r="D1897" s="2385">
        <v>0</v>
      </c>
      <c r="E1897" s="2385">
        <v>0</v>
      </c>
      <c r="F1897" s="2386">
        <v>0</v>
      </c>
      <c r="G1897" s="2412" t="s">
        <v>6395</v>
      </c>
      <c r="H1897" s="2383">
        <v>0</v>
      </c>
      <c r="I1897" s="2383">
        <v>0</v>
      </c>
      <c r="J1897" s="2413">
        <v>0</v>
      </c>
      <c r="K1897" s="2387"/>
      <c r="L1897" s="2381">
        <v>13213010600</v>
      </c>
      <c r="M1897" s="2382">
        <v>0</v>
      </c>
      <c r="N1897" s="2382">
        <v>0</v>
      </c>
      <c r="O1897" s="2383">
        <v>0</v>
      </c>
    </row>
    <row r="1898" spans="3:15">
      <c r="C1898" s="2388" t="s">
        <v>6396</v>
      </c>
      <c r="D1898" s="2385">
        <v>0</v>
      </c>
      <c r="E1898" s="2385">
        <v>0</v>
      </c>
      <c r="F1898" s="2386">
        <v>0</v>
      </c>
      <c r="G1898" s="2412" t="s">
        <v>6396</v>
      </c>
      <c r="H1898" s="2383">
        <v>0</v>
      </c>
      <c r="I1898" s="2383">
        <v>0</v>
      </c>
      <c r="J1898" s="2413">
        <v>0</v>
      </c>
      <c r="K1898" s="2387"/>
      <c r="L1898" s="2381">
        <v>13213010700</v>
      </c>
      <c r="M1898" s="2382">
        <v>0</v>
      </c>
      <c r="N1898" s="2382">
        <v>0</v>
      </c>
      <c r="O1898" s="2383">
        <v>0</v>
      </c>
    </row>
    <row r="1899" spans="3:15">
      <c r="C1899" s="2388" t="s">
        <v>6397</v>
      </c>
      <c r="D1899" s="2385">
        <v>0</v>
      </c>
      <c r="E1899" s="2385">
        <v>1</v>
      </c>
      <c r="F1899" s="2386">
        <v>1</v>
      </c>
      <c r="G1899" s="2412" t="s">
        <v>6397</v>
      </c>
      <c r="H1899" s="2383">
        <v>0</v>
      </c>
      <c r="I1899" s="2383">
        <v>1</v>
      </c>
      <c r="J1899" s="2413">
        <v>1</v>
      </c>
      <c r="K1899" s="2387"/>
      <c r="L1899" s="2381">
        <v>13215000200</v>
      </c>
      <c r="M1899" s="2382">
        <v>0</v>
      </c>
      <c r="N1899" s="2382">
        <v>1</v>
      </c>
      <c r="O1899" s="2383">
        <v>1</v>
      </c>
    </row>
    <row r="1900" spans="3:15">
      <c r="C1900" s="2388" t="s">
        <v>6398</v>
      </c>
      <c r="D1900" s="2385">
        <v>0</v>
      </c>
      <c r="E1900" s="2385">
        <v>0</v>
      </c>
      <c r="F1900" s="2386">
        <v>0</v>
      </c>
      <c r="G1900" s="2412" t="s">
        <v>6398</v>
      </c>
      <c r="H1900" s="2383">
        <v>0</v>
      </c>
      <c r="I1900" s="2383">
        <v>0</v>
      </c>
      <c r="J1900" s="2413">
        <v>0</v>
      </c>
      <c r="K1900" s="2387"/>
      <c r="L1900" s="2381">
        <v>13215000300</v>
      </c>
      <c r="M1900" s="2382">
        <v>0</v>
      </c>
      <c r="N1900" s="2382">
        <v>0</v>
      </c>
      <c r="O1900" s="2383">
        <v>0</v>
      </c>
    </row>
    <row r="1901" spans="3:15">
      <c r="C1901" s="2388" t="s">
        <v>6399</v>
      </c>
      <c r="D1901" s="2385">
        <v>0</v>
      </c>
      <c r="E1901" s="2385">
        <v>0</v>
      </c>
      <c r="F1901" s="2386">
        <v>0</v>
      </c>
      <c r="G1901" s="2412" t="s">
        <v>6399</v>
      </c>
      <c r="H1901" s="2383">
        <v>0</v>
      </c>
      <c r="I1901" s="2383">
        <v>0</v>
      </c>
      <c r="J1901" s="2413">
        <v>0</v>
      </c>
      <c r="K1901" s="2387"/>
      <c r="L1901" s="2381">
        <v>13215000400</v>
      </c>
      <c r="M1901" s="2382">
        <v>0</v>
      </c>
      <c r="N1901" s="2382">
        <v>0</v>
      </c>
      <c r="O1901" s="2383">
        <v>0</v>
      </c>
    </row>
    <row r="1902" spans="3:15">
      <c r="C1902" s="2388" t="s">
        <v>6400</v>
      </c>
      <c r="D1902" s="2385">
        <v>0</v>
      </c>
      <c r="E1902" s="2385">
        <v>0</v>
      </c>
      <c r="F1902" s="2386">
        <v>0</v>
      </c>
      <c r="G1902" s="2412" t="s">
        <v>6400</v>
      </c>
      <c r="H1902" s="2383">
        <v>0</v>
      </c>
      <c r="I1902" s="2383">
        <v>0</v>
      </c>
      <c r="J1902" s="2413">
        <v>0</v>
      </c>
      <c r="K1902" s="2387"/>
      <c r="L1902" s="2381">
        <v>13215000800</v>
      </c>
      <c r="M1902" s="2382">
        <v>0</v>
      </c>
      <c r="N1902" s="2382">
        <v>0</v>
      </c>
      <c r="O1902" s="2383">
        <v>0</v>
      </c>
    </row>
    <row r="1903" spans="3:15">
      <c r="C1903" s="2388" t="s">
        <v>6401</v>
      </c>
      <c r="D1903" s="2385">
        <v>0</v>
      </c>
      <c r="E1903" s="2385">
        <v>0</v>
      </c>
      <c r="F1903" s="2386">
        <v>0</v>
      </c>
      <c r="G1903" s="2412" t="s">
        <v>6401</v>
      </c>
      <c r="H1903" s="2383">
        <v>0</v>
      </c>
      <c r="I1903" s="2383">
        <v>0</v>
      </c>
      <c r="J1903" s="2413">
        <v>0</v>
      </c>
      <c r="K1903" s="2387"/>
      <c r="L1903" s="2381">
        <v>13215000900</v>
      </c>
      <c r="M1903" s="2382">
        <v>0</v>
      </c>
      <c r="N1903" s="2382">
        <v>0</v>
      </c>
      <c r="O1903" s="2383">
        <v>0</v>
      </c>
    </row>
    <row r="1904" spans="3:15">
      <c r="C1904" s="2388" t="s">
        <v>6402</v>
      </c>
      <c r="D1904" s="2385">
        <v>0</v>
      </c>
      <c r="E1904" s="2385">
        <v>0</v>
      </c>
      <c r="F1904" s="2386">
        <v>0</v>
      </c>
      <c r="G1904" s="2412" t="s">
        <v>6402</v>
      </c>
      <c r="H1904" s="2383">
        <v>0</v>
      </c>
      <c r="I1904" s="2383">
        <v>0</v>
      </c>
      <c r="J1904" s="2413">
        <v>0</v>
      </c>
      <c r="K1904" s="2387"/>
      <c r="L1904" s="2381">
        <v>13215001000</v>
      </c>
      <c r="M1904" s="2382">
        <v>0</v>
      </c>
      <c r="N1904" s="2382">
        <v>0</v>
      </c>
      <c r="O1904" s="2383">
        <v>0</v>
      </c>
    </row>
    <row r="1905" spans="3:15">
      <c r="C1905" s="2388" t="s">
        <v>6403</v>
      </c>
      <c r="D1905" s="2385">
        <v>1</v>
      </c>
      <c r="E1905" s="2385">
        <v>1</v>
      </c>
      <c r="F1905" s="2386">
        <v>2</v>
      </c>
      <c r="G1905" s="2412" t="s">
        <v>6403</v>
      </c>
      <c r="H1905" s="2383">
        <v>1</v>
      </c>
      <c r="I1905" s="2383">
        <v>1</v>
      </c>
      <c r="J1905" s="2413">
        <v>2</v>
      </c>
      <c r="K1905" s="2387"/>
      <c r="L1905" s="2381">
        <v>13215001100</v>
      </c>
      <c r="M1905" s="2382">
        <v>1</v>
      </c>
      <c r="N1905" s="2382">
        <v>1</v>
      </c>
      <c r="O1905" s="2383">
        <v>2</v>
      </c>
    </row>
    <row r="1906" spans="3:15">
      <c r="C1906" s="2388" t="s">
        <v>6404</v>
      </c>
      <c r="D1906" s="2385">
        <v>1</v>
      </c>
      <c r="E1906" s="2385">
        <v>1</v>
      </c>
      <c r="F1906" s="2386">
        <v>2</v>
      </c>
      <c r="G1906" s="2412" t="s">
        <v>6404</v>
      </c>
      <c r="H1906" s="2383">
        <v>1</v>
      </c>
      <c r="I1906" s="2383">
        <v>1</v>
      </c>
      <c r="J1906" s="2413">
        <v>2</v>
      </c>
      <c r="K1906" s="2387"/>
      <c r="L1906" s="2381">
        <v>13215001200</v>
      </c>
      <c r="M1906" s="2382">
        <v>1</v>
      </c>
      <c r="N1906" s="2382">
        <v>1</v>
      </c>
      <c r="O1906" s="2383">
        <v>2</v>
      </c>
    </row>
    <row r="1907" spans="3:15">
      <c r="C1907" s="2388" t="s">
        <v>6405</v>
      </c>
      <c r="D1907" s="2385">
        <v>0</v>
      </c>
      <c r="E1907" s="2385">
        <v>0</v>
      </c>
      <c r="F1907" s="2386">
        <v>0</v>
      </c>
      <c r="G1907" s="2412" t="s">
        <v>6405</v>
      </c>
      <c r="H1907" s="2383">
        <v>0</v>
      </c>
      <c r="I1907" s="2383">
        <v>0</v>
      </c>
      <c r="J1907" s="2413">
        <v>0</v>
      </c>
      <c r="K1907" s="2387"/>
      <c r="L1907" s="2381">
        <v>13215001400</v>
      </c>
      <c r="M1907" s="2382">
        <v>0</v>
      </c>
      <c r="N1907" s="2382">
        <v>0</v>
      </c>
      <c r="O1907" s="2383">
        <v>0</v>
      </c>
    </row>
    <row r="1908" spans="3:15">
      <c r="C1908" s="2388" t="s">
        <v>6406</v>
      </c>
      <c r="D1908" s="2385">
        <v>0</v>
      </c>
      <c r="E1908" s="2385">
        <v>0</v>
      </c>
      <c r="F1908" s="2386">
        <v>0</v>
      </c>
      <c r="G1908" s="2412" t="s">
        <v>6406</v>
      </c>
      <c r="H1908" s="2383">
        <v>0</v>
      </c>
      <c r="I1908" s="2383" t="s">
        <v>4493</v>
      </c>
      <c r="J1908" s="2413">
        <v>0</v>
      </c>
      <c r="K1908" s="2387"/>
      <c r="L1908" s="2381">
        <v>13215001600</v>
      </c>
      <c r="M1908" s="2382">
        <v>0</v>
      </c>
      <c r="N1908" s="2382">
        <v>0</v>
      </c>
      <c r="O1908" s="2383">
        <v>0</v>
      </c>
    </row>
    <row r="1909" spans="3:15">
      <c r="C1909" s="2388" t="s">
        <v>6407</v>
      </c>
      <c r="D1909" s="2385">
        <v>0</v>
      </c>
      <c r="E1909" s="2385">
        <v>0</v>
      </c>
      <c r="F1909" s="2386">
        <v>0</v>
      </c>
      <c r="G1909" s="2412" t="s">
        <v>6407</v>
      </c>
      <c r="H1909" s="2383">
        <v>0</v>
      </c>
      <c r="I1909" s="2383">
        <v>0</v>
      </c>
      <c r="J1909" s="2413">
        <v>0</v>
      </c>
      <c r="K1909" s="2387"/>
      <c r="L1909" s="2381">
        <v>13215001800</v>
      </c>
      <c r="M1909" s="2382">
        <v>0</v>
      </c>
      <c r="N1909" s="2382">
        <v>0</v>
      </c>
      <c r="O1909" s="2383">
        <v>0</v>
      </c>
    </row>
    <row r="1910" spans="3:15">
      <c r="C1910" s="2388" t="s">
        <v>6408</v>
      </c>
      <c r="D1910" s="2385">
        <v>0</v>
      </c>
      <c r="E1910" s="2385">
        <v>0</v>
      </c>
      <c r="F1910" s="2386">
        <v>0</v>
      </c>
      <c r="G1910" s="2412" t="s">
        <v>6408</v>
      </c>
      <c r="H1910" s="2383">
        <v>0</v>
      </c>
      <c r="I1910" s="2383">
        <v>0</v>
      </c>
      <c r="J1910" s="2413">
        <v>0</v>
      </c>
      <c r="K1910" s="2387"/>
      <c r="L1910" s="2381">
        <v>13215002000</v>
      </c>
      <c r="M1910" s="2382">
        <v>0</v>
      </c>
      <c r="N1910" s="2382">
        <v>0</v>
      </c>
      <c r="O1910" s="2383">
        <v>0</v>
      </c>
    </row>
    <row r="1911" spans="3:15">
      <c r="C1911" s="2388" t="s">
        <v>6409</v>
      </c>
      <c r="D1911" s="2385">
        <v>0</v>
      </c>
      <c r="E1911" s="2385">
        <v>0</v>
      </c>
      <c r="F1911" s="2386">
        <v>0</v>
      </c>
      <c r="G1911" s="2412" t="s">
        <v>6409</v>
      </c>
      <c r="H1911" s="2383">
        <v>0</v>
      </c>
      <c r="I1911" s="2383">
        <v>0</v>
      </c>
      <c r="J1911" s="2413">
        <v>0</v>
      </c>
      <c r="K1911" s="2387"/>
      <c r="L1911" s="2381">
        <v>13215002100</v>
      </c>
      <c r="M1911" s="2382">
        <v>0</v>
      </c>
      <c r="N1911" s="2382">
        <v>0</v>
      </c>
      <c r="O1911" s="2383">
        <v>0</v>
      </c>
    </row>
    <row r="1912" spans="3:15">
      <c r="C1912" s="2388" t="s">
        <v>6410</v>
      </c>
      <c r="D1912" s="2385">
        <v>0</v>
      </c>
      <c r="E1912" s="2385">
        <v>0</v>
      </c>
      <c r="F1912" s="2386">
        <v>0</v>
      </c>
      <c r="G1912" s="2412" t="s">
        <v>6410</v>
      </c>
      <c r="H1912" s="2383">
        <v>0</v>
      </c>
      <c r="I1912" s="2383">
        <v>0</v>
      </c>
      <c r="J1912" s="2413">
        <v>0</v>
      </c>
      <c r="K1912" s="2387"/>
      <c r="L1912" s="2381">
        <v>13215002200</v>
      </c>
      <c r="M1912" s="2382">
        <v>0</v>
      </c>
      <c r="N1912" s="2382">
        <v>0</v>
      </c>
      <c r="O1912" s="2383">
        <v>0</v>
      </c>
    </row>
    <row r="1913" spans="3:15">
      <c r="C1913" s="2388" t="s">
        <v>6411</v>
      </c>
      <c r="D1913" s="2385">
        <v>0</v>
      </c>
      <c r="E1913" s="2385">
        <v>0</v>
      </c>
      <c r="F1913" s="2386">
        <v>0</v>
      </c>
      <c r="G1913" s="2412" t="s">
        <v>6411</v>
      </c>
      <c r="H1913" s="2383">
        <v>0</v>
      </c>
      <c r="I1913" s="2383">
        <v>0</v>
      </c>
      <c r="J1913" s="2413">
        <v>0</v>
      </c>
      <c r="K1913" s="2387"/>
      <c r="L1913" s="2381">
        <v>13215002300</v>
      </c>
      <c r="M1913" s="2382">
        <v>0</v>
      </c>
      <c r="N1913" s="2382">
        <v>0</v>
      </c>
      <c r="O1913" s="2383">
        <v>0</v>
      </c>
    </row>
    <row r="1914" spans="3:15">
      <c r="C1914" s="2388" t="s">
        <v>6412</v>
      </c>
      <c r="D1914" s="2385">
        <v>0</v>
      </c>
      <c r="E1914" s="2385">
        <v>0</v>
      </c>
      <c r="F1914" s="2386">
        <v>0</v>
      </c>
      <c r="G1914" s="2412" t="s">
        <v>6412</v>
      </c>
      <c r="H1914" s="2383">
        <v>0</v>
      </c>
      <c r="I1914" s="2383">
        <v>0</v>
      </c>
      <c r="J1914" s="2413">
        <v>0</v>
      </c>
      <c r="K1914" s="2387"/>
      <c r="L1914" s="2381">
        <v>13215002400</v>
      </c>
      <c r="M1914" s="2382">
        <v>0</v>
      </c>
      <c r="N1914" s="2382">
        <v>0</v>
      </c>
      <c r="O1914" s="2383">
        <v>0</v>
      </c>
    </row>
    <row r="1915" spans="3:15">
      <c r="C1915" s="2388" t="s">
        <v>6413</v>
      </c>
      <c r="D1915" s="2385">
        <v>0</v>
      </c>
      <c r="E1915" s="2385">
        <v>0</v>
      </c>
      <c r="F1915" s="2386">
        <v>0</v>
      </c>
      <c r="G1915" s="2412" t="s">
        <v>6413</v>
      </c>
      <c r="H1915" s="2383">
        <v>0</v>
      </c>
      <c r="I1915" s="2383">
        <v>0</v>
      </c>
      <c r="J1915" s="2413">
        <v>0</v>
      </c>
      <c r="K1915" s="2387"/>
      <c r="L1915" s="2381">
        <v>13215002500</v>
      </c>
      <c r="M1915" s="2382">
        <v>0</v>
      </c>
      <c r="N1915" s="2382">
        <v>0</v>
      </c>
      <c r="O1915" s="2383">
        <v>0</v>
      </c>
    </row>
    <row r="1916" spans="3:15">
      <c r="C1916" s="2388" t="s">
        <v>6414</v>
      </c>
      <c r="D1916" s="2385">
        <v>0</v>
      </c>
      <c r="E1916" s="2385">
        <v>0</v>
      </c>
      <c r="F1916" s="2386">
        <v>0</v>
      </c>
      <c r="G1916" s="2412" t="s">
        <v>6414</v>
      </c>
      <c r="H1916" s="2383">
        <v>0</v>
      </c>
      <c r="I1916" s="2383">
        <v>0</v>
      </c>
      <c r="J1916" s="2413">
        <v>0</v>
      </c>
      <c r="K1916" s="2387"/>
      <c r="L1916" s="2381">
        <v>13215002700</v>
      </c>
      <c r="M1916" s="2382">
        <v>0</v>
      </c>
      <c r="N1916" s="2382">
        <v>0</v>
      </c>
      <c r="O1916" s="2383">
        <v>0</v>
      </c>
    </row>
    <row r="1917" spans="3:15">
      <c r="C1917" s="2388" t="s">
        <v>6415</v>
      </c>
      <c r="D1917" s="2385">
        <v>0</v>
      </c>
      <c r="E1917" s="2385">
        <v>0</v>
      </c>
      <c r="F1917" s="2386">
        <v>0</v>
      </c>
      <c r="G1917" s="2412" t="s">
        <v>6415</v>
      </c>
      <c r="H1917" s="2383">
        <v>0</v>
      </c>
      <c r="I1917" s="2383">
        <v>0</v>
      </c>
      <c r="J1917" s="2413">
        <v>0</v>
      </c>
      <c r="K1917" s="2387"/>
      <c r="L1917" s="2381">
        <v>13215002800</v>
      </c>
      <c r="M1917" s="2382">
        <v>0</v>
      </c>
      <c r="N1917" s="2382">
        <v>0</v>
      </c>
      <c r="O1917" s="2383">
        <v>0</v>
      </c>
    </row>
    <row r="1918" spans="3:15">
      <c r="C1918" s="2388" t="s">
        <v>6416</v>
      </c>
      <c r="D1918" s="2385">
        <v>0</v>
      </c>
      <c r="E1918" s="2385">
        <v>0</v>
      </c>
      <c r="F1918" s="2386">
        <v>0</v>
      </c>
      <c r="G1918" s="2412" t="s">
        <v>6416</v>
      </c>
      <c r="H1918" s="2383">
        <v>0</v>
      </c>
      <c r="I1918" s="2383">
        <v>0</v>
      </c>
      <c r="J1918" s="2413">
        <v>0</v>
      </c>
      <c r="K1918" s="2387"/>
      <c r="L1918" s="2381">
        <v>13215002901</v>
      </c>
      <c r="M1918" s="2382">
        <v>0</v>
      </c>
      <c r="N1918" s="2382">
        <v>0</v>
      </c>
      <c r="O1918" s="2383">
        <v>0</v>
      </c>
    </row>
    <row r="1919" spans="3:15">
      <c r="C1919" s="2388" t="s">
        <v>6417</v>
      </c>
      <c r="D1919" s="2385">
        <v>0</v>
      </c>
      <c r="E1919" s="2385">
        <v>0</v>
      </c>
      <c r="F1919" s="2386">
        <v>0</v>
      </c>
      <c r="G1919" s="2412" t="s">
        <v>6417</v>
      </c>
      <c r="H1919" s="2383">
        <v>0</v>
      </c>
      <c r="I1919" s="2383">
        <v>0</v>
      </c>
      <c r="J1919" s="2413">
        <v>0</v>
      </c>
      <c r="K1919" s="2387"/>
      <c r="L1919" s="2381">
        <v>13215002902</v>
      </c>
      <c r="M1919" s="2382">
        <v>0</v>
      </c>
      <c r="N1919" s="2382">
        <v>0</v>
      </c>
      <c r="O1919" s="2383">
        <v>0</v>
      </c>
    </row>
    <row r="1920" spans="3:15">
      <c r="C1920" s="2388" t="s">
        <v>6418</v>
      </c>
      <c r="D1920" s="2385">
        <v>0</v>
      </c>
      <c r="E1920" s="2385">
        <v>0</v>
      </c>
      <c r="F1920" s="2386">
        <v>0</v>
      </c>
      <c r="G1920" s="2412" t="s">
        <v>6418</v>
      </c>
      <c r="H1920" s="2383">
        <v>0</v>
      </c>
      <c r="I1920" s="2383" t="s">
        <v>4493</v>
      </c>
      <c r="J1920" s="2413">
        <v>0</v>
      </c>
      <c r="K1920" s="2387"/>
      <c r="L1920" s="2381">
        <v>13215003000</v>
      </c>
      <c r="M1920" s="2382">
        <v>0</v>
      </c>
      <c r="N1920" s="2382">
        <v>0</v>
      </c>
      <c r="O1920" s="2383">
        <v>0</v>
      </c>
    </row>
    <row r="1921" spans="3:15">
      <c r="C1921" s="2388" t="s">
        <v>6419</v>
      </c>
      <c r="D1921" s="2385">
        <v>0</v>
      </c>
      <c r="E1921" s="2385">
        <v>0</v>
      </c>
      <c r="F1921" s="2386">
        <v>0</v>
      </c>
      <c r="G1921" s="2412" t="s">
        <v>6419</v>
      </c>
      <c r="H1921" s="2383">
        <v>0</v>
      </c>
      <c r="I1921" s="2383">
        <v>0</v>
      </c>
      <c r="J1921" s="2413">
        <v>0</v>
      </c>
      <c r="K1921" s="2387"/>
      <c r="L1921" s="2381">
        <v>13215003200</v>
      </c>
      <c r="M1921" s="2382">
        <v>0</v>
      </c>
      <c r="N1921" s="2382">
        <v>0</v>
      </c>
      <c r="O1921" s="2383">
        <v>0</v>
      </c>
    </row>
    <row r="1922" spans="3:15">
      <c r="C1922" s="2388" t="s">
        <v>6420</v>
      </c>
      <c r="D1922" s="2385">
        <v>0</v>
      </c>
      <c r="E1922" s="2385">
        <v>0</v>
      </c>
      <c r="F1922" s="2386">
        <v>0</v>
      </c>
      <c r="G1922" s="2412" t="s">
        <v>6420</v>
      </c>
      <c r="H1922" s="2383">
        <v>0</v>
      </c>
      <c r="I1922" s="2383">
        <v>0</v>
      </c>
      <c r="J1922" s="2413">
        <v>0</v>
      </c>
      <c r="K1922" s="2387"/>
      <c r="L1922" s="2381">
        <v>13215003301</v>
      </c>
      <c r="M1922" s="2382">
        <v>0</v>
      </c>
      <c r="N1922" s="2382">
        <v>0</v>
      </c>
      <c r="O1922" s="2383">
        <v>0</v>
      </c>
    </row>
    <row r="1923" spans="3:15">
      <c r="C1923" s="2388" t="s">
        <v>6421</v>
      </c>
      <c r="D1923" s="2385">
        <v>0</v>
      </c>
      <c r="E1923" s="2385">
        <v>0</v>
      </c>
      <c r="F1923" s="2386">
        <v>0</v>
      </c>
      <c r="G1923" s="2412" t="s">
        <v>6421</v>
      </c>
      <c r="H1923" s="2383">
        <v>0</v>
      </c>
      <c r="I1923" s="2383">
        <v>0</v>
      </c>
      <c r="J1923" s="2413">
        <v>0</v>
      </c>
      <c r="K1923" s="2387"/>
      <c r="L1923" s="2381">
        <v>13215003302</v>
      </c>
      <c r="M1923" s="2382">
        <v>0</v>
      </c>
      <c r="N1923" s="2382">
        <v>0</v>
      </c>
      <c r="O1923" s="2383">
        <v>0</v>
      </c>
    </row>
    <row r="1924" spans="3:15">
      <c r="C1924" s="2388" t="s">
        <v>6422</v>
      </c>
      <c r="D1924" s="2385">
        <v>0</v>
      </c>
      <c r="E1924" s="2385">
        <v>0</v>
      </c>
      <c r="F1924" s="2386">
        <v>0</v>
      </c>
      <c r="G1924" s="2412" t="s">
        <v>6422</v>
      </c>
      <c r="H1924" s="2383">
        <v>0</v>
      </c>
      <c r="I1924" s="2383">
        <v>0</v>
      </c>
      <c r="J1924" s="2413">
        <v>0</v>
      </c>
      <c r="K1924" s="2387"/>
      <c r="L1924" s="2381">
        <v>13215003400</v>
      </c>
      <c r="M1924" s="2382">
        <v>0</v>
      </c>
      <c r="N1924" s="2382">
        <v>0</v>
      </c>
      <c r="O1924" s="2383">
        <v>0</v>
      </c>
    </row>
    <row r="1925" spans="3:15">
      <c r="C1925" s="2388" t="s">
        <v>6423</v>
      </c>
      <c r="D1925" s="2385">
        <v>1</v>
      </c>
      <c r="E1925" s="2385">
        <v>1</v>
      </c>
      <c r="F1925" s="2386">
        <v>2</v>
      </c>
      <c r="G1925" s="2412" t="s">
        <v>6423</v>
      </c>
      <c r="H1925" s="2383">
        <v>1</v>
      </c>
      <c r="I1925" s="2383">
        <v>1</v>
      </c>
      <c r="J1925" s="2413">
        <v>2</v>
      </c>
      <c r="K1925" s="2387"/>
      <c r="L1925" s="2381">
        <v>13215010104</v>
      </c>
      <c r="M1925" s="2382">
        <v>1</v>
      </c>
      <c r="N1925" s="2382">
        <v>1</v>
      </c>
      <c r="O1925" s="2383">
        <v>2</v>
      </c>
    </row>
    <row r="1926" spans="3:15">
      <c r="C1926" s="2388" t="s">
        <v>6424</v>
      </c>
      <c r="D1926" s="2385">
        <v>0</v>
      </c>
      <c r="E1926" s="2385">
        <v>1</v>
      </c>
      <c r="F1926" s="2386">
        <v>1</v>
      </c>
      <c r="G1926" s="2412" t="s">
        <v>6424</v>
      </c>
      <c r="H1926" s="2383">
        <v>0</v>
      </c>
      <c r="I1926" s="2383">
        <v>1</v>
      </c>
      <c r="J1926" s="2413">
        <v>1</v>
      </c>
      <c r="K1926" s="2387"/>
      <c r="L1926" s="2381">
        <v>13215010106</v>
      </c>
      <c r="M1926" s="2382">
        <v>0</v>
      </c>
      <c r="N1926" s="2382">
        <v>1</v>
      </c>
      <c r="O1926" s="2383">
        <v>1</v>
      </c>
    </row>
    <row r="1927" spans="3:15">
      <c r="C1927" s="2388" t="s">
        <v>6425</v>
      </c>
      <c r="D1927" s="2385">
        <v>1</v>
      </c>
      <c r="E1927" s="2385">
        <v>1</v>
      </c>
      <c r="F1927" s="2386">
        <v>2</v>
      </c>
      <c r="G1927" s="2412" t="s">
        <v>6425</v>
      </c>
      <c r="H1927" s="2383">
        <v>1</v>
      </c>
      <c r="I1927" s="2383">
        <v>1</v>
      </c>
      <c r="J1927" s="2413">
        <v>2</v>
      </c>
      <c r="K1927" s="2387"/>
      <c r="L1927" s="2381">
        <v>13215010107</v>
      </c>
      <c r="M1927" s="2382">
        <v>1</v>
      </c>
      <c r="N1927" s="2382">
        <v>1</v>
      </c>
      <c r="O1927" s="2383">
        <v>2</v>
      </c>
    </row>
    <row r="1928" spans="3:15">
      <c r="C1928" s="2388" t="s">
        <v>6426</v>
      </c>
      <c r="D1928" s="2385">
        <v>1</v>
      </c>
      <c r="E1928" s="2385">
        <v>1</v>
      </c>
      <c r="F1928" s="2386">
        <v>2</v>
      </c>
      <c r="G1928" s="2412" t="s">
        <v>6426</v>
      </c>
      <c r="H1928" s="2383">
        <v>1</v>
      </c>
      <c r="I1928" s="2383">
        <v>1</v>
      </c>
      <c r="J1928" s="2413">
        <v>2</v>
      </c>
      <c r="K1928" s="2387"/>
      <c r="L1928" s="2381">
        <v>13215010201</v>
      </c>
      <c r="M1928" s="2382">
        <v>1</v>
      </c>
      <c r="N1928" s="2382">
        <v>1</v>
      </c>
      <c r="O1928" s="2383">
        <v>2</v>
      </c>
    </row>
    <row r="1929" spans="3:15">
      <c r="C1929" s="2388" t="s">
        <v>6427</v>
      </c>
      <c r="D1929" s="2385">
        <v>1</v>
      </c>
      <c r="E1929" s="2385">
        <v>1</v>
      </c>
      <c r="F1929" s="2386">
        <v>2</v>
      </c>
      <c r="G1929" s="2412" t="s">
        <v>6427</v>
      </c>
      <c r="H1929" s="2383">
        <v>1</v>
      </c>
      <c r="I1929" s="2383">
        <v>1</v>
      </c>
      <c r="J1929" s="2413">
        <v>2</v>
      </c>
      <c r="K1929" s="2387"/>
      <c r="L1929" s="2381">
        <v>13215010203</v>
      </c>
      <c r="M1929" s="2382">
        <v>1</v>
      </c>
      <c r="N1929" s="2382">
        <v>1</v>
      </c>
      <c r="O1929" s="2383">
        <v>2</v>
      </c>
    </row>
    <row r="1930" spans="3:15">
      <c r="C1930" s="2388" t="s">
        <v>6428</v>
      </c>
      <c r="D1930" s="2385">
        <v>1</v>
      </c>
      <c r="E1930" s="2385">
        <v>1</v>
      </c>
      <c r="F1930" s="2386">
        <v>2</v>
      </c>
      <c r="G1930" s="2412" t="s">
        <v>6428</v>
      </c>
      <c r="H1930" s="2383">
        <v>1</v>
      </c>
      <c r="I1930" s="2383">
        <v>1</v>
      </c>
      <c r="J1930" s="2413">
        <v>2</v>
      </c>
      <c r="K1930" s="2387"/>
      <c r="L1930" s="2381">
        <v>13215010204</v>
      </c>
      <c r="M1930" s="2382">
        <v>1</v>
      </c>
      <c r="N1930" s="2382">
        <v>1</v>
      </c>
      <c r="O1930" s="2383">
        <v>2</v>
      </c>
    </row>
    <row r="1931" spans="3:15">
      <c r="C1931" s="2388" t="s">
        <v>6429</v>
      </c>
      <c r="D1931" s="2385">
        <v>1</v>
      </c>
      <c r="E1931" s="2385">
        <v>1</v>
      </c>
      <c r="F1931" s="2386">
        <v>2</v>
      </c>
      <c r="G1931" s="2412" t="s">
        <v>6429</v>
      </c>
      <c r="H1931" s="2383">
        <v>1</v>
      </c>
      <c r="I1931" s="2383">
        <v>1</v>
      </c>
      <c r="J1931" s="2413">
        <v>2</v>
      </c>
      <c r="K1931" s="2387"/>
      <c r="L1931" s="2381">
        <v>13215010205</v>
      </c>
      <c r="M1931" s="2382">
        <v>1</v>
      </c>
      <c r="N1931" s="2382">
        <v>1</v>
      </c>
      <c r="O1931" s="2383">
        <v>2</v>
      </c>
    </row>
    <row r="1932" spans="3:15">
      <c r="C1932" s="2388" t="s">
        <v>6430</v>
      </c>
      <c r="D1932" s="2385">
        <v>1</v>
      </c>
      <c r="E1932" s="2385">
        <v>1</v>
      </c>
      <c r="F1932" s="2386">
        <v>2</v>
      </c>
      <c r="G1932" s="2412" t="s">
        <v>6430</v>
      </c>
      <c r="H1932" s="2383">
        <v>1</v>
      </c>
      <c r="I1932" s="2383">
        <v>1</v>
      </c>
      <c r="J1932" s="2413">
        <v>2</v>
      </c>
      <c r="K1932" s="2387"/>
      <c r="L1932" s="2381">
        <v>13215010301</v>
      </c>
      <c r="M1932" s="2382">
        <v>1</v>
      </c>
      <c r="N1932" s="2382">
        <v>1</v>
      </c>
      <c r="O1932" s="2383">
        <v>2</v>
      </c>
    </row>
    <row r="1933" spans="3:15">
      <c r="C1933" s="2388" t="s">
        <v>6431</v>
      </c>
      <c r="D1933" s="2385">
        <v>1</v>
      </c>
      <c r="E1933" s="2385">
        <v>1</v>
      </c>
      <c r="F1933" s="2386">
        <v>2</v>
      </c>
      <c r="G1933" s="2412" t="s">
        <v>6431</v>
      </c>
      <c r="H1933" s="2383">
        <v>1</v>
      </c>
      <c r="I1933" s="2383">
        <v>1</v>
      </c>
      <c r="J1933" s="2413">
        <v>2</v>
      </c>
      <c r="K1933" s="2387"/>
      <c r="L1933" s="2381">
        <v>13215010302</v>
      </c>
      <c r="M1933" s="2382">
        <v>1</v>
      </c>
      <c r="N1933" s="2382">
        <v>1</v>
      </c>
      <c r="O1933" s="2383">
        <v>2</v>
      </c>
    </row>
    <row r="1934" spans="3:15">
      <c r="C1934" s="2388" t="s">
        <v>6432</v>
      </c>
      <c r="D1934" s="2385">
        <v>1</v>
      </c>
      <c r="E1934" s="2385">
        <v>1</v>
      </c>
      <c r="F1934" s="2386">
        <v>2</v>
      </c>
      <c r="G1934" s="2412" t="s">
        <v>6432</v>
      </c>
      <c r="H1934" s="2383">
        <v>1</v>
      </c>
      <c r="I1934" s="2383">
        <v>1</v>
      </c>
      <c r="J1934" s="2413">
        <v>2</v>
      </c>
      <c r="K1934" s="2387"/>
      <c r="L1934" s="2381">
        <v>13215010401</v>
      </c>
      <c r="M1934" s="2382">
        <v>1</v>
      </c>
      <c r="N1934" s="2382">
        <v>1</v>
      </c>
      <c r="O1934" s="2383">
        <v>2</v>
      </c>
    </row>
    <row r="1935" spans="3:15">
      <c r="C1935" s="2388" t="s">
        <v>6433</v>
      </c>
      <c r="D1935" s="2385">
        <v>1</v>
      </c>
      <c r="E1935" s="2385">
        <v>0</v>
      </c>
      <c r="F1935" s="2386">
        <v>1</v>
      </c>
      <c r="G1935" s="2412" t="s">
        <v>6433</v>
      </c>
      <c r="H1935" s="2383">
        <v>1</v>
      </c>
      <c r="I1935" s="2383">
        <v>0</v>
      </c>
      <c r="J1935" s="2413">
        <v>0</v>
      </c>
      <c r="K1935" s="2387"/>
      <c r="L1935" s="2381">
        <v>13215010402</v>
      </c>
      <c r="M1935" s="2382">
        <v>1</v>
      </c>
      <c r="N1935" s="2382">
        <v>0</v>
      </c>
      <c r="O1935" s="2383">
        <v>1</v>
      </c>
    </row>
    <row r="1936" spans="3:15">
      <c r="C1936" s="2388" t="s">
        <v>6434</v>
      </c>
      <c r="D1936" s="2385">
        <v>1</v>
      </c>
      <c r="E1936" s="2385">
        <v>0</v>
      </c>
      <c r="F1936" s="2386">
        <v>1</v>
      </c>
      <c r="G1936" s="2412" t="s">
        <v>6434</v>
      </c>
      <c r="H1936" s="2383">
        <v>0</v>
      </c>
      <c r="I1936" s="2383">
        <v>1</v>
      </c>
      <c r="J1936" s="2413">
        <v>1</v>
      </c>
      <c r="K1936" s="2387"/>
      <c r="L1936" s="2381">
        <v>13215010501</v>
      </c>
      <c r="M1936" s="2382">
        <v>1</v>
      </c>
      <c r="N1936" s="2382">
        <v>1</v>
      </c>
      <c r="O1936" s="2383">
        <v>1</v>
      </c>
    </row>
    <row r="1937" spans="3:15">
      <c r="C1937" s="2388" t="s">
        <v>6435</v>
      </c>
      <c r="D1937" s="2385">
        <v>0</v>
      </c>
      <c r="E1937" s="2385">
        <v>0</v>
      </c>
      <c r="F1937" s="2386">
        <v>0</v>
      </c>
      <c r="G1937" s="2412" t="s">
        <v>6435</v>
      </c>
      <c r="H1937" s="2383">
        <v>0</v>
      </c>
      <c r="I1937" s="2383">
        <v>0</v>
      </c>
      <c r="J1937" s="2413">
        <v>0</v>
      </c>
      <c r="K1937" s="2387"/>
      <c r="L1937" s="2381">
        <v>13215010502</v>
      </c>
      <c r="M1937" s="2382">
        <v>0</v>
      </c>
      <c r="N1937" s="2382">
        <v>0</v>
      </c>
      <c r="O1937" s="2383">
        <v>0</v>
      </c>
    </row>
    <row r="1938" spans="3:15">
      <c r="C1938" s="2388" t="s">
        <v>6436</v>
      </c>
      <c r="D1938" s="2385">
        <v>0</v>
      </c>
      <c r="E1938" s="2385">
        <v>0</v>
      </c>
      <c r="F1938" s="2386">
        <v>0</v>
      </c>
      <c r="G1938" s="2412" t="s">
        <v>6436</v>
      </c>
      <c r="H1938" s="2383">
        <v>0</v>
      </c>
      <c r="I1938" s="2383">
        <v>0</v>
      </c>
      <c r="J1938" s="2413">
        <v>0</v>
      </c>
      <c r="K1938" s="2387"/>
      <c r="L1938" s="2381">
        <v>13215010602</v>
      </c>
      <c r="M1938" s="2382">
        <v>0</v>
      </c>
      <c r="N1938" s="2382">
        <v>0</v>
      </c>
      <c r="O1938" s="2383">
        <v>0</v>
      </c>
    </row>
    <row r="1939" spans="3:15">
      <c r="C1939" s="2388" t="s">
        <v>6437</v>
      </c>
      <c r="D1939" s="2385">
        <v>0</v>
      </c>
      <c r="E1939" s="2385">
        <v>0</v>
      </c>
      <c r="F1939" s="2386">
        <v>0</v>
      </c>
      <c r="G1939" s="2412" t="s">
        <v>6437</v>
      </c>
      <c r="H1939" s="2383">
        <v>0</v>
      </c>
      <c r="I1939" s="2383">
        <v>1</v>
      </c>
      <c r="J1939" s="2413">
        <v>1</v>
      </c>
      <c r="K1939" s="2387"/>
      <c r="L1939" s="2381">
        <v>13215010605</v>
      </c>
      <c r="M1939" s="2382">
        <v>0</v>
      </c>
      <c r="N1939" s="2382">
        <v>1</v>
      </c>
      <c r="O1939" s="2383">
        <v>1</v>
      </c>
    </row>
    <row r="1940" spans="3:15">
      <c r="C1940" s="2388" t="s">
        <v>6438</v>
      </c>
      <c r="D1940" s="2385" t="s">
        <v>4493</v>
      </c>
      <c r="E1940" s="2385">
        <v>0</v>
      </c>
      <c r="F1940" s="2386">
        <v>0</v>
      </c>
      <c r="G1940" s="2412" t="s">
        <v>6438</v>
      </c>
      <c r="H1940" s="2383" t="s">
        <v>4493</v>
      </c>
      <c r="I1940" s="2383" t="s">
        <v>4493</v>
      </c>
      <c r="J1940" s="2413">
        <v>0</v>
      </c>
      <c r="K1940" s="2387"/>
      <c r="L1940" s="2381">
        <v>13215010606</v>
      </c>
      <c r="M1940" s="2382">
        <v>0</v>
      </c>
      <c r="N1940" s="2382">
        <v>0</v>
      </c>
      <c r="O1940" s="2383">
        <v>0</v>
      </c>
    </row>
    <row r="1941" spans="3:15">
      <c r="C1941" s="2388" t="s">
        <v>6439</v>
      </c>
      <c r="D1941" s="2385">
        <v>0</v>
      </c>
      <c r="E1941" s="2385">
        <v>0</v>
      </c>
      <c r="F1941" s="2386">
        <v>0</v>
      </c>
      <c r="G1941" s="2412" t="s">
        <v>6439</v>
      </c>
      <c r="H1941" s="2383">
        <v>0</v>
      </c>
      <c r="I1941" s="2383">
        <v>0</v>
      </c>
      <c r="J1941" s="2413">
        <v>0</v>
      </c>
      <c r="K1941" s="2387"/>
      <c r="L1941" s="2381">
        <v>13215010607</v>
      </c>
      <c r="M1941" s="2382">
        <v>0</v>
      </c>
      <c r="N1941" s="2382">
        <v>0</v>
      </c>
      <c r="O1941" s="2383">
        <v>0</v>
      </c>
    </row>
    <row r="1942" spans="3:15">
      <c r="C1942" s="2388" t="s">
        <v>6440</v>
      </c>
      <c r="D1942" s="2385">
        <v>0</v>
      </c>
      <c r="E1942" s="2385">
        <v>0</v>
      </c>
      <c r="F1942" s="2386">
        <v>0</v>
      </c>
      <c r="G1942" s="2412" t="s">
        <v>6440</v>
      </c>
      <c r="H1942" s="2383">
        <v>0</v>
      </c>
      <c r="I1942" s="2383">
        <v>0</v>
      </c>
      <c r="J1942" s="2413">
        <v>0</v>
      </c>
      <c r="K1942" s="2387"/>
      <c r="L1942" s="2381">
        <v>13215010608</v>
      </c>
      <c r="M1942" s="2382">
        <v>0</v>
      </c>
      <c r="N1942" s="2382">
        <v>0</v>
      </c>
      <c r="O1942" s="2383">
        <v>0</v>
      </c>
    </row>
    <row r="1943" spans="3:15">
      <c r="C1943" s="2388" t="s">
        <v>6441</v>
      </c>
      <c r="D1943" s="2385">
        <v>0</v>
      </c>
      <c r="E1943" s="2385">
        <v>0</v>
      </c>
      <c r="F1943" s="2386">
        <v>0</v>
      </c>
      <c r="G1943" s="2412" t="s">
        <v>6441</v>
      </c>
      <c r="H1943" s="2383">
        <v>0</v>
      </c>
      <c r="I1943" s="2383">
        <v>0</v>
      </c>
      <c r="J1943" s="2413">
        <v>0</v>
      </c>
      <c r="K1943" s="2387"/>
      <c r="L1943" s="2381">
        <v>13215010701</v>
      </c>
      <c r="M1943" s="2382">
        <v>0</v>
      </c>
      <c r="N1943" s="2382">
        <v>0</v>
      </c>
      <c r="O1943" s="2383">
        <v>0</v>
      </c>
    </row>
    <row r="1944" spans="3:15">
      <c r="C1944" s="2388" t="s">
        <v>6442</v>
      </c>
      <c r="D1944" s="2385">
        <v>0</v>
      </c>
      <c r="E1944" s="2385">
        <v>0</v>
      </c>
      <c r="F1944" s="2386">
        <v>0</v>
      </c>
      <c r="G1944" s="2412" t="s">
        <v>6442</v>
      </c>
      <c r="H1944" s="2383">
        <v>1</v>
      </c>
      <c r="I1944" s="2383">
        <v>0</v>
      </c>
      <c r="J1944" s="2413">
        <v>0</v>
      </c>
      <c r="K1944" s="2387"/>
      <c r="L1944" s="2381">
        <v>13215010702</v>
      </c>
      <c r="M1944" s="2382">
        <v>1</v>
      </c>
      <c r="N1944" s="2382">
        <v>0</v>
      </c>
      <c r="O1944" s="2383">
        <v>0</v>
      </c>
    </row>
    <row r="1945" spans="3:15">
      <c r="C1945" s="2388" t="s">
        <v>6443</v>
      </c>
      <c r="D1945" s="2385">
        <v>0</v>
      </c>
      <c r="E1945" s="2385">
        <v>0</v>
      </c>
      <c r="F1945" s="2386">
        <v>0</v>
      </c>
      <c r="G1945" s="2412" t="s">
        <v>6443</v>
      </c>
      <c r="H1945" s="2383">
        <v>0</v>
      </c>
      <c r="I1945" s="2383">
        <v>0</v>
      </c>
      <c r="J1945" s="2413">
        <v>0</v>
      </c>
      <c r="K1945" s="2387"/>
      <c r="L1945" s="2381">
        <v>13215010703</v>
      </c>
      <c r="M1945" s="2382">
        <v>0</v>
      </c>
      <c r="N1945" s="2382">
        <v>0</v>
      </c>
      <c r="O1945" s="2383">
        <v>0</v>
      </c>
    </row>
    <row r="1946" spans="3:15">
      <c r="C1946" s="2388" t="s">
        <v>6444</v>
      </c>
      <c r="D1946" s="2385">
        <v>0</v>
      </c>
      <c r="E1946" s="2385">
        <v>1</v>
      </c>
      <c r="F1946" s="2386">
        <v>1</v>
      </c>
      <c r="G1946" s="2412" t="s">
        <v>6444</v>
      </c>
      <c r="H1946" s="2383">
        <v>0</v>
      </c>
      <c r="I1946" s="2383" t="s">
        <v>4493</v>
      </c>
      <c r="J1946" s="2413">
        <v>0</v>
      </c>
      <c r="K1946" s="2387"/>
      <c r="L1946" s="2381">
        <v>13215010801</v>
      </c>
      <c r="M1946" s="2382">
        <v>0</v>
      </c>
      <c r="N1946" s="2382">
        <v>1</v>
      </c>
      <c r="O1946" s="2383">
        <v>1</v>
      </c>
    </row>
    <row r="1947" spans="3:15">
      <c r="C1947" s="2388" t="s">
        <v>6445</v>
      </c>
      <c r="D1947" s="2385">
        <v>0</v>
      </c>
      <c r="E1947" s="2385">
        <v>1</v>
      </c>
      <c r="F1947" s="2386">
        <v>1</v>
      </c>
      <c r="G1947" s="2412" t="s">
        <v>6445</v>
      </c>
      <c r="H1947" s="2383">
        <v>1</v>
      </c>
      <c r="I1947" s="2383" t="s">
        <v>4493</v>
      </c>
      <c r="J1947" s="2413">
        <v>1</v>
      </c>
      <c r="K1947" s="2387"/>
      <c r="L1947" s="2381">
        <v>13215010802</v>
      </c>
      <c r="M1947" s="2382">
        <v>1</v>
      </c>
      <c r="N1947" s="2382">
        <v>1</v>
      </c>
      <c r="O1947" s="2383">
        <v>1</v>
      </c>
    </row>
    <row r="1948" spans="3:15">
      <c r="C1948" s="2388" t="s">
        <v>6446</v>
      </c>
      <c r="D1948" s="2385">
        <v>0</v>
      </c>
      <c r="E1948" s="2385">
        <v>0</v>
      </c>
      <c r="F1948" s="2386">
        <v>0</v>
      </c>
      <c r="G1948" s="2412" t="s">
        <v>6446</v>
      </c>
      <c r="H1948" s="2383">
        <v>0</v>
      </c>
      <c r="I1948" s="2383">
        <v>0</v>
      </c>
      <c r="J1948" s="2413">
        <v>0</v>
      </c>
      <c r="K1948" s="2387"/>
      <c r="L1948" s="2381">
        <v>13215011100</v>
      </c>
      <c r="M1948" s="2382">
        <v>0</v>
      </c>
      <c r="N1948" s="2382">
        <v>0</v>
      </c>
      <c r="O1948" s="2383">
        <v>0</v>
      </c>
    </row>
    <row r="1949" spans="3:15">
      <c r="C1949" s="2388" t="s">
        <v>6447</v>
      </c>
      <c r="D1949" s="2385">
        <v>0</v>
      </c>
      <c r="E1949" s="2385">
        <v>0</v>
      </c>
      <c r="F1949" s="2386">
        <v>0</v>
      </c>
      <c r="G1949" s="2412" t="s">
        <v>6447</v>
      </c>
      <c r="H1949" s="2383">
        <v>0</v>
      </c>
      <c r="I1949" s="2383">
        <v>0</v>
      </c>
      <c r="J1949" s="2413">
        <v>0</v>
      </c>
      <c r="K1949" s="2387"/>
      <c r="L1949" s="2381">
        <v>13215011200</v>
      </c>
      <c r="M1949" s="2382">
        <v>0</v>
      </c>
      <c r="N1949" s="2382">
        <v>0</v>
      </c>
      <c r="O1949" s="2383">
        <v>0</v>
      </c>
    </row>
    <row r="1950" spans="3:15">
      <c r="C1950" s="2388" t="s">
        <v>6448</v>
      </c>
      <c r="D1950" s="2385">
        <v>0</v>
      </c>
      <c r="E1950" s="2385">
        <v>0</v>
      </c>
      <c r="F1950" s="2386">
        <v>0</v>
      </c>
      <c r="G1950" s="2412" t="s">
        <v>6448</v>
      </c>
      <c r="H1950" s="2383">
        <v>0</v>
      </c>
      <c r="I1950" s="2383">
        <v>0</v>
      </c>
      <c r="J1950" s="2413">
        <v>0</v>
      </c>
      <c r="K1950" s="2387"/>
      <c r="L1950" s="2381">
        <v>13215011400</v>
      </c>
      <c r="M1950" s="2382">
        <v>0</v>
      </c>
      <c r="N1950" s="2382">
        <v>0</v>
      </c>
      <c r="O1950" s="2383">
        <v>0</v>
      </c>
    </row>
    <row r="1951" spans="3:15">
      <c r="C1951" s="2388" t="s">
        <v>6449</v>
      </c>
      <c r="D1951" s="2385">
        <v>0</v>
      </c>
      <c r="E1951" s="2385">
        <v>0</v>
      </c>
      <c r="F1951" s="2386">
        <v>0</v>
      </c>
      <c r="G1951" s="2412" t="s">
        <v>6449</v>
      </c>
      <c r="H1951" s="2383">
        <v>0</v>
      </c>
      <c r="I1951" s="2383">
        <v>0</v>
      </c>
      <c r="J1951" s="2413">
        <v>0</v>
      </c>
      <c r="K1951" s="2387"/>
      <c r="L1951" s="2381">
        <v>13215011500</v>
      </c>
      <c r="M1951" s="2382">
        <v>0</v>
      </c>
      <c r="N1951" s="2382">
        <v>0</v>
      </c>
      <c r="O1951" s="2383">
        <v>0</v>
      </c>
    </row>
    <row r="1952" spans="3:15">
      <c r="C1952" s="2388" t="s">
        <v>6450</v>
      </c>
      <c r="D1952" s="2385">
        <v>0</v>
      </c>
      <c r="E1952" s="2385">
        <v>1</v>
      </c>
      <c r="F1952" s="2386">
        <v>1</v>
      </c>
      <c r="G1952" s="2412" t="s">
        <v>6450</v>
      </c>
      <c r="H1952" s="2383">
        <v>0</v>
      </c>
      <c r="I1952" s="2383">
        <v>1</v>
      </c>
      <c r="J1952" s="2413">
        <v>1</v>
      </c>
      <c r="K1952" s="2387"/>
      <c r="L1952" s="2381">
        <v>13217100100</v>
      </c>
      <c r="M1952" s="2382">
        <v>0</v>
      </c>
      <c r="N1952" s="2382">
        <v>1</v>
      </c>
      <c r="O1952" s="2383">
        <v>1</v>
      </c>
    </row>
    <row r="1953" spans="3:15">
      <c r="C1953" s="2388" t="s">
        <v>6451</v>
      </c>
      <c r="D1953" s="2385">
        <v>1</v>
      </c>
      <c r="E1953" s="2385">
        <v>1</v>
      </c>
      <c r="F1953" s="2386">
        <v>2</v>
      </c>
      <c r="G1953" s="2412" t="s">
        <v>6451</v>
      </c>
      <c r="H1953" s="2383">
        <v>1</v>
      </c>
      <c r="I1953" s="2383">
        <v>1</v>
      </c>
      <c r="J1953" s="2413">
        <v>2</v>
      </c>
      <c r="K1953" s="2387"/>
      <c r="L1953" s="2381">
        <v>13217100201</v>
      </c>
      <c r="M1953" s="2382">
        <v>1</v>
      </c>
      <c r="N1953" s="2382">
        <v>1</v>
      </c>
      <c r="O1953" s="2383">
        <v>2</v>
      </c>
    </row>
    <row r="1954" spans="3:15">
      <c r="C1954" s="2388" t="s">
        <v>6452</v>
      </c>
      <c r="D1954" s="2385">
        <v>1</v>
      </c>
      <c r="E1954" s="2385">
        <v>1</v>
      </c>
      <c r="F1954" s="2386">
        <v>2</v>
      </c>
      <c r="G1954" s="2412" t="s">
        <v>6452</v>
      </c>
      <c r="H1954" s="2383">
        <v>1</v>
      </c>
      <c r="I1954" s="2383">
        <v>1</v>
      </c>
      <c r="J1954" s="2413">
        <v>2</v>
      </c>
      <c r="K1954" s="2387"/>
      <c r="L1954" s="2381">
        <v>13217100202</v>
      </c>
      <c r="M1954" s="2382">
        <v>1</v>
      </c>
      <c r="N1954" s="2382">
        <v>1</v>
      </c>
      <c r="O1954" s="2383">
        <v>2</v>
      </c>
    </row>
    <row r="1955" spans="3:15">
      <c r="C1955" s="2388" t="s">
        <v>6453</v>
      </c>
      <c r="D1955" s="2385">
        <v>0</v>
      </c>
      <c r="E1955" s="2385">
        <v>0</v>
      </c>
      <c r="F1955" s="2386">
        <v>0</v>
      </c>
      <c r="G1955" s="2412" t="s">
        <v>6453</v>
      </c>
      <c r="H1955" s="2383">
        <v>0</v>
      </c>
      <c r="I1955" s="2383">
        <v>1</v>
      </c>
      <c r="J1955" s="2413">
        <v>1</v>
      </c>
      <c r="K1955" s="2387"/>
      <c r="L1955" s="2381">
        <v>13217100300</v>
      </c>
      <c r="M1955" s="2382">
        <v>0</v>
      </c>
      <c r="N1955" s="2382">
        <v>1</v>
      </c>
      <c r="O1955" s="2383">
        <v>1</v>
      </c>
    </row>
    <row r="1956" spans="3:15">
      <c r="C1956" s="2388" t="s">
        <v>6454</v>
      </c>
      <c r="D1956" s="2385">
        <v>0</v>
      </c>
      <c r="E1956" s="2385">
        <v>0</v>
      </c>
      <c r="F1956" s="2386">
        <v>0</v>
      </c>
      <c r="G1956" s="2412" t="s">
        <v>6454</v>
      </c>
      <c r="H1956" s="2383">
        <v>0</v>
      </c>
      <c r="I1956" s="2383">
        <v>0</v>
      </c>
      <c r="J1956" s="2413">
        <v>0</v>
      </c>
      <c r="K1956" s="2387"/>
      <c r="L1956" s="2381">
        <v>13217100400</v>
      </c>
      <c r="M1956" s="2382">
        <v>0</v>
      </c>
      <c r="N1956" s="2382">
        <v>0</v>
      </c>
      <c r="O1956" s="2383">
        <v>0</v>
      </c>
    </row>
    <row r="1957" spans="3:15">
      <c r="C1957" s="2388" t="s">
        <v>6455</v>
      </c>
      <c r="D1957" s="2385">
        <v>0</v>
      </c>
      <c r="E1957" s="2385">
        <v>0</v>
      </c>
      <c r="F1957" s="2386">
        <v>0</v>
      </c>
      <c r="G1957" s="2412" t="s">
        <v>6455</v>
      </c>
      <c r="H1957" s="2383">
        <v>0</v>
      </c>
      <c r="I1957" s="2383">
        <v>1</v>
      </c>
      <c r="J1957" s="2413">
        <v>1</v>
      </c>
      <c r="K1957" s="2387"/>
      <c r="L1957" s="2381">
        <v>13217100501</v>
      </c>
      <c r="M1957" s="2382">
        <v>0</v>
      </c>
      <c r="N1957" s="2382">
        <v>1</v>
      </c>
      <c r="O1957" s="2383">
        <v>1</v>
      </c>
    </row>
    <row r="1958" spans="3:15">
      <c r="C1958" s="2388" t="s">
        <v>6456</v>
      </c>
      <c r="D1958" s="2385">
        <v>0</v>
      </c>
      <c r="E1958" s="2385">
        <v>0</v>
      </c>
      <c r="F1958" s="2386">
        <v>0</v>
      </c>
      <c r="G1958" s="2412" t="s">
        <v>6456</v>
      </c>
      <c r="H1958" s="2383">
        <v>0</v>
      </c>
      <c r="I1958" s="2383">
        <v>0</v>
      </c>
      <c r="J1958" s="2413">
        <v>0</v>
      </c>
      <c r="K1958" s="2387"/>
      <c r="L1958" s="2381">
        <v>13217100502</v>
      </c>
      <c r="M1958" s="2382">
        <v>0</v>
      </c>
      <c r="N1958" s="2382">
        <v>0</v>
      </c>
      <c r="O1958" s="2383">
        <v>0</v>
      </c>
    </row>
    <row r="1959" spans="3:15">
      <c r="C1959" s="2388" t="s">
        <v>6457</v>
      </c>
      <c r="D1959" s="2385">
        <v>0</v>
      </c>
      <c r="E1959" s="2385">
        <v>0</v>
      </c>
      <c r="F1959" s="2386">
        <v>0</v>
      </c>
      <c r="G1959" s="2412" t="s">
        <v>6457</v>
      </c>
      <c r="H1959" s="2383">
        <v>0</v>
      </c>
      <c r="I1959" s="2383">
        <v>0</v>
      </c>
      <c r="J1959" s="2413">
        <v>0</v>
      </c>
      <c r="K1959" s="2387"/>
      <c r="L1959" s="2381">
        <v>13217100600</v>
      </c>
      <c r="M1959" s="2382">
        <v>0</v>
      </c>
      <c r="N1959" s="2382">
        <v>0</v>
      </c>
      <c r="O1959" s="2383">
        <v>0</v>
      </c>
    </row>
    <row r="1960" spans="3:15">
      <c r="C1960" s="2388" t="s">
        <v>6458</v>
      </c>
      <c r="D1960" s="2385">
        <v>0</v>
      </c>
      <c r="E1960" s="2385">
        <v>0</v>
      </c>
      <c r="F1960" s="2386">
        <v>0</v>
      </c>
      <c r="G1960" s="2412" t="s">
        <v>6458</v>
      </c>
      <c r="H1960" s="2383">
        <v>0</v>
      </c>
      <c r="I1960" s="2383">
        <v>0</v>
      </c>
      <c r="J1960" s="2413">
        <v>0</v>
      </c>
      <c r="K1960" s="2387"/>
      <c r="L1960" s="2381">
        <v>13217100700</v>
      </c>
      <c r="M1960" s="2382">
        <v>0</v>
      </c>
      <c r="N1960" s="2382">
        <v>0</v>
      </c>
      <c r="O1960" s="2383">
        <v>0</v>
      </c>
    </row>
    <row r="1961" spans="3:15">
      <c r="C1961" s="2388" t="s">
        <v>6459</v>
      </c>
      <c r="D1961" s="2385">
        <v>0</v>
      </c>
      <c r="E1961" s="2385">
        <v>1</v>
      </c>
      <c r="F1961" s="2386">
        <v>1</v>
      </c>
      <c r="G1961" s="2412" t="s">
        <v>6459</v>
      </c>
      <c r="H1961" s="2383">
        <v>0</v>
      </c>
      <c r="I1961" s="2383">
        <v>0</v>
      </c>
      <c r="J1961" s="2413">
        <v>0</v>
      </c>
      <c r="K1961" s="2387"/>
      <c r="L1961" s="2381">
        <v>13217100800</v>
      </c>
      <c r="M1961" s="2382">
        <v>0</v>
      </c>
      <c r="N1961" s="2382">
        <v>1</v>
      </c>
      <c r="O1961" s="2383">
        <v>1</v>
      </c>
    </row>
    <row r="1962" spans="3:15">
      <c r="C1962" s="2388" t="s">
        <v>6460</v>
      </c>
      <c r="D1962" s="2385">
        <v>0</v>
      </c>
      <c r="E1962" s="2385">
        <v>1</v>
      </c>
      <c r="F1962" s="2386">
        <v>1</v>
      </c>
      <c r="G1962" s="2412" t="s">
        <v>6460</v>
      </c>
      <c r="H1962" s="2383">
        <v>0</v>
      </c>
      <c r="I1962" s="2383">
        <v>1</v>
      </c>
      <c r="J1962" s="2413">
        <v>1</v>
      </c>
      <c r="K1962" s="2387"/>
      <c r="L1962" s="2381">
        <v>13217100901</v>
      </c>
      <c r="M1962" s="2382">
        <v>0</v>
      </c>
      <c r="N1962" s="2382">
        <v>1</v>
      </c>
      <c r="O1962" s="2383">
        <v>1</v>
      </c>
    </row>
    <row r="1963" spans="3:15">
      <c r="C1963" s="2388" t="s">
        <v>6461</v>
      </c>
      <c r="D1963" s="2385">
        <v>0</v>
      </c>
      <c r="E1963" s="2385">
        <v>0</v>
      </c>
      <c r="F1963" s="2386">
        <v>0</v>
      </c>
      <c r="G1963" s="2412" t="s">
        <v>6461</v>
      </c>
      <c r="H1963" s="2383">
        <v>0</v>
      </c>
      <c r="I1963" s="2383">
        <v>0</v>
      </c>
      <c r="J1963" s="2413">
        <v>0</v>
      </c>
      <c r="K1963" s="2387"/>
      <c r="L1963" s="2381">
        <v>13217100902</v>
      </c>
      <c r="M1963" s="2382">
        <v>0</v>
      </c>
      <c r="N1963" s="2382">
        <v>0</v>
      </c>
      <c r="O1963" s="2383">
        <v>0</v>
      </c>
    </row>
    <row r="1964" spans="3:15">
      <c r="C1964" s="2388" t="s">
        <v>6462</v>
      </c>
      <c r="D1964" s="2385">
        <v>0</v>
      </c>
      <c r="E1964" s="2385">
        <v>0</v>
      </c>
      <c r="F1964" s="2386">
        <v>0</v>
      </c>
      <c r="G1964" s="2412" t="s">
        <v>6462</v>
      </c>
      <c r="H1964" s="2383">
        <v>0</v>
      </c>
      <c r="I1964" s="2383">
        <v>0</v>
      </c>
      <c r="J1964" s="2413">
        <v>0</v>
      </c>
      <c r="K1964" s="2387"/>
      <c r="L1964" s="2381">
        <v>13217100903</v>
      </c>
      <c r="M1964" s="2382">
        <v>0</v>
      </c>
      <c r="N1964" s="2382">
        <v>0</v>
      </c>
      <c r="O1964" s="2383">
        <v>0</v>
      </c>
    </row>
    <row r="1965" spans="3:15">
      <c r="C1965" s="2388" t="s">
        <v>6463</v>
      </c>
      <c r="D1965" s="2385">
        <v>1</v>
      </c>
      <c r="E1965" s="2385">
        <v>1</v>
      </c>
      <c r="F1965" s="2386">
        <v>2</v>
      </c>
      <c r="G1965" s="2412" t="s">
        <v>6463</v>
      </c>
      <c r="H1965" s="2383">
        <v>1</v>
      </c>
      <c r="I1965" s="2383">
        <v>1</v>
      </c>
      <c r="J1965" s="2413">
        <v>2</v>
      </c>
      <c r="K1965" s="2387"/>
      <c r="L1965" s="2381">
        <v>13219030100</v>
      </c>
      <c r="M1965" s="2382">
        <v>1</v>
      </c>
      <c r="N1965" s="2382">
        <v>1</v>
      </c>
      <c r="O1965" s="2383">
        <v>2</v>
      </c>
    </row>
    <row r="1966" spans="3:15">
      <c r="C1966" s="2388" t="s">
        <v>6464</v>
      </c>
      <c r="D1966" s="2385">
        <v>1</v>
      </c>
      <c r="E1966" s="2385">
        <v>1</v>
      </c>
      <c r="F1966" s="2386">
        <v>2</v>
      </c>
      <c r="G1966" s="2412" t="s">
        <v>6464</v>
      </c>
      <c r="H1966" s="2383">
        <v>1</v>
      </c>
      <c r="I1966" s="2383">
        <v>1</v>
      </c>
      <c r="J1966" s="2413">
        <v>2</v>
      </c>
      <c r="K1966" s="2387"/>
      <c r="L1966" s="2381">
        <v>13219030200</v>
      </c>
      <c r="M1966" s="2382">
        <v>1</v>
      </c>
      <c r="N1966" s="2382">
        <v>1</v>
      </c>
      <c r="O1966" s="2383">
        <v>2</v>
      </c>
    </row>
    <row r="1967" spans="3:15">
      <c r="C1967" s="2388" t="s">
        <v>6465</v>
      </c>
      <c r="D1967" s="2385">
        <v>1</v>
      </c>
      <c r="E1967" s="2385">
        <v>1</v>
      </c>
      <c r="F1967" s="2386">
        <v>2</v>
      </c>
      <c r="G1967" s="2412" t="s">
        <v>6465</v>
      </c>
      <c r="H1967" s="2383">
        <v>1</v>
      </c>
      <c r="I1967" s="2383">
        <v>1</v>
      </c>
      <c r="J1967" s="2413">
        <v>2</v>
      </c>
      <c r="K1967" s="2387"/>
      <c r="L1967" s="2381">
        <v>13219030300</v>
      </c>
      <c r="M1967" s="2382">
        <v>1</v>
      </c>
      <c r="N1967" s="2382">
        <v>1</v>
      </c>
      <c r="O1967" s="2383">
        <v>2</v>
      </c>
    </row>
    <row r="1968" spans="3:15">
      <c r="C1968" s="2388" t="s">
        <v>6466</v>
      </c>
      <c r="D1968" s="2385">
        <v>1</v>
      </c>
      <c r="E1968" s="2385">
        <v>1</v>
      </c>
      <c r="F1968" s="2386">
        <v>2</v>
      </c>
      <c r="G1968" s="2412" t="s">
        <v>6466</v>
      </c>
      <c r="H1968" s="2383">
        <v>1</v>
      </c>
      <c r="I1968" s="2383">
        <v>1</v>
      </c>
      <c r="J1968" s="2413">
        <v>2</v>
      </c>
      <c r="K1968" s="2387"/>
      <c r="L1968" s="2381">
        <v>13219030400</v>
      </c>
      <c r="M1968" s="2382">
        <v>1</v>
      </c>
      <c r="N1968" s="2382">
        <v>1</v>
      </c>
      <c r="O1968" s="2383">
        <v>2</v>
      </c>
    </row>
    <row r="1969" spans="3:15">
      <c r="C1969" s="2388" t="s">
        <v>6467</v>
      </c>
      <c r="D1969" s="2385">
        <v>1</v>
      </c>
      <c r="E1969" s="2385">
        <v>1</v>
      </c>
      <c r="F1969" s="2386">
        <v>2</v>
      </c>
      <c r="G1969" s="2412" t="s">
        <v>6467</v>
      </c>
      <c r="H1969" s="2383">
        <v>1</v>
      </c>
      <c r="I1969" s="2383">
        <v>1</v>
      </c>
      <c r="J1969" s="2413">
        <v>2</v>
      </c>
      <c r="K1969" s="2387"/>
      <c r="L1969" s="2381">
        <v>13219030500</v>
      </c>
      <c r="M1969" s="2382">
        <v>1</v>
      </c>
      <c r="N1969" s="2382">
        <v>1</v>
      </c>
      <c r="O1969" s="2383">
        <v>2</v>
      </c>
    </row>
    <row r="1970" spans="3:15">
      <c r="C1970" s="2388" t="s">
        <v>6468</v>
      </c>
      <c r="D1970" s="2385">
        <v>1</v>
      </c>
      <c r="E1970" s="2385">
        <v>1</v>
      </c>
      <c r="F1970" s="2386">
        <v>2</v>
      </c>
      <c r="G1970" s="2412" t="s">
        <v>6468</v>
      </c>
      <c r="H1970" s="2383">
        <v>1</v>
      </c>
      <c r="I1970" s="2383">
        <v>1</v>
      </c>
      <c r="J1970" s="2413">
        <v>2</v>
      </c>
      <c r="K1970" s="2387"/>
      <c r="L1970" s="2381">
        <v>13219030600</v>
      </c>
      <c r="M1970" s="2382">
        <v>1</v>
      </c>
      <c r="N1970" s="2382">
        <v>1</v>
      </c>
      <c r="O1970" s="2383">
        <v>2</v>
      </c>
    </row>
    <row r="1971" spans="3:15">
      <c r="C1971" s="2388" t="s">
        <v>6469</v>
      </c>
      <c r="D1971" s="2385">
        <v>0</v>
      </c>
      <c r="E1971" s="2385">
        <v>0</v>
      </c>
      <c r="F1971" s="2386">
        <v>0</v>
      </c>
      <c r="G1971" s="2412" t="s">
        <v>6469</v>
      </c>
      <c r="H1971" s="2383">
        <v>0</v>
      </c>
      <c r="I1971" s="2383">
        <v>0</v>
      </c>
      <c r="J1971" s="2413">
        <v>0</v>
      </c>
      <c r="K1971" s="2387"/>
      <c r="L1971" s="2381">
        <v>13221960100</v>
      </c>
      <c r="M1971" s="2382">
        <v>0</v>
      </c>
      <c r="N1971" s="2382">
        <v>0</v>
      </c>
      <c r="O1971" s="2383">
        <v>0</v>
      </c>
    </row>
    <row r="1972" spans="3:15">
      <c r="C1972" s="2388" t="s">
        <v>6470</v>
      </c>
      <c r="D1972" s="2385">
        <v>1</v>
      </c>
      <c r="E1972" s="2385">
        <v>1</v>
      </c>
      <c r="F1972" s="2386">
        <v>2</v>
      </c>
      <c r="G1972" s="2412" t="s">
        <v>6470</v>
      </c>
      <c r="H1972" s="2383">
        <v>1</v>
      </c>
      <c r="I1972" s="2383">
        <v>1</v>
      </c>
      <c r="J1972" s="2413">
        <v>2</v>
      </c>
      <c r="K1972" s="2387"/>
      <c r="L1972" s="2381">
        <v>13221960201</v>
      </c>
      <c r="M1972" s="2382">
        <v>1</v>
      </c>
      <c r="N1972" s="2382">
        <v>1</v>
      </c>
      <c r="O1972" s="2383">
        <v>2</v>
      </c>
    </row>
    <row r="1973" spans="3:15">
      <c r="C1973" s="2388" t="s">
        <v>6471</v>
      </c>
      <c r="D1973" s="2385">
        <v>0</v>
      </c>
      <c r="E1973" s="2385">
        <v>0</v>
      </c>
      <c r="F1973" s="2386">
        <v>0</v>
      </c>
      <c r="G1973" s="2412" t="s">
        <v>6471</v>
      </c>
      <c r="H1973" s="2383">
        <v>0</v>
      </c>
      <c r="I1973" s="2383">
        <v>1</v>
      </c>
      <c r="J1973" s="2413">
        <v>1</v>
      </c>
      <c r="K1973" s="2387"/>
      <c r="L1973" s="2381">
        <v>13221960202</v>
      </c>
      <c r="M1973" s="2382">
        <v>0</v>
      </c>
      <c r="N1973" s="2382">
        <v>1</v>
      </c>
      <c r="O1973" s="2383">
        <v>1</v>
      </c>
    </row>
    <row r="1974" spans="3:15">
      <c r="C1974" s="2388" t="s">
        <v>6472</v>
      </c>
      <c r="D1974" s="2385">
        <v>0</v>
      </c>
      <c r="E1974" s="2385">
        <v>0</v>
      </c>
      <c r="F1974" s="2386">
        <v>0</v>
      </c>
      <c r="G1974" s="2412" t="s">
        <v>6472</v>
      </c>
      <c r="H1974" s="2383">
        <v>0</v>
      </c>
      <c r="I1974" s="2383">
        <v>0</v>
      </c>
      <c r="J1974" s="2413">
        <v>0</v>
      </c>
      <c r="K1974" s="2387"/>
      <c r="L1974" s="2381">
        <v>13221960300</v>
      </c>
      <c r="M1974" s="2382">
        <v>0</v>
      </c>
      <c r="N1974" s="2382">
        <v>0</v>
      </c>
      <c r="O1974" s="2383">
        <v>0</v>
      </c>
    </row>
    <row r="1975" spans="3:15">
      <c r="C1975" s="2388" t="s">
        <v>6473</v>
      </c>
      <c r="D1975" s="2385">
        <v>1</v>
      </c>
      <c r="E1975" s="2385">
        <v>1</v>
      </c>
      <c r="F1975" s="2386">
        <v>2</v>
      </c>
      <c r="G1975" s="2412" t="s">
        <v>6473</v>
      </c>
      <c r="H1975" s="2383">
        <v>1</v>
      </c>
      <c r="I1975" s="2383">
        <v>1</v>
      </c>
      <c r="J1975" s="2413">
        <v>2</v>
      </c>
      <c r="K1975" s="2387"/>
      <c r="L1975" s="2381">
        <v>13223120101</v>
      </c>
      <c r="M1975" s="2382">
        <v>1</v>
      </c>
      <c r="N1975" s="2382">
        <v>1</v>
      </c>
      <c r="O1975" s="2383">
        <v>2</v>
      </c>
    </row>
    <row r="1976" spans="3:15">
      <c r="C1976" s="2388" t="s">
        <v>6474</v>
      </c>
      <c r="D1976" s="2385">
        <v>1</v>
      </c>
      <c r="E1976" s="2385">
        <v>1</v>
      </c>
      <c r="F1976" s="2386">
        <v>2</v>
      </c>
      <c r="G1976" s="2412" t="s">
        <v>6474</v>
      </c>
      <c r="H1976" s="2383">
        <v>1</v>
      </c>
      <c r="I1976" s="2383">
        <v>1</v>
      </c>
      <c r="J1976" s="2413">
        <v>2</v>
      </c>
      <c r="K1976" s="2387"/>
      <c r="L1976" s="2381">
        <v>13223120102</v>
      </c>
      <c r="M1976" s="2382">
        <v>1</v>
      </c>
      <c r="N1976" s="2382">
        <v>1</v>
      </c>
      <c r="O1976" s="2383">
        <v>2</v>
      </c>
    </row>
    <row r="1977" spans="3:15">
      <c r="C1977" s="2388" t="s">
        <v>6475</v>
      </c>
      <c r="D1977" s="2385">
        <v>1</v>
      </c>
      <c r="E1977" s="2385">
        <v>1</v>
      </c>
      <c r="F1977" s="2386">
        <v>2</v>
      </c>
      <c r="G1977" s="2412" t="s">
        <v>6475</v>
      </c>
      <c r="H1977" s="2383">
        <v>1</v>
      </c>
      <c r="I1977" s="2383" t="s">
        <v>4493</v>
      </c>
      <c r="J1977" s="2413">
        <v>1</v>
      </c>
      <c r="K1977" s="2387"/>
      <c r="L1977" s="2381">
        <v>13223120103</v>
      </c>
      <c r="M1977" s="2382">
        <v>1</v>
      </c>
      <c r="N1977" s="2382">
        <v>1</v>
      </c>
      <c r="O1977" s="2383">
        <v>2</v>
      </c>
    </row>
    <row r="1978" spans="3:15">
      <c r="C1978" s="2388" t="s">
        <v>6476</v>
      </c>
      <c r="D1978" s="2385">
        <v>1</v>
      </c>
      <c r="E1978" s="2385">
        <v>1</v>
      </c>
      <c r="F1978" s="2386">
        <v>2</v>
      </c>
      <c r="G1978" s="2412" t="s">
        <v>6476</v>
      </c>
      <c r="H1978" s="2383">
        <v>1</v>
      </c>
      <c r="I1978" s="2383" t="s">
        <v>4493</v>
      </c>
      <c r="J1978" s="2413">
        <v>1</v>
      </c>
      <c r="K1978" s="2387"/>
      <c r="L1978" s="2381">
        <v>13223120104</v>
      </c>
      <c r="M1978" s="2382">
        <v>1</v>
      </c>
      <c r="N1978" s="2382">
        <v>1</v>
      </c>
      <c r="O1978" s="2383">
        <v>2</v>
      </c>
    </row>
    <row r="1979" spans="3:15">
      <c r="C1979" s="2388" t="s">
        <v>6477</v>
      </c>
      <c r="D1979" s="2385">
        <v>1</v>
      </c>
      <c r="E1979" s="2385">
        <v>1</v>
      </c>
      <c r="F1979" s="2386">
        <v>2</v>
      </c>
      <c r="G1979" s="2412" t="s">
        <v>6477</v>
      </c>
      <c r="H1979" s="2383">
        <v>1</v>
      </c>
      <c r="I1979" s="2383">
        <v>1</v>
      </c>
      <c r="J1979" s="2413">
        <v>2</v>
      </c>
      <c r="K1979" s="2387"/>
      <c r="L1979" s="2381">
        <v>13223120202</v>
      </c>
      <c r="M1979" s="2382">
        <v>1</v>
      </c>
      <c r="N1979" s="2382">
        <v>1</v>
      </c>
      <c r="O1979" s="2383">
        <v>2</v>
      </c>
    </row>
    <row r="1980" spans="3:15">
      <c r="C1980" s="2388" t="s">
        <v>6478</v>
      </c>
      <c r="D1980" s="2385">
        <v>1</v>
      </c>
      <c r="E1980" s="2385">
        <v>1</v>
      </c>
      <c r="F1980" s="2386">
        <v>2</v>
      </c>
      <c r="G1980" s="2412" t="s">
        <v>6478</v>
      </c>
      <c r="H1980" s="2383">
        <v>1</v>
      </c>
      <c r="I1980" s="2383">
        <v>1</v>
      </c>
      <c r="J1980" s="2413">
        <v>2</v>
      </c>
      <c r="K1980" s="2387"/>
      <c r="L1980" s="2381">
        <v>13223120203</v>
      </c>
      <c r="M1980" s="2382">
        <v>1</v>
      </c>
      <c r="N1980" s="2382">
        <v>1</v>
      </c>
      <c r="O1980" s="2383">
        <v>2</v>
      </c>
    </row>
    <row r="1981" spans="3:15">
      <c r="C1981" s="2388" t="s">
        <v>6479</v>
      </c>
      <c r="D1981" s="2385">
        <v>1</v>
      </c>
      <c r="E1981" s="2385">
        <v>1</v>
      </c>
      <c r="F1981" s="2386">
        <v>2</v>
      </c>
      <c r="G1981" s="2412" t="s">
        <v>6479</v>
      </c>
      <c r="H1981" s="2383">
        <v>1</v>
      </c>
      <c r="I1981" s="2383">
        <v>1</v>
      </c>
      <c r="J1981" s="2413">
        <v>2</v>
      </c>
      <c r="K1981" s="2387"/>
      <c r="L1981" s="2381">
        <v>13223120204</v>
      </c>
      <c r="M1981" s="2382">
        <v>1</v>
      </c>
      <c r="N1981" s="2382">
        <v>1</v>
      </c>
      <c r="O1981" s="2383">
        <v>2</v>
      </c>
    </row>
    <row r="1982" spans="3:15">
      <c r="C1982" s="2388" t="s">
        <v>6480</v>
      </c>
      <c r="D1982" s="2385">
        <v>1</v>
      </c>
      <c r="E1982" s="2385">
        <v>0</v>
      </c>
      <c r="F1982" s="2386">
        <v>1</v>
      </c>
      <c r="G1982" s="2412" t="s">
        <v>6480</v>
      </c>
      <c r="H1982" s="2383">
        <v>1</v>
      </c>
      <c r="I1982" s="2383">
        <v>1</v>
      </c>
      <c r="J1982" s="2413">
        <v>2</v>
      </c>
      <c r="K1982" s="2387"/>
      <c r="L1982" s="2381">
        <v>13223120301</v>
      </c>
      <c r="M1982" s="2382">
        <v>1</v>
      </c>
      <c r="N1982" s="2382">
        <v>1</v>
      </c>
      <c r="O1982" s="2383">
        <v>2</v>
      </c>
    </row>
    <row r="1983" spans="3:15">
      <c r="C1983" s="2388" t="s">
        <v>6481</v>
      </c>
      <c r="D1983" s="2385">
        <v>1</v>
      </c>
      <c r="E1983" s="2385">
        <v>0</v>
      </c>
      <c r="F1983" s="2386">
        <v>1</v>
      </c>
      <c r="G1983" s="2412" t="s">
        <v>6481</v>
      </c>
      <c r="H1983" s="2383">
        <v>1</v>
      </c>
      <c r="I1983" s="2383">
        <v>0</v>
      </c>
      <c r="J1983" s="2413">
        <v>1</v>
      </c>
      <c r="K1983" s="2387"/>
      <c r="L1983" s="2381">
        <v>13223120302</v>
      </c>
      <c r="M1983" s="2382">
        <v>1</v>
      </c>
      <c r="N1983" s="2382">
        <v>0</v>
      </c>
      <c r="O1983" s="2383">
        <v>1</v>
      </c>
    </row>
    <row r="1984" spans="3:15">
      <c r="C1984" s="2388" t="s">
        <v>6482</v>
      </c>
      <c r="D1984" s="2385">
        <v>1</v>
      </c>
      <c r="E1984" s="2385">
        <v>1</v>
      </c>
      <c r="F1984" s="2386">
        <v>2</v>
      </c>
      <c r="G1984" s="2412" t="s">
        <v>6482</v>
      </c>
      <c r="H1984" s="2383">
        <v>0</v>
      </c>
      <c r="I1984" s="2383">
        <v>0</v>
      </c>
      <c r="J1984" s="2413">
        <v>0</v>
      </c>
      <c r="K1984" s="2387"/>
      <c r="L1984" s="2381">
        <v>13223120303</v>
      </c>
      <c r="M1984" s="2382">
        <v>1</v>
      </c>
      <c r="N1984" s="2382">
        <v>1</v>
      </c>
      <c r="O1984" s="2383">
        <v>2</v>
      </c>
    </row>
    <row r="1985" spans="3:15">
      <c r="C1985" s="2388" t="s">
        <v>6483</v>
      </c>
      <c r="D1985" s="2385">
        <v>0</v>
      </c>
      <c r="E1985" s="2385">
        <v>1</v>
      </c>
      <c r="F1985" s="2386">
        <v>1</v>
      </c>
      <c r="G1985" s="2412" t="s">
        <v>6483</v>
      </c>
      <c r="H1985" s="2383">
        <v>1</v>
      </c>
      <c r="I1985" s="2383">
        <v>1</v>
      </c>
      <c r="J1985" s="2413">
        <v>2</v>
      </c>
      <c r="K1985" s="2387"/>
      <c r="L1985" s="2381">
        <v>13223120400</v>
      </c>
      <c r="M1985" s="2382">
        <v>1</v>
      </c>
      <c r="N1985" s="2382">
        <v>1</v>
      </c>
      <c r="O1985" s="2383">
        <v>2</v>
      </c>
    </row>
    <row r="1986" spans="3:15">
      <c r="C1986" s="2388" t="s">
        <v>6484</v>
      </c>
      <c r="D1986" s="2385">
        <v>1</v>
      </c>
      <c r="E1986" s="2385">
        <v>1</v>
      </c>
      <c r="F1986" s="2386">
        <v>2</v>
      </c>
      <c r="G1986" s="2412" t="s">
        <v>6484</v>
      </c>
      <c r="H1986" s="2383">
        <v>1</v>
      </c>
      <c r="I1986" s="2383">
        <v>1</v>
      </c>
      <c r="J1986" s="2413">
        <v>1</v>
      </c>
      <c r="K1986" s="2387"/>
      <c r="L1986" s="2381">
        <v>13223120501</v>
      </c>
      <c r="M1986" s="2382">
        <v>1</v>
      </c>
      <c r="N1986" s="2382">
        <v>1</v>
      </c>
      <c r="O1986" s="2383">
        <v>2</v>
      </c>
    </row>
    <row r="1987" spans="3:15">
      <c r="C1987" s="2388" t="s">
        <v>6485</v>
      </c>
      <c r="D1987" s="2385">
        <v>1</v>
      </c>
      <c r="E1987" s="2385">
        <v>1</v>
      </c>
      <c r="F1987" s="2386">
        <v>2</v>
      </c>
      <c r="G1987" s="2412" t="s">
        <v>6485</v>
      </c>
      <c r="H1987" s="2383">
        <v>1</v>
      </c>
      <c r="I1987" s="2383">
        <v>0</v>
      </c>
      <c r="J1987" s="2413">
        <v>1</v>
      </c>
      <c r="K1987" s="2387"/>
      <c r="L1987" s="2381">
        <v>13223120502</v>
      </c>
      <c r="M1987" s="2382">
        <v>1</v>
      </c>
      <c r="N1987" s="2382">
        <v>1</v>
      </c>
      <c r="O1987" s="2383">
        <v>2</v>
      </c>
    </row>
    <row r="1988" spans="3:15">
      <c r="C1988" s="2388" t="s">
        <v>6486</v>
      </c>
      <c r="D1988" s="2385">
        <v>1</v>
      </c>
      <c r="E1988" s="2385">
        <v>1</v>
      </c>
      <c r="F1988" s="2386">
        <v>2</v>
      </c>
      <c r="G1988" s="2412" t="s">
        <v>6486</v>
      </c>
      <c r="H1988" s="2383">
        <v>0</v>
      </c>
      <c r="I1988" s="2383">
        <v>1</v>
      </c>
      <c r="J1988" s="2413">
        <v>1</v>
      </c>
      <c r="K1988" s="2387"/>
      <c r="L1988" s="2381">
        <v>13223120503</v>
      </c>
      <c r="M1988" s="2382">
        <v>1</v>
      </c>
      <c r="N1988" s="2382">
        <v>1</v>
      </c>
      <c r="O1988" s="2383">
        <v>2</v>
      </c>
    </row>
    <row r="1989" spans="3:15">
      <c r="C1989" s="2388" t="s">
        <v>6487</v>
      </c>
      <c r="D1989" s="2385">
        <v>1</v>
      </c>
      <c r="E1989" s="2385">
        <v>1</v>
      </c>
      <c r="F1989" s="2386">
        <v>2</v>
      </c>
      <c r="G1989" s="2412" t="s">
        <v>6487</v>
      </c>
      <c r="H1989" s="2383">
        <v>1</v>
      </c>
      <c r="I1989" s="2383">
        <v>0</v>
      </c>
      <c r="J1989" s="2413">
        <v>1</v>
      </c>
      <c r="K1989" s="2387"/>
      <c r="L1989" s="2381">
        <v>13223120601</v>
      </c>
      <c r="M1989" s="2382">
        <v>1</v>
      </c>
      <c r="N1989" s="2382">
        <v>1</v>
      </c>
      <c r="O1989" s="2383">
        <v>2</v>
      </c>
    </row>
    <row r="1990" spans="3:15">
      <c r="C1990" s="2388" t="s">
        <v>6488</v>
      </c>
      <c r="D1990" s="2385">
        <v>1</v>
      </c>
      <c r="E1990" s="2385">
        <v>1</v>
      </c>
      <c r="F1990" s="2386">
        <v>2</v>
      </c>
      <c r="G1990" s="2412" t="s">
        <v>6488</v>
      </c>
      <c r="H1990" s="2383">
        <v>1</v>
      </c>
      <c r="I1990" s="2383" t="s">
        <v>4493</v>
      </c>
      <c r="J1990" s="2413">
        <v>1</v>
      </c>
      <c r="K1990" s="2387"/>
      <c r="L1990" s="2381">
        <v>13223120602</v>
      </c>
      <c r="M1990" s="2382">
        <v>1</v>
      </c>
      <c r="N1990" s="2382">
        <v>1</v>
      </c>
      <c r="O1990" s="2383">
        <v>2</v>
      </c>
    </row>
    <row r="1991" spans="3:15">
      <c r="C1991" s="2388" t="s">
        <v>6489</v>
      </c>
      <c r="D1991" s="2385">
        <v>1</v>
      </c>
      <c r="E1991" s="2385">
        <v>1</v>
      </c>
      <c r="F1991" s="2386">
        <v>2</v>
      </c>
      <c r="G1991" s="2412" t="s">
        <v>6489</v>
      </c>
      <c r="H1991" s="2383">
        <v>0</v>
      </c>
      <c r="I1991" s="2383">
        <v>1</v>
      </c>
      <c r="J1991" s="2413">
        <v>1</v>
      </c>
      <c r="K1991" s="2387"/>
      <c r="L1991" s="2381">
        <v>13223120603</v>
      </c>
      <c r="M1991" s="2382">
        <v>1</v>
      </c>
      <c r="N1991" s="2382">
        <v>1</v>
      </c>
      <c r="O1991" s="2383">
        <v>2</v>
      </c>
    </row>
    <row r="1992" spans="3:15">
      <c r="C1992" s="2388" t="s">
        <v>6490</v>
      </c>
      <c r="D1992" s="2385">
        <v>1</v>
      </c>
      <c r="E1992" s="2385">
        <v>1</v>
      </c>
      <c r="F1992" s="2386">
        <v>2</v>
      </c>
      <c r="G1992" s="2412" t="s">
        <v>6490</v>
      </c>
      <c r="H1992" s="2383">
        <v>1</v>
      </c>
      <c r="I1992" s="2383">
        <v>1</v>
      </c>
      <c r="J1992" s="2413">
        <v>2</v>
      </c>
      <c r="K1992" s="2387"/>
      <c r="L1992" s="2381">
        <v>13223120604</v>
      </c>
      <c r="M1992" s="2382">
        <v>1</v>
      </c>
      <c r="N1992" s="2382">
        <v>1</v>
      </c>
      <c r="O1992" s="2383">
        <v>2</v>
      </c>
    </row>
    <row r="1993" spans="3:15">
      <c r="C1993" s="2388" t="s">
        <v>6491</v>
      </c>
      <c r="D1993" s="2385">
        <v>1</v>
      </c>
      <c r="E1993" s="2385">
        <v>1</v>
      </c>
      <c r="F1993" s="2386">
        <v>2</v>
      </c>
      <c r="G1993" s="2412" t="s">
        <v>6491</v>
      </c>
      <c r="H1993" s="2383">
        <v>1</v>
      </c>
      <c r="I1993" s="2383">
        <v>0</v>
      </c>
      <c r="J1993" s="2413">
        <v>1</v>
      </c>
      <c r="K1993" s="2387"/>
      <c r="L1993" s="2381">
        <v>13223120605</v>
      </c>
      <c r="M1993" s="2382">
        <v>1</v>
      </c>
      <c r="N1993" s="2382">
        <v>1</v>
      </c>
      <c r="O1993" s="2383">
        <v>2</v>
      </c>
    </row>
    <row r="1994" spans="3:15">
      <c r="C1994" s="2388" t="s">
        <v>6492</v>
      </c>
      <c r="D1994" s="2385">
        <v>1</v>
      </c>
      <c r="E1994" s="2385">
        <v>1</v>
      </c>
      <c r="F1994" s="2386">
        <v>2</v>
      </c>
      <c r="G1994" s="2412" t="s">
        <v>6492</v>
      </c>
      <c r="H1994" s="2383">
        <v>1</v>
      </c>
      <c r="I1994" s="2383">
        <v>1</v>
      </c>
      <c r="J1994" s="2413">
        <v>2</v>
      </c>
      <c r="K1994" s="2387"/>
      <c r="L1994" s="2381">
        <v>13225040101</v>
      </c>
      <c r="M1994" s="2382">
        <v>1</v>
      </c>
      <c r="N1994" s="2382">
        <v>1</v>
      </c>
      <c r="O1994" s="2383">
        <v>2</v>
      </c>
    </row>
    <row r="1995" spans="3:15">
      <c r="C1995" s="2388" t="s">
        <v>6493</v>
      </c>
      <c r="D1995" s="2385">
        <v>1</v>
      </c>
      <c r="E1995" s="2385">
        <v>1</v>
      </c>
      <c r="F1995" s="2386">
        <v>2</v>
      </c>
      <c r="G1995" s="2412" t="s">
        <v>6493</v>
      </c>
      <c r="H1995" s="2383">
        <v>0</v>
      </c>
      <c r="I1995" s="2383">
        <v>1</v>
      </c>
      <c r="J1995" s="2413">
        <v>1</v>
      </c>
      <c r="K1995" s="2387"/>
      <c r="L1995" s="2381">
        <v>13225040102</v>
      </c>
      <c r="M1995" s="2382">
        <v>1</v>
      </c>
      <c r="N1995" s="2382">
        <v>1</v>
      </c>
      <c r="O1995" s="2383">
        <v>2</v>
      </c>
    </row>
    <row r="1996" spans="3:15">
      <c r="C1996" s="2388" t="s">
        <v>6494</v>
      </c>
      <c r="D1996" s="2385">
        <v>0</v>
      </c>
      <c r="E1996" s="2385">
        <v>0</v>
      </c>
      <c r="F1996" s="2386">
        <v>0</v>
      </c>
      <c r="G1996" s="2412" t="s">
        <v>6494</v>
      </c>
      <c r="H1996" s="2383">
        <v>0</v>
      </c>
      <c r="I1996" s="2383">
        <v>0</v>
      </c>
      <c r="J1996" s="2413">
        <v>0</v>
      </c>
      <c r="K1996" s="2387"/>
      <c r="L1996" s="2381">
        <v>13225040200</v>
      </c>
      <c r="M1996" s="2382">
        <v>0</v>
      </c>
      <c r="N1996" s="2382">
        <v>0</v>
      </c>
      <c r="O1996" s="2383">
        <v>0</v>
      </c>
    </row>
    <row r="1997" spans="3:15">
      <c r="C1997" s="2388" t="s">
        <v>6495</v>
      </c>
      <c r="D1997" s="2385">
        <v>1</v>
      </c>
      <c r="E1997" s="2385">
        <v>0</v>
      </c>
      <c r="F1997" s="2386">
        <v>1</v>
      </c>
      <c r="G1997" s="2412" t="s">
        <v>6495</v>
      </c>
      <c r="H1997" s="2383">
        <v>0</v>
      </c>
      <c r="I1997" s="2383">
        <v>0</v>
      </c>
      <c r="J1997" s="2413">
        <v>0</v>
      </c>
      <c r="K1997" s="2387"/>
      <c r="L1997" s="2381">
        <v>13225040301</v>
      </c>
      <c r="M1997" s="2382">
        <v>1</v>
      </c>
      <c r="N1997" s="2382">
        <v>0</v>
      </c>
      <c r="O1997" s="2383">
        <v>1</v>
      </c>
    </row>
    <row r="1998" spans="3:15">
      <c r="C1998" s="2388" t="s">
        <v>6496</v>
      </c>
      <c r="D1998" s="2385">
        <v>0</v>
      </c>
      <c r="E1998" s="2385">
        <v>0</v>
      </c>
      <c r="F1998" s="2386">
        <v>0</v>
      </c>
      <c r="G1998" s="2412" t="s">
        <v>6496</v>
      </c>
      <c r="H1998" s="2383">
        <v>0</v>
      </c>
      <c r="I1998" s="2383">
        <v>0</v>
      </c>
      <c r="J1998" s="2413">
        <v>0</v>
      </c>
      <c r="K1998" s="2387"/>
      <c r="L1998" s="2381">
        <v>13225040302</v>
      </c>
      <c r="M1998" s="2382">
        <v>0</v>
      </c>
      <c r="N1998" s="2382">
        <v>0</v>
      </c>
      <c r="O1998" s="2383">
        <v>0</v>
      </c>
    </row>
    <row r="1999" spans="3:15">
      <c r="C1999" s="2388" t="s">
        <v>6497</v>
      </c>
      <c r="D1999" s="2385">
        <v>0</v>
      </c>
      <c r="E1999" s="2385">
        <v>0</v>
      </c>
      <c r="F1999" s="2386">
        <v>0</v>
      </c>
      <c r="G1999" s="2412" t="s">
        <v>6497</v>
      </c>
      <c r="H1999" s="2383">
        <v>0</v>
      </c>
      <c r="I1999" s="2383" t="s">
        <v>4493</v>
      </c>
      <c r="J1999" s="2413">
        <v>0</v>
      </c>
      <c r="K1999" s="2387"/>
      <c r="L1999" s="2381">
        <v>13225040400</v>
      </c>
      <c r="M1999" s="2382">
        <v>0</v>
      </c>
      <c r="N1999" s="2382">
        <v>0</v>
      </c>
      <c r="O1999" s="2383">
        <v>0</v>
      </c>
    </row>
    <row r="2000" spans="3:15">
      <c r="C2000" s="2388" t="s">
        <v>6498</v>
      </c>
      <c r="D2000" s="2385">
        <v>1</v>
      </c>
      <c r="E2000" s="2385">
        <v>1</v>
      </c>
      <c r="F2000" s="2386">
        <v>2</v>
      </c>
      <c r="G2000" s="2412" t="s">
        <v>6498</v>
      </c>
      <c r="H2000" s="2383">
        <v>1</v>
      </c>
      <c r="I2000" s="2383">
        <v>1</v>
      </c>
      <c r="J2000" s="2413">
        <v>2</v>
      </c>
      <c r="K2000" s="2387"/>
      <c r="L2000" s="2381">
        <v>13227050100</v>
      </c>
      <c r="M2000" s="2382">
        <v>1</v>
      </c>
      <c r="N2000" s="2382">
        <v>1</v>
      </c>
      <c r="O2000" s="2383">
        <v>2</v>
      </c>
    </row>
    <row r="2001" spans="3:15">
      <c r="C2001" s="2388" t="s">
        <v>6499</v>
      </c>
      <c r="D2001" s="2385">
        <v>0</v>
      </c>
      <c r="E2001" s="2385">
        <v>0</v>
      </c>
      <c r="F2001" s="2386">
        <v>0</v>
      </c>
      <c r="G2001" s="2412" t="s">
        <v>6499</v>
      </c>
      <c r="H2001" s="2383">
        <v>0</v>
      </c>
      <c r="I2001" s="2383">
        <v>0</v>
      </c>
      <c r="J2001" s="2413">
        <v>0</v>
      </c>
      <c r="K2001" s="2387"/>
      <c r="L2001" s="2381">
        <v>13227050200</v>
      </c>
      <c r="M2001" s="2382">
        <v>0</v>
      </c>
      <c r="N2001" s="2382">
        <v>0</v>
      </c>
      <c r="O2001" s="2383">
        <v>0</v>
      </c>
    </row>
    <row r="2002" spans="3:15">
      <c r="C2002" s="2388" t="s">
        <v>6500</v>
      </c>
      <c r="D2002" s="2385">
        <v>0</v>
      </c>
      <c r="E2002" s="2385">
        <v>1</v>
      </c>
      <c r="F2002" s="2386">
        <v>1</v>
      </c>
      <c r="G2002" s="2412" t="s">
        <v>6500</v>
      </c>
      <c r="H2002" s="2383">
        <v>0</v>
      </c>
      <c r="I2002" s="2383">
        <v>0</v>
      </c>
      <c r="J2002" s="2413">
        <v>0</v>
      </c>
      <c r="K2002" s="2387"/>
      <c r="L2002" s="2381">
        <v>13227050300</v>
      </c>
      <c r="M2002" s="2382">
        <v>0</v>
      </c>
      <c r="N2002" s="2382">
        <v>1</v>
      </c>
      <c r="O2002" s="2383">
        <v>1</v>
      </c>
    </row>
    <row r="2003" spans="3:15">
      <c r="C2003" s="2388" t="s">
        <v>6501</v>
      </c>
      <c r="D2003" s="2385">
        <v>0</v>
      </c>
      <c r="E2003" s="2385">
        <v>0</v>
      </c>
      <c r="F2003" s="2386">
        <v>0</v>
      </c>
      <c r="G2003" s="2412" t="s">
        <v>6501</v>
      </c>
      <c r="H2003" s="2383">
        <v>0</v>
      </c>
      <c r="I2003" s="2383">
        <v>1</v>
      </c>
      <c r="J2003" s="2413">
        <v>1</v>
      </c>
      <c r="K2003" s="2387"/>
      <c r="L2003" s="2381">
        <v>13227050400</v>
      </c>
      <c r="M2003" s="2382">
        <v>0</v>
      </c>
      <c r="N2003" s="2382">
        <v>1</v>
      </c>
      <c r="O2003" s="2383">
        <v>1</v>
      </c>
    </row>
    <row r="2004" spans="3:15">
      <c r="C2004" s="2388" t="s">
        <v>6502</v>
      </c>
      <c r="D2004" s="2385">
        <v>1</v>
      </c>
      <c r="E2004" s="2385">
        <v>1</v>
      </c>
      <c r="F2004" s="2386">
        <v>2</v>
      </c>
      <c r="G2004" s="2412" t="s">
        <v>6502</v>
      </c>
      <c r="H2004" s="2383">
        <v>0</v>
      </c>
      <c r="I2004" s="2383">
        <v>0</v>
      </c>
      <c r="J2004" s="2413">
        <v>0</v>
      </c>
      <c r="K2004" s="2387"/>
      <c r="L2004" s="2381">
        <v>13227050500</v>
      </c>
      <c r="M2004" s="2382">
        <v>1</v>
      </c>
      <c r="N2004" s="2382">
        <v>1</v>
      </c>
      <c r="O2004" s="2383">
        <v>2</v>
      </c>
    </row>
    <row r="2005" spans="3:15">
      <c r="C2005" s="2388" t="s">
        <v>6503</v>
      </c>
      <c r="D2005" s="2385">
        <v>1</v>
      </c>
      <c r="E2005" s="2385">
        <v>1</v>
      </c>
      <c r="F2005" s="2386">
        <v>2</v>
      </c>
      <c r="G2005" s="2412" t="s">
        <v>6503</v>
      </c>
      <c r="H2005" s="2383">
        <v>1</v>
      </c>
      <c r="I2005" s="2383">
        <v>1</v>
      </c>
      <c r="J2005" s="2413">
        <v>2</v>
      </c>
      <c r="K2005" s="2387"/>
      <c r="L2005" s="2381">
        <v>13227050600</v>
      </c>
      <c r="M2005" s="2382">
        <v>1</v>
      </c>
      <c r="N2005" s="2382">
        <v>1</v>
      </c>
      <c r="O2005" s="2383">
        <v>2</v>
      </c>
    </row>
    <row r="2006" spans="3:15">
      <c r="C2006" s="2388" t="s">
        <v>6504</v>
      </c>
      <c r="D2006" s="2385">
        <v>0</v>
      </c>
      <c r="E2006" s="2385">
        <v>0</v>
      </c>
      <c r="F2006" s="2386">
        <v>0</v>
      </c>
      <c r="G2006" s="2412" t="s">
        <v>6504</v>
      </c>
      <c r="H2006" s="2383">
        <v>0</v>
      </c>
      <c r="I2006" s="2383">
        <v>0</v>
      </c>
      <c r="J2006" s="2413">
        <v>0</v>
      </c>
      <c r="K2006" s="2387"/>
      <c r="L2006" s="2381">
        <v>13229960100</v>
      </c>
      <c r="M2006" s="2382">
        <v>0</v>
      </c>
      <c r="N2006" s="2382">
        <v>0</v>
      </c>
      <c r="O2006" s="2383">
        <v>0</v>
      </c>
    </row>
    <row r="2007" spans="3:15">
      <c r="C2007" s="2388" t="s">
        <v>6505</v>
      </c>
      <c r="D2007" s="2385">
        <v>0</v>
      </c>
      <c r="E2007" s="2385">
        <v>0</v>
      </c>
      <c r="F2007" s="2386">
        <v>0</v>
      </c>
      <c r="G2007" s="2412" t="s">
        <v>6505</v>
      </c>
      <c r="H2007" s="2383">
        <v>0</v>
      </c>
      <c r="I2007" s="2383">
        <v>0</v>
      </c>
      <c r="J2007" s="2413">
        <v>0</v>
      </c>
      <c r="K2007" s="2387"/>
      <c r="L2007" s="2381">
        <v>13229960200</v>
      </c>
      <c r="M2007" s="2382">
        <v>0</v>
      </c>
      <c r="N2007" s="2382">
        <v>0</v>
      </c>
      <c r="O2007" s="2383">
        <v>0</v>
      </c>
    </row>
    <row r="2008" spans="3:15">
      <c r="C2008" s="2388" t="s">
        <v>6506</v>
      </c>
      <c r="D2008" s="2385">
        <v>0</v>
      </c>
      <c r="E2008" s="2385">
        <v>0</v>
      </c>
      <c r="F2008" s="2386">
        <v>0</v>
      </c>
      <c r="G2008" s="2412" t="s">
        <v>6506</v>
      </c>
      <c r="H2008" s="2383">
        <v>0</v>
      </c>
      <c r="I2008" s="2383">
        <v>0</v>
      </c>
      <c r="J2008" s="2413">
        <v>0</v>
      </c>
      <c r="K2008" s="2387"/>
      <c r="L2008" s="2381">
        <v>13229960300</v>
      </c>
      <c r="M2008" s="2382">
        <v>0</v>
      </c>
      <c r="N2008" s="2382">
        <v>0</v>
      </c>
      <c r="O2008" s="2383">
        <v>0</v>
      </c>
    </row>
    <row r="2009" spans="3:15">
      <c r="C2009" s="2388" t="s">
        <v>6507</v>
      </c>
      <c r="D2009" s="2385">
        <v>0</v>
      </c>
      <c r="E2009" s="2385">
        <v>1</v>
      </c>
      <c r="F2009" s="2386">
        <v>1</v>
      </c>
      <c r="G2009" s="2412" t="s">
        <v>6507</v>
      </c>
      <c r="H2009" s="2383">
        <v>0</v>
      </c>
      <c r="I2009" s="2383">
        <v>0</v>
      </c>
      <c r="J2009" s="2413">
        <v>0</v>
      </c>
      <c r="K2009" s="2387"/>
      <c r="L2009" s="2381">
        <v>13229960400</v>
      </c>
      <c r="M2009" s="2382">
        <v>0</v>
      </c>
      <c r="N2009" s="2382">
        <v>1</v>
      </c>
      <c r="O2009" s="2383">
        <v>1</v>
      </c>
    </row>
    <row r="2010" spans="3:15">
      <c r="C2010" s="2388" t="s">
        <v>6508</v>
      </c>
      <c r="D2010" s="2385">
        <v>0</v>
      </c>
      <c r="E2010" s="2385">
        <v>1</v>
      </c>
      <c r="F2010" s="2386">
        <v>1</v>
      </c>
      <c r="G2010" s="2412" t="s">
        <v>6508</v>
      </c>
      <c r="H2010" s="2383">
        <v>0</v>
      </c>
      <c r="I2010" s="2383">
        <v>1</v>
      </c>
      <c r="J2010" s="2413">
        <v>1</v>
      </c>
      <c r="K2010" s="2387"/>
      <c r="L2010" s="2381">
        <v>13231010100</v>
      </c>
      <c r="M2010" s="2382">
        <v>0</v>
      </c>
      <c r="N2010" s="2382">
        <v>1</v>
      </c>
      <c r="O2010" s="2383">
        <v>1</v>
      </c>
    </row>
    <row r="2011" spans="3:15">
      <c r="C2011" s="2388" t="s">
        <v>6509</v>
      </c>
      <c r="D2011" s="2385">
        <v>1</v>
      </c>
      <c r="E2011" s="2385">
        <v>1</v>
      </c>
      <c r="F2011" s="2386">
        <v>2</v>
      </c>
      <c r="G2011" s="2412" t="s">
        <v>6509</v>
      </c>
      <c r="H2011" s="2383">
        <v>1</v>
      </c>
      <c r="I2011" s="2383">
        <v>1</v>
      </c>
      <c r="J2011" s="2413">
        <v>2</v>
      </c>
      <c r="K2011" s="2387"/>
      <c r="L2011" s="2381">
        <v>13231010200</v>
      </c>
      <c r="M2011" s="2382">
        <v>1</v>
      </c>
      <c r="N2011" s="2382">
        <v>1</v>
      </c>
      <c r="O2011" s="2383">
        <v>2</v>
      </c>
    </row>
    <row r="2012" spans="3:15">
      <c r="C2012" s="2388" t="s">
        <v>6510</v>
      </c>
      <c r="D2012" s="2385">
        <v>0</v>
      </c>
      <c r="E2012" s="2385">
        <v>1</v>
      </c>
      <c r="F2012" s="2386">
        <v>1</v>
      </c>
      <c r="G2012" s="2412" t="s">
        <v>6510</v>
      </c>
      <c r="H2012" s="2383">
        <v>0</v>
      </c>
      <c r="I2012" s="2383">
        <v>0</v>
      </c>
      <c r="J2012" s="2413">
        <v>0</v>
      </c>
      <c r="K2012" s="2387"/>
      <c r="L2012" s="2381">
        <v>13231010300</v>
      </c>
      <c r="M2012" s="2382">
        <v>0</v>
      </c>
      <c r="N2012" s="2382">
        <v>1</v>
      </c>
      <c r="O2012" s="2383">
        <v>1</v>
      </c>
    </row>
    <row r="2013" spans="3:15">
      <c r="C2013" s="2388" t="s">
        <v>6511</v>
      </c>
      <c r="D2013" s="2385">
        <v>0</v>
      </c>
      <c r="E2013" s="2385">
        <v>1</v>
      </c>
      <c r="F2013" s="2386">
        <v>1</v>
      </c>
      <c r="G2013" s="2412" t="s">
        <v>6511</v>
      </c>
      <c r="H2013" s="2383">
        <v>0</v>
      </c>
      <c r="I2013" s="2383">
        <v>0</v>
      </c>
      <c r="J2013" s="2413">
        <v>0</v>
      </c>
      <c r="K2013" s="2387"/>
      <c r="L2013" s="2381">
        <v>13231010400</v>
      </c>
      <c r="M2013" s="2382">
        <v>0</v>
      </c>
      <c r="N2013" s="2382">
        <v>1</v>
      </c>
      <c r="O2013" s="2383">
        <v>1</v>
      </c>
    </row>
    <row r="2014" spans="3:15">
      <c r="C2014" s="2388" t="s">
        <v>6512</v>
      </c>
      <c r="D2014" s="2385">
        <v>0</v>
      </c>
      <c r="E2014" s="2385">
        <v>0</v>
      </c>
      <c r="F2014" s="2386">
        <v>0</v>
      </c>
      <c r="G2014" s="2412" t="s">
        <v>6512</v>
      </c>
      <c r="H2014" s="2383">
        <v>0</v>
      </c>
      <c r="I2014" s="2383">
        <v>0</v>
      </c>
      <c r="J2014" s="2413">
        <v>0</v>
      </c>
      <c r="K2014" s="2387"/>
      <c r="L2014" s="2381">
        <v>13233010100</v>
      </c>
      <c r="M2014" s="2382">
        <v>0</v>
      </c>
      <c r="N2014" s="2382">
        <v>0</v>
      </c>
      <c r="O2014" s="2383">
        <v>0</v>
      </c>
    </row>
    <row r="2015" spans="3:15">
      <c r="C2015" s="2388" t="s">
        <v>6513</v>
      </c>
      <c r="D2015" s="2385">
        <v>0</v>
      </c>
      <c r="E2015" s="2385">
        <v>0</v>
      </c>
      <c r="F2015" s="2386">
        <v>0</v>
      </c>
      <c r="G2015" s="2412" t="s">
        <v>6513</v>
      </c>
      <c r="H2015" s="2383">
        <v>0</v>
      </c>
      <c r="I2015" s="2383">
        <v>1</v>
      </c>
      <c r="J2015" s="2413">
        <v>1</v>
      </c>
      <c r="K2015" s="2387"/>
      <c r="L2015" s="2381">
        <v>13233010200</v>
      </c>
      <c r="M2015" s="2382">
        <v>0</v>
      </c>
      <c r="N2015" s="2382">
        <v>1</v>
      </c>
      <c r="O2015" s="2383">
        <v>1</v>
      </c>
    </row>
    <row r="2016" spans="3:15">
      <c r="C2016" s="2388" t="s">
        <v>6514</v>
      </c>
      <c r="D2016" s="2385">
        <v>0</v>
      </c>
      <c r="E2016" s="2385">
        <v>0</v>
      </c>
      <c r="F2016" s="2386">
        <v>0</v>
      </c>
      <c r="G2016" s="2412" t="s">
        <v>6514</v>
      </c>
      <c r="H2016" s="2383">
        <v>0</v>
      </c>
      <c r="I2016" s="2383">
        <v>0</v>
      </c>
      <c r="J2016" s="2413">
        <v>0</v>
      </c>
      <c r="K2016" s="2387"/>
      <c r="L2016" s="2381">
        <v>13233010300</v>
      </c>
      <c r="M2016" s="2382">
        <v>0</v>
      </c>
      <c r="N2016" s="2382">
        <v>0</v>
      </c>
      <c r="O2016" s="2383">
        <v>0</v>
      </c>
    </row>
    <row r="2017" spans="3:15">
      <c r="C2017" s="2388" t="s">
        <v>6515</v>
      </c>
      <c r="D2017" s="2385">
        <v>0</v>
      </c>
      <c r="E2017" s="2385">
        <v>0</v>
      </c>
      <c r="F2017" s="2386">
        <v>0</v>
      </c>
      <c r="G2017" s="2412" t="s">
        <v>6515</v>
      </c>
      <c r="H2017" s="2383">
        <v>0</v>
      </c>
      <c r="I2017" s="2383">
        <v>0</v>
      </c>
      <c r="J2017" s="2413">
        <v>0</v>
      </c>
      <c r="K2017" s="2387"/>
      <c r="L2017" s="2381">
        <v>13233010400</v>
      </c>
      <c r="M2017" s="2382">
        <v>0</v>
      </c>
      <c r="N2017" s="2382">
        <v>0</v>
      </c>
      <c r="O2017" s="2383">
        <v>0</v>
      </c>
    </row>
    <row r="2018" spans="3:15">
      <c r="C2018" s="2388" t="s">
        <v>6516</v>
      </c>
      <c r="D2018" s="2385">
        <v>0</v>
      </c>
      <c r="E2018" s="2385">
        <v>0</v>
      </c>
      <c r="F2018" s="2386">
        <v>0</v>
      </c>
      <c r="G2018" s="2412" t="s">
        <v>6516</v>
      </c>
      <c r="H2018" s="2383">
        <v>0</v>
      </c>
      <c r="I2018" s="2383">
        <v>0</v>
      </c>
      <c r="J2018" s="2413">
        <v>0</v>
      </c>
      <c r="K2018" s="2387"/>
      <c r="L2018" s="2381">
        <v>13233010500</v>
      </c>
      <c r="M2018" s="2382">
        <v>0</v>
      </c>
      <c r="N2018" s="2382">
        <v>0</v>
      </c>
      <c r="O2018" s="2383">
        <v>0</v>
      </c>
    </row>
    <row r="2019" spans="3:15">
      <c r="C2019" s="2388" t="s">
        <v>6517</v>
      </c>
      <c r="D2019" s="2385">
        <v>0</v>
      </c>
      <c r="E2019" s="2385">
        <v>0</v>
      </c>
      <c r="F2019" s="2386">
        <v>0</v>
      </c>
      <c r="G2019" s="2412" t="s">
        <v>6517</v>
      </c>
      <c r="H2019" s="2383">
        <v>0</v>
      </c>
      <c r="I2019" s="2383">
        <v>1</v>
      </c>
      <c r="J2019" s="2413">
        <v>1</v>
      </c>
      <c r="K2019" s="2387"/>
      <c r="L2019" s="2381">
        <v>13233010600</v>
      </c>
      <c r="M2019" s="2382">
        <v>0</v>
      </c>
      <c r="N2019" s="2382">
        <v>1</v>
      </c>
      <c r="O2019" s="2383">
        <v>1</v>
      </c>
    </row>
    <row r="2020" spans="3:15">
      <c r="C2020" s="2388" t="s">
        <v>6518</v>
      </c>
      <c r="D2020" s="2385">
        <v>0</v>
      </c>
      <c r="E2020" s="2385">
        <v>0</v>
      </c>
      <c r="F2020" s="2386">
        <v>0</v>
      </c>
      <c r="G2020" s="2412" t="s">
        <v>6518</v>
      </c>
      <c r="H2020" s="2383">
        <v>0</v>
      </c>
      <c r="I2020" s="2383">
        <v>0</v>
      </c>
      <c r="J2020" s="2413">
        <v>0</v>
      </c>
      <c r="K2020" s="2387"/>
      <c r="L2020" s="2381">
        <v>13233010700</v>
      </c>
      <c r="M2020" s="2382">
        <v>0</v>
      </c>
      <c r="N2020" s="2382">
        <v>0</v>
      </c>
      <c r="O2020" s="2383">
        <v>0</v>
      </c>
    </row>
    <row r="2021" spans="3:15">
      <c r="C2021" s="2388" t="s">
        <v>6519</v>
      </c>
      <c r="D2021" s="2385">
        <v>0</v>
      </c>
      <c r="E2021" s="2385">
        <v>0</v>
      </c>
      <c r="F2021" s="2386">
        <v>0</v>
      </c>
      <c r="G2021" s="2412" t="s">
        <v>6519</v>
      </c>
      <c r="H2021" s="2383">
        <v>0</v>
      </c>
      <c r="I2021" s="2383">
        <v>0</v>
      </c>
      <c r="J2021" s="2413">
        <v>0</v>
      </c>
      <c r="K2021" s="2387"/>
      <c r="L2021" s="2381">
        <v>13235950100</v>
      </c>
      <c r="M2021" s="2382">
        <v>0</v>
      </c>
      <c r="N2021" s="2382">
        <v>0</v>
      </c>
      <c r="O2021" s="2383">
        <v>0</v>
      </c>
    </row>
    <row r="2022" spans="3:15">
      <c r="C2022" s="2388" t="s">
        <v>6520</v>
      </c>
      <c r="D2022" s="2385">
        <v>0</v>
      </c>
      <c r="E2022" s="2385">
        <v>0</v>
      </c>
      <c r="F2022" s="2386">
        <v>0</v>
      </c>
      <c r="G2022" s="2412" t="s">
        <v>6520</v>
      </c>
      <c r="H2022" s="2383">
        <v>0</v>
      </c>
      <c r="I2022" s="2383">
        <v>1</v>
      </c>
      <c r="J2022" s="2413">
        <v>1</v>
      </c>
      <c r="K2022" s="2387"/>
      <c r="L2022" s="2381">
        <v>13235950200</v>
      </c>
      <c r="M2022" s="2382">
        <v>0</v>
      </c>
      <c r="N2022" s="2382">
        <v>1</v>
      </c>
      <c r="O2022" s="2383">
        <v>1</v>
      </c>
    </row>
    <row r="2023" spans="3:15">
      <c r="C2023" s="2388" t="s">
        <v>6521</v>
      </c>
      <c r="D2023" s="2385">
        <v>0</v>
      </c>
      <c r="E2023" s="2385">
        <v>0</v>
      </c>
      <c r="F2023" s="2386">
        <v>0</v>
      </c>
      <c r="G2023" s="2412" t="s">
        <v>6521</v>
      </c>
      <c r="H2023" s="2383">
        <v>0</v>
      </c>
      <c r="I2023" s="2383">
        <v>0</v>
      </c>
      <c r="J2023" s="2413">
        <v>0</v>
      </c>
      <c r="K2023" s="2387"/>
      <c r="L2023" s="2381">
        <v>13235950300</v>
      </c>
      <c r="M2023" s="2382">
        <v>0</v>
      </c>
      <c r="N2023" s="2382">
        <v>0</v>
      </c>
      <c r="O2023" s="2383">
        <v>0</v>
      </c>
    </row>
    <row r="2024" spans="3:15">
      <c r="C2024" s="2388" t="s">
        <v>6522</v>
      </c>
      <c r="D2024" s="2385">
        <v>0</v>
      </c>
      <c r="E2024" s="2385">
        <v>0</v>
      </c>
      <c r="F2024" s="2386">
        <v>0</v>
      </c>
      <c r="G2024" s="2412" t="s">
        <v>6522</v>
      </c>
      <c r="H2024" s="2383">
        <v>0</v>
      </c>
      <c r="I2024" s="2383">
        <v>1</v>
      </c>
      <c r="J2024" s="2413">
        <v>1</v>
      </c>
      <c r="K2024" s="2387"/>
      <c r="L2024" s="2381">
        <v>13237960101</v>
      </c>
      <c r="M2024" s="2382">
        <v>0</v>
      </c>
      <c r="N2024" s="2382">
        <v>1</v>
      </c>
      <c r="O2024" s="2383">
        <v>1</v>
      </c>
    </row>
    <row r="2025" spans="3:15">
      <c r="C2025" s="2388" t="s">
        <v>6523</v>
      </c>
      <c r="D2025" s="2385">
        <v>1</v>
      </c>
      <c r="E2025" s="2385">
        <v>1</v>
      </c>
      <c r="F2025" s="2386">
        <v>2</v>
      </c>
      <c r="G2025" s="2412" t="s">
        <v>6523</v>
      </c>
      <c r="H2025" s="2383">
        <v>1</v>
      </c>
      <c r="I2025" s="2383" t="s">
        <v>4493</v>
      </c>
      <c r="J2025" s="2413">
        <v>1</v>
      </c>
      <c r="K2025" s="2387"/>
      <c r="L2025" s="2381">
        <v>13237960102</v>
      </c>
      <c r="M2025" s="2382">
        <v>1</v>
      </c>
      <c r="N2025" s="2382">
        <v>1</v>
      </c>
      <c r="O2025" s="2383">
        <v>2</v>
      </c>
    </row>
    <row r="2026" spans="3:15">
      <c r="C2026" s="2388" t="s">
        <v>6524</v>
      </c>
      <c r="D2026" s="2385">
        <v>0</v>
      </c>
      <c r="E2026" s="2385">
        <v>0</v>
      </c>
      <c r="F2026" s="2386">
        <v>0</v>
      </c>
      <c r="G2026" s="2412" t="s">
        <v>6524</v>
      </c>
      <c r="H2026" s="2383">
        <v>0</v>
      </c>
      <c r="I2026" s="2383" t="s">
        <v>4493</v>
      </c>
      <c r="J2026" s="2413">
        <v>0</v>
      </c>
      <c r="K2026" s="2387"/>
      <c r="L2026" s="2381">
        <v>13237960201</v>
      </c>
      <c r="M2026" s="2382">
        <v>0</v>
      </c>
      <c r="N2026" s="2382">
        <v>0</v>
      </c>
      <c r="O2026" s="2383">
        <v>0</v>
      </c>
    </row>
    <row r="2027" spans="3:15">
      <c r="C2027" s="2388" t="s">
        <v>6525</v>
      </c>
      <c r="D2027" s="2385">
        <v>0</v>
      </c>
      <c r="E2027" s="2385">
        <v>0</v>
      </c>
      <c r="F2027" s="2386">
        <v>0</v>
      </c>
      <c r="G2027" s="2412" t="s">
        <v>6525</v>
      </c>
      <c r="H2027" s="2383">
        <v>0</v>
      </c>
      <c r="I2027" s="2383">
        <v>0</v>
      </c>
      <c r="J2027" s="2413">
        <v>0</v>
      </c>
      <c r="K2027" s="2387"/>
      <c r="L2027" s="2381">
        <v>13237960202</v>
      </c>
      <c r="M2027" s="2382">
        <v>0</v>
      </c>
      <c r="N2027" s="2382">
        <v>0</v>
      </c>
      <c r="O2027" s="2383">
        <v>0</v>
      </c>
    </row>
    <row r="2028" spans="3:15">
      <c r="C2028" s="2388" t="s">
        <v>6526</v>
      </c>
      <c r="D2028" s="2385">
        <v>0</v>
      </c>
      <c r="E2028" s="2385">
        <v>1</v>
      </c>
      <c r="F2028" s="2386">
        <v>1</v>
      </c>
      <c r="G2028" s="2412" t="s">
        <v>6526</v>
      </c>
      <c r="H2028" s="2383">
        <v>0</v>
      </c>
      <c r="I2028" s="2383">
        <v>0</v>
      </c>
      <c r="J2028" s="2413">
        <v>0</v>
      </c>
      <c r="K2028" s="2387"/>
      <c r="L2028" s="2381">
        <v>13237960300</v>
      </c>
      <c r="M2028" s="2382">
        <v>0</v>
      </c>
      <c r="N2028" s="2382">
        <v>1</v>
      </c>
      <c r="O2028" s="2383">
        <v>1</v>
      </c>
    </row>
    <row r="2029" spans="3:15">
      <c r="C2029" s="2388" t="s">
        <v>6527</v>
      </c>
      <c r="D2029" s="2385">
        <v>0</v>
      </c>
      <c r="E2029" s="2385">
        <v>0</v>
      </c>
      <c r="F2029" s="2386">
        <v>0</v>
      </c>
      <c r="G2029" s="2412" t="s">
        <v>6527</v>
      </c>
      <c r="H2029" s="2383">
        <v>0</v>
      </c>
      <c r="I2029" s="2383">
        <v>0</v>
      </c>
      <c r="J2029" s="2413">
        <v>0</v>
      </c>
      <c r="K2029" s="2387"/>
      <c r="L2029" s="2381">
        <v>13239960300</v>
      </c>
      <c r="M2029" s="2382">
        <v>0</v>
      </c>
      <c r="N2029" s="2382">
        <v>0</v>
      </c>
      <c r="O2029" s="2383">
        <v>0</v>
      </c>
    </row>
    <row r="2030" spans="3:15">
      <c r="C2030" s="2388" t="s">
        <v>6528</v>
      </c>
      <c r="D2030" s="2385">
        <v>0</v>
      </c>
      <c r="E2030" s="2385">
        <v>0</v>
      </c>
      <c r="F2030" s="2386">
        <v>0</v>
      </c>
      <c r="G2030" s="2412" t="s">
        <v>6528</v>
      </c>
      <c r="H2030" s="2383">
        <v>0</v>
      </c>
      <c r="I2030" s="2383">
        <v>1</v>
      </c>
      <c r="J2030" s="2413">
        <v>1</v>
      </c>
      <c r="K2030" s="2387"/>
      <c r="L2030" s="2381">
        <v>13241970100</v>
      </c>
      <c r="M2030" s="2382">
        <v>0</v>
      </c>
      <c r="N2030" s="2382">
        <v>1</v>
      </c>
      <c r="O2030" s="2383">
        <v>1</v>
      </c>
    </row>
    <row r="2031" spans="3:15">
      <c r="C2031" s="2388" t="s">
        <v>6529</v>
      </c>
      <c r="D2031" s="2385">
        <v>0</v>
      </c>
      <c r="E2031" s="2385">
        <v>0</v>
      </c>
      <c r="F2031" s="2386">
        <v>0</v>
      </c>
      <c r="G2031" s="2412" t="s">
        <v>6529</v>
      </c>
      <c r="H2031" s="2383">
        <v>0</v>
      </c>
      <c r="I2031" s="2383">
        <v>0</v>
      </c>
      <c r="J2031" s="2413">
        <v>0</v>
      </c>
      <c r="K2031" s="2387"/>
      <c r="L2031" s="2381">
        <v>13241970201</v>
      </c>
      <c r="M2031" s="2382">
        <v>0</v>
      </c>
      <c r="N2031" s="2382">
        <v>0</v>
      </c>
      <c r="O2031" s="2383">
        <v>0</v>
      </c>
    </row>
    <row r="2032" spans="3:15">
      <c r="C2032" s="2388" t="s">
        <v>6530</v>
      </c>
      <c r="D2032" s="2385">
        <v>0</v>
      </c>
      <c r="E2032" s="2385">
        <v>0</v>
      </c>
      <c r="F2032" s="2386">
        <v>0</v>
      </c>
      <c r="G2032" s="2412" t="s">
        <v>6530</v>
      </c>
      <c r="H2032" s="2383">
        <v>0</v>
      </c>
      <c r="I2032" s="2383">
        <v>0</v>
      </c>
      <c r="J2032" s="2413">
        <v>0</v>
      </c>
      <c r="K2032" s="2387"/>
      <c r="L2032" s="2381">
        <v>13241970202</v>
      </c>
      <c r="M2032" s="2382">
        <v>0</v>
      </c>
      <c r="N2032" s="2382">
        <v>0</v>
      </c>
      <c r="O2032" s="2383">
        <v>0</v>
      </c>
    </row>
    <row r="2033" spans="3:15">
      <c r="C2033" s="2388" t="s">
        <v>6531</v>
      </c>
      <c r="D2033" s="2385">
        <v>0</v>
      </c>
      <c r="E2033" s="2385">
        <v>0</v>
      </c>
      <c r="F2033" s="2386">
        <v>0</v>
      </c>
      <c r="G2033" s="2412" t="s">
        <v>6531</v>
      </c>
      <c r="H2033" s="2383">
        <v>0</v>
      </c>
      <c r="I2033" s="2383">
        <v>1</v>
      </c>
      <c r="J2033" s="2413">
        <v>1</v>
      </c>
      <c r="K2033" s="2387"/>
      <c r="L2033" s="2381">
        <v>13241970301</v>
      </c>
      <c r="M2033" s="2382">
        <v>0</v>
      </c>
      <c r="N2033" s="2382">
        <v>1</v>
      </c>
      <c r="O2033" s="2383">
        <v>1</v>
      </c>
    </row>
    <row r="2034" spans="3:15">
      <c r="C2034" s="2388" t="s">
        <v>6532</v>
      </c>
      <c r="D2034" s="2385">
        <v>0</v>
      </c>
      <c r="E2034" s="2385">
        <v>0</v>
      </c>
      <c r="F2034" s="2386">
        <v>0</v>
      </c>
      <c r="G2034" s="2412" t="s">
        <v>6532</v>
      </c>
      <c r="H2034" s="2383">
        <v>0</v>
      </c>
      <c r="I2034" s="2383">
        <v>0</v>
      </c>
      <c r="J2034" s="2413">
        <v>0</v>
      </c>
      <c r="K2034" s="2387"/>
      <c r="L2034" s="2381">
        <v>13241970302</v>
      </c>
      <c r="M2034" s="2382">
        <v>0</v>
      </c>
      <c r="N2034" s="2382">
        <v>0</v>
      </c>
      <c r="O2034" s="2383">
        <v>0</v>
      </c>
    </row>
    <row r="2035" spans="3:15">
      <c r="C2035" s="2388" t="s">
        <v>6533</v>
      </c>
      <c r="D2035" s="2385">
        <v>0</v>
      </c>
      <c r="E2035" s="2385">
        <v>0</v>
      </c>
      <c r="F2035" s="2386">
        <v>0</v>
      </c>
      <c r="G2035" s="2412" t="s">
        <v>6533</v>
      </c>
      <c r="H2035" s="2383">
        <v>0</v>
      </c>
      <c r="I2035" s="2383">
        <v>0</v>
      </c>
      <c r="J2035" s="2413">
        <v>0</v>
      </c>
      <c r="K2035" s="2387"/>
      <c r="L2035" s="2381">
        <v>13243790100</v>
      </c>
      <c r="M2035" s="2382">
        <v>0</v>
      </c>
      <c r="N2035" s="2382">
        <v>0</v>
      </c>
      <c r="O2035" s="2383">
        <v>0</v>
      </c>
    </row>
    <row r="2036" spans="3:15">
      <c r="C2036" s="2388" t="s">
        <v>6534</v>
      </c>
      <c r="D2036" s="2385">
        <v>0</v>
      </c>
      <c r="E2036" s="2385">
        <v>0</v>
      </c>
      <c r="F2036" s="2386">
        <v>0</v>
      </c>
      <c r="G2036" s="2412" t="s">
        <v>6534</v>
      </c>
      <c r="H2036" s="2383">
        <v>0</v>
      </c>
      <c r="I2036" s="2383">
        <v>0</v>
      </c>
      <c r="J2036" s="2413">
        <v>0</v>
      </c>
      <c r="K2036" s="2387"/>
      <c r="L2036" s="2381">
        <v>13243790200</v>
      </c>
      <c r="M2036" s="2382">
        <v>0</v>
      </c>
      <c r="N2036" s="2382">
        <v>0</v>
      </c>
      <c r="O2036" s="2383">
        <v>0</v>
      </c>
    </row>
    <row r="2037" spans="3:15">
      <c r="C2037" s="2388" t="s">
        <v>6535</v>
      </c>
      <c r="D2037" s="2385">
        <v>0</v>
      </c>
      <c r="E2037" s="2385">
        <v>0</v>
      </c>
      <c r="F2037" s="2386">
        <v>0</v>
      </c>
      <c r="G2037" s="2412" t="s">
        <v>6535</v>
      </c>
      <c r="H2037" s="2383">
        <v>0</v>
      </c>
      <c r="I2037" s="2383">
        <v>0</v>
      </c>
      <c r="J2037" s="2413">
        <v>0</v>
      </c>
      <c r="K2037" s="2387"/>
      <c r="L2037" s="2381">
        <v>13245000100</v>
      </c>
      <c r="M2037" s="2382">
        <v>0</v>
      </c>
      <c r="N2037" s="2382">
        <v>0</v>
      </c>
      <c r="O2037" s="2383">
        <v>0</v>
      </c>
    </row>
    <row r="2038" spans="3:15">
      <c r="C2038" s="2388" t="s">
        <v>6536</v>
      </c>
      <c r="D2038" s="2385">
        <v>0</v>
      </c>
      <c r="E2038" s="2385">
        <v>0</v>
      </c>
      <c r="F2038" s="2386">
        <v>0</v>
      </c>
      <c r="G2038" s="2412" t="s">
        <v>6536</v>
      </c>
      <c r="H2038" s="2383">
        <v>0</v>
      </c>
      <c r="I2038" s="2383">
        <v>0</v>
      </c>
      <c r="J2038" s="2413">
        <v>0</v>
      </c>
      <c r="K2038" s="2387"/>
      <c r="L2038" s="2381">
        <v>13245000200</v>
      </c>
      <c r="M2038" s="2382">
        <v>0</v>
      </c>
      <c r="N2038" s="2382">
        <v>0</v>
      </c>
      <c r="O2038" s="2383">
        <v>0</v>
      </c>
    </row>
    <row r="2039" spans="3:15">
      <c r="C2039" s="2388" t="s">
        <v>6537</v>
      </c>
      <c r="D2039" s="2385">
        <v>0</v>
      </c>
      <c r="E2039" s="2385">
        <v>0</v>
      </c>
      <c r="F2039" s="2386">
        <v>0</v>
      </c>
      <c r="G2039" s="2412" t="s">
        <v>6537</v>
      </c>
      <c r="H2039" s="2383">
        <v>0</v>
      </c>
      <c r="I2039" s="2383">
        <v>0</v>
      </c>
      <c r="J2039" s="2413">
        <v>0</v>
      </c>
      <c r="K2039" s="2387"/>
      <c r="L2039" s="2381">
        <v>13245000300</v>
      </c>
      <c r="M2039" s="2382">
        <v>0</v>
      </c>
      <c r="N2039" s="2382">
        <v>0</v>
      </c>
      <c r="O2039" s="2383">
        <v>0</v>
      </c>
    </row>
    <row r="2040" spans="3:15">
      <c r="C2040" s="2388" t="s">
        <v>6538</v>
      </c>
      <c r="D2040" s="2385">
        <v>0</v>
      </c>
      <c r="E2040" s="2385">
        <v>0</v>
      </c>
      <c r="F2040" s="2386">
        <v>0</v>
      </c>
      <c r="G2040" s="2412" t="s">
        <v>6538</v>
      </c>
      <c r="H2040" s="2383">
        <v>0</v>
      </c>
      <c r="I2040" s="2383" t="s">
        <v>4493</v>
      </c>
      <c r="J2040" s="2413">
        <v>0</v>
      </c>
      <c r="K2040" s="2387"/>
      <c r="L2040" s="2381">
        <v>13245000600</v>
      </c>
      <c r="M2040" s="2382">
        <v>0</v>
      </c>
      <c r="N2040" s="2382">
        <v>0</v>
      </c>
      <c r="O2040" s="2383">
        <v>0</v>
      </c>
    </row>
    <row r="2041" spans="3:15">
      <c r="C2041" s="2388" t="s">
        <v>6539</v>
      </c>
      <c r="D2041" s="2385">
        <v>0</v>
      </c>
      <c r="E2041" s="2385">
        <v>0</v>
      </c>
      <c r="F2041" s="2386">
        <v>0</v>
      </c>
      <c r="G2041" s="2412" t="s">
        <v>6539</v>
      </c>
      <c r="H2041" s="2383">
        <v>0</v>
      </c>
      <c r="I2041" s="2383">
        <v>0</v>
      </c>
      <c r="J2041" s="2413">
        <v>0</v>
      </c>
      <c r="K2041" s="2387"/>
      <c r="L2041" s="2381">
        <v>13245000700</v>
      </c>
      <c r="M2041" s="2382">
        <v>0</v>
      </c>
      <c r="N2041" s="2382">
        <v>0</v>
      </c>
      <c r="O2041" s="2383">
        <v>0</v>
      </c>
    </row>
    <row r="2042" spans="3:15">
      <c r="C2042" s="2388" t="s">
        <v>6540</v>
      </c>
      <c r="D2042" s="2385">
        <v>0</v>
      </c>
      <c r="E2042" s="2385">
        <v>0</v>
      </c>
      <c r="F2042" s="2386">
        <v>0</v>
      </c>
      <c r="G2042" s="2412" t="s">
        <v>6540</v>
      </c>
      <c r="H2042" s="2383">
        <v>0</v>
      </c>
      <c r="I2042" s="2383">
        <v>0</v>
      </c>
      <c r="J2042" s="2413">
        <v>0</v>
      </c>
      <c r="K2042" s="2387"/>
      <c r="L2042" s="2381">
        <v>13245000900</v>
      </c>
      <c r="M2042" s="2382">
        <v>0</v>
      </c>
      <c r="N2042" s="2382">
        <v>0</v>
      </c>
      <c r="O2042" s="2383">
        <v>0</v>
      </c>
    </row>
    <row r="2043" spans="3:15">
      <c r="C2043" s="2388" t="s">
        <v>6541</v>
      </c>
      <c r="D2043" s="2385">
        <v>0</v>
      </c>
      <c r="E2043" s="2385">
        <v>0</v>
      </c>
      <c r="F2043" s="2386">
        <v>0</v>
      </c>
      <c r="G2043" s="2412" t="s">
        <v>6541</v>
      </c>
      <c r="H2043" s="2383">
        <v>0</v>
      </c>
      <c r="I2043" s="2383">
        <v>0</v>
      </c>
      <c r="J2043" s="2413">
        <v>0</v>
      </c>
      <c r="K2043" s="2387"/>
      <c r="L2043" s="2381">
        <v>13245001000</v>
      </c>
      <c r="M2043" s="2382">
        <v>0</v>
      </c>
      <c r="N2043" s="2382">
        <v>0</v>
      </c>
      <c r="O2043" s="2383">
        <v>0</v>
      </c>
    </row>
    <row r="2044" spans="3:15">
      <c r="C2044" s="2388" t="s">
        <v>6542</v>
      </c>
      <c r="D2044" s="2385">
        <v>1</v>
      </c>
      <c r="E2044" s="2385">
        <v>1</v>
      </c>
      <c r="F2044" s="2386">
        <v>2</v>
      </c>
      <c r="G2044" s="2412" t="s">
        <v>6542</v>
      </c>
      <c r="H2044" s="2383">
        <v>1</v>
      </c>
      <c r="I2044" s="2383" t="s">
        <v>4493</v>
      </c>
      <c r="J2044" s="2413">
        <v>1</v>
      </c>
      <c r="K2044" s="2387"/>
      <c r="L2044" s="2381">
        <v>13245001100</v>
      </c>
      <c r="M2044" s="2382">
        <v>1</v>
      </c>
      <c r="N2044" s="2382">
        <v>1</v>
      </c>
      <c r="O2044" s="2383">
        <v>2</v>
      </c>
    </row>
    <row r="2045" spans="3:15">
      <c r="C2045" s="2388" t="s">
        <v>6543</v>
      </c>
      <c r="D2045" s="2385">
        <v>0</v>
      </c>
      <c r="E2045" s="2385">
        <v>0</v>
      </c>
      <c r="F2045" s="2386">
        <v>0</v>
      </c>
      <c r="G2045" s="2412" t="s">
        <v>6543</v>
      </c>
      <c r="H2045" s="2383">
        <v>0</v>
      </c>
      <c r="I2045" s="2383">
        <v>0</v>
      </c>
      <c r="J2045" s="2413">
        <v>0</v>
      </c>
      <c r="K2045" s="2387"/>
      <c r="L2045" s="2381">
        <v>13245001200</v>
      </c>
      <c r="M2045" s="2382">
        <v>0</v>
      </c>
      <c r="N2045" s="2382">
        <v>0</v>
      </c>
      <c r="O2045" s="2383">
        <v>0</v>
      </c>
    </row>
    <row r="2046" spans="3:15">
      <c r="C2046" s="2388" t="s">
        <v>6544</v>
      </c>
      <c r="D2046" s="2385">
        <v>0</v>
      </c>
      <c r="E2046" s="2385">
        <v>0</v>
      </c>
      <c r="F2046" s="2386">
        <v>0</v>
      </c>
      <c r="G2046" s="2412" t="s">
        <v>6544</v>
      </c>
      <c r="H2046" s="2383">
        <v>0</v>
      </c>
      <c r="I2046" s="2383">
        <v>0</v>
      </c>
      <c r="J2046" s="2413">
        <v>0</v>
      </c>
      <c r="K2046" s="2387"/>
      <c r="L2046" s="2381">
        <v>13245001300</v>
      </c>
      <c r="M2046" s="2382">
        <v>0</v>
      </c>
      <c r="N2046" s="2382">
        <v>0</v>
      </c>
      <c r="O2046" s="2383">
        <v>0</v>
      </c>
    </row>
    <row r="2047" spans="3:15">
      <c r="C2047" s="2388" t="s">
        <v>6545</v>
      </c>
      <c r="D2047" s="2385">
        <v>0</v>
      </c>
      <c r="E2047" s="2385">
        <v>0</v>
      </c>
      <c r="F2047" s="2386">
        <v>0</v>
      </c>
      <c r="G2047" s="2412" t="s">
        <v>6545</v>
      </c>
      <c r="H2047" s="2383">
        <v>0</v>
      </c>
      <c r="I2047" s="2383">
        <v>0</v>
      </c>
      <c r="J2047" s="2413">
        <v>0</v>
      </c>
      <c r="K2047" s="2387"/>
      <c r="L2047" s="2381">
        <v>13245001400</v>
      </c>
      <c r="M2047" s="2382">
        <v>0</v>
      </c>
      <c r="N2047" s="2382">
        <v>0</v>
      </c>
      <c r="O2047" s="2383">
        <v>0</v>
      </c>
    </row>
    <row r="2048" spans="3:15">
      <c r="C2048" s="2388" t="s">
        <v>6546</v>
      </c>
      <c r="D2048" s="2385">
        <v>0</v>
      </c>
      <c r="E2048" s="2385">
        <v>0</v>
      </c>
      <c r="F2048" s="2386">
        <v>0</v>
      </c>
      <c r="G2048" s="2412" t="s">
        <v>6546</v>
      </c>
      <c r="H2048" s="2383">
        <v>0</v>
      </c>
      <c r="I2048" s="2383" t="s">
        <v>4493</v>
      </c>
      <c r="J2048" s="2413">
        <v>0</v>
      </c>
      <c r="K2048" s="2387"/>
      <c r="L2048" s="2381">
        <v>13245001500</v>
      </c>
      <c r="M2048" s="2382">
        <v>0</v>
      </c>
      <c r="N2048" s="2382">
        <v>0</v>
      </c>
      <c r="O2048" s="2383">
        <v>0</v>
      </c>
    </row>
    <row r="2049" spans="3:15">
      <c r="C2049" s="2388" t="s">
        <v>6547</v>
      </c>
      <c r="D2049" s="2385">
        <v>0</v>
      </c>
      <c r="E2049" s="2385">
        <v>0</v>
      </c>
      <c r="F2049" s="2386">
        <v>0</v>
      </c>
      <c r="G2049" s="2412" t="s">
        <v>6547</v>
      </c>
      <c r="H2049" s="2383">
        <v>0</v>
      </c>
      <c r="I2049" s="2383">
        <v>0</v>
      </c>
      <c r="J2049" s="2413">
        <v>0</v>
      </c>
      <c r="K2049" s="2387"/>
      <c r="L2049" s="2381">
        <v>13245001601</v>
      </c>
      <c r="M2049" s="2382">
        <v>0</v>
      </c>
      <c r="N2049" s="2382">
        <v>0</v>
      </c>
      <c r="O2049" s="2383">
        <v>0</v>
      </c>
    </row>
    <row r="2050" spans="3:15">
      <c r="C2050" s="2388" t="s">
        <v>6548</v>
      </c>
      <c r="D2050" s="2385">
        <v>1</v>
      </c>
      <c r="E2050" s="2385">
        <v>1</v>
      </c>
      <c r="F2050" s="2386">
        <v>2</v>
      </c>
      <c r="G2050" s="2412" t="s">
        <v>6548</v>
      </c>
      <c r="H2050" s="2383">
        <v>1</v>
      </c>
      <c r="I2050" s="2383">
        <v>1</v>
      </c>
      <c r="J2050" s="2413">
        <v>2</v>
      </c>
      <c r="K2050" s="2387"/>
      <c r="L2050" s="2381">
        <v>13245001602</v>
      </c>
      <c r="M2050" s="2382">
        <v>1</v>
      </c>
      <c r="N2050" s="2382">
        <v>1</v>
      </c>
      <c r="O2050" s="2383">
        <v>2</v>
      </c>
    </row>
    <row r="2051" spans="3:15">
      <c r="C2051" s="2388" t="s">
        <v>6549</v>
      </c>
      <c r="D2051" s="2385">
        <v>0</v>
      </c>
      <c r="E2051" s="2385">
        <v>0</v>
      </c>
      <c r="F2051" s="2386">
        <v>0</v>
      </c>
      <c r="G2051" s="2412" t="s">
        <v>6549</v>
      </c>
      <c r="H2051" s="2383">
        <v>1</v>
      </c>
      <c r="I2051" s="2383">
        <v>0</v>
      </c>
      <c r="J2051" s="2413">
        <v>1</v>
      </c>
      <c r="K2051" s="2387"/>
      <c r="L2051" s="2381">
        <v>13245010101</v>
      </c>
      <c r="M2051" s="2382">
        <v>1</v>
      </c>
      <c r="N2051" s="2382">
        <v>0</v>
      </c>
      <c r="O2051" s="2383">
        <v>1</v>
      </c>
    </row>
    <row r="2052" spans="3:15">
      <c r="C2052" s="2388" t="s">
        <v>6550</v>
      </c>
      <c r="D2052" s="2385">
        <v>1</v>
      </c>
      <c r="E2052" s="2385">
        <v>1</v>
      </c>
      <c r="F2052" s="2386">
        <v>2</v>
      </c>
      <c r="G2052" s="2412" t="s">
        <v>6550</v>
      </c>
      <c r="H2052" s="2383">
        <v>1</v>
      </c>
      <c r="I2052" s="2383">
        <v>0</v>
      </c>
      <c r="J2052" s="2413">
        <v>1</v>
      </c>
      <c r="K2052" s="2387"/>
      <c r="L2052" s="2381">
        <v>13245010104</v>
      </c>
      <c r="M2052" s="2382">
        <v>1</v>
      </c>
      <c r="N2052" s="2382">
        <v>1</v>
      </c>
      <c r="O2052" s="2383">
        <v>2</v>
      </c>
    </row>
    <row r="2053" spans="3:15">
      <c r="C2053" s="2388" t="s">
        <v>6551</v>
      </c>
      <c r="D2053" s="2385">
        <v>0</v>
      </c>
      <c r="E2053" s="2385">
        <v>0</v>
      </c>
      <c r="F2053" s="2386">
        <v>0</v>
      </c>
      <c r="G2053" s="2412" t="s">
        <v>6551</v>
      </c>
      <c r="H2053" s="2383">
        <v>0</v>
      </c>
      <c r="I2053" s="2383">
        <v>0</v>
      </c>
      <c r="J2053" s="2413">
        <v>0</v>
      </c>
      <c r="K2053" s="2387"/>
      <c r="L2053" s="2381">
        <v>13245010105</v>
      </c>
      <c r="M2053" s="2382">
        <v>0</v>
      </c>
      <c r="N2053" s="2382">
        <v>0</v>
      </c>
      <c r="O2053" s="2383">
        <v>0</v>
      </c>
    </row>
    <row r="2054" spans="3:15">
      <c r="C2054" s="2388" t="s">
        <v>6552</v>
      </c>
      <c r="D2054" s="2385">
        <v>1</v>
      </c>
      <c r="E2054" s="2385">
        <v>0</v>
      </c>
      <c r="F2054" s="2386">
        <v>1</v>
      </c>
      <c r="G2054" s="2412" t="s">
        <v>6552</v>
      </c>
      <c r="H2054" s="2383">
        <v>1</v>
      </c>
      <c r="I2054" s="2383">
        <v>1</v>
      </c>
      <c r="J2054" s="2413">
        <v>2</v>
      </c>
      <c r="K2054" s="2387"/>
      <c r="L2054" s="2381">
        <v>13245010106</v>
      </c>
      <c r="M2054" s="2382">
        <v>1</v>
      </c>
      <c r="N2054" s="2382">
        <v>1</v>
      </c>
      <c r="O2054" s="2383">
        <v>2</v>
      </c>
    </row>
    <row r="2055" spans="3:15">
      <c r="C2055" s="2388" t="s">
        <v>6553</v>
      </c>
      <c r="D2055" s="2385">
        <v>1</v>
      </c>
      <c r="E2055" s="2385">
        <v>0</v>
      </c>
      <c r="F2055" s="2386">
        <v>1</v>
      </c>
      <c r="G2055" s="2412" t="s">
        <v>6553</v>
      </c>
      <c r="H2055" s="2383">
        <v>1</v>
      </c>
      <c r="I2055" s="2383">
        <v>1</v>
      </c>
      <c r="J2055" s="2413">
        <v>2</v>
      </c>
      <c r="K2055" s="2387"/>
      <c r="L2055" s="2381">
        <v>13245010107</v>
      </c>
      <c r="M2055" s="2382">
        <v>1</v>
      </c>
      <c r="N2055" s="2382">
        <v>1</v>
      </c>
      <c r="O2055" s="2383">
        <v>2</v>
      </c>
    </row>
    <row r="2056" spans="3:15">
      <c r="C2056" s="2388" t="s">
        <v>6554</v>
      </c>
      <c r="D2056" s="2385">
        <v>1</v>
      </c>
      <c r="E2056" s="2385">
        <v>1</v>
      </c>
      <c r="F2056" s="2386">
        <v>2</v>
      </c>
      <c r="G2056" s="2412" t="s">
        <v>6554</v>
      </c>
      <c r="H2056" s="2383">
        <v>1</v>
      </c>
      <c r="I2056" s="2383">
        <v>1</v>
      </c>
      <c r="J2056" s="2413">
        <v>2</v>
      </c>
      <c r="K2056" s="2387"/>
      <c r="L2056" s="2381">
        <v>13245010201</v>
      </c>
      <c r="M2056" s="2382">
        <v>1</v>
      </c>
      <c r="N2056" s="2382">
        <v>1</v>
      </c>
      <c r="O2056" s="2383">
        <v>2</v>
      </c>
    </row>
    <row r="2057" spans="3:15">
      <c r="C2057" s="2388" t="s">
        <v>6555</v>
      </c>
      <c r="D2057" s="2385">
        <v>0</v>
      </c>
      <c r="E2057" s="2385">
        <v>0</v>
      </c>
      <c r="F2057" s="2386">
        <v>0</v>
      </c>
      <c r="G2057" s="2412" t="s">
        <v>6555</v>
      </c>
      <c r="H2057" s="2383">
        <v>0</v>
      </c>
      <c r="I2057" s="2383">
        <v>0</v>
      </c>
      <c r="J2057" s="2413">
        <v>0</v>
      </c>
      <c r="K2057" s="2387"/>
      <c r="L2057" s="2381">
        <v>13245010203</v>
      </c>
      <c r="M2057" s="2382">
        <v>0</v>
      </c>
      <c r="N2057" s="2382">
        <v>0</v>
      </c>
      <c r="O2057" s="2383">
        <v>0</v>
      </c>
    </row>
    <row r="2058" spans="3:15">
      <c r="C2058" s="2388" t="s">
        <v>6556</v>
      </c>
      <c r="D2058" s="2385">
        <v>0</v>
      </c>
      <c r="E2058" s="2385">
        <v>0</v>
      </c>
      <c r="F2058" s="2386">
        <v>0</v>
      </c>
      <c r="G2058" s="2412" t="s">
        <v>6556</v>
      </c>
      <c r="H2058" s="2383">
        <v>0</v>
      </c>
      <c r="I2058" s="2383">
        <v>0</v>
      </c>
      <c r="J2058" s="2413">
        <v>0</v>
      </c>
      <c r="K2058" s="2387"/>
      <c r="L2058" s="2381">
        <v>13245010204</v>
      </c>
      <c r="M2058" s="2382">
        <v>0</v>
      </c>
      <c r="N2058" s="2382">
        <v>0</v>
      </c>
      <c r="O2058" s="2383">
        <v>0</v>
      </c>
    </row>
    <row r="2059" spans="3:15">
      <c r="C2059" s="2388" t="s">
        <v>6557</v>
      </c>
      <c r="D2059" s="2385">
        <v>0</v>
      </c>
      <c r="E2059" s="2385">
        <v>0</v>
      </c>
      <c r="F2059" s="2386">
        <v>0</v>
      </c>
      <c r="G2059" s="2412" t="s">
        <v>6557</v>
      </c>
      <c r="H2059" s="2383">
        <v>0</v>
      </c>
      <c r="I2059" s="2383">
        <v>0</v>
      </c>
      <c r="J2059" s="2413">
        <v>0</v>
      </c>
      <c r="K2059" s="2387"/>
      <c r="L2059" s="2381">
        <v>13245010300</v>
      </c>
      <c r="M2059" s="2382">
        <v>0</v>
      </c>
      <c r="N2059" s="2382">
        <v>0</v>
      </c>
      <c r="O2059" s="2383">
        <v>0</v>
      </c>
    </row>
    <row r="2060" spans="3:15">
      <c r="C2060" s="2388" t="s">
        <v>6558</v>
      </c>
      <c r="D2060" s="2385">
        <v>0</v>
      </c>
      <c r="E2060" s="2385">
        <v>0</v>
      </c>
      <c r="F2060" s="2386">
        <v>0</v>
      </c>
      <c r="G2060" s="2412" t="s">
        <v>6558</v>
      </c>
      <c r="H2060" s="2383">
        <v>0</v>
      </c>
      <c r="I2060" s="2383">
        <v>0</v>
      </c>
      <c r="J2060" s="2413">
        <v>0</v>
      </c>
      <c r="K2060" s="2387"/>
      <c r="L2060" s="2381">
        <v>13245010400</v>
      </c>
      <c r="M2060" s="2382">
        <v>0</v>
      </c>
      <c r="N2060" s="2382">
        <v>0</v>
      </c>
      <c r="O2060" s="2383">
        <v>0</v>
      </c>
    </row>
    <row r="2061" spans="3:15">
      <c r="C2061" s="2388" t="s">
        <v>6559</v>
      </c>
      <c r="D2061" s="2385">
        <v>0</v>
      </c>
      <c r="E2061" s="2385">
        <v>0</v>
      </c>
      <c r="F2061" s="2386">
        <v>0</v>
      </c>
      <c r="G2061" s="2412" t="s">
        <v>6559</v>
      </c>
      <c r="H2061" s="2383">
        <v>0</v>
      </c>
      <c r="I2061" s="2383">
        <v>0</v>
      </c>
      <c r="J2061" s="2413">
        <v>0</v>
      </c>
      <c r="K2061" s="2387"/>
      <c r="L2061" s="2381">
        <v>13245010504</v>
      </c>
      <c r="M2061" s="2382">
        <v>0</v>
      </c>
      <c r="N2061" s="2382">
        <v>0</v>
      </c>
      <c r="O2061" s="2383">
        <v>0</v>
      </c>
    </row>
    <row r="2062" spans="3:15">
      <c r="C2062" s="2388" t="s">
        <v>6560</v>
      </c>
      <c r="D2062" s="2385">
        <v>0</v>
      </c>
      <c r="E2062" s="2385">
        <v>0</v>
      </c>
      <c r="F2062" s="2386">
        <v>0</v>
      </c>
      <c r="G2062" s="2412" t="s">
        <v>6560</v>
      </c>
      <c r="H2062" s="2383">
        <v>0</v>
      </c>
      <c r="I2062" s="2383">
        <v>1</v>
      </c>
      <c r="J2062" s="2413">
        <v>1</v>
      </c>
      <c r="K2062" s="2387"/>
      <c r="L2062" s="2381">
        <v>13245010506</v>
      </c>
      <c r="M2062" s="2382">
        <v>0</v>
      </c>
      <c r="N2062" s="2382">
        <v>1</v>
      </c>
      <c r="O2062" s="2383">
        <v>1</v>
      </c>
    </row>
    <row r="2063" spans="3:15">
      <c r="C2063" s="2388" t="s">
        <v>6561</v>
      </c>
      <c r="D2063" s="2385">
        <v>0</v>
      </c>
      <c r="E2063" s="2385">
        <v>0</v>
      </c>
      <c r="F2063" s="2386">
        <v>0</v>
      </c>
      <c r="G2063" s="2412" t="s">
        <v>6561</v>
      </c>
      <c r="H2063" s="2383">
        <v>0</v>
      </c>
      <c r="I2063" s="2383">
        <v>0</v>
      </c>
      <c r="J2063" s="2413">
        <v>0</v>
      </c>
      <c r="K2063" s="2387"/>
      <c r="L2063" s="2381">
        <v>13245010507</v>
      </c>
      <c r="M2063" s="2382">
        <v>0</v>
      </c>
      <c r="N2063" s="2382">
        <v>0</v>
      </c>
      <c r="O2063" s="2383">
        <v>0</v>
      </c>
    </row>
    <row r="2064" spans="3:15">
      <c r="C2064" s="2388" t="s">
        <v>6562</v>
      </c>
      <c r="D2064" s="2385">
        <v>0</v>
      </c>
      <c r="E2064" s="2385">
        <v>0</v>
      </c>
      <c r="F2064" s="2386">
        <v>0</v>
      </c>
      <c r="G2064" s="2412" t="s">
        <v>6562</v>
      </c>
      <c r="H2064" s="2383">
        <v>0</v>
      </c>
      <c r="I2064" s="2383">
        <v>0</v>
      </c>
      <c r="J2064" s="2413">
        <v>0</v>
      </c>
      <c r="K2064" s="2387"/>
      <c r="L2064" s="2381">
        <v>13245010508</v>
      </c>
      <c r="M2064" s="2382">
        <v>0</v>
      </c>
      <c r="N2064" s="2382">
        <v>0</v>
      </c>
      <c r="O2064" s="2383">
        <v>0</v>
      </c>
    </row>
    <row r="2065" spans="3:15">
      <c r="C2065" s="2388" t="s">
        <v>6563</v>
      </c>
      <c r="D2065" s="2385">
        <v>0</v>
      </c>
      <c r="E2065" s="2385">
        <v>0</v>
      </c>
      <c r="F2065" s="2386">
        <v>0</v>
      </c>
      <c r="G2065" s="2412" t="s">
        <v>6563</v>
      </c>
      <c r="H2065" s="2383">
        <v>0</v>
      </c>
      <c r="I2065" s="2383">
        <v>0</v>
      </c>
      <c r="J2065" s="2413">
        <v>0</v>
      </c>
      <c r="K2065" s="2387"/>
      <c r="L2065" s="2381">
        <v>13245010509</v>
      </c>
      <c r="M2065" s="2382">
        <v>0</v>
      </c>
      <c r="N2065" s="2382">
        <v>0</v>
      </c>
      <c r="O2065" s="2383">
        <v>0</v>
      </c>
    </row>
    <row r="2066" spans="3:15">
      <c r="C2066" s="2388" t="s">
        <v>6564</v>
      </c>
      <c r="D2066" s="2385">
        <v>0</v>
      </c>
      <c r="E2066" s="2385">
        <v>0</v>
      </c>
      <c r="F2066" s="2386">
        <v>0</v>
      </c>
      <c r="G2066" s="2412" t="s">
        <v>6564</v>
      </c>
      <c r="H2066" s="2383">
        <v>0</v>
      </c>
      <c r="I2066" s="2383">
        <v>0</v>
      </c>
      <c r="J2066" s="2413">
        <v>0</v>
      </c>
      <c r="K2066" s="2387"/>
      <c r="L2066" s="2381">
        <v>13245010510</v>
      </c>
      <c r="M2066" s="2382">
        <v>0</v>
      </c>
      <c r="N2066" s="2382">
        <v>0</v>
      </c>
      <c r="O2066" s="2383">
        <v>0</v>
      </c>
    </row>
    <row r="2067" spans="3:15">
      <c r="C2067" s="2388" t="s">
        <v>6565</v>
      </c>
      <c r="D2067" s="2385">
        <v>0</v>
      </c>
      <c r="E2067" s="2385">
        <v>0</v>
      </c>
      <c r="F2067" s="2386">
        <v>0</v>
      </c>
      <c r="G2067" s="2412" t="s">
        <v>6565</v>
      </c>
      <c r="H2067" s="2383">
        <v>0</v>
      </c>
      <c r="I2067" s="2383">
        <v>0</v>
      </c>
      <c r="J2067" s="2413">
        <v>0</v>
      </c>
      <c r="K2067" s="2387"/>
      <c r="L2067" s="2381">
        <v>13245010511</v>
      </c>
      <c r="M2067" s="2382">
        <v>0</v>
      </c>
      <c r="N2067" s="2382">
        <v>0</v>
      </c>
      <c r="O2067" s="2383">
        <v>0</v>
      </c>
    </row>
    <row r="2068" spans="3:15">
      <c r="C2068" s="2388" t="s">
        <v>6566</v>
      </c>
      <c r="D2068" s="2385">
        <v>0</v>
      </c>
      <c r="E2068" s="2385">
        <v>0</v>
      </c>
      <c r="F2068" s="2386">
        <v>0</v>
      </c>
      <c r="G2068" s="2412" t="s">
        <v>6566</v>
      </c>
      <c r="H2068" s="2383">
        <v>0</v>
      </c>
      <c r="I2068" s="2383">
        <v>0</v>
      </c>
      <c r="J2068" s="2413">
        <v>0</v>
      </c>
      <c r="K2068" s="2387"/>
      <c r="L2068" s="2381">
        <v>13245010512</v>
      </c>
      <c r="M2068" s="2382">
        <v>0</v>
      </c>
      <c r="N2068" s="2382">
        <v>0</v>
      </c>
      <c r="O2068" s="2383">
        <v>0</v>
      </c>
    </row>
    <row r="2069" spans="3:15">
      <c r="C2069" s="2388" t="s">
        <v>6567</v>
      </c>
      <c r="D2069" s="2385">
        <v>0</v>
      </c>
      <c r="E2069" s="2385">
        <v>0</v>
      </c>
      <c r="F2069" s="2386">
        <v>0</v>
      </c>
      <c r="G2069" s="2412" t="s">
        <v>6567</v>
      </c>
      <c r="H2069" s="2383">
        <v>0</v>
      </c>
      <c r="I2069" s="2383" t="s">
        <v>4493</v>
      </c>
      <c r="J2069" s="2413">
        <v>0</v>
      </c>
      <c r="K2069" s="2387"/>
      <c r="L2069" s="2381">
        <v>13245010513</v>
      </c>
      <c r="M2069" s="2382">
        <v>0</v>
      </c>
      <c r="N2069" s="2382">
        <v>0</v>
      </c>
      <c r="O2069" s="2383">
        <v>0</v>
      </c>
    </row>
    <row r="2070" spans="3:15">
      <c r="C2070" s="2388" t="s">
        <v>6568</v>
      </c>
      <c r="D2070" s="2385">
        <v>0</v>
      </c>
      <c r="E2070" s="2385">
        <v>0</v>
      </c>
      <c r="F2070" s="2386">
        <v>0</v>
      </c>
      <c r="G2070" s="2412" t="s">
        <v>6568</v>
      </c>
      <c r="H2070" s="2383">
        <v>0</v>
      </c>
      <c r="I2070" s="2383">
        <v>0</v>
      </c>
      <c r="J2070" s="2413">
        <v>0</v>
      </c>
      <c r="K2070" s="2387"/>
      <c r="L2070" s="2381">
        <v>13245010600</v>
      </c>
      <c r="M2070" s="2382">
        <v>0</v>
      </c>
      <c r="N2070" s="2382">
        <v>0</v>
      </c>
      <c r="O2070" s="2383">
        <v>0</v>
      </c>
    </row>
    <row r="2071" spans="3:15">
      <c r="C2071" s="2388" t="s">
        <v>6569</v>
      </c>
      <c r="D2071" s="2385">
        <v>0</v>
      </c>
      <c r="E2071" s="2385">
        <v>0</v>
      </c>
      <c r="F2071" s="2386">
        <v>0</v>
      </c>
      <c r="G2071" s="2412" t="s">
        <v>6569</v>
      </c>
      <c r="H2071" s="2383">
        <v>0</v>
      </c>
      <c r="I2071" s="2383">
        <v>0</v>
      </c>
      <c r="J2071" s="2413">
        <v>0</v>
      </c>
      <c r="K2071" s="2387"/>
      <c r="L2071" s="2381">
        <v>13245010706</v>
      </c>
      <c r="M2071" s="2382">
        <v>0</v>
      </c>
      <c r="N2071" s="2382">
        <v>0</v>
      </c>
      <c r="O2071" s="2383">
        <v>0</v>
      </c>
    </row>
    <row r="2072" spans="3:15">
      <c r="C2072" s="2388" t="s">
        <v>6570</v>
      </c>
      <c r="D2072" s="2385">
        <v>0</v>
      </c>
      <c r="E2072" s="2385">
        <v>0</v>
      </c>
      <c r="F2072" s="2386">
        <v>0</v>
      </c>
      <c r="G2072" s="2412" t="s">
        <v>6570</v>
      </c>
      <c r="H2072" s="2383">
        <v>0</v>
      </c>
      <c r="I2072" s="2383">
        <v>0</v>
      </c>
      <c r="J2072" s="2413">
        <v>0</v>
      </c>
      <c r="K2072" s="2387"/>
      <c r="L2072" s="2381">
        <v>13245010707</v>
      </c>
      <c r="M2072" s="2382">
        <v>0</v>
      </c>
      <c r="N2072" s="2382">
        <v>0</v>
      </c>
      <c r="O2072" s="2383">
        <v>0</v>
      </c>
    </row>
    <row r="2073" spans="3:15">
      <c r="C2073" s="2388" t="s">
        <v>6571</v>
      </c>
      <c r="D2073" s="2385">
        <v>0</v>
      </c>
      <c r="E2073" s="2385">
        <v>0</v>
      </c>
      <c r="F2073" s="2386">
        <v>0</v>
      </c>
      <c r="G2073" s="2412" t="s">
        <v>6571</v>
      </c>
      <c r="H2073" s="2383">
        <v>0</v>
      </c>
      <c r="I2073" s="2383">
        <v>1</v>
      </c>
      <c r="J2073" s="2413">
        <v>1</v>
      </c>
      <c r="K2073" s="2387"/>
      <c r="L2073" s="2381">
        <v>13245010708</v>
      </c>
      <c r="M2073" s="2382">
        <v>0</v>
      </c>
      <c r="N2073" s="2382">
        <v>1</v>
      </c>
      <c r="O2073" s="2383">
        <v>1</v>
      </c>
    </row>
    <row r="2074" spans="3:15">
      <c r="C2074" s="2388" t="s">
        <v>6572</v>
      </c>
      <c r="D2074" s="2385">
        <v>1</v>
      </c>
      <c r="E2074" s="2385">
        <v>0</v>
      </c>
      <c r="F2074" s="2386">
        <v>1</v>
      </c>
      <c r="G2074" s="2412" t="s">
        <v>6572</v>
      </c>
      <c r="H2074" s="2383">
        <v>1</v>
      </c>
      <c r="I2074" s="2383">
        <v>1</v>
      </c>
      <c r="J2074" s="2413">
        <v>2</v>
      </c>
      <c r="K2074" s="2387"/>
      <c r="L2074" s="2381">
        <v>13245010709</v>
      </c>
      <c r="M2074" s="2382">
        <v>1</v>
      </c>
      <c r="N2074" s="2382">
        <v>1</v>
      </c>
      <c r="O2074" s="2383">
        <v>2</v>
      </c>
    </row>
    <row r="2075" spans="3:15">
      <c r="C2075" s="2388" t="s">
        <v>6573</v>
      </c>
      <c r="D2075" s="2385">
        <v>0</v>
      </c>
      <c r="E2075" s="2385">
        <v>0</v>
      </c>
      <c r="F2075" s="2386">
        <v>0</v>
      </c>
      <c r="G2075" s="2412" t="s">
        <v>6573</v>
      </c>
      <c r="H2075" s="2383">
        <v>0</v>
      </c>
      <c r="I2075" s="2383" t="s">
        <v>4493</v>
      </c>
      <c r="J2075" s="2413">
        <v>0</v>
      </c>
      <c r="K2075" s="2387"/>
      <c r="L2075" s="2381">
        <v>13245010710</v>
      </c>
      <c r="M2075" s="2382">
        <v>0</v>
      </c>
      <c r="N2075" s="2382">
        <v>0</v>
      </c>
      <c r="O2075" s="2383">
        <v>0</v>
      </c>
    </row>
    <row r="2076" spans="3:15">
      <c r="C2076" s="2388" t="s">
        <v>6574</v>
      </c>
      <c r="D2076" s="2385">
        <v>0</v>
      </c>
      <c r="E2076" s="2385">
        <v>0</v>
      </c>
      <c r="F2076" s="2386">
        <v>0</v>
      </c>
      <c r="G2076" s="2412" t="s">
        <v>6574</v>
      </c>
      <c r="H2076" s="2383">
        <v>0</v>
      </c>
      <c r="I2076" s="2383">
        <v>0</v>
      </c>
      <c r="J2076" s="2413">
        <v>0</v>
      </c>
      <c r="K2076" s="2387"/>
      <c r="L2076" s="2381">
        <v>13245010711</v>
      </c>
      <c r="M2076" s="2382">
        <v>0</v>
      </c>
      <c r="N2076" s="2382">
        <v>0</v>
      </c>
      <c r="O2076" s="2383">
        <v>0</v>
      </c>
    </row>
    <row r="2077" spans="3:15">
      <c r="C2077" s="2388" t="s">
        <v>6575</v>
      </c>
      <c r="D2077" s="2385">
        <v>0</v>
      </c>
      <c r="E2077" s="2385">
        <v>0</v>
      </c>
      <c r="F2077" s="2386">
        <v>0</v>
      </c>
      <c r="G2077" s="2412" t="s">
        <v>6575</v>
      </c>
      <c r="H2077" s="2383">
        <v>0</v>
      </c>
      <c r="I2077" s="2383">
        <v>0</v>
      </c>
      <c r="J2077" s="2413">
        <v>0</v>
      </c>
      <c r="K2077" s="2387"/>
      <c r="L2077" s="2381">
        <v>13245010712</v>
      </c>
      <c r="M2077" s="2382">
        <v>0</v>
      </c>
      <c r="N2077" s="2382">
        <v>0</v>
      </c>
      <c r="O2077" s="2383">
        <v>0</v>
      </c>
    </row>
    <row r="2078" spans="3:15">
      <c r="C2078" s="2388" t="s">
        <v>6576</v>
      </c>
      <c r="D2078" s="2385">
        <v>0</v>
      </c>
      <c r="E2078" s="2385">
        <v>1</v>
      </c>
      <c r="F2078" s="2386">
        <v>1</v>
      </c>
      <c r="G2078" s="2412" t="s">
        <v>6576</v>
      </c>
      <c r="H2078" s="2383">
        <v>0</v>
      </c>
      <c r="I2078" s="2383" t="s">
        <v>4493</v>
      </c>
      <c r="J2078" s="2413">
        <v>0</v>
      </c>
      <c r="K2078" s="2387"/>
      <c r="L2078" s="2381">
        <v>13245010800</v>
      </c>
      <c r="M2078" s="2382">
        <v>0</v>
      </c>
      <c r="N2078" s="2382">
        <v>1</v>
      </c>
      <c r="O2078" s="2383">
        <v>1</v>
      </c>
    </row>
    <row r="2079" spans="3:15">
      <c r="C2079" s="2388" t="s">
        <v>6577</v>
      </c>
      <c r="D2079" s="2385">
        <v>0</v>
      </c>
      <c r="E2079" s="2385">
        <v>0</v>
      </c>
      <c r="F2079" s="2386">
        <v>0</v>
      </c>
      <c r="G2079" s="2412" t="s">
        <v>6577</v>
      </c>
      <c r="H2079" s="2383">
        <v>0</v>
      </c>
      <c r="I2079" s="2383">
        <v>0</v>
      </c>
      <c r="J2079" s="2413">
        <v>0</v>
      </c>
      <c r="K2079" s="2387"/>
      <c r="L2079" s="2381">
        <v>13245010903</v>
      </c>
      <c r="M2079" s="2382">
        <v>0</v>
      </c>
      <c r="N2079" s="2382">
        <v>0</v>
      </c>
      <c r="O2079" s="2383">
        <v>0</v>
      </c>
    </row>
    <row r="2080" spans="3:15">
      <c r="C2080" s="2388" t="s">
        <v>6578</v>
      </c>
      <c r="D2080" s="2385">
        <v>0</v>
      </c>
      <c r="E2080" s="2385">
        <v>0</v>
      </c>
      <c r="F2080" s="2386">
        <v>0</v>
      </c>
      <c r="G2080" s="2412" t="s">
        <v>6578</v>
      </c>
      <c r="H2080" s="2383">
        <v>0</v>
      </c>
      <c r="I2080" s="2383">
        <v>0</v>
      </c>
      <c r="J2080" s="2413">
        <v>0</v>
      </c>
      <c r="K2080" s="2387"/>
      <c r="L2080" s="2381">
        <v>13245010904</v>
      </c>
      <c r="M2080" s="2382">
        <v>0</v>
      </c>
      <c r="N2080" s="2382">
        <v>0</v>
      </c>
      <c r="O2080" s="2383">
        <v>0</v>
      </c>
    </row>
    <row r="2081" spans="3:15">
      <c r="C2081" s="2388" t="s">
        <v>6579</v>
      </c>
      <c r="D2081" s="2385">
        <v>0</v>
      </c>
      <c r="E2081" s="2385">
        <v>0</v>
      </c>
      <c r="F2081" s="2386">
        <v>0</v>
      </c>
      <c r="G2081" s="2412" t="s">
        <v>6579</v>
      </c>
      <c r="H2081" s="2383">
        <v>0</v>
      </c>
      <c r="I2081" s="2383">
        <v>0</v>
      </c>
      <c r="J2081" s="2413">
        <v>0</v>
      </c>
      <c r="K2081" s="2387"/>
      <c r="L2081" s="2381">
        <v>13245010905</v>
      </c>
      <c r="M2081" s="2382">
        <v>0</v>
      </c>
      <c r="N2081" s="2382">
        <v>0</v>
      </c>
      <c r="O2081" s="2383">
        <v>0</v>
      </c>
    </row>
    <row r="2082" spans="3:15">
      <c r="C2082" s="2388" t="s">
        <v>6580</v>
      </c>
      <c r="D2082" s="2385">
        <v>0</v>
      </c>
      <c r="E2082" s="2385">
        <v>1</v>
      </c>
      <c r="F2082" s="2386">
        <v>1</v>
      </c>
      <c r="G2082" s="2412" t="s">
        <v>6580</v>
      </c>
      <c r="H2082" s="2383">
        <v>0</v>
      </c>
      <c r="I2082" s="2383">
        <v>1</v>
      </c>
      <c r="J2082" s="2413">
        <v>1</v>
      </c>
      <c r="K2082" s="2387"/>
      <c r="L2082" s="2381">
        <v>13245010906</v>
      </c>
      <c r="M2082" s="2382">
        <v>0</v>
      </c>
      <c r="N2082" s="2382">
        <v>1</v>
      </c>
      <c r="O2082" s="2383">
        <v>1</v>
      </c>
    </row>
    <row r="2083" spans="3:15">
      <c r="C2083" s="2388" t="s">
        <v>6581</v>
      </c>
      <c r="D2083" s="2385">
        <v>0</v>
      </c>
      <c r="E2083" s="2385">
        <v>0</v>
      </c>
      <c r="F2083" s="2386">
        <v>0</v>
      </c>
      <c r="G2083" s="2412" t="s">
        <v>6581</v>
      </c>
      <c r="H2083" s="2383">
        <v>0</v>
      </c>
      <c r="I2083" s="2383">
        <v>0</v>
      </c>
      <c r="J2083" s="2413">
        <v>0</v>
      </c>
      <c r="K2083" s="2387"/>
      <c r="L2083" s="2381">
        <v>13245011000</v>
      </c>
      <c r="M2083" s="2382">
        <v>0</v>
      </c>
      <c r="N2083" s="2382">
        <v>0</v>
      </c>
      <c r="O2083" s="2383">
        <v>0</v>
      </c>
    </row>
    <row r="2084" spans="3:15">
      <c r="C2084" s="2388" t="s">
        <v>6582</v>
      </c>
      <c r="D2084" s="2385">
        <v>0</v>
      </c>
      <c r="E2084" s="2385">
        <v>1</v>
      </c>
      <c r="F2084" s="2386">
        <v>1</v>
      </c>
      <c r="G2084" s="2412" t="s">
        <v>6582</v>
      </c>
      <c r="H2084" s="2383">
        <v>1</v>
      </c>
      <c r="I2084" s="2383">
        <v>1</v>
      </c>
      <c r="J2084" s="2413">
        <v>2</v>
      </c>
      <c r="K2084" s="2387"/>
      <c r="L2084" s="2381">
        <v>13247060101</v>
      </c>
      <c r="M2084" s="2382">
        <v>1</v>
      </c>
      <c r="N2084" s="2382">
        <v>1</v>
      </c>
      <c r="O2084" s="2383">
        <v>2</v>
      </c>
    </row>
    <row r="2085" spans="3:15">
      <c r="C2085" s="2388" t="s">
        <v>6583</v>
      </c>
      <c r="D2085" s="2385">
        <v>0</v>
      </c>
      <c r="E2085" s="2385">
        <v>1</v>
      </c>
      <c r="F2085" s="2386">
        <v>1</v>
      </c>
      <c r="G2085" s="2412" t="s">
        <v>6583</v>
      </c>
      <c r="H2085" s="2383">
        <v>1</v>
      </c>
      <c r="I2085" s="2383">
        <v>1</v>
      </c>
      <c r="J2085" s="2413">
        <v>2</v>
      </c>
      <c r="K2085" s="2387"/>
      <c r="L2085" s="2381">
        <v>13247060102</v>
      </c>
      <c r="M2085" s="2382">
        <v>1</v>
      </c>
      <c r="N2085" s="2382">
        <v>1</v>
      </c>
      <c r="O2085" s="2383">
        <v>2</v>
      </c>
    </row>
    <row r="2086" spans="3:15">
      <c r="C2086" s="2388" t="s">
        <v>6584</v>
      </c>
      <c r="D2086" s="2385">
        <v>0</v>
      </c>
      <c r="E2086" s="2385">
        <v>0</v>
      </c>
      <c r="F2086" s="2386">
        <v>0</v>
      </c>
      <c r="G2086" s="2412" t="s">
        <v>6584</v>
      </c>
      <c r="H2086" s="2383">
        <v>0</v>
      </c>
      <c r="I2086" s="2383">
        <v>0</v>
      </c>
      <c r="J2086" s="2413">
        <v>0</v>
      </c>
      <c r="K2086" s="2387"/>
      <c r="L2086" s="2381">
        <v>13247060201</v>
      </c>
      <c r="M2086" s="2382">
        <v>0</v>
      </c>
      <c r="N2086" s="2382">
        <v>0</v>
      </c>
      <c r="O2086" s="2383">
        <v>0</v>
      </c>
    </row>
    <row r="2087" spans="3:15">
      <c r="C2087" s="2388" t="s">
        <v>6585</v>
      </c>
      <c r="D2087" s="2385">
        <v>1</v>
      </c>
      <c r="E2087" s="2385">
        <v>1</v>
      </c>
      <c r="F2087" s="2386">
        <v>2</v>
      </c>
      <c r="G2087" s="2412" t="s">
        <v>6585</v>
      </c>
      <c r="H2087" s="2383">
        <v>1</v>
      </c>
      <c r="I2087" s="2383">
        <v>1</v>
      </c>
      <c r="J2087" s="2413">
        <v>2</v>
      </c>
      <c r="K2087" s="2387"/>
      <c r="L2087" s="2381">
        <v>13247060202</v>
      </c>
      <c r="M2087" s="2382">
        <v>1</v>
      </c>
      <c r="N2087" s="2382">
        <v>1</v>
      </c>
      <c r="O2087" s="2383">
        <v>2</v>
      </c>
    </row>
    <row r="2088" spans="3:15">
      <c r="C2088" s="2388" t="s">
        <v>6586</v>
      </c>
      <c r="D2088" s="2385">
        <v>0</v>
      </c>
      <c r="E2088" s="2385">
        <v>0</v>
      </c>
      <c r="F2088" s="2386">
        <v>0</v>
      </c>
      <c r="G2088" s="2412" t="s">
        <v>6586</v>
      </c>
      <c r="H2088" s="2383">
        <v>0</v>
      </c>
      <c r="I2088" s="2383">
        <v>0</v>
      </c>
      <c r="J2088" s="2413">
        <v>0</v>
      </c>
      <c r="K2088" s="2387"/>
      <c r="L2088" s="2381">
        <v>13247060304</v>
      </c>
      <c r="M2088" s="2382">
        <v>0</v>
      </c>
      <c r="N2088" s="2382">
        <v>0</v>
      </c>
      <c r="O2088" s="2383">
        <v>0</v>
      </c>
    </row>
    <row r="2089" spans="3:15">
      <c r="C2089" s="2388" t="s">
        <v>6587</v>
      </c>
      <c r="D2089" s="2385">
        <v>0</v>
      </c>
      <c r="E2089" s="2385">
        <v>0</v>
      </c>
      <c r="F2089" s="2386">
        <v>0</v>
      </c>
      <c r="G2089" s="2412" t="s">
        <v>6587</v>
      </c>
      <c r="H2089" s="2383">
        <v>0</v>
      </c>
      <c r="I2089" s="2383">
        <v>0</v>
      </c>
      <c r="J2089" s="2413">
        <v>0</v>
      </c>
      <c r="K2089" s="2387"/>
      <c r="L2089" s="2381">
        <v>13247060305</v>
      </c>
      <c r="M2089" s="2382">
        <v>0</v>
      </c>
      <c r="N2089" s="2382">
        <v>0</v>
      </c>
      <c r="O2089" s="2383">
        <v>0</v>
      </c>
    </row>
    <row r="2090" spans="3:15">
      <c r="C2090" s="2388" t="s">
        <v>6588</v>
      </c>
      <c r="D2090" s="2385">
        <v>1</v>
      </c>
      <c r="E2090" s="2385">
        <v>1</v>
      </c>
      <c r="F2090" s="2386">
        <v>2</v>
      </c>
      <c r="G2090" s="2412" t="s">
        <v>6588</v>
      </c>
      <c r="H2090" s="2383">
        <v>1</v>
      </c>
      <c r="I2090" s="2383">
        <v>1</v>
      </c>
      <c r="J2090" s="2413">
        <v>2</v>
      </c>
      <c r="K2090" s="2387"/>
      <c r="L2090" s="2381">
        <v>13247060306</v>
      </c>
      <c r="M2090" s="2382">
        <v>1</v>
      </c>
      <c r="N2090" s="2382">
        <v>1</v>
      </c>
      <c r="O2090" s="2383">
        <v>2</v>
      </c>
    </row>
    <row r="2091" spans="3:15">
      <c r="C2091" s="2388" t="s">
        <v>6589</v>
      </c>
      <c r="D2091" s="2385">
        <v>0</v>
      </c>
      <c r="E2091" s="2385">
        <v>1</v>
      </c>
      <c r="F2091" s="2386">
        <v>1</v>
      </c>
      <c r="G2091" s="2412" t="s">
        <v>6589</v>
      </c>
      <c r="H2091" s="2383">
        <v>0</v>
      </c>
      <c r="I2091" s="2383">
        <v>1</v>
      </c>
      <c r="J2091" s="2413">
        <v>1</v>
      </c>
      <c r="K2091" s="2387"/>
      <c r="L2091" s="2381">
        <v>13247060307</v>
      </c>
      <c r="M2091" s="2382">
        <v>0</v>
      </c>
      <c r="N2091" s="2382">
        <v>1</v>
      </c>
      <c r="O2091" s="2383">
        <v>1</v>
      </c>
    </row>
    <row r="2092" spans="3:15">
      <c r="C2092" s="2388" t="s">
        <v>6590</v>
      </c>
      <c r="D2092" s="2385">
        <v>0</v>
      </c>
      <c r="E2092" s="2385">
        <v>0</v>
      </c>
      <c r="F2092" s="2386">
        <v>0</v>
      </c>
      <c r="G2092" s="2412" t="s">
        <v>6590</v>
      </c>
      <c r="H2092" s="2383">
        <v>0</v>
      </c>
      <c r="I2092" s="2383">
        <v>0</v>
      </c>
      <c r="J2092" s="2413">
        <v>0</v>
      </c>
      <c r="K2092" s="2387"/>
      <c r="L2092" s="2381">
        <v>13247060308</v>
      </c>
      <c r="M2092" s="2382">
        <v>0</v>
      </c>
      <c r="N2092" s="2382">
        <v>0</v>
      </c>
      <c r="O2092" s="2383">
        <v>0</v>
      </c>
    </row>
    <row r="2093" spans="3:15">
      <c r="C2093" s="2388" t="s">
        <v>6591</v>
      </c>
      <c r="D2093" s="2385">
        <v>0</v>
      </c>
      <c r="E2093" s="2385">
        <v>0</v>
      </c>
      <c r="F2093" s="2386">
        <v>0</v>
      </c>
      <c r="G2093" s="2412" t="s">
        <v>6591</v>
      </c>
      <c r="H2093" s="2383">
        <v>0</v>
      </c>
      <c r="I2093" s="2383">
        <v>0</v>
      </c>
      <c r="J2093" s="2413">
        <v>0</v>
      </c>
      <c r="K2093" s="2387"/>
      <c r="L2093" s="2381">
        <v>13247060309</v>
      </c>
      <c r="M2093" s="2382">
        <v>0</v>
      </c>
      <c r="N2093" s="2382">
        <v>0</v>
      </c>
      <c r="O2093" s="2383">
        <v>0</v>
      </c>
    </row>
    <row r="2094" spans="3:15">
      <c r="C2094" s="2388" t="s">
        <v>6592</v>
      </c>
      <c r="D2094" s="2385">
        <v>1</v>
      </c>
      <c r="E2094" s="2385">
        <v>1</v>
      </c>
      <c r="F2094" s="2386">
        <v>2</v>
      </c>
      <c r="G2094" s="2412" t="s">
        <v>6592</v>
      </c>
      <c r="H2094" s="2383">
        <v>1</v>
      </c>
      <c r="I2094" s="2383">
        <v>0</v>
      </c>
      <c r="J2094" s="2413">
        <v>1</v>
      </c>
      <c r="K2094" s="2387"/>
      <c r="L2094" s="2381">
        <v>13247060403</v>
      </c>
      <c r="M2094" s="2382">
        <v>1</v>
      </c>
      <c r="N2094" s="2382">
        <v>1</v>
      </c>
      <c r="O2094" s="2383">
        <v>2</v>
      </c>
    </row>
    <row r="2095" spans="3:15">
      <c r="C2095" s="2388" t="s">
        <v>6593</v>
      </c>
      <c r="D2095" s="2385">
        <v>1</v>
      </c>
      <c r="E2095" s="2385">
        <v>1</v>
      </c>
      <c r="F2095" s="2386">
        <v>2</v>
      </c>
      <c r="G2095" s="2412" t="s">
        <v>6593</v>
      </c>
      <c r="H2095" s="2383">
        <v>1</v>
      </c>
      <c r="I2095" s="2383">
        <v>1</v>
      </c>
      <c r="J2095" s="2413">
        <v>2</v>
      </c>
      <c r="K2095" s="2387"/>
      <c r="L2095" s="2381">
        <v>13247060404</v>
      </c>
      <c r="M2095" s="2382">
        <v>1</v>
      </c>
      <c r="N2095" s="2382">
        <v>1</v>
      </c>
      <c r="O2095" s="2383">
        <v>2</v>
      </c>
    </row>
    <row r="2096" spans="3:15">
      <c r="C2096" s="2388" t="s">
        <v>6594</v>
      </c>
      <c r="D2096" s="2385">
        <v>1</v>
      </c>
      <c r="E2096" s="2385">
        <v>1</v>
      </c>
      <c r="F2096" s="2386">
        <v>2</v>
      </c>
      <c r="G2096" s="2412" t="s">
        <v>6594</v>
      </c>
      <c r="H2096" s="2383">
        <v>0</v>
      </c>
      <c r="I2096" s="2383">
        <v>1</v>
      </c>
      <c r="J2096" s="2413">
        <v>1</v>
      </c>
      <c r="K2096" s="2387"/>
      <c r="L2096" s="2381">
        <v>13247060405</v>
      </c>
      <c r="M2096" s="2382">
        <v>1</v>
      </c>
      <c r="N2096" s="2382">
        <v>1</v>
      </c>
      <c r="O2096" s="2383">
        <v>2</v>
      </c>
    </row>
    <row r="2097" spans="3:15">
      <c r="C2097" s="2388" t="s">
        <v>6595</v>
      </c>
      <c r="D2097" s="2385">
        <v>1</v>
      </c>
      <c r="E2097" s="2385">
        <v>1</v>
      </c>
      <c r="F2097" s="2386">
        <v>2</v>
      </c>
      <c r="G2097" s="2412" t="s">
        <v>6595</v>
      </c>
      <c r="H2097" s="2383">
        <v>1</v>
      </c>
      <c r="I2097" s="2383">
        <v>1</v>
      </c>
      <c r="J2097" s="2413">
        <v>2</v>
      </c>
      <c r="K2097" s="2387"/>
      <c r="L2097" s="2381">
        <v>13247060406</v>
      </c>
      <c r="M2097" s="2382">
        <v>1</v>
      </c>
      <c r="N2097" s="2382">
        <v>1</v>
      </c>
      <c r="O2097" s="2383">
        <v>2</v>
      </c>
    </row>
    <row r="2098" spans="3:15">
      <c r="C2098" s="2388" t="s">
        <v>6596</v>
      </c>
      <c r="D2098" s="2385">
        <v>0</v>
      </c>
      <c r="E2098" s="2385">
        <v>1</v>
      </c>
      <c r="F2098" s="2386">
        <v>1</v>
      </c>
      <c r="G2098" s="2412" t="s">
        <v>6596</v>
      </c>
      <c r="H2098" s="2383">
        <v>0</v>
      </c>
      <c r="I2098" s="2383">
        <v>1</v>
      </c>
      <c r="J2098" s="2413">
        <v>1</v>
      </c>
      <c r="K2098" s="2387"/>
      <c r="L2098" s="2381">
        <v>13247060407</v>
      </c>
      <c r="M2098" s="2382">
        <v>0</v>
      </c>
      <c r="N2098" s="2382">
        <v>1</v>
      </c>
      <c r="O2098" s="2383">
        <v>1</v>
      </c>
    </row>
    <row r="2099" spans="3:15">
      <c r="C2099" s="2388" t="s">
        <v>6597</v>
      </c>
      <c r="D2099" s="2385">
        <v>0</v>
      </c>
      <c r="E2099" s="2385">
        <v>0</v>
      </c>
      <c r="F2099" s="2386">
        <v>0</v>
      </c>
      <c r="G2099" s="2412" t="s">
        <v>6597</v>
      </c>
      <c r="H2099" s="2383">
        <v>0</v>
      </c>
      <c r="I2099" s="2383">
        <v>1</v>
      </c>
      <c r="J2099" s="2413">
        <v>1</v>
      </c>
      <c r="K2099" s="2387"/>
      <c r="L2099" s="2381">
        <v>13249960100</v>
      </c>
      <c r="M2099" s="2382">
        <v>0</v>
      </c>
      <c r="N2099" s="2382">
        <v>1</v>
      </c>
      <c r="O2099" s="2383">
        <v>1</v>
      </c>
    </row>
    <row r="2100" spans="3:15">
      <c r="C2100" s="2388" t="s">
        <v>6598</v>
      </c>
      <c r="D2100" s="2385">
        <v>0</v>
      </c>
      <c r="E2100" s="2385">
        <v>0</v>
      </c>
      <c r="F2100" s="2386">
        <v>0</v>
      </c>
      <c r="G2100" s="2412" t="s">
        <v>6598</v>
      </c>
      <c r="H2100" s="2383">
        <v>0</v>
      </c>
      <c r="I2100" s="2383">
        <v>0</v>
      </c>
      <c r="J2100" s="2413">
        <v>0</v>
      </c>
      <c r="K2100" s="2387"/>
      <c r="L2100" s="2381">
        <v>13249960200</v>
      </c>
      <c r="M2100" s="2382">
        <v>0</v>
      </c>
      <c r="N2100" s="2382">
        <v>0</v>
      </c>
      <c r="O2100" s="2383">
        <v>0</v>
      </c>
    </row>
    <row r="2101" spans="3:15">
      <c r="C2101" s="2388" t="s">
        <v>6599</v>
      </c>
      <c r="D2101" s="2385">
        <v>0</v>
      </c>
      <c r="E2101" s="2385">
        <v>0</v>
      </c>
      <c r="F2101" s="2386">
        <v>0</v>
      </c>
      <c r="G2101" s="2412" t="s">
        <v>6599</v>
      </c>
      <c r="H2101" s="2383">
        <v>0</v>
      </c>
      <c r="I2101" s="2383">
        <v>0</v>
      </c>
      <c r="J2101" s="2413">
        <v>0</v>
      </c>
      <c r="K2101" s="2387"/>
      <c r="L2101" s="2381">
        <v>13251970200</v>
      </c>
      <c r="M2101" s="2382">
        <v>0</v>
      </c>
      <c r="N2101" s="2382">
        <v>0</v>
      </c>
      <c r="O2101" s="2383">
        <v>0</v>
      </c>
    </row>
    <row r="2102" spans="3:15">
      <c r="C2102" s="2388" t="s">
        <v>6600</v>
      </c>
      <c r="D2102" s="2385">
        <v>0</v>
      </c>
      <c r="E2102" s="2385">
        <v>0</v>
      </c>
      <c r="F2102" s="2386">
        <v>0</v>
      </c>
      <c r="G2102" s="2412" t="s">
        <v>6600</v>
      </c>
      <c r="H2102" s="2383">
        <v>0</v>
      </c>
      <c r="I2102" s="2383">
        <v>0</v>
      </c>
      <c r="J2102" s="2413">
        <v>0</v>
      </c>
      <c r="K2102" s="2387"/>
      <c r="L2102" s="2381">
        <v>13251970300</v>
      </c>
      <c r="M2102" s="2382">
        <v>0</v>
      </c>
      <c r="N2102" s="2382">
        <v>0</v>
      </c>
      <c r="O2102" s="2383">
        <v>0</v>
      </c>
    </row>
    <row r="2103" spans="3:15">
      <c r="C2103" s="2388" t="s">
        <v>6601</v>
      </c>
      <c r="D2103" s="2385">
        <v>0</v>
      </c>
      <c r="E2103" s="2385">
        <v>0</v>
      </c>
      <c r="F2103" s="2386">
        <v>0</v>
      </c>
      <c r="G2103" s="2412" t="s">
        <v>6601</v>
      </c>
      <c r="H2103" s="2383">
        <v>0</v>
      </c>
      <c r="I2103" s="2383">
        <v>0</v>
      </c>
      <c r="J2103" s="2413">
        <v>0</v>
      </c>
      <c r="K2103" s="2387"/>
      <c r="L2103" s="2381">
        <v>13251970400</v>
      </c>
      <c r="M2103" s="2382">
        <v>0</v>
      </c>
      <c r="N2103" s="2382">
        <v>0</v>
      </c>
      <c r="O2103" s="2383">
        <v>0</v>
      </c>
    </row>
    <row r="2104" spans="3:15">
      <c r="C2104" s="2388" t="s">
        <v>6602</v>
      </c>
      <c r="D2104" s="2385">
        <v>0</v>
      </c>
      <c r="E2104" s="2385">
        <v>0</v>
      </c>
      <c r="F2104" s="2386">
        <v>0</v>
      </c>
      <c r="G2104" s="2412" t="s">
        <v>6602</v>
      </c>
      <c r="H2104" s="2383">
        <v>0</v>
      </c>
      <c r="I2104" s="2383">
        <v>0</v>
      </c>
      <c r="J2104" s="2413">
        <v>0</v>
      </c>
      <c r="K2104" s="2387"/>
      <c r="L2104" s="2381">
        <v>13251970500</v>
      </c>
      <c r="M2104" s="2382">
        <v>0</v>
      </c>
      <c r="N2104" s="2382">
        <v>0</v>
      </c>
      <c r="O2104" s="2383">
        <v>0</v>
      </c>
    </row>
    <row r="2105" spans="3:15">
      <c r="C2105" s="2388" t="s">
        <v>6603</v>
      </c>
      <c r="D2105" s="2385">
        <v>0</v>
      </c>
      <c r="E2105" s="2385">
        <v>0</v>
      </c>
      <c r="F2105" s="2386">
        <v>0</v>
      </c>
      <c r="G2105" s="2412" t="s">
        <v>6603</v>
      </c>
      <c r="H2105" s="2383">
        <v>0</v>
      </c>
      <c r="I2105" s="2383">
        <v>0</v>
      </c>
      <c r="J2105" s="2413">
        <v>0</v>
      </c>
      <c r="K2105" s="2387"/>
      <c r="L2105" s="2381">
        <v>13251970600</v>
      </c>
      <c r="M2105" s="2382">
        <v>0</v>
      </c>
      <c r="N2105" s="2382">
        <v>0</v>
      </c>
      <c r="O2105" s="2383">
        <v>0</v>
      </c>
    </row>
    <row r="2106" spans="3:15">
      <c r="C2106" s="2388" t="s">
        <v>6604</v>
      </c>
      <c r="D2106" s="2385">
        <v>0</v>
      </c>
      <c r="E2106" s="2385">
        <v>0</v>
      </c>
      <c r="F2106" s="2386">
        <v>0</v>
      </c>
      <c r="G2106" s="2412" t="s">
        <v>6604</v>
      </c>
      <c r="H2106" s="2383">
        <v>0</v>
      </c>
      <c r="I2106" s="2383">
        <v>0</v>
      </c>
      <c r="J2106" s="2413">
        <v>0</v>
      </c>
      <c r="K2106" s="2387"/>
      <c r="L2106" s="2381">
        <v>13253200100</v>
      </c>
      <c r="M2106" s="2382">
        <v>0</v>
      </c>
      <c r="N2106" s="2382">
        <v>0</v>
      </c>
      <c r="O2106" s="2383">
        <v>0</v>
      </c>
    </row>
    <row r="2107" spans="3:15">
      <c r="C2107" s="2388" t="s">
        <v>6605</v>
      </c>
      <c r="D2107" s="2385">
        <v>0</v>
      </c>
      <c r="E2107" s="2385">
        <v>0</v>
      </c>
      <c r="F2107" s="2386">
        <v>0</v>
      </c>
      <c r="G2107" s="2412" t="s">
        <v>6605</v>
      </c>
      <c r="H2107" s="2383">
        <v>0</v>
      </c>
      <c r="I2107" s="2383">
        <v>0</v>
      </c>
      <c r="J2107" s="2413">
        <v>0</v>
      </c>
      <c r="K2107" s="2387"/>
      <c r="L2107" s="2381">
        <v>13253200200</v>
      </c>
      <c r="M2107" s="2382">
        <v>0</v>
      </c>
      <c r="N2107" s="2382">
        <v>0</v>
      </c>
      <c r="O2107" s="2383">
        <v>0</v>
      </c>
    </row>
    <row r="2108" spans="3:15">
      <c r="C2108" s="2388" t="s">
        <v>6606</v>
      </c>
      <c r="D2108" s="2385">
        <v>0</v>
      </c>
      <c r="E2108" s="2385">
        <v>0</v>
      </c>
      <c r="F2108" s="2386">
        <v>0</v>
      </c>
      <c r="G2108" s="2412" t="s">
        <v>6606</v>
      </c>
      <c r="H2108" s="2383">
        <v>0</v>
      </c>
      <c r="I2108" s="2383">
        <v>0</v>
      </c>
      <c r="J2108" s="2413">
        <v>0</v>
      </c>
      <c r="K2108" s="2387"/>
      <c r="L2108" s="2381">
        <v>13253200300</v>
      </c>
      <c r="M2108" s="2382">
        <v>0</v>
      </c>
      <c r="N2108" s="2382">
        <v>0</v>
      </c>
      <c r="O2108" s="2383">
        <v>0</v>
      </c>
    </row>
    <row r="2109" spans="3:15">
      <c r="C2109" s="2388" t="s">
        <v>6607</v>
      </c>
      <c r="D2109" s="2385">
        <v>0</v>
      </c>
      <c r="E2109" s="2385">
        <v>1</v>
      </c>
      <c r="F2109" s="2386">
        <v>1</v>
      </c>
      <c r="G2109" s="2412" t="s">
        <v>6607</v>
      </c>
      <c r="H2109" s="2383">
        <v>0</v>
      </c>
      <c r="I2109" s="2383">
        <v>0</v>
      </c>
      <c r="J2109" s="2413">
        <v>0</v>
      </c>
      <c r="K2109" s="2387"/>
      <c r="L2109" s="2381">
        <v>13255160100</v>
      </c>
      <c r="M2109" s="2382">
        <v>0</v>
      </c>
      <c r="N2109" s="2382">
        <v>1</v>
      </c>
      <c r="O2109" s="2383">
        <v>1</v>
      </c>
    </row>
    <row r="2110" spans="3:15">
      <c r="C2110" s="2388" t="s">
        <v>6608</v>
      </c>
      <c r="D2110" s="2385">
        <v>0</v>
      </c>
      <c r="E2110" s="2385">
        <v>0</v>
      </c>
      <c r="F2110" s="2386">
        <v>0</v>
      </c>
      <c r="G2110" s="2412" t="s">
        <v>6608</v>
      </c>
      <c r="H2110" s="2383">
        <v>0</v>
      </c>
      <c r="I2110" s="2383">
        <v>0</v>
      </c>
      <c r="J2110" s="2413">
        <v>0</v>
      </c>
      <c r="K2110" s="2387"/>
      <c r="L2110" s="2381">
        <v>13255160200</v>
      </c>
      <c r="M2110" s="2382">
        <v>0</v>
      </c>
      <c r="N2110" s="2382">
        <v>0</v>
      </c>
      <c r="O2110" s="2383">
        <v>0</v>
      </c>
    </row>
    <row r="2111" spans="3:15">
      <c r="C2111" s="2388" t="s">
        <v>6609</v>
      </c>
      <c r="D2111" s="2385">
        <v>0</v>
      </c>
      <c r="E2111" s="2385">
        <v>0</v>
      </c>
      <c r="F2111" s="2386">
        <v>0</v>
      </c>
      <c r="G2111" s="2412" t="s">
        <v>6609</v>
      </c>
      <c r="H2111" s="2383">
        <v>0</v>
      </c>
      <c r="I2111" s="2383">
        <v>0</v>
      </c>
      <c r="J2111" s="2413">
        <v>0</v>
      </c>
      <c r="K2111" s="2387"/>
      <c r="L2111" s="2381">
        <v>13255160300</v>
      </c>
      <c r="M2111" s="2382">
        <v>0</v>
      </c>
      <c r="N2111" s="2382">
        <v>0</v>
      </c>
      <c r="O2111" s="2383">
        <v>0</v>
      </c>
    </row>
    <row r="2112" spans="3:15">
      <c r="C2112" s="2388" t="s">
        <v>6610</v>
      </c>
      <c r="D2112" s="2385">
        <v>0</v>
      </c>
      <c r="E2112" s="2385">
        <v>0</v>
      </c>
      <c r="F2112" s="2386">
        <v>0</v>
      </c>
      <c r="G2112" s="2412" t="s">
        <v>6610</v>
      </c>
      <c r="H2112" s="2383">
        <v>0</v>
      </c>
      <c r="I2112" s="2383">
        <v>0</v>
      </c>
      <c r="J2112" s="2413">
        <v>0</v>
      </c>
      <c r="K2112" s="2387"/>
      <c r="L2112" s="2381">
        <v>13255160400</v>
      </c>
      <c r="M2112" s="2382">
        <v>0</v>
      </c>
      <c r="N2112" s="2382">
        <v>0</v>
      </c>
      <c r="O2112" s="2383">
        <v>0</v>
      </c>
    </row>
    <row r="2113" spans="3:15">
      <c r="C2113" s="2388" t="s">
        <v>6611</v>
      </c>
      <c r="D2113" s="2385">
        <v>0</v>
      </c>
      <c r="E2113" s="2385">
        <v>0</v>
      </c>
      <c r="F2113" s="2386">
        <v>0</v>
      </c>
      <c r="G2113" s="2412" t="s">
        <v>6611</v>
      </c>
      <c r="H2113" s="2383">
        <v>0</v>
      </c>
      <c r="I2113" s="2383">
        <v>0</v>
      </c>
      <c r="J2113" s="2413">
        <v>0</v>
      </c>
      <c r="K2113" s="2387"/>
      <c r="L2113" s="2381">
        <v>13255160500</v>
      </c>
      <c r="M2113" s="2382">
        <v>0</v>
      </c>
      <c r="N2113" s="2382">
        <v>0</v>
      </c>
      <c r="O2113" s="2383">
        <v>0</v>
      </c>
    </row>
    <row r="2114" spans="3:15">
      <c r="C2114" s="2388" t="s">
        <v>6612</v>
      </c>
      <c r="D2114" s="2385">
        <v>1</v>
      </c>
      <c r="E2114" s="2385">
        <v>1</v>
      </c>
      <c r="F2114" s="2386">
        <v>2</v>
      </c>
      <c r="G2114" s="2412" t="s">
        <v>6612</v>
      </c>
      <c r="H2114" s="2383">
        <v>0</v>
      </c>
      <c r="I2114" s="2383">
        <v>0</v>
      </c>
      <c r="J2114" s="2413">
        <v>0</v>
      </c>
      <c r="K2114" s="2387"/>
      <c r="L2114" s="2381">
        <v>13255160600</v>
      </c>
      <c r="M2114" s="2382">
        <v>1</v>
      </c>
      <c r="N2114" s="2382">
        <v>1</v>
      </c>
      <c r="O2114" s="2383">
        <v>2</v>
      </c>
    </row>
    <row r="2115" spans="3:15">
      <c r="C2115" s="2388" t="s">
        <v>6613</v>
      </c>
      <c r="D2115" s="2385">
        <v>0</v>
      </c>
      <c r="E2115" s="2385">
        <v>0</v>
      </c>
      <c r="F2115" s="2386">
        <v>0</v>
      </c>
      <c r="G2115" s="2412" t="s">
        <v>6613</v>
      </c>
      <c r="H2115" s="2383">
        <v>0</v>
      </c>
      <c r="I2115" s="2383">
        <v>0</v>
      </c>
      <c r="J2115" s="2413">
        <v>0</v>
      </c>
      <c r="K2115" s="2387"/>
      <c r="L2115" s="2381">
        <v>13255160700</v>
      </c>
      <c r="M2115" s="2382">
        <v>0</v>
      </c>
      <c r="N2115" s="2382">
        <v>0</v>
      </c>
      <c r="O2115" s="2383">
        <v>0</v>
      </c>
    </row>
    <row r="2116" spans="3:15">
      <c r="C2116" s="2388" t="s">
        <v>6614</v>
      </c>
      <c r="D2116" s="2385">
        <v>0</v>
      </c>
      <c r="E2116" s="2385">
        <v>0</v>
      </c>
      <c r="F2116" s="2386">
        <v>0</v>
      </c>
      <c r="G2116" s="2412" t="s">
        <v>6614</v>
      </c>
      <c r="H2116" s="2383">
        <v>0</v>
      </c>
      <c r="I2116" s="2383">
        <v>0</v>
      </c>
      <c r="J2116" s="2413">
        <v>0</v>
      </c>
      <c r="K2116" s="2387"/>
      <c r="L2116" s="2381">
        <v>13255160800</v>
      </c>
      <c r="M2116" s="2382">
        <v>0</v>
      </c>
      <c r="N2116" s="2382">
        <v>0</v>
      </c>
      <c r="O2116" s="2383">
        <v>0</v>
      </c>
    </row>
    <row r="2117" spans="3:15">
      <c r="C2117" s="2388" t="s">
        <v>6615</v>
      </c>
      <c r="D2117" s="2385">
        <v>0</v>
      </c>
      <c r="E2117" s="2385">
        <v>0</v>
      </c>
      <c r="F2117" s="2386">
        <v>0</v>
      </c>
      <c r="G2117" s="2412" t="s">
        <v>6615</v>
      </c>
      <c r="H2117" s="2383">
        <v>0</v>
      </c>
      <c r="I2117" s="2383">
        <v>0</v>
      </c>
      <c r="J2117" s="2413">
        <v>0</v>
      </c>
      <c r="K2117" s="2387"/>
      <c r="L2117" s="2381">
        <v>13255160900</v>
      </c>
      <c r="M2117" s="2382">
        <v>0</v>
      </c>
      <c r="N2117" s="2382">
        <v>0</v>
      </c>
      <c r="O2117" s="2383">
        <v>0</v>
      </c>
    </row>
    <row r="2118" spans="3:15">
      <c r="C2118" s="2388" t="s">
        <v>6616</v>
      </c>
      <c r="D2118" s="2385">
        <v>0</v>
      </c>
      <c r="E2118" s="2385">
        <v>1</v>
      </c>
      <c r="F2118" s="2386">
        <v>1</v>
      </c>
      <c r="G2118" s="2412" t="s">
        <v>6616</v>
      </c>
      <c r="H2118" s="2383">
        <v>0</v>
      </c>
      <c r="I2118" s="2383">
        <v>0</v>
      </c>
      <c r="J2118" s="2413">
        <v>0</v>
      </c>
      <c r="K2118" s="2387"/>
      <c r="L2118" s="2381">
        <v>13255161000</v>
      </c>
      <c r="M2118" s="2382">
        <v>0</v>
      </c>
      <c r="N2118" s="2382">
        <v>1</v>
      </c>
      <c r="O2118" s="2383">
        <v>1</v>
      </c>
    </row>
    <row r="2119" spans="3:15">
      <c r="C2119" s="2388" t="s">
        <v>6617</v>
      </c>
      <c r="D2119" s="2385">
        <v>1</v>
      </c>
      <c r="E2119" s="2385">
        <v>1</v>
      </c>
      <c r="F2119" s="2386">
        <v>2</v>
      </c>
      <c r="G2119" s="2412" t="s">
        <v>6617</v>
      </c>
      <c r="H2119" s="2383">
        <v>1</v>
      </c>
      <c r="I2119" s="2383">
        <v>1</v>
      </c>
      <c r="J2119" s="2413">
        <v>2</v>
      </c>
      <c r="K2119" s="2387"/>
      <c r="L2119" s="2381">
        <v>13255161100</v>
      </c>
      <c r="M2119" s="2382">
        <v>1</v>
      </c>
      <c r="N2119" s="2382">
        <v>1</v>
      </c>
      <c r="O2119" s="2383">
        <v>2</v>
      </c>
    </row>
    <row r="2120" spans="3:15">
      <c r="C2120" s="2388" t="s">
        <v>6618</v>
      </c>
      <c r="D2120" s="2385">
        <v>0</v>
      </c>
      <c r="E2120" s="2385">
        <v>0</v>
      </c>
      <c r="F2120" s="2386">
        <v>0</v>
      </c>
      <c r="G2120" s="2412" t="s">
        <v>6618</v>
      </c>
      <c r="H2120" s="2383">
        <v>0</v>
      </c>
      <c r="I2120" s="2383">
        <v>1</v>
      </c>
      <c r="J2120" s="2413">
        <v>1</v>
      </c>
      <c r="K2120" s="2387"/>
      <c r="L2120" s="2381">
        <v>13255161200</v>
      </c>
      <c r="M2120" s="2382">
        <v>0</v>
      </c>
      <c r="N2120" s="2382">
        <v>1</v>
      </c>
      <c r="O2120" s="2383">
        <v>1</v>
      </c>
    </row>
    <row r="2121" spans="3:15">
      <c r="C2121" s="2388" t="s">
        <v>6619</v>
      </c>
      <c r="D2121" s="2385">
        <v>0</v>
      </c>
      <c r="E2121" s="2385">
        <v>0</v>
      </c>
      <c r="F2121" s="2386">
        <v>0</v>
      </c>
      <c r="G2121" s="2412" t="s">
        <v>6619</v>
      </c>
      <c r="H2121" s="2383">
        <v>0</v>
      </c>
      <c r="I2121" s="2383">
        <v>0</v>
      </c>
      <c r="J2121" s="2413">
        <v>0</v>
      </c>
      <c r="K2121" s="2387"/>
      <c r="L2121" s="2381">
        <v>13257970100</v>
      </c>
      <c r="M2121" s="2382">
        <v>0</v>
      </c>
      <c r="N2121" s="2382">
        <v>0</v>
      </c>
      <c r="O2121" s="2383">
        <v>0</v>
      </c>
    </row>
    <row r="2122" spans="3:15">
      <c r="C2122" s="2388" t="s">
        <v>6620</v>
      </c>
      <c r="D2122" s="2385">
        <v>0</v>
      </c>
      <c r="E2122" s="2385">
        <v>0</v>
      </c>
      <c r="F2122" s="2386">
        <v>0</v>
      </c>
      <c r="G2122" s="2412" t="s">
        <v>6620</v>
      </c>
      <c r="H2122" s="2383">
        <v>0</v>
      </c>
      <c r="I2122" s="2383">
        <v>0</v>
      </c>
      <c r="J2122" s="2413">
        <v>0</v>
      </c>
      <c r="K2122" s="2387"/>
      <c r="L2122" s="2381">
        <v>13257970200</v>
      </c>
      <c r="M2122" s="2382">
        <v>0</v>
      </c>
      <c r="N2122" s="2382">
        <v>0</v>
      </c>
      <c r="O2122" s="2383">
        <v>0</v>
      </c>
    </row>
    <row r="2123" spans="3:15">
      <c r="C2123" s="2388" t="s">
        <v>6621</v>
      </c>
      <c r="D2123" s="2385">
        <v>0</v>
      </c>
      <c r="E2123" s="2385">
        <v>0</v>
      </c>
      <c r="F2123" s="2386">
        <v>0</v>
      </c>
      <c r="G2123" s="2412" t="s">
        <v>6621</v>
      </c>
      <c r="H2123" s="2383">
        <v>0</v>
      </c>
      <c r="I2123" s="2383">
        <v>0</v>
      </c>
      <c r="J2123" s="2413">
        <v>0</v>
      </c>
      <c r="K2123" s="2387"/>
      <c r="L2123" s="2381">
        <v>13257970301</v>
      </c>
      <c r="M2123" s="2382">
        <v>0</v>
      </c>
      <c r="N2123" s="2382">
        <v>0</v>
      </c>
      <c r="O2123" s="2383">
        <v>0</v>
      </c>
    </row>
    <row r="2124" spans="3:15">
      <c r="C2124" s="2388" t="s">
        <v>6622</v>
      </c>
      <c r="D2124" s="2385">
        <v>0</v>
      </c>
      <c r="E2124" s="2385">
        <v>0</v>
      </c>
      <c r="F2124" s="2386">
        <v>0</v>
      </c>
      <c r="G2124" s="2412" t="s">
        <v>6622</v>
      </c>
      <c r="H2124" s="2383">
        <v>0</v>
      </c>
      <c r="I2124" s="2383">
        <v>0</v>
      </c>
      <c r="J2124" s="2413">
        <v>0</v>
      </c>
      <c r="K2124" s="2387"/>
      <c r="L2124" s="2381">
        <v>13257970302</v>
      </c>
      <c r="M2124" s="2382">
        <v>0</v>
      </c>
      <c r="N2124" s="2382">
        <v>0</v>
      </c>
      <c r="O2124" s="2383">
        <v>0</v>
      </c>
    </row>
    <row r="2125" spans="3:15">
      <c r="C2125" s="2388" t="s">
        <v>6623</v>
      </c>
      <c r="D2125" s="2385">
        <v>0</v>
      </c>
      <c r="E2125" s="2385">
        <v>0</v>
      </c>
      <c r="F2125" s="2386">
        <v>0</v>
      </c>
      <c r="G2125" s="2412" t="s">
        <v>6623</v>
      </c>
      <c r="H2125" s="2383">
        <v>0</v>
      </c>
      <c r="I2125" s="2383">
        <v>0</v>
      </c>
      <c r="J2125" s="2413">
        <v>0</v>
      </c>
      <c r="K2125" s="2387"/>
      <c r="L2125" s="2381">
        <v>13257970400</v>
      </c>
      <c r="M2125" s="2382">
        <v>0</v>
      </c>
      <c r="N2125" s="2382">
        <v>0</v>
      </c>
      <c r="O2125" s="2383">
        <v>0</v>
      </c>
    </row>
    <row r="2126" spans="3:15">
      <c r="C2126" s="2388" t="s">
        <v>6624</v>
      </c>
      <c r="D2126" s="2385">
        <v>0</v>
      </c>
      <c r="E2126" s="2385">
        <v>0</v>
      </c>
      <c r="F2126" s="2386">
        <v>0</v>
      </c>
      <c r="G2126" s="2412" t="s">
        <v>6624</v>
      </c>
      <c r="H2126" s="2383">
        <v>0</v>
      </c>
      <c r="I2126" s="2383">
        <v>0</v>
      </c>
      <c r="J2126" s="2413">
        <v>0</v>
      </c>
      <c r="K2126" s="2387"/>
      <c r="L2126" s="2381">
        <v>13259950100</v>
      </c>
      <c r="M2126" s="2382">
        <v>0</v>
      </c>
      <c r="N2126" s="2382">
        <v>0</v>
      </c>
      <c r="O2126" s="2383">
        <v>0</v>
      </c>
    </row>
    <row r="2127" spans="3:15">
      <c r="C2127" s="2388" t="s">
        <v>6625</v>
      </c>
      <c r="D2127" s="2385">
        <v>0</v>
      </c>
      <c r="E2127" s="2385">
        <v>0</v>
      </c>
      <c r="F2127" s="2386">
        <v>0</v>
      </c>
      <c r="G2127" s="2412" t="s">
        <v>6625</v>
      </c>
      <c r="H2127" s="2383">
        <v>0</v>
      </c>
      <c r="I2127" s="2383">
        <v>0</v>
      </c>
      <c r="J2127" s="2413">
        <v>0</v>
      </c>
      <c r="K2127" s="2387"/>
      <c r="L2127" s="2381">
        <v>13259950400</v>
      </c>
      <c r="M2127" s="2382">
        <v>0</v>
      </c>
      <c r="N2127" s="2382">
        <v>0</v>
      </c>
      <c r="O2127" s="2383">
        <v>0</v>
      </c>
    </row>
    <row r="2128" spans="3:15">
      <c r="C2128" s="2388" t="s">
        <v>6626</v>
      </c>
      <c r="D2128" s="2385">
        <v>0</v>
      </c>
      <c r="E2128" s="2385">
        <v>0</v>
      </c>
      <c r="F2128" s="2386">
        <v>0</v>
      </c>
      <c r="G2128" s="2412" t="s">
        <v>6626</v>
      </c>
      <c r="H2128" s="2383">
        <v>0</v>
      </c>
      <c r="I2128" s="2383">
        <v>0</v>
      </c>
      <c r="J2128" s="2413">
        <v>0</v>
      </c>
      <c r="K2128" s="2387"/>
      <c r="L2128" s="2381">
        <v>13261950100</v>
      </c>
      <c r="M2128" s="2382">
        <v>0</v>
      </c>
      <c r="N2128" s="2382">
        <v>0</v>
      </c>
      <c r="O2128" s="2383">
        <v>0</v>
      </c>
    </row>
    <row r="2129" spans="3:15">
      <c r="C2129" s="2388" t="s">
        <v>6627</v>
      </c>
      <c r="D2129" s="2385">
        <v>0</v>
      </c>
      <c r="E2129" s="2385">
        <v>0</v>
      </c>
      <c r="F2129" s="2386">
        <v>0</v>
      </c>
      <c r="G2129" s="2412" t="s">
        <v>6627</v>
      </c>
      <c r="H2129" s="2383">
        <v>0</v>
      </c>
      <c r="I2129" s="2383">
        <v>0</v>
      </c>
      <c r="J2129" s="2413">
        <v>0</v>
      </c>
      <c r="K2129" s="2387"/>
      <c r="L2129" s="2381">
        <v>13261950200</v>
      </c>
      <c r="M2129" s="2382">
        <v>0</v>
      </c>
      <c r="N2129" s="2382">
        <v>0</v>
      </c>
      <c r="O2129" s="2383">
        <v>0</v>
      </c>
    </row>
    <row r="2130" spans="3:15">
      <c r="C2130" s="2388" t="s">
        <v>6628</v>
      </c>
      <c r="D2130" s="2385">
        <v>0</v>
      </c>
      <c r="E2130" s="2385">
        <v>0</v>
      </c>
      <c r="F2130" s="2386">
        <v>0</v>
      </c>
      <c r="G2130" s="2412" t="s">
        <v>6628</v>
      </c>
      <c r="H2130" s="2383">
        <v>0</v>
      </c>
      <c r="I2130" s="2383">
        <v>1</v>
      </c>
      <c r="J2130" s="2413">
        <v>1</v>
      </c>
      <c r="K2130" s="2387"/>
      <c r="L2130" s="2381">
        <v>13261950300</v>
      </c>
      <c r="M2130" s="2382">
        <v>0</v>
      </c>
      <c r="N2130" s="2382">
        <v>1</v>
      </c>
      <c r="O2130" s="2383">
        <v>1</v>
      </c>
    </row>
    <row r="2131" spans="3:15">
      <c r="C2131" s="2388" t="s">
        <v>6629</v>
      </c>
      <c r="D2131" s="2385">
        <v>0</v>
      </c>
      <c r="E2131" s="2385">
        <v>0</v>
      </c>
      <c r="F2131" s="2386">
        <v>0</v>
      </c>
      <c r="G2131" s="2412" t="s">
        <v>6629</v>
      </c>
      <c r="H2131" s="2383">
        <v>0</v>
      </c>
      <c r="I2131" s="2383">
        <v>0</v>
      </c>
      <c r="J2131" s="2413">
        <v>0</v>
      </c>
      <c r="K2131" s="2387"/>
      <c r="L2131" s="2381">
        <v>13261950400</v>
      </c>
      <c r="M2131" s="2382">
        <v>0</v>
      </c>
      <c r="N2131" s="2382">
        <v>0</v>
      </c>
      <c r="O2131" s="2383">
        <v>0</v>
      </c>
    </row>
    <row r="2132" spans="3:15">
      <c r="C2132" s="2388" t="s">
        <v>6630</v>
      </c>
      <c r="D2132" s="2385">
        <v>0</v>
      </c>
      <c r="E2132" s="2385">
        <v>0</v>
      </c>
      <c r="F2132" s="2386">
        <v>0</v>
      </c>
      <c r="G2132" s="2412" t="s">
        <v>6630</v>
      </c>
      <c r="H2132" s="2383">
        <v>0</v>
      </c>
      <c r="I2132" s="2383">
        <v>0</v>
      </c>
      <c r="J2132" s="2413">
        <v>0</v>
      </c>
      <c r="K2132" s="2387"/>
      <c r="L2132" s="2381">
        <v>13261950500</v>
      </c>
      <c r="M2132" s="2382">
        <v>0</v>
      </c>
      <c r="N2132" s="2382">
        <v>0</v>
      </c>
      <c r="O2132" s="2383">
        <v>0</v>
      </c>
    </row>
    <row r="2133" spans="3:15">
      <c r="C2133" s="2388" t="s">
        <v>6631</v>
      </c>
      <c r="D2133" s="2385">
        <v>0</v>
      </c>
      <c r="E2133" s="2385">
        <v>0</v>
      </c>
      <c r="F2133" s="2386">
        <v>0</v>
      </c>
      <c r="G2133" s="2412" t="s">
        <v>6631</v>
      </c>
      <c r="H2133" s="2383">
        <v>0</v>
      </c>
      <c r="I2133" s="2383">
        <v>0</v>
      </c>
      <c r="J2133" s="2413">
        <v>0</v>
      </c>
      <c r="K2133" s="2387"/>
      <c r="L2133" s="2381">
        <v>13261950600</v>
      </c>
      <c r="M2133" s="2382">
        <v>0</v>
      </c>
      <c r="N2133" s="2382">
        <v>0</v>
      </c>
      <c r="O2133" s="2383">
        <v>0</v>
      </c>
    </row>
    <row r="2134" spans="3:15">
      <c r="C2134" s="2388" t="s">
        <v>6632</v>
      </c>
      <c r="D2134" s="2385">
        <v>0</v>
      </c>
      <c r="E2134" s="2385">
        <v>0</v>
      </c>
      <c r="F2134" s="2386">
        <v>0</v>
      </c>
      <c r="G2134" s="2412" t="s">
        <v>6632</v>
      </c>
      <c r="H2134" s="2383">
        <v>0</v>
      </c>
      <c r="I2134" s="2383">
        <v>1</v>
      </c>
      <c r="J2134" s="2413">
        <v>1</v>
      </c>
      <c r="K2134" s="2387"/>
      <c r="L2134" s="2381">
        <v>13261950700</v>
      </c>
      <c r="M2134" s="2382">
        <v>0</v>
      </c>
      <c r="N2134" s="2382">
        <v>1</v>
      </c>
      <c r="O2134" s="2383">
        <v>1</v>
      </c>
    </row>
    <row r="2135" spans="3:15">
      <c r="C2135" s="2388" t="s">
        <v>6633</v>
      </c>
      <c r="D2135" s="2385">
        <v>0</v>
      </c>
      <c r="E2135" s="2385">
        <v>0</v>
      </c>
      <c r="F2135" s="2386">
        <v>0</v>
      </c>
      <c r="G2135" s="2412" t="s">
        <v>6633</v>
      </c>
      <c r="H2135" s="2383">
        <v>0</v>
      </c>
      <c r="I2135" s="2383">
        <v>1</v>
      </c>
      <c r="J2135" s="2413">
        <v>1</v>
      </c>
      <c r="K2135" s="2387"/>
      <c r="L2135" s="2381">
        <v>13261950800</v>
      </c>
      <c r="M2135" s="2382">
        <v>0</v>
      </c>
      <c r="N2135" s="2382">
        <v>1</v>
      </c>
      <c r="O2135" s="2383">
        <v>1</v>
      </c>
    </row>
    <row r="2136" spans="3:15">
      <c r="C2136" s="2388" t="s">
        <v>6634</v>
      </c>
      <c r="D2136" s="2385">
        <v>1</v>
      </c>
      <c r="E2136" s="2385">
        <v>0</v>
      </c>
      <c r="F2136" s="2386">
        <v>1</v>
      </c>
      <c r="G2136" s="2412" t="s">
        <v>6634</v>
      </c>
      <c r="H2136" s="2383">
        <v>0</v>
      </c>
      <c r="I2136" s="2383" t="s">
        <v>4493</v>
      </c>
      <c r="J2136" s="2413">
        <v>0</v>
      </c>
      <c r="K2136" s="2387"/>
      <c r="L2136" s="2381">
        <v>13263960100</v>
      </c>
      <c r="M2136" s="2382">
        <v>1</v>
      </c>
      <c r="N2136" s="2382">
        <v>0</v>
      </c>
      <c r="O2136" s="2383">
        <v>1</v>
      </c>
    </row>
    <row r="2137" spans="3:15">
      <c r="C2137" s="2388" t="s">
        <v>6635</v>
      </c>
      <c r="D2137" s="2385">
        <v>0</v>
      </c>
      <c r="E2137" s="2385">
        <v>0</v>
      </c>
      <c r="F2137" s="2386">
        <v>0</v>
      </c>
      <c r="G2137" s="2412" t="s">
        <v>6635</v>
      </c>
      <c r="H2137" s="2383">
        <v>0</v>
      </c>
      <c r="I2137" s="2383">
        <v>0</v>
      </c>
      <c r="J2137" s="2413">
        <v>0</v>
      </c>
      <c r="K2137" s="2387"/>
      <c r="L2137" s="2381">
        <v>13263960200</v>
      </c>
      <c r="M2137" s="2382">
        <v>0</v>
      </c>
      <c r="N2137" s="2382">
        <v>0</v>
      </c>
      <c r="O2137" s="2383">
        <v>0</v>
      </c>
    </row>
    <row r="2138" spans="3:15">
      <c r="C2138" s="2388" t="s">
        <v>6636</v>
      </c>
      <c r="D2138" s="2385">
        <v>0</v>
      </c>
      <c r="E2138" s="2385">
        <v>0</v>
      </c>
      <c r="F2138" s="2386">
        <v>0</v>
      </c>
      <c r="G2138" s="2412" t="s">
        <v>6636</v>
      </c>
      <c r="H2138" s="2383">
        <v>0</v>
      </c>
      <c r="I2138" s="2383">
        <v>0</v>
      </c>
      <c r="J2138" s="2413">
        <v>0</v>
      </c>
      <c r="K2138" s="2387"/>
      <c r="L2138" s="2381">
        <v>13263960300</v>
      </c>
      <c r="M2138" s="2382">
        <v>0</v>
      </c>
      <c r="N2138" s="2382">
        <v>0</v>
      </c>
      <c r="O2138" s="2383">
        <v>0</v>
      </c>
    </row>
    <row r="2139" spans="3:15">
      <c r="C2139" s="2388" t="s">
        <v>6637</v>
      </c>
      <c r="D2139" s="2385">
        <v>0</v>
      </c>
      <c r="E2139" s="2385">
        <v>0</v>
      </c>
      <c r="F2139" s="2386">
        <v>0</v>
      </c>
      <c r="G2139" s="2412" t="s">
        <v>6637</v>
      </c>
      <c r="H2139" s="2383">
        <v>0</v>
      </c>
      <c r="I2139" s="2383">
        <v>0</v>
      </c>
      <c r="J2139" s="2413">
        <v>0</v>
      </c>
      <c r="K2139" s="2387"/>
      <c r="L2139" s="2381">
        <v>13265010200</v>
      </c>
      <c r="M2139" s="2382">
        <v>0</v>
      </c>
      <c r="N2139" s="2382">
        <v>0</v>
      </c>
      <c r="O2139" s="2383">
        <v>0</v>
      </c>
    </row>
    <row r="2140" spans="3:15">
      <c r="C2140" s="2388" t="s">
        <v>6638</v>
      </c>
      <c r="D2140" s="2385">
        <v>0</v>
      </c>
      <c r="E2140" s="2385">
        <v>0</v>
      </c>
      <c r="F2140" s="2386">
        <v>0</v>
      </c>
      <c r="G2140" s="2412" t="s">
        <v>6638</v>
      </c>
      <c r="H2140" s="2383">
        <v>0</v>
      </c>
      <c r="I2140" s="2383">
        <v>0</v>
      </c>
      <c r="J2140" s="2413">
        <v>0</v>
      </c>
      <c r="K2140" s="2387"/>
      <c r="L2140" s="2381">
        <v>13267950100</v>
      </c>
      <c r="M2140" s="2382">
        <v>0</v>
      </c>
      <c r="N2140" s="2382">
        <v>0</v>
      </c>
      <c r="O2140" s="2383">
        <v>0</v>
      </c>
    </row>
    <row r="2141" spans="3:15">
      <c r="C2141" s="2388" t="s">
        <v>6639</v>
      </c>
      <c r="D2141" s="2385">
        <v>0</v>
      </c>
      <c r="E2141" s="2385">
        <v>0</v>
      </c>
      <c r="F2141" s="2386">
        <v>0</v>
      </c>
      <c r="G2141" s="2412" t="s">
        <v>6639</v>
      </c>
      <c r="H2141" s="2383">
        <v>0</v>
      </c>
      <c r="I2141" s="2383">
        <v>0</v>
      </c>
      <c r="J2141" s="2413">
        <v>0</v>
      </c>
      <c r="K2141" s="2387"/>
      <c r="L2141" s="2381">
        <v>13267950201</v>
      </c>
      <c r="M2141" s="2382">
        <v>0</v>
      </c>
      <c r="N2141" s="2382">
        <v>0</v>
      </c>
      <c r="O2141" s="2383">
        <v>0</v>
      </c>
    </row>
    <row r="2142" spans="3:15">
      <c r="C2142" s="2388" t="s">
        <v>6640</v>
      </c>
      <c r="D2142" s="2385">
        <v>0</v>
      </c>
      <c r="E2142" s="2385">
        <v>0</v>
      </c>
      <c r="F2142" s="2386">
        <v>0</v>
      </c>
      <c r="G2142" s="2412" t="s">
        <v>6640</v>
      </c>
      <c r="H2142" s="2383">
        <v>0</v>
      </c>
      <c r="I2142" s="2383">
        <v>0</v>
      </c>
      <c r="J2142" s="2413">
        <v>0</v>
      </c>
      <c r="K2142" s="2387"/>
      <c r="L2142" s="2381">
        <v>13267950202</v>
      </c>
      <c r="M2142" s="2382">
        <v>0</v>
      </c>
      <c r="N2142" s="2382">
        <v>0</v>
      </c>
      <c r="O2142" s="2383">
        <v>0</v>
      </c>
    </row>
    <row r="2143" spans="3:15">
      <c r="C2143" s="2388" t="s">
        <v>6641</v>
      </c>
      <c r="D2143" s="2385">
        <v>0</v>
      </c>
      <c r="E2143" s="2385">
        <v>0</v>
      </c>
      <c r="F2143" s="2386">
        <v>0</v>
      </c>
      <c r="G2143" s="2412" t="s">
        <v>6641</v>
      </c>
      <c r="H2143" s="2383">
        <v>0</v>
      </c>
      <c r="I2143" s="2383">
        <v>0</v>
      </c>
      <c r="J2143" s="2413">
        <v>0</v>
      </c>
      <c r="K2143" s="2387"/>
      <c r="L2143" s="2381">
        <v>13267950300</v>
      </c>
      <c r="M2143" s="2382">
        <v>0</v>
      </c>
      <c r="N2143" s="2382">
        <v>0</v>
      </c>
      <c r="O2143" s="2383">
        <v>0</v>
      </c>
    </row>
    <row r="2144" spans="3:15">
      <c r="C2144" s="2388" t="s">
        <v>6642</v>
      </c>
      <c r="D2144" s="2385">
        <v>0</v>
      </c>
      <c r="E2144" s="2385">
        <v>0</v>
      </c>
      <c r="F2144" s="2386">
        <v>0</v>
      </c>
      <c r="G2144" s="2412" t="s">
        <v>6642</v>
      </c>
      <c r="H2144" s="2383">
        <v>0</v>
      </c>
      <c r="I2144" s="2383">
        <v>0</v>
      </c>
      <c r="J2144" s="2413">
        <v>0</v>
      </c>
      <c r="K2144" s="2387"/>
      <c r="L2144" s="2381">
        <v>13267950400</v>
      </c>
      <c r="M2144" s="2382">
        <v>0</v>
      </c>
      <c r="N2144" s="2382">
        <v>0</v>
      </c>
      <c r="O2144" s="2383">
        <v>0</v>
      </c>
    </row>
    <row r="2145" spans="3:15">
      <c r="C2145" s="2388" t="s">
        <v>6643</v>
      </c>
      <c r="D2145" s="2385">
        <v>0</v>
      </c>
      <c r="E2145" s="2385">
        <v>0</v>
      </c>
      <c r="F2145" s="2386">
        <v>0</v>
      </c>
      <c r="G2145" s="2412" t="s">
        <v>6643</v>
      </c>
      <c r="H2145" s="2383">
        <v>0</v>
      </c>
      <c r="I2145" s="2383">
        <v>0</v>
      </c>
      <c r="J2145" s="2413">
        <v>0</v>
      </c>
      <c r="K2145" s="2387"/>
      <c r="L2145" s="2381">
        <v>13269950100</v>
      </c>
      <c r="M2145" s="2382">
        <v>0</v>
      </c>
      <c r="N2145" s="2382">
        <v>0</v>
      </c>
      <c r="O2145" s="2383">
        <v>0</v>
      </c>
    </row>
    <row r="2146" spans="3:15">
      <c r="C2146" s="2388" t="s">
        <v>6644</v>
      </c>
      <c r="D2146" s="2385">
        <v>0</v>
      </c>
      <c r="E2146" s="2385">
        <v>0</v>
      </c>
      <c r="F2146" s="2386">
        <v>0</v>
      </c>
      <c r="G2146" s="2412" t="s">
        <v>6644</v>
      </c>
      <c r="H2146" s="2383">
        <v>0</v>
      </c>
      <c r="I2146" s="2383">
        <v>0</v>
      </c>
      <c r="J2146" s="2413">
        <v>0</v>
      </c>
      <c r="K2146" s="2387"/>
      <c r="L2146" s="2381">
        <v>13269950200</v>
      </c>
      <c r="M2146" s="2382">
        <v>0</v>
      </c>
      <c r="N2146" s="2382">
        <v>0</v>
      </c>
      <c r="O2146" s="2383">
        <v>0</v>
      </c>
    </row>
    <row r="2147" spans="3:15">
      <c r="C2147" s="2388" t="s">
        <v>6645</v>
      </c>
      <c r="D2147" s="2385">
        <v>0</v>
      </c>
      <c r="E2147" s="2385">
        <v>0</v>
      </c>
      <c r="F2147" s="2386">
        <v>0</v>
      </c>
      <c r="G2147" s="2412" t="s">
        <v>6645</v>
      </c>
      <c r="H2147" s="2383">
        <v>0</v>
      </c>
      <c r="I2147" s="2383">
        <v>0</v>
      </c>
      <c r="J2147" s="2413">
        <v>0</v>
      </c>
      <c r="K2147" s="2387"/>
      <c r="L2147" s="2381">
        <v>13269950300</v>
      </c>
      <c r="M2147" s="2382">
        <v>0</v>
      </c>
      <c r="N2147" s="2382">
        <v>0</v>
      </c>
      <c r="O2147" s="2383">
        <v>0</v>
      </c>
    </row>
    <row r="2148" spans="3:15">
      <c r="C2148" s="2388" t="s">
        <v>6646</v>
      </c>
      <c r="D2148" s="2385">
        <v>0</v>
      </c>
      <c r="E2148" s="2385">
        <v>0</v>
      </c>
      <c r="F2148" s="2386">
        <v>0</v>
      </c>
      <c r="G2148" s="2412" t="s">
        <v>6646</v>
      </c>
      <c r="H2148" s="2383">
        <v>0</v>
      </c>
      <c r="I2148" s="2383">
        <v>1</v>
      </c>
      <c r="J2148" s="2413">
        <v>1</v>
      </c>
      <c r="K2148" s="2387"/>
      <c r="L2148" s="2381">
        <v>13271950100</v>
      </c>
      <c r="M2148" s="2382">
        <v>0</v>
      </c>
      <c r="N2148" s="2382">
        <v>1</v>
      </c>
      <c r="O2148" s="2383">
        <v>1</v>
      </c>
    </row>
    <row r="2149" spans="3:15">
      <c r="C2149" s="2388" t="s">
        <v>6647</v>
      </c>
      <c r="D2149" s="2385">
        <v>0</v>
      </c>
      <c r="E2149" s="2385">
        <v>0</v>
      </c>
      <c r="F2149" s="2386">
        <v>0</v>
      </c>
      <c r="G2149" s="2412" t="s">
        <v>6647</v>
      </c>
      <c r="H2149" s="2383">
        <v>0</v>
      </c>
      <c r="I2149" s="2383">
        <v>1</v>
      </c>
      <c r="J2149" s="2413">
        <v>1</v>
      </c>
      <c r="K2149" s="2387"/>
      <c r="L2149" s="2381">
        <v>13271950200</v>
      </c>
      <c r="M2149" s="2382">
        <v>0</v>
      </c>
      <c r="N2149" s="2382">
        <v>1</v>
      </c>
      <c r="O2149" s="2383">
        <v>1</v>
      </c>
    </row>
    <row r="2150" spans="3:15">
      <c r="C2150" s="2388" t="s">
        <v>6648</v>
      </c>
      <c r="D2150" s="2385">
        <v>0</v>
      </c>
      <c r="E2150" s="2385">
        <v>0</v>
      </c>
      <c r="F2150" s="2386">
        <v>0</v>
      </c>
      <c r="G2150" s="2412" t="s">
        <v>6648</v>
      </c>
      <c r="H2150" s="2383">
        <v>0</v>
      </c>
      <c r="I2150" s="2383">
        <v>0</v>
      </c>
      <c r="J2150" s="2413">
        <v>0</v>
      </c>
      <c r="K2150" s="2387"/>
      <c r="L2150" s="2381">
        <v>13271950500</v>
      </c>
      <c r="M2150" s="2382">
        <v>0</v>
      </c>
      <c r="N2150" s="2382">
        <v>0</v>
      </c>
      <c r="O2150" s="2383">
        <v>0</v>
      </c>
    </row>
    <row r="2151" spans="3:15">
      <c r="C2151" s="2388" t="s">
        <v>6649</v>
      </c>
      <c r="D2151" s="2385">
        <v>0</v>
      </c>
      <c r="E2151" s="2385">
        <v>0</v>
      </c>
      <c r="F2151" s="2386">
        <v>0</v>
      </c>
      <c r="G2151" s="2412" t="s">
        <v>6649</v>
      </c>
      <c r="H2151" s="2383">
        <v>0</v>
      </c>
      <c r="I2151" s="2383">
        <v>0</v>
      </c>
      <c r="J2151" s="2413">
        <v>0</v>
      </c>
      <c r="K2151" s="2387"/>
      <c r="L2151" s="2381">
        <v>13273120200</v>
      </c>
      <c r="M2151" s="2382">
        <v>0</v>
      </c>
      <c r="N2151" s="2382">
        <v>0</v>
      </c>
      <c r="O2151" s="2383">
        <v>0</v>
      </c>
    </row>
    <row r="2152" spans="3:15">
      <c r="C2152" s="2388" t="s">
        <v>6650</v>
      </c>
      <c r="D2152" s="2385">
        <v>0</v>
      </c>
      <c r="E2152" s="2385">
        <v>0</v>
      </c>
      <c r="F2152" s="2386">
        <v>0</v>
      </c>
      <c r="G2152" s="2412" t="s">
        <v>6650</v>
      </c>
      <c r="H2152" s="2383">
        <v>0</v>
      </c>
      <c r="I2152" s="2383">
        <v>0</v>
      </c>
      <c r="J2152" s="2413">
        <v>0</v>
      </c>
      <c r="K2152" s="2387"/>
      <c r="L2152" s="2381">
        <v>13273120300</v>
      </c>
      <c r="M2152" s="2382">
        <v>0</v>
      </c>
      <c r="N2152" s="2382">
        <v>0</v>
      </c>
      <c r="O2152" s="2383">
        <v>0</v>
      </c>
    </row>
    <row r="2153" spans="3:15">
      <c r="C2153" s="2388" t="s">
        <v>6651</v>
      </c>
      <c r="D2153" s="2385">
        <v>0</v>
      </c>
      <c r="E2153" s="2385">
        <v>0</v>
      </c>
      <c r="F2153" s="2386">
        <v>0</v>
      </c>
      <c r="G2153" s="2412" t="s">
        <v>6651</v>
      </c>
      <c r="H2153" s="2383">
        <v>0</v>
      </c>
      <c r="I2153" s="2383">
        <v>0</v>
      </c>
      <c r="J2153" s="2413">
        <v>0</v>
      </c>
      <c r="K2153" s="2387"/>
      <c r="L2153" s="2381">
        <v>13273120400</v>
      </c>
      <c r="M2153" s="2382">
        <v>0</v>
      </c>
      <c r="N2153" s="2382">
        <v>0</v>
      </c>
      <c r="O2153" s="2383">
        <v>0</v>
      </c>
    </row>
    <row r="2154" spans="3:15">
      <c r="C2154" s="2388" t="s">
        <v>6652</v>
      </c>
      <c r="D2154" s="2385">
        <v>0</v>
      </c>
      <c r="E2154" s="2385">
        <v>0</v>
      </c>
      <c r="F2154" s="2386">
        <v>0</v>
      </c>
      <c r="G2154" s="2412" t="s">
        <v>6652</v>
      </c>
      <c r="H2154" s="2383">
        <v>0</v>
      </c>
      <c r="I2154" s="2383">
        <v>0</v>
      </c>
      <c r="J2154" s="2413">
        <v>0</v>
      </c>
      <c r="K2154" s="2387"/>
      <c r="L2154" s="2381">
        <v>13273120500</v>
      </c>
      <c r="M2154" s="2382">
        <v>0</v>
      </c>
      <c r="N2154" s="2382">
        <v>0</v>
      </c>
      <c r="O2154" s="2383">
        <v>0</v>
      </c>
    </row>
    <row r="2155" spans="3:15">
      <c r="C2155" s="2388" t="s">
        <v>6653</v>
      </c>
      <c r="D2155" s="2385">
        <v>0</v>
      </c>
      <c r="E2155" s="2385">
        <v>0</v>
      </c>
      <c r="F2155" s="2386">
        <v>0</v>
      </c>
      <c r="G2155" s="2412" t="s">
        <v>6653</v>
      </c>
      <c r="H2155" s="2383">
        <v>0</v>
      </c>
      <c r="I2155" s="2383">
        <v>0</v>
      </c>
      <c r="J2155" s="2413">
        <v>0</v>
      </c>
      <c r="K2155" s="2387"/>
      <c r="L2155" s="2381">
        <v>13275960100</v>
      </c>
      <c r="M2155" s="2382">
        <v>0</v>
      </c>
      <c r="N2155" s="2382">
        <v>0</v>
      </c>
      <c r="O2155" s="2383">
        <v>0</v>
      </c>
    </row>
    <row r="2156" spans="3:15">
      <c r="C2156" s="2388" t="s">
        <v>6654</v>
      </c>
      <c r="D2156" s="2385">
        <v>0</v>
      </c>
      <c r="E2156" s="2385">
        <v>0</v>
      </c>
      <c r="F2156" s="2386">
        <v>0</v>
      </c>
      <c r="G2156" s="2412" t="s">
        <v>6654</v>
      </c>
      <c r="H2156" s="2383">
        <v>0</v>
      </c>
      <c r="I2156" s="2383">
        <v>0</v>
      </c>
      <c r="J2156" s="2413">
        <v>0</v>
      </c>
      <c r="K2156" s="2387"/>
      <c r="L2156" s="2381">
        <v>13275960200</v>
      </c>
      <c r="M2156" s="2382">
        <v>0</v>
      </c>
      <c r="N2156" s="2382">
        <v>0</v>
      </c>
      <c r="O2156" s="2383">
        <v>0</v>
      </c>
    </row>
    <row r="2157" spans="3:15">
      <c r="C2157" s="2388" t="s">
        <v>6655</v>
      </c>
      <c r="D2157" s="2385">
        <v>0</v>
      </c>
      <c r="E2157" s="2385">
        <v>0</v>
      </c>
      <c r="F2157" s="2386">
        <v>0</v>
      </c>
      <c r="G2157" s="2412" t="s">
        <v>6655</v>
      </c>
      <c r="H2157" s="2383">
        <v>0</v>
      </c>
      <c r="I2157" s="2383">
        <v>0</v>
      </c>
      <c r="J2157" s="2413">
        <v>0</v>
      </c>
      <c r="K2157" s="2387"/>
      <c r="L2157" s="2381">
        <v>13275960300</v>
      </c>
      <c r="M2157" s="2382">
        <v>0</v>
      </c>
      <c r="N2157" s="2382">
        <v>0</v>
      </c>
      <c r="O2157" s="2383">
        <v>0</v>
      </c>
    </row>
    <row r="2158" spans="3:15">
      <c r="C2158" s="2388" t="s">
        <v>6656</v>
      </c>
      <c r="D2158" s="2385">
        <v>0</v>
      </c>
      <c r="E2158" s="2385">
        <v>0</v>
      </c>
      <c r="F2158" s="2386">
        <v>0</v>
      </c>
      <c r="G2158" s="2412" t="s">
        <v>6656</v>
      </c>
      <c r="H2158" s="2383">
        <v>0</v>
      </c>
      <c r="I2158" s="2383">
        <v>0</v>
      </c>
      <c r="J2158" s="2413">
        <v>0</v>
      </c>
      <c r="K2158" s="2387"/>
      <c r="L2158" s="2381">
        <v>13275960400</v>
      </c>
      <c r="M2158" s="2382">
        <v>0</v>
      </c>
      <c r="N2158" s="2382">
        <v>0</v>
      </c>
      <c r="O2158" s="2383">
        <v>0</v>
      </c>
    </row>
    <row r="2159" spans="3:15">
      <c r="C2159" s="2388" t="s">
        <v>6657</v>
      </c>
      <c r="D2159" s="2385">
        <v>0</v>
      </c>
      <c r="E2159" s="2385">
        <v>0</v>
      </c>
      <c r="F2159" s="2386">
        <v>0</v>
      </c>
      <c r="G2159" s="2412" t="s">
        <v>6657</v>
      </c>
      <c r="H2159" s="2383">
        <v>0</v>
      </c>
      <c r="I2159" s="2383">
        <v>0</v>
      </c>
      <c r="J2159" s="2413">
        <v>0</v>
      </c>
      <c r="K2159" s="2387"/>
      <c r="L2159" s="2381">
        <v>13275960500</v>
      </c>
      <c r="M2159" s="2382">
        <v>0</v>
      </c>
      <c r="N2159" s="2382">
        <v>0</v>
      </c>
      <c r="O2159" s="2383">
        <v>0</v>
      </c>
    </row>
    <row r="2160" spans="3:15">
      <c r="C2160" s="2388" t="s">
        <v>6658</v>
      </c>
      <c r="D2160" s="2385">
        <v>1</v>
      </c>
      <c r="E2160" s="2385">
        <v>0</v>
      </c>
      <c r="F2160" s="2386">
        <v>1</v>
      </c>
      <c r="G2160" s="2412" t="s">
        <v>6658</v>
      </c>
      <c r="H2160" s="2383">
        <v>0</v>
      </c>
      <c r="I2160" s="2383">
        <v>0</v>
      </c>
      <c r="J2160" s="2413">
        <v>0</v>
      </c>
      <c r="K2160" s="2387"/>
      <c r="L2160" s="2381">
        <v>13275960600</v>
      </c>
      <c r="M2160" s="2382">
        <v>1</v>
      </c>
      <c r="N2160" s="2382">
        <v>0</v>
      </c>
      <c r="O2160" s="2383">
        <v>1</v>
      </c>
    </row>
    <row r="2161" spans="3:15">
      <c r="C2161" s="2388" t="s">
        <v>6659</v>
      </c>
      <c r="D2161" s="2385">
        <v>0</v>
      </c>
      <c r="E2161" s="2385">
        <v>0</v>
      </c>
      <c r="F2161" s="2386">
        <v>0</v>
      </c>
      <c r="G2161" s="2412" t="s">
        <v>6659</v>
      </c>
      <c r="H2161" s="2383">
        <v>0</v>
      </c>
      <c r="I2161" s="2383">
        <v>0</v>
      </c>
      <c r="J2161" s="2413">
        <v>0</v>
      </c>
      <c r="K2161" s="2387"/>
      <c r="L2161" s="2381">
        <v>13275960700</v>
      </c>
      <c r="M2161" s="2382">
        <v>0</v>
      </c>
      <c r="N2161" s="2382">
        <v>0</v>
      </c>
      <c r="O2161" s="2383">
        <v>0</v>
      </c>
    </row>
    <row r="2162" spans="3:15">
      <c r="C2162" s="2388" t="s">
        <v>6660</v>
      </c>
      <c r="D2162" s="2385">
        <v>0</v>
      </c>
      <c r="E2162" s="2385">
        <v>0</v>
      </c>
      <c r="F2162" s="2386">
        <v>0</v>
      </c>
      <c r="G2162" s="2412" t="s">
        <v>6660</v>
      </c>
      <c r="H2162" s="2383">
        <v>0</v>
      </c>
      <c r="I2162" s="2383">
        <v>0</v>
      </c>
      <c r="J2162" s="2413">
        <v>0</v>
      </c>
      <c r="K2162" s="2387"/>
      <c r="L2162" s="2381">
        <v>13275960800</v>
      </c>
      <c r="M2162" s="2382">
        <v>0</v>
      </c>
      <c r="N2162" s="2382">
        <v>0</v>
      </c>
      <c r="O2162" s="2383">
        <v>0</v>
      </c>
    </row>
    <row r="2163" spans="3:15">
      <c r="C2163" s="2388" t="s">
        <v>6661</v>
      </c>
      <c r="D2163" s="2385">
        <v>0</v>
      </c>
      <c r="E2163" s="2385">
        <v>0</v>
      </c>
      <c r="F2163" s="2386">
        <v>0</v>
      </c>
      <c r="G2163" s="2412" t="s">
        <v>6661</v>
      </c>
      <c r="H2163" s="2383">
        <v>0</v>
      </c>
      <c r="I2163" s="2383">
        <v>0</v>
      </c>
      <c r="J2163" s="2413">
        <v>0</v>
      </c>
      <c r="K2163" s="2387"/>
      <c r="L2163" s="2381">
        <v>13275960900</v>
      </c>
      <c r="M2163" s="2382">
        <v>0</v>
      </c>
      <c r="N2163" s="2382">
        <v>0</v>
      </c>
      <c r="O2163" s="2383">
        <v>0</v>
      </c>
    </row>
    <row r="2164" spans="3:15">
      <c r="C2164" s="2388" t="s">
        <v>6662</v>
      </c>
      <c r="D2164" s="2385">
        <v>0</v>
      </c>
      <c r="E2164" s="2385">
        <v>0</v>
      </c>
      <c r="F2164" s="2386">
        <v>0</v>
      </c>
      <c r="G2164" s="2412" t="s">
        <v>6662</v>
      </c>
      <c r="H2164" s="2383">
        <v>1</v>
      </c>
      <c r="I2164" s="2383">
        <v>1</v>
      </c>
      <c r="J2164" s="2413">
        <v>2</v>
      </c>
      <c r="K2164" s="2387"/>
      <c r="L2164" s="2381">
        <v>13275961000</v>
      </c>
      <c r="M2164" s="2382">
        <v>1</v>
      </c>
      <c r="N2164" s="2382">
        <v>1</v>
      </c>
      <c r="O2164" s="2383">
        <v>2</v>
      </c>
    </row>
    <row r="2165" spans="3:15">
      <c r="C2165" s="2388" t="s">
        <v>6663</v>
      </c>
      <c r="D2165" s="2385">
        <v>0</v>
      </c>
      <c r="E2165" s="2385">
        <v>0</v>
      </c>
      <c r="F2165" s="2386">
        <v>0</v>
      </c>
      <c r="G2165" s="2412" t="s">
        <v>6663</v>
      </c>
      <c r="H2165" s="2383">
        <v>0</v>
      </c>
      <c r="I2165" s="2383">
        <v>1</v>
      </c>
      <c r="J2165" s="2413">
        <v>1</v>
      </c>
      <c r="K2165" s="2387"/>
      <c r="L2165" s="2381">
        <v>13275961100</v>
      </c>
      <c r="M2165" s="2382">
        <v>0</v>
      </c>
      <c r="N2165" s="2382">
        <v>1</v>
      </c>
      <c r="O2165" s="2383">
        <v>1</v>
      </c>
    </row>
    <row r="2166" spans="3:15">
      <c r="C2166" s="2388" t="s">
        <v>6664</v>
      </c>
      <c r="D2166" s="2385">
        <v>1</v>
      </c>
      <c r="E2166" s="2385">
        <v>1</v>
      </c>
      <c r="F2166" s="2386">
        <v>2</v>
      </c>
      <c r="G2166" s="2412" t="s">
        <v>6664</v>
      </c>
      <c r="H2166" s="2383">
        <v>1</v>
      </c>
      <c r="I2166" s="2383">
        <v>0</v>
      </c>
      <c r="J2166" s="2413">
        <v>1</v>
      </c>
      <c r="K2166" s="2387"/>
      <c r="L2166" s="2381">
        <v>13277960100</v>
      </c>
      <c r="M2166" s="2382">
        <v>1</v>
      </c>
      <c r="N2166" s="2382">
        <v>1</v>
      </c>
      <c r="O2166" s="2383">
        <v>2</v>
      </c>
    </row>
    <row r="2167" spans="3:15">
      <c r="C2167" s="2388" t="s">
        <v>6665</v>
      </c>
      <c r="D2167" s="2385">
        <v>1</v>
      </c>
      <c r="E2167" s="2385">
        <v>0</v>
      </c>
      <c r="F2167" s="2386">
        <v>1</v>
      </c>
      <c r="G2167" s="2412" t="s">
        <v>6665</v>
      </c>
      <c r="H2167" s="2383">
        <v>0</v>
      </c>
      <c r="I2167" s="2383">
        <v>0</v>
      </c>
      <c r="J2167" s="2413">
        <v>0</v>
      </c>
      <c r="K2167" s="2387"/>
      <c r="L2167" s="2381">
        <v>13277960200</v>
      </c>
      <c r="M2167" s="2382">
        <v>1</v>
      </c>
      <c r="N2167" s="2382">
        <v>0</v>
      </c>
      <c r="O2167" s="2383">
        <v>1</v>
      </c>
    </row>
    <row r="2168" spans="3:15">
      <c r="C2168" s="2388" t="s">
        <v>6666</v>
      </c>
      <c r="D2168" s="2385">
        <v>0</v>
      </c>
      <c r="E2168" s="2385">
        <v>0</v>
      </c>
      <c r="F2168" s="2386">
        <v>0</v>
      </c>
      <c r="G2168" s="2412" t="s">
        <v>6666</v>
      </c>
      <c r="H2168" s="2383">
        <v>1</v>
      </c>
      <c r="I2168" s="2383">
        <v>0</v>
      </c>
      <c r="J2168" s="2413">
        <v>1</v>
      </c>
      <c r="K2168" s="2387"/>
      <c r="L2168" s="2381">
        <v>13277960300</v>
      </c>
      <c r="M2168" s="2382">
        <v>1</v>
      </c>
      <c r="N2168" s="2382">
        <v>0</v>
      </c>
      <c r="O2168" s="2383">
        <v>1</v>
      </c>
    </row>
    <row r="2169" spans="3:15">
      <c r="C2169" s="2388" t="s">
        <v>6667</v>
      </c>
      <c r="D2169" s="2385">
        <v>0</v>
      </c>
      <c r="E2169" s="2385">
        <v>0</v>
      </c>
      <c r="F2169" s="2386">
        <v>0</v>
      </c>
      <c r="G2169" s="2412" t="s">
        <v>6667</v>
      </c>
      <c r="H2169" s="2383">
        <v>0</v>
      </c>
      <c r="I2169" s="2383">
        <v>0</v>
      </c>
      <c r="J2169" s="2413">
        <v>0</v>
      </c>
      <c r="K2169" s="2387"/>
      <c r="L2169" s="2381">
        <v>13277960400</v>
      </c>
      <c r="M2169" s="2382">
        <v>0</v>
      </c>
      <c r="N2169" s="2382">
        <v>0</v>
      </c>
      <c r="O2169" s="2383">
        <v>0</v>
      </c>
    </row>
    <row r="2170" spans="3:15">
      <c r="C2170" s="2388" t="s">
        <v>6668</v>
      </c>
      <c r="D2170" s="2385">
        <v>1</v>
      </c>
      <c r="E2170" s="2385">
        <v>0</v>
      </c>
      <c r="F2170" s="2386">
        <v>1</v>
      </c>
      <c r="G2170" s="2412" t="s">
        <v>6668</v>
      </c>
      <c r="H2170" s="2383">
        <v>1</v>
      </c>
      <c r="I2170" s="2383">
        <v>1</v>
      </c>
      <c r="J2170" s="2413">
        <v>2</v>
      </c>
      <c r="K2170" s="2387"/>
      <c r="L2170" s="2381">
        <v>13277960500</v>
      </c>
      <c r="M2170" s="2382">
        <v>1</v>
      </c>
      <c r="N2170" s="2382">
        <v>1</v>
      </c>
      <c r="O2170" s="2383">
        <v>2</v>
      </c>
    </row>
    <row r="2171" spans="3:15">
      <c r="C2171" s="2388" t="s">
        <v>6669</v>
      </c>
      <c r="D2171" s="2385">
        <v>0</v>
      </c>
      <c r="E2171" s="2385">
        <v>0</v>
      </c>
      <c r="F2171" s="2386">
        <v>0</v>
      </c>
      <c r="G2171" s="2412" t="s">
        <v>6669</v>
      </c>
      <c r="H2171" s="2383">
        <v>0</v>
      </c>
      <c r="I2171" s="2383">
        <v>0</v>
      </c>
      <c r="J2171" s="2413">
        <v>0</v>
      </c>
      <c r="K2171" s="2387"/>
      <c r="L2171" s="2381">
        <v>13277960600</v>
      </c>
      <c r="M2171" s="2382">
        <v>0</v>
      </c>
      <c r="N2171" s="2382">
        <v>0</v>
      </c>
      <c r="O2171" s="2383">
        <v>0</v>
      </c>
    </row>
    <row r="2172" spans="3:15">
      <c r="C2172" s="2388" t="s">
        <v>6670</v>
      </c>
      <c r="D2172" s="2385">
        <v>0</v>
      </c>
      <c r="E2172" s="2385">
        <v>0</v>
      </c>
      <c r="F2172" s="2386">
        <v>0</v>
      </c>
      <c r="G2172" s="2412" t="s">
        <v>6670</v>
      </c>
      <c r="H2172" s="2383">
        <v>0</v>
      </c>
      <c r="I2172" s="2383">
        <v>0</v>
      </c>
      <c r="J2172" s="2413">
        <v>0</v>
      </c>
      <c r="K2172" s="2387"/>
      <c r="L2172" s="2381">
        <v>13277960700</v>
      </c>
      <c r="M2172" s="2382">
        <v>0</v>
      </c>
      <c r="N2172" s="2382">
        <v>0</v>
      </c>
      <c r="O2172" s="2383">
        <v>0</v>
      </c>
    </row>
    <row r="2173" spans="3:15">
      <c r="C2173" s="2388" t="s">
        <v>6671</v>
      </c>
      <c r="D2173" s="2385">
        <v>0</v>
      </c>
      <c r="E2173" s="2385">
        <v>0</v>
      </c>
      <c r="F2173" s="2386">
        <v>0</v>
      </c>
      <c r="G2173" s="2412" t="s">
        <v>6671</v>
      </c>
      <c r="H2173" s="2383">
        <v>0</v>
      </c>
      <c r="I2173" s="2383">
        <v>0</v>
      </c>
      <c r="J2173" s="2413">
        <v>0</v>
      </c>
      <c r="K2173" s="2387"/>
      <c r="L2173" s="2381">
        <v>13277960800</v>
      </c>
      <c r="M2173" s="2382">
        <v>0</v>
      </c>
      <c r="N2173" s="2382">
        <v>0</v>
      </c>
      <c r="O2173" s="2383">
        <v>0</v>
      </c>
    </row>
    <row r="2174" spans="3:15">
      <c r="C2174" s="2388" t="s">
        <v>6672</v>
      </c>
      <c r="D2174" s="2385">
        <v>0</v>
      </c>
      <c r="E2174" s="2385">
        <v>0</v>
      </c>
      <c r="F2174" s="2386">
        <v>0</v>
      </c>
      <c r="G2174" s="2412" t="s">
        <v>6672</v>
      </c>
      <c r="H2174" s="2383">
        <v>0</v>
      </c>
      <c r="I2174" s="2383">
        <v>0</v>
      </c>
      <c r="J2174" s="2413">
        <v>0</v>
      </c>
      <c r="K2174" s="2387"/>
      <c r="L2174" s="2381">
        <v>13277960900</v>
      </c>
      <c r="M2174" s="2382">
        <v>0</v>
      </c>
      <c r="N2174" s="2382">
        <v>0</v>
      </c>
      <c r="O2174" s="2383">
        <v>0</v>
      </c>
    </row>
    <row r="2175" spans="3:15">
      <c r="C2175" s="2388" t="s">
        <v>6673</v>
      </c>
      <c r="D2175" s="2385">
        <v>0</v>
      </c>
      <c r="E2175" s="2385">
        <v>0</v>
      </c>
      <c r="F2175" s="2386">
        <v>0</v>
      </c>
      <c r="G2175" s="2412" t="s">
        <v>6673</v>
      </c>
      <c r="H2175" s="2383">
        <v>0</v>
      </c>
      <c r="I2175" s="2383">
        <v>0</v>
      </c>
      <c r="J2175" s="2413">
        <v>0</v>
      </c>
      <c r="K2175" s="2387"/>
      <c r="L2175" s="2381">
        <v>13279970100</v>
      </c>
      <c r="M2175" s="2382">
        <v>0</v>
      </c>
      <c r="N2175" s="2382">
        <v>0</v>
      </c>
      <c r="O2175" s="2383">
        <v>0</v>
      </c>
    </row>
    <row r="2176" spans="3:15">
      <c r="C2176" s="2388" t="s">
        <v>6674</v>
      </c>
      <c r="D2176" s="2385">
        <v>0</v>
      </c>
      <c r="E2176" s="2385">
        <v>0</v>
      </c>
      <c r="F2176" s="2386">
        <v>0</v>
      </c>
      <c r="G2176" s="2412" t="s">
        <v>6674</v>
      </c>
      <c r="H2176" s="2383">
        <v>0</v>
      </c>
      <c r="I2176" s="2383">
        <v>0</v>
      </c>
      <c r="J2176" s="2413">
        <v>0</v>
      </c>
      <c r="K2176" s="2387"/>
      <c r="L2176" s="2381">
        <v>13279970200</v>
      </c>
      <c r="M2176" s="2382">
        <v>0</v>
      </c>
      <c r="N2176" s="2382">
        <v>0</v>
      </c>
      <c r="O2176" s="2383">
        <v>0</v>
      </c>
    </row>
    <row r="2177" spans="3:15">
      <c r="C2177" s="2388" t="s">
        <v>6675</v>
      </c>
      <c r="D2177" s="2385">
        <v>0</v>
      </c>
      <c r="E2177" s="2385">
        <v>0</v>
      </c>
      <c r="F2177" s="2386">
        <v>0</v>
      </c>
      <c r="G2177" s="2412" t="s">
        <v>6675</v>
      </c>
      <c r="H2177" s="2383">
        <v>0</v>
      </c>
      <c r="I2177" s="2383">
        <v>0</v>
      </c>
      <c r="J2177" s="2413">
        <v>0</v>
      </c>
      <c r="K2177" s="2387"/>
      <c r="L2177" s="2381">
        <v>13279970300</v>
      </c>
      <c r="M2177" s="2382">
        <v>0</v>
      </c>
      <c r="N2177" s="2382">
        <v>0</v>
      </c>
      <c r="O2177" s="2383">
        <v>0</v>
      </c>
    </row>
    <row r="2178" spans="3:15">
      <c r="C2178" s="2388" t="s">
        <v>6676</v>
      </c>
      <c r="D2178" s="2385">
        <v>0</v>
      </c>
      <c r="E2178" s="2385">
        <v>0</v>
      </c>
      <c r="F2178" s="2386">
        <v>0</v>
      </c>
      <c r="G2178" s="2412" t="s">
        <v>6676</v>
      </c>
      <c r="H2178" s="2383">
        <v>0</v>
      </c>
      <c r="I2178" s="2383">
        <v>0</v>
      </c>
      <c r="J2178" s="2413">
        <v>0</v>
      </c>
      <c r="K2178" s="2387"/>
      <c r="L2178" s="2381">
        <v>13279970400</v>
      </c>
      <c r="M2178" s="2382">
        <v>0</v>
      </c>
      <c r="N2178" s="2382">
        <v>0</v>
      </c>
      <c r="O2178" s="2383">
        <v>0</v>
      </c>
    </row>
    <row r="2179" spans="3:15">
      <c r="C2179" s="2388" t="s">
        <v>6677</v>
      </c>
      <c r="D2179" s="2385">
        <v>0</v>
      </c>
      <c r="E2179" s="2385">
        <v>0</v>
      </c>
      <c r="F2179" s="2386">
        <v>0</v>
      </c>
      <c r="G2179" s="2412" t="s">
        <v>6677</v>
      </c>
      <c r="H2179" s="2383">
        <v>0</v>
      </c>
      <c r="I2179" s="2383">
        <v>0</v>
      </c>
      <c r="J2179" s="2413">
        <v>0</v>
      </c>
      <c r="K2179" s="2387"/>
      <c r="L2179" s="2381">
        <v>13279970500</v>
      </c>
      <c r="M2179" s="2382">
        <v>0</v>
      </c>
      <c r="N2179" s="2382">
        <v>0</v>
      </c>
      <c r="O2179" s="2383">
        <v>0</v>
      </c>
    </row>
    <row r="2180" spans="3:15">
      <c r="C2180" s="2388" t="s">
        <v>6678</v>
      </c>
      <c r="D2180" s="2385">
        <v>0</v>
      </c>
      <c r="E2180" s="2385">
        <v>0</v>
      </c>
      <c r="F2180" s="2386">
        <v>0</v>
      </c>
      <c r="G2180" s="2412" t="s">
        <v>6678</v>
      </c>
      <c r="H2180" s="2383">
        <v>0</v>
      </c>
      <c r="I2180" s="2383">
        <v>0</v>
      </c>
      <c r="J2180" s="2413">
        <v>0</v>
      </c>
      <c r="K2180" s="2387"/>
      <c r="L2180" s="2381">
        <v>13279970600</v>
      </c>
      <c r="M2180" s="2382">
        <v>0</v>
      </c>
      <c r="N2180" s="2382">
        <v>0</v>
      </c>
      <c r="O2180" s="2383">
        <v>0</v>
      </c>
    </row>
    <row r="2181" spans="3:15">
      <c r="C2181" s="2388" t="s">
        <v>6679</v>
      </c>
      <c r="D2181" s="2385">
        <v>0</v>
      </c>
      <c r="E2181" s="2385">
        <v>0</v>
      </c>
      <c r="F2181" s="2386">
        <v>0</v>
      </c>
      <c r="G2181" s="2412" t="s">
        <v>6679</v>
      </c>
      <c r="H2181" s="2383">
        <v>0</v>
      </c>
      <c r="I2181" s="2383">
        <v>1</v>
      </c>
      <c r="J2181" s="2413">
        <v>1</v>
      </c>
      <c r="K2181" s="2387"/>
      <c r="L2181" s="2381">
        <v>13281960100</v>
      </c>
      <c r="M2181" s="2382">
        <v>0</v>
      </c>
      <c r="N2181" s="2382">
        <v>1</v>
      </c>
      <c r="O2181" s="2383">
        <v>1</v>
      </c>
    </row>
    <row r="2182" spans="3:15">
      <c r="C2182" s="2388" t="s">
        <v>6680</v>
      </c>
      <c r="D2182" s="2385">
        <v>1</v>
      </c>
      <c r="E2182" s="2385">
        <v>1</v>
      </c>
      <c r="F2182" s="2386">
        <v>2</v>
      </c>
      <c r="G2182" s="2412" t="s">
        <v>6680</v>
      </c>
      <c r="H2182" s="2383">
        <v>0</v>
      </c>
      <c r="I2182" s="2383">
        <v>1</v>
      </c>
      <c r="J2182" s="2413">
        <v>1</v>
      </c>
      <c r="K2182" s="2387"/>
      <c r="L2182" s="2381">
        <v>13281960200</v>
      </c>
      <c r="M2182" s="2382">
        <v>1</v>
      </c>
      <c r="N2182" s="2382">
        <v>1</v>
      </c>
      <c r="O2182" s="2383">
        <v>2</v>
      </c>
    </row>
    <row r="2183" spans="3:15">
      <c r="C2183" s="2388" t="s">
        <v>6681</v>
      </c>
      <c r="D2183" s="2385">
        <v>0</v>
      </c>
      <c r="E2183" s="2385">
        <v>0</v>
      </c>
      <c r="F2183" s="2386">
        <v>0</v>
      </c>
      <c r="G2183" s="2412" t="s">
        <v>6681</v>
      </c>
      <c r="H2183" s="2383">
        <v>0</v>
      </c>
      <c r="I2183" s="2383">
        <v>0</v>
      </c>
      <c r="J2183" s="2413">
        <v>0</v>
      </c>
      <c r="K2183" s="2387"/>
      <c r="L2183" s="2381">
        <v>13281960300</v>
      </c>
      <c r="M2183" s="2382">
        <v>0</v>
      </c>
      <c r="N2183" s="2382">
        <v>0</v>
      </c>
      <c r="O2183" s="2383">
        <v>0</v>
      </c>
    </row>
    <row r="2184" spans="3:15">
      <c r="C2184" s="2388" t="s">
        <v>6682</v>
      </c>
      <c r="D2184" s="2385">
        <v>0</v>
      </c>
      <c r="E2184" s="2385">
        <v>0</v>
      </c>
      <c r="F2184" s="2386">
        <v>0</v>
      </c>
      <c r="G2184" s="2412" t="s">
        <v>6682</v>
      </c>
      <c r="H2184" s="2383">
        <v>0</v>
      </c>
      <c r="I2184" s="2383">
        <v>0</v>
      </c>
      <c r="J2184" s="2413">
        <v>0</v>
      </c>
      <c r="K2184" s="2387"/>
      <c r="L2184" s="2381">
        <v>13283960100</v>
      </c>
      <c r="M2184" s="2382">
        <v>0</v>
      </c>
      <c r="N2184" s="2382">
        <v>0</v>
      </c>
      <c r="O2184" s="2383">
        <v>0</v>
      </c>
    </row>
    <row r="2185" spans="3:15">
      <c r="C2185" s="2388" t="s">
        <v>6683</v>
      </c>
      <c r="D2185" s="2385">
        <v>0</v>
      </c>
      <c r="E2185" s="2385">
        <v>0</v>
      </c>
      <c r="F2185" s="2386">
        <v>0</v>
      </c>
      <c r="G2185" s="2412" t="s">
        <v>6683</v>
      </c>
      <c r="H2185" s="2383">
        <v>0</v>
      </c>
      <c r="I2185" s="2383">
        <v>0</v>
      </c>
      <c r="J2185" s="2413">
        <v>0</v>
      </c>
      <c r="K2185" s="2387"/>
      <c r="L2185" s="2381">
        <v>13283960200</v>
      </c>
      <c r="M2185" s="2382">
        <v>0</v>
      </c>
      <c r="N2185" s="2382">
        <v>0</v>
      </c>
      <c r="O2185" s="2383">
        <v>0</v>
      </c>
    </row>
    <row r="2186" spans="3:15">
      <c r="C2186" s="2388" t="s">
        <v>6684</v>
      </c>
      <c r="D2186" s="2385">
        <v>0</v>
      </c>
      <c r="E2186" s="2385">
        <v>0</v>
      </c>
      <c r="F2186" s="2386">
        <v>0</v>
      </c>
      <c r="G2186" s="2412" t="s">
        <v>6684</v>
      </c>
      <c r="H2186" s="2383">
        <v>0</v>
      </c>
      <c r="I2186" s="2383">
        <v>0</v>
      </c>
      <c r="J2186" s="2413">
        <v>0</v>
      </c>
      <c r="K2186" s="2387"/>
      <c r="L2186" s="2381">
        <v>13285960100</v>
      </c>
      <c r="M2186" s="2382">
        <v>0</v>
      </c>
      <c r="N2186" s="2382">
        <v>0</v>
      </c>
      <c r="O2186" s="2383">
        <v>0</v>
      </c>
    </row>
    <row r="2187" spans="3:15">
      <c r="C2187" s="2388" t="s">
        <v>6685</v>
      </c>
      <c r="D2187" s="2385">
        <v>1</v>
      </c>
      <c r="E2187" s="2385">
        <v>1</v>
      </c>
      <c r="F2187" s="2386">
        <v>2</v>
      </c>
      <c r="G2187" s="2412" t="s">
        <v>6685</v>
      </c>
      <c r="H2187" s="2383">
        <v>1</v>
      </c>
      <c r="I2187" s="2383">
        <v>1</v>
      </c>
      <c r="J2187" s="2413">
        <v>2</v>
      </c>
      <c r="K2187" s="2387"/>
      <c r="L2187" s="2381">
        <v>13285960201</v>
      </c>
      <c r="M2187" s="2382">
        <v>1</v>
      </c>
      <c r="N2187" s="2382">
        <v>1</v>
      </c>
      <c r="O2187" s="2383">
        <v>2</v>
      </c>
    </row>
    <row r="2188" spans="3:15">
      <c r="C2188" s="2388" t="s">
        <v>6686</v>
      </c>
      <c r="D2188" s="2385">
        <v>1</v>
      </c>
      <c r="E2188" s="2385">
        <v>1</v>
      </c>
      <c r="F2188" s="2386">
        <v>2</v>
      </c>
      <c r="G2188" s="2412" t="s">
        <v>6686</v>
      </c>
      <c r="H2188" s="2383">
        <v>1</v>
      </c>
      <c r="I2188" s="2383">
        <v>1</v>
      </c>
      <c r="J2188" s="2413">
        <v>2</v>
      </c>
      <c r="K2188" s="2387"/>
      <c r="L2188" s="2381">
        <v>13285960202</v>
      </c>
      <c r="M2188" s="2382">
        <v>1</v>
      </c>
      <c r="N2188" s="2382">
        <v>1</v>
      </c>
      <c r="O2188" s="2383">
        <v>2</v>
      </c>
    </row>
    <row r="2189" spans="3:15">
      <c r="C2189" s="2388" t="s">
        <v>6687</v>
      </c>
      <c r="D2189" s="2385">
        <v>1</v>
      </c>
      <c r="E2189" s="2385">
        <v>1</v>
      </c>
      <c r="F2189" s="2386">
        <v>2</v>
      </c>
      <c r="G2189" s="2412" t="s">
        <v>6687</v>
      </c>
      <c r="H2189" s="2383">
        <v>1</v>
      </c>
      <c r="I2189" s="2383">
        <v>1</v>
      </c>
      <c r="J2189" s="2413">
        <v>2</v>
      </c>
      <c r="K2189" s="2387"/>
      <c r="L2189" s="2381">
        <v>13285960300</v>
      </c>
      <c r="M2189" s="2382">
        <v>1</v>
      </c>
      <c r="N2189" s="2382">
        <v>1</v>
      </c>
      <c r="O2189" s="2383">
        <v>2</v>
      </c>
    </row>
    <row r="2190" spans="3:15">
      <c r="C2190" s="2388" t="s">
        <v>6688</v>
      </c>
      <c r="D2190" s="2385">
        <v>0</v>
      </c>
      <c r="E2190" s="2385">
        <v>0</v>
      </c>
      <c r="F2190" s="2386">
        <v>0</v>
      </c>
      <c r="G2190" s="2412" t="s">
        <v>6688</v>
      </c>
      <c r="H2190" s="2383">
        <v>0</v>
      </c>
      <c r="I2190" s="2383">
        <v>0</v>
      </c>
      <c r="J2190" s="2413">
        <v>0</v>
      </c>
      <c r="K2190" s="2387"/>
      <c r="L2190" s="2381">
        <v>13285960400</v>
      </c>
      <c r="M2190" s="2382">
        <v>0</v>
      </c>
      <c r="N2190" s="2382">
        <v>0</v>
      </c>
      <c r="O2190" s="2383">
        <v>0</v>
      </c>
    </row>
    <row r="2191" spans="3:15">
      <c r="C2191" s="2388" t="s">
        <v>6689</v>
      </c>
      <c r="D2191" s="2385">
        <v>0</v>
      </c>
      <c r="E2191" s="2385">
        <v>0</v>
      </c>
      <c r="F2191" s="2386">
        <v>0</v>
      </c>
      <c r="G2191" s="2412" t="s">
        <v>6689</v>
      </c>
      <c r="H2191" s="2383">
        <v>0</v>
      </c>
      <c r="I2191" s="2383">
        <v>0</v>
      </c>
      <c r="J2191" s="2413">
        <v>0</v>
      </c>
      <c r="K2191" s="2387"/>
      <c r="L2191" s="2381">
        <v>13285960501</v>
      </c>
      <c r="M2191" s="2382">
        <v>0</v>
      </c>
      <c r="N2191" s="2382">
        <v>0</v>
      </c>
      <c r="O2191" s="2383">
        <v>0</v>
      </c>
    </row>
    <row r="2192" spans="3:15">
      <c r="C2192" s="2388" t="s">
        <v>6690</v>
      </c>
      <c r="D2192" s="2385">
        <v>0</v>
      </c>
      <c r="E2192" s="2385">
        <v>0</v>
      </c>
      <c r="F2192" s="2386">
        <v>0</v>
      </c>
      <c r="G2192" s="2412" t="s">
        <v>6690</v>
      </c>
      <c r="H2192" s="2383">
        <v>0</v>
      </c>
      <c r="I2192" s="2383">
        <v>1</v>
      </c>
      <c r="J2192" s="2413">
        <v>1</v>
      </c>
      <c r="K2192" s="2387"/>
      <c r="L2192" s="2381">
        <v>13285960502</v>
      </c>
      <c r="M2192" s="2382">
        <v>0</v>
      </c>
      <c r="N2192" s="2382">
        <v>1</v>
      </c>
      <c r="O2192" s="2383">
        <v>1</v>
      </c>
    </row>
    <row r="2193" spans="3:15">
      <c r="C2193" s="2388" t="s">
        <v>6691</v>
      </c>
      <c r="D2193" s="2385">
        <v>0</v>
      </c>
      <c r="E2193" s="2385">
        <v>0</v>
      </c>
      <c r="F2193" s="2386">
        <v>0</v>
      </c>
      <c r="G2193" s="2412" t="s">
        <v>6691</v>
      </c>
      <c r="H2193" s="2383">
        <v>0</v>
      </c>
      <c r="I2193" s="2383">
        <v>0</v>
      </c>
      <c r="J2193" s="2413">
        <v>0</v>
      </c>
      <c r="K2193" s="2387"/>
      <c r="L2193" s="2381">
        <v>13285960600</v>
      </c>
      <c r="M2193" s="2382">
        <v>0</v>
      </c>
      <c r="N2193" s="2382">
        <v>0</v>
      </c>
      <c r="O2193" s="2383">
        <v>0</v>
      </c>
    </row>
    <row r="2194" spans="3:15">
      <c r="C2194" s="2388" t="s">
        <v>6692</v>
      </c>
      <c r="D2194" s="2385">
        <v>0</v>
      </c>
      <c r="E2194" s="2385">
        <v>0</v>
      </c>
      <c r="F2194" s="2386">
        <v>0</v>
      </c>
      <c r="G2194" s="2412" t="s">
        <v>6692</v>
      </c>
      <c r="H2194" s="2383">
        <v>0</v>
      </c>
      <c r="I2194" s="2383">
        <v>1</v>
      </c>
      <c r="J2194" s="2413">
        <v>1</v>
      </c>
      <c r="K2194" s="2387"/>
      <c r="L2194" s="2381">
        <v>13285960700</v>
      </c>
      <c r="M2194" s="2382">
        <v>0</v>
      </c>
      <c r="N2194" s="2382">
        <v>1</v>
      </c>
      <c r="O2194" s="2383">
        <v>1</v>
      </c>
    </row>
    <row r="2195" spans="3:15">
      <c r="C2195" s="2388" t="s">
        <v>6693</v>
      </c>
      <c r="D2195" s="2385">
        <v>0</v>
      </c>
      <c r="E2195" s="2385">
        <v>0</v>
      </c>
      <c r="F2195" s="2386">
        <v>0</v>
      </c>
      <c r="G2195" s="2412" t="s">
        <v>6693</v>
      </c>
      <c r="H2195" s="2383">
        <v>0</v>
      </c>
      <c r="I2195" s="2383">
        <v>0</v>
      </c>
      <c r="J2195" s="2413">
        <v>0</v>
      </c>
      <c r="K2195" s="2387"/>
      <c r="L2195" s="2381">
        <v>13285960800</v>
      </c>
      <c r="M2195" s="2382">
        <v>0</v>
      </c>
      <c r="N2195" s="2382">
        <v>0</v>
      </c>
      <c r="O2195" s="2383">
        <v>0</v>
      </c>
    </row>
    <row r="2196" spans="3:15">
      <c r="C2196" s="2388" t="s">
        <v>6694</v>
      </c>
      <c r="D2196" s="2385">
        <v>0</v>
      </c>
      <c r="E2196" s="2385">
        <v>0</v>
      </c>
      <c r="F2196" s="2386">
        <v>0</v>
      </c>
      <c r="G2196" s="2412" t="s">
        <v>6694</v>
      </c>
      <c r="H2196" s="2383">
        <v>0</v>
      </c>
      <c r="I2196" s="2383">
        <v>0</v>
      </c>
      <c r="J2196" s="2413">
        <v>0</v>
      </c>
      <c r="K2196" s="2387"/>
      <c r="L2196" s="2381">
        <v>13285960901</v>
      </c>
      <c r="M2196" s="2382">
        <v>0</v>
      </c>
      <c r="N2196" s="2382">
        <v>0</v>
      </c>
      <c r="O2196" s="2383">
        <v>0</v>
      </c>
    </row>
    <row r="2197" spans="3:15">
      <c r="C2197" s="2388" t="s">
        <v>6695</v>
      </c>
      <c r="D2197" s="2385">
        <v>1</v>
      </c>
      <c r="E2197" s="2385">
        <v>1</v>
      </c>
      <c r="F2197" s="2386">
        <v>2</v>
      </c>
      <c r="G2197" s="2412" t="s">
        <v>6695</v>
      </c>
      <c r="H2197" s="2383">
        <v>0</v>
      </c>
      <c r="I2197" s="2383">
        <v>0</v>
      </c>
      <c r="J2197" s="2413">
        <v>0</v>
      </c>
      <c r="K2197" s="2387"/>
      <c r="L2197" s="2381">
        <v>13285960902</v>
      </c>
      <c r="M2197" s="2382">
        <v>1</v>
      </c>
      <c r="N2197" s="2382">
        <v>1</v>
      </c>
      <c r="O2197" s="2383">
        <v>2</v>
      </c>
    </row>
    <row r="2198" spans="3:15">
      <c r="C2198" s="2388" t="s">
        <v>6696</v>
      </c>
      <c r="D2198" s="2385">
        <v>0</v>
      </c>
      <c r="E2198" s="2385">
        <v>0</v>
      </c>
      <c r="F2198" s="2386">
        <v>0</v>
      </c>
      <c r="G2198" s="2412" t="s">
        <v>6696</v>
      </c>
      <c r="H2198" s="2383">
        <v>0</v>
      </c>
      <c r="I2198" s="2383">
        <v>0</v>
      </c>
      <c r="J2198" s="2413">
        <v>0</v>
      </c>
      <c r="K2198" s="2387"/>
      <c r="L2198" s="2381">
        <v>13285961000</v>
      </c>
      <c r="M2198" s="2382">
        <v>0</v>
      </c>
      <c r="N2198" s="2382">
        <v>0</v>
      </c>
      <c r="O2198" s="2383">
        <v>0</v>
      </c>
    </row>
    <row r="2199" spans="3:15">
      <c r="C2199" s="2388" t="s">
        <v>6697</v>
      </c>
      <c r="D2199" s="2385">
        <v>1</v>
      </c>
      <c r="E2199" s="2385">
        <v>0</v>
      </c>
      <c r="F2199" s="2386">
        <v>1</v>
      </c>
      <c r="G2199" s="2412" t="s">
        <v>6697</v>
      </c>
      <c r="H2199" s="2383">
        <v>0</v>
      </c>
      <c r="I2199" s="2383">
        <v>1</v>
      </c>
      <c r="J2199" s="2413">
        <v>1</v>
      </c>
      <c r="K2199" s="2387"/>
      <c r="L2199" s="2381">
        <v>13285961100</v>
      </c>
      <c r="M2199" s="2382">
        <v>1</v>
      </c>
      <c r="N2199" s="2382">
        <v>1</v>
      </c>
      <c r="O2199" s="2383">
        <v>1</v>
      </c>
    </row>
    <row r="2200" spans="3:15">
      <c r="C2200" s="2388" t="s">
        <v>6698</v>
      </c>
      <c r="D2200" s="2385">
        <v>0</v>
      </c>
      <c r="E2200" s="2385">
        <v>0</v>
      </c>
      <c r="F2200" s="2386">
        <v>0</v>
      </c>
      <c r="G2200" s="2412" t="s">
        <v>6698</v>
      </c>
      <c r="H2200" s="2383">
        <v>0</v>
      </c>
      <c r="I2200" s="2383">
        <v>0</v>
      </c>
      <c r="J2200" s="2413">
        <v>0</v>
      </c>
      <c r="K2200" s="2387"/>
      <c r="L2200" s="2381">
        <v>13287970200</v>
      </c>
      <c r="M2200" s="2382">
        <v>0</v>
      </c>
      <c r="N2200" s="2382">
        <v>0</v>
      </c>
      <c r="O2200" s="2383">
        <v>0</v>
      </c>
    </row>
    <row r="2201" spans="3:15">
      <c r="C2201" s="2388" t="s">
        <v>6699</v>
      </c>
      <c r="D2201" s="2385">
        <v>0</v>
      </c>
      <c r="E2201" s="2385">
        <v>1</v>
      </c>
      <c r="F2201" s="2386">
        <v>1</v>
      </c>
      <c r="G2201" s="2412" t="s">
        <v>6699</v>
      </c>
      <c r="H2201" s="2383">
        <v>0</v>
      </c>
      <c r="I2201" s="2383">
        <v>0</v>
      </c>
      <c r="J2201" s="2413">
        <v>0</v>
      </c>
      <c r="K2201" s="2387"/>
      <c r="L2201" s="2381">
        <v>13287970300</v>
      </c>
      <c r="M2201" s="2382">
        <v>0</v>
      </c>
      <c r="N2201" s="2382">
        <v>1</v>
      </c>
      <c r="O2201" s="2383">
        <v>1</v>
      </c>
    </row>
    <row r="2202" spans="3:15">
      <c r="C2202" s="2388" t="s">
        <v>6700</v>
      </c>
      <c r="D2202" s="2385">
        <v>0</v>
      </c>
      <c r="E2202" s="2385">
        <v>0</v>
      </c>
      <c r="F2202" s="2386">
        <v>0</v>
      </c>
      <c r="G2202" s="2412" t="s">
        <v>6700</v>
      </c>
      <c r="H2202" s="2383">
        <v>0</v>
      </c>
      <c r="I2202" s="2383">
        <v>0</v>
      </c>
      <c r="J2202" s="2413">
        <v>0</v>
      </c>
      <c r="K2202" s="2387"/>
      <c r="L2202" s="2381">
        <v>13289060100</v>
      </c>
      <c r="M2202" s="2382">
        <v>0</v>
      </c>
      <c r="N2202" s="2382">
        <v>0</v>
      </c>
      <c r="O2202" s="2383">
        <v>0</v>
      </c>
    </row>
    <row r="2203" spans="3:15">
      <c r="C2203" s="2388" t="s">
        <v>6701</v>
      </c>
      <c r="D2203" s="2385">
        <v>0</v>
      </c>
      <c r="E2203" s="2385">
        <v>0</v>
      </c>
      <c r="F2203" s="2386">
        <v>0</v>
      </c>
      <c r="G2203" s="2412" t="s">
        <v>6701</v>
      </c>
      <c r="H2203" s="2383">
        <v>0</v>
      </c>
      <c r="I2203" s="2383">
        <v>0</v>
      </c>
      <c r="J2203" s="2413">
        <v>0</v>
      </c>
      <c r="K2203" s="2387"/>
      <c r="L2203" s="2381">
        <v>13289060200</v>
      </c>
      <c r="M2203" s="2382">
        <v>0</v>
      </c>
      <c r="N2203" s="2382">
        <v>0</v>
      </c>
      <c r="O2203" s="2383">
        <v>0</v>
      </c>
    </row>
    <row r="2204" spans="3:15">
      <c r="C2204" s="2388" t="s">
        <v>6702</v>
      </c>
      <c r="D2204" s="2385">
        <v>0</v>
      </c>
      <c r="E2204" s="2385">
        <v>0</v>
      </c>
      <c r="F2204" s="2386">
        <v>0</v>
      </c>
      <c r="G2204" s="2412" t="s">
        <v>6702</v>
      </c>
      <c r="H2204" s="2383">
        <v>0</v>
      </c>
      <c r="I2204" s="2383">
        <v>0</v>
      </c>
      <c r="J2204" s="2413">
        <v>0</v>
      </c>
      <c r="K2204" s="2387"/>
      <c r="L2204" s="2381">
        <v>13291000101</v>
      </c>
      <c r="M2204" s="2382">
        <v>0</v>
      </c>
      <c r="N2204" s="2382">
        <v>0</v>
      </c>
      <c r="O2204" s="2383">
        <v>0</v>
      </c>
    </row>
    <row r="2205" spans="3:15">
      <c r="C2205" s="2388" t="s">
        <v>6703</v>
      </c>
      <c r="D2205" s="2385">
        <v>0</v>
      </c>
      <c r="E2205" s="2385">
        <v>1</v>
      </c>
      <c r="F2205" s="2386">
        <v>1</v>
      </c>
      <c r="G2205" s="2412" t="s">
        <v>6703</v>
      </c>
      <c r="H2205" s="2383">
        <v>0</v>
      </c>
      <c r="I2205" s="2383" t="s">
        <v>4493</v>
      </c>
      <c r="J2205" s="2413">
        <v>0</v>
      </c>
      <c r="K2205" s="2387"/>
      <c r="L2205" s="2381">
        <v>13291000102</v>
      </c>
      <c r="M2205" s="2382">
        <v>0</v>
      </c>
      <c r="N2205" s="2382">
        <v>1</v>
      </c>
      <c r="O2205" s="2383">
        <v>1</v>
      </c>
    </row>
    <row r="2206" spans="3:15">
      <c r="C2206" s="2388" t="s">
        <v>6704</v>
      </c>
      <c r="D2206" s="2385">
        <v>1</v>
      </c>
      <c r="E2206" s="2385">
        <v>1</v>
      </c>
      <c r="F2206" s="2386">
        <v>2</v>
      </c>
      <c r="G2206" s="2412" t="s">
        <v>6704</v>
      </c>
      <c r="H2206" s="2383">
        <v>0</v>
      </c>
      <c r="I2206" s="2383">
        <v>1</v>
      </c>
      <c r="J2206" s="2413">
        <v>1</v>
      </c>
      <c r="K2206" s="2387"/>
      <c r="L2206" s="2381">
        <v>13291000201</v>
      </c>
      <c r="M2206" s="2382">
        <v>1</v>
      </c>
      <c r="N2206" s="2382">
        <v>1</v>
      </c>
      <c r="O2206" s="2383">
        <v>2</v>
      </c>
    </row>
    <row r="2207" spans="3:15">
      <c r="C2207" s="2388" t="s">
        <v>6705</v>
      </c>
      <c r="D2207" s="2385">
        <v>0</v>
      </c>
      <c r="E2207" s="2385">
        <v>1</v>
      </c>
      <c r="F2207" s="2386">
        <v>1</v>
      </c>
      <c r="G2207" s="2412" t="s">
        <v>6705</v>
      </c>
      <c r="H2207" s="2383">
        <v>0</v>
      </c>
      <c r="I2207" s="2383" t="s">
        <v>4493</v>
      </c>
      <c r="J2207" s="2413">
        <v>0</v>
      </c>
      <c r="K2207" s="2387"/>
      <c r="L2207" s="2381">
        <v>13291000203</v>
      </c>
      <c r="M2207" s="2382">
        <v>0</v>
      </c>
      <c r="N2207" s="2382">
        <v>1</v>
      </c>
      <c r="O2207" s="2383">
        <v>1</v>
      </c>
    </row>
    <row r="2208" spans="3:15">
      <c r="C2208" s="2388" t="s">
        <v>6706</v>
      </c>
      <c r="D2208" s="2385">
        <v>0</v>
      </c>
      <c r="E2208" s="2385">
        <v>0</v>
      </c>
      <c r="F2208" s="2386">
        <v>0</v>
      </c>
      <c r="G2208" s="2412" t="s">
        <v>6706</v>
      </c>
      <c r="H2208" s="2383">
        <v>1</v>
      </c>
      <c r="I2208" s="2383">
        <v>0</v>
      </c>
      <c r="J2208" s="2413">
        <v>1</v>
      </c>
      <c r="K2208" s="2387"/>
      <c r="L2208" s="2381">
        <v>13291000204</v>
      </c>
      <c r="M2208" s="2382">
        <v>1</v>
      </c>
      <c r="N2208" s="2382">
        <v>0</v>
      </c>
      <c r="O2208" s="2383">
        <v>1</v>
      </c>
    </row>
    <row r="2209" spans="3:15">
      <c r="C2209" s="2388" t="s">
        <v>6707</v>
      </c>
      <c r="D2209" s="2385">
        <v>0</v>
      </c>
      <c r="E2209" s="2385">
        <v>0</v>
      </c>
      <c r="F2209" s="2386">
        <v>0</v>
      </c>
      <c r="G2209" s="2412" t="s">
        <v>6707</v>
      </c>
      <c r="H2209" s="2383">
        <v>1</v>
      </c>
      <c r="I2209" s="2383">
        <v>0</v>
      </c>
      <c r="J2209" s="2413">
        <v>1</v>
      </c>
      <c r="K2209" s="2387"/>
      <c r="L2209" s="2381">
        <v>13291000205</v>
      </c>
      <c r="M2209" s="2382">
        <v>1</v>
      </c>
      <c r="N2209" s="2382">
        <v>0</v>
      </c>
      <c r="O2209" s="2383">
        <v>1</v>
      </c>
    </row>
    <row r="2210" spans="3:15">
      <c r="C2210" s="2388" t="s">
        <v>6708</v>
      </c>
      <c r="D2210" s="2385">
        <v>0</v>
      </c>
      <c r="E2210" s="2385">
        <v>0</v>
      </c>
      <c r="F2210" s="2386">
        <v>0</v>
      </c>
      <c r="G2210" s="2412" t="s">
        <v>6708</v>
      </c>
      <c r="H2210" s="2383">
        <v>0</v>
      </c>
      <c r="I2210" s="2383">
        <v>0</v>
      </c>
      <c r="J2210" s="2413">
        <v>0</v>
      </c>
      <c r="K2210" s="2387"/>
      <c r="L2210" s="2381">
        <v>13293010100</v>
      </c>
      <c r="M2210" s="2382">
        <v>0</v>
      </c>
      <c r="N2210" s="2382">
        <v>0</v>
      </c>
      <c r="O2210" s="2383">
        <v>0</v>
      </c>
    </row>
    <row r="2211" spans="3:15">
      <c r="C2211" s="2388" t="s">
        <v>6709</v>
      </c>
      <c r="D2211" s="2385">
        <v>0</v>
      </c>
      <c r="E2211" s="2385">
        <v>0</v>
      </c>
      <c r="F2211" s="2386">
        <v>0</v>
      </c>
      <c r="G2211" s="2412" t="s">
        <v>6709</v>
      </c>
      <c r="H2211" s="2383">
        <v>0</v>
      </c>
      <c r="I2211" s="2383">
        <v>0</v>
      </c>
      <c r="J2211" s="2413">
        <v>0</v>
      </c>
      <c r="K2211" s="2387"/>
      <c r="L2211" s="2381">
        <v>13293010201</v>
      </c>
      <c r="M2211" s="2382">
        <v>0</v>
      </c>
      <c r="N2211" s="2382">
        <v>0</v>
      </c>
      <c r="O2211" s="2383">
        <v>0</v>
      </c>
    </row>
    <row r="2212" spans="3:15">
      <c r="C2212" s="2388" t="s">
        <v>6710</v>
      </c>
      <c r="D2212" s="2385">
        <v>0</v>
      </c>
      <c r="E2212" s="2385">
        <v>0</v>
      </c>
      <c r="F2212" s="2386">
        <v>0</v>
      </c>
      <c r="G2212" s="2412" t="s">
        <v>6710</v>
      </c>
      <c r="H2212" s="2383">
        <v>0</v>
      </c>
      <c r="I2212" s="2383">
        <v>1</v>
      </c>
      <c r="J2212" s="2413">
        <v>1</v>
      </c>
      <c r="K2212" s="2387"/>
      <c r="L2212" s="2381">
        <v>13293010202</v>
      </c>
      <c r="M2212" s="2382">
        <v>0</v>
      </c>
      <c r="N2212" s="2382">
        <v>1</v>
      </c>
      <c r="O2212" s="2383">
        <v>1</v>
      </c>
    </row>
    <row r="2213" spans="3:15">
      <c r="C2213" s="2388" t="s">
        <v>6711</v>
      </c>
      <c r="D2213" s="2385">
        <v>0</v>
      </c>
      <c r="E2213" s="2385">
        <v>1</v>
      </c>
      <c r="F2213" s="2386">
        <v>1</v>
      </c>
      <c r="G2213" s="2412" t="s">
        <v>6711</v>
      </c>
      <c r="H2213" s="2383">
        <v>0</v>
      </c>
      <c r="I2213" s="2383">
        <v>0</v>
      </c>
      <c r="J2213" s="2413">
        <v>0</v>
      </c>
      <c r="K2213" s="2387"/>
      <c r="L2213" s="2381">
        <v>13293010300</v>
      </c>
      <c r="M2213" s="2382">
        <v>0</v>
      </c>
      <c r="N2213" s="2382">
        <v>1</v>
      </c>
      <c r="O2213" s="2383">
        <v>1</v>
      </c>
    </row>
    <row r="2214" spans="3:15">
      <c r="C2214" s="2388" t="s">
        <v>6712</v>
      </c>
      <c r="D2214" s="2385">
        <v>0</v>
      </c>
      <c r="E2214" s="2385">
        <v>0</v>
      </c>
      <c r="F2214" s="2386">
        <v>0</v>
      </c>
      <c r="G2214" s="2412" t="s">
        <v>6712</v>
      </c>
      <c r="H2214" s="2383">
        <v>0</v>
      </c>
      <c r="I2214" s="2383">
        <v>0</v>
      </c>
      <c r="J2214" s="2413">
        <v>0</v>
      </c>
      <c r="K2214" s="2387"/>
      <c r="L2214" s="2381">
        <v>13293010400</v>
      </c>
      <c r="M2214" s="2382">
        <v>0</v>
      </c>
      <c r="N2214" s="2382">
        <v>0</v>
      </c>
      <c r="O2214" s="2383">
        <v>0</v>
      </c>
    </row>
    <row r="2215" spans="3:15">
      <c r="C2215" s="2388" t="s">
        <v>6713</v>
      </c>
      <c r="D2215" s="2385">
        <v>0</v>
      </c>
      <c r="E2215" s="2385">
        <v>0</v>
      </c>
      <c r="F2215" s="2386">
        <v>0</v>
      </c>
      <c r="G2215" s="2412" t="s">
        <v>6713</v>
      </c>
      <c r="H2215" s="2383">
        <v>0</v>
      </c>
      <c r="I2215" s="2383">
        <v>0</v>
      </c>
      <c r="J2215" s="2413">
        <v>0</v>
      </c>
      <c r="K2215" s="2387"/>
      <c r="L2215" s="2381">
        <v>13293010500</v>
      </c>
      <c r="M2215" s="2382">
        <v>0</v>
      </c>
      <c r="N2215" s="2382">
        <v>0</v>
      </c>
      <c r="O2215" s="2383">
        <v>0</v>
      </c>
    </row>
    <row r="2216" spans="3:15">
      <c r="C2216" s="2388" t="s">
        <v>6714</v>
      </c>
      <c r="D2216" s="2385">
        <v>0</v>
      </c>
      <c r="E2216" s="2385">
        <v>0</v>
      </c>
      <c r="F2216" s="2386">
        <v>0</v>
      </c>
      <c r="G2216" s="2412" t="s">
        <v>6714</v>
      </c>
      <c r="H2216" s="2383">
        <v>0</v>
      </c>
      <c r="I2216" s="2383">
        <v>0</v>
      </c>
      <c r="J2216" s="2413">
        <v>0</v>
      </c>
      <c r="K2216" s="2387"/>
      <c r="L2216" s="2381">
        <v>13293010600</v>
      </c>
      <c r="M2216" s="2382">
        <v>0</v>
      </c>
      <c r="N2216" s="2382">
        <v>0</v>
      </c>
      <c r="O2216" s="2383">
        <v>0</v>
      </c>
    </row>
    <row r="2217" spans="3:15">
      <c r="C2217" s="2388" t="s">
        <v>6715</v>
      </c>
      <c r="D2217" s="2385">
        <v>0</v>
      </c>
      <c r="E2217" s="2385">
        <v>0</v>
      </c>
      <c r="F2217" s="2386">
        <v>0</v>
      </c>
      <c r="G2217" s="2412" t="s">
        <v>6715</v>
      </c>
      <c r="H2217" s="2383">
        <v>0</v>
      </c>
      <c r="I2217" s="2383">
        <v>0</v>
      </c>
      <c r="J2217" s="2413">
        <v>0</v>
      </c>
      <c r="K2217" s="2387"/>
      <c r="L2217" s="2381">
        <v>13295020100</v>
      </c>
      <c r="M2217" s="2382">
        <v>0</v>
      </c>
      <c r="N2217" s="2382">
        <v>0</v>
      </c>
      <c r="O2217" s="2383">
        <v>0</v>
      </c>
    </row>
    <row r="2218" spans="3:15">
      <c r="C2218" s="2388" t="s">
        <v>6716</v>
      </c>
      <c r="D2218" s="2385">
        <v>0</v>
      </c>
      <c r="E2218" s="2385">
        <v>0</v>
      </c>
      <c r="F2218" s="2386">
        <v>0</v>
      </c>
      <c r="G2218" s="2412" t="s">
        <v>6716</v>
      </c>
      <c r="H2218" s="2383">
        <v>0</v>
      </c>
      <c r="I2218" s="2383">
        <v>0</v>
      </c>
      <c r="J2218" s="2413">
        <v>0</v>
      </c>
      <c r="K2218" s="2387"/>
      <c r="L2218" s="2381">
        <v>13295020200</v>
      </c>
      <c r="M2218" s="2382">
        <v>0</v>
      </c>
      <c r="N2218" s="2382">
        <v>0</v>
      </c>
      <c r="O2218" s="2383">
        <v>0</v>
      </c>
    </row>
    <row r="2219" spans="3:15">
      <c r="C2219" s="2388" t="s">
        <v>6717</v>
      </c>
      <c r="D2219" s="2385">
        <v>0</v>
      </c>
      <c r="E2219" s="2385">
        <v>0</v>
      </c>
      <c r="F2219" s="2386">
        <v>0</v>
      </c>
      <c r="G2219" s="2412" t="s">
        <v>6717</v>
      </c>
      <c r="H2219" s="2383">
        <v>0</v>
      </c>
      <c r="I2219" s="2383">
        <v>0</v>
      </c>
      <c r="J2219" s="2413">
        <v>0</v>
      </c>
      <c r="K2219" s="2387"/>
      <c r="L2219" s="2381">
        <v>13295020301</v>
      </c>
      <c r="M2219" s="2382">
        <v>0</v>
      </c>
      <c r="N2219" s="2382">
        <v>0</v>
      </c>
      <c r="O2219" s="2383">
        <v>0</v>
      </c>
    </row>
    <row r="2220" spans="3:15">
      <c r="C2220" s="2388" t="s">
        <v>6718</v>
      </c>
      <c r="D2220" s="2385">
        <v>0</v>
      </c>
      <c r="E2220" s="2385">
        <v>0</v>
      </c>
      <c r="F2220" s="2386">
        <v>0</v>
      </c>
      <c r="G2220" s="2412" t="s">
        <v>6718</v>
      </c>
      <c r="H2220" s="2383">
        <v>0</v>
      </c>
      <c r="I2220" s="2383">
        <v>0</v>
      </c>
      <c r="J2220" s="2413">
        <v>0</v>
      </c>
      <c r="K2220" s="2387"/>
      <c r="L2220" s="2381">
        <v>13295020302</v>
      </c>
      <c r="M2220" s="2382">
        <v>0</v>
      </c>
      <c r="N2220" s="2382">
        <v>0</v>
      </c>
      <c r="O2220" s="2383">
        <v>0</v>
      </c>
    </row>
    <row r="2221" spans="3:15">
      <c r="C2221" s="2388" t="s">
        <v>6719</v>
      </c>
      <c r="D2221" s="2385">
        <v>1</v>
      </c>
      <c r="E2221" s="2385">
        <v>1</v>
      </c>
      <c r="F2221" s="2386">
        <v>2</v>
      </c>
      <c r="G2221" s="2412" t="s">
        <v>6719</v>
      </c>
      <c r="H2221" s="2383">
        <v>1</v>
      </c>
      <c r="I2221" s="2383">
        <v>1</v>
      </c>
      <c r="J2221" s="2413">
        <v>2</v>
      </c>
      <c r="K2221" s="2387"/>
      <c r="L2221" s="2381">
        <v>13295020400</v>
      </c>
      <c r="M2221" s="2382">
        <v>1</v>
      </c>
      <c r="N2221" s="2382">
        <v>1</v>
      </c>
      <c r="O2221" s="2383">
        <v>2</v>
      </c>
    </row>
    <row r="2222" spans="3:15">
      <c r="C2222" s="2388" t="s">
        <v>6720</v>
      </c>
      <c r="D2222" s="2385">
        <v>1</v>
      </c>
      <c r="E2222" s="2385">
        <v>0</v>
      </c>
      <c r="F2222" s="2386">
        <v>1</v>
      </c>
      <c r="G2222" s="2412" t="s">
        <v>6720</v>
      </c>
      <c r="H2222" s="2383">
        <v>0</v>
      </c>
      <c r="I2222" s="2383">
        <v>0</v>
      </c>
      <c r="J2222" s="2413">
        <v>0</v>
      </c>
      <c r="K2222" s="2387"/>
      <c r="L2222" s="2381">
        <v>13295020501</v>
      </c>
      <c r="M2222" s="2382">
        <v>1</v>
      </c>
      <c r="N2222" s="2382">
        <v>0</v>
      </c>
      <c r="O2222" s="2383">
        <v>1</v>
      </c>
    </row>
    <row r="2223" spans="3:15">
      <c r="C2223" s="2388" t="s">
        <v>6721</v>
      </c>
      <c r="D2223" s="2385">
        <v>0</v>
      </c>
      <c r="E2223" s="2385">
        <v>1</v>
      </c>
      <c r="F2223" s="2386">
        <v>1</v>
      </c>
      <c r="G2223" s="2412" t="s">
        <v>6721</v>
      </c>
      <c r="H2223" s="2383">
        <v>1</v>
      </c>
      <c r="I2223" s="2383">
        <v>1</v>
      </c>
      <c r="J2223" s="2413">
        <v>2</v>
      </c>
      <c r="K2223" s="2387"/>
      <c r="L2223" s="2381">
        <v>13295020502</v>
      </c>
      <c r="M2223" s="2382">
        <v>1</v>
      </c>
      <c r="N2223" s="2382">
        <v>1</v>
      </c>
      <c r="O2223" s="2383">
        <v>2</v>
      </c>
    </row>
    <row r="2224" spans="3:15">
      <c r="C2224" s="2388" t="s">
        <v>6722</v>
      </c>
      <c r="D2224" s="2385">
        <v>0</v>
      </c>
      <c r="E2224" s="2385">
        <v>1</v>
      </c>
      <c r="F2224" s="2386">
        <v>1</v>
      </c>
      <c r="G2224" s="2412" t="s">
        <v>6722</v>
      </c>
      <c r="H2224" s="2383">
        <v>0</v>
      </c>
      <c r="I2224" s="2383">
        <v>1</v>
      </c>
      <c r="J2224" s="2413">
        <v>1</v>
      </c>
      <c r="K2224" s="2387"/>
      <c r="L2224" s="2381">
        <v>13295020601</v>
      </c>
      <c r="M2224" s="2382">
        <v>0</v>
      </c>
      <c r="N2224" s="2382">
        <v>1</v>
      </c>
      <c r="O2224" s="2383">
        <v>1</v>
      </c>
    </row>
    <row r="2225" spans="3:15">
      <c r="C2225" s="2388" t="s">
        <v>6723</v>
      </c>
      <c r="D2225" s="2385">
        <v>0</v>
      </c>
      <c r="E2225" s="2385">
        <v>0</v>
      </c>
      <c r="F2225" s="2386">
        <v>0</v>
      </c>
      <c r="G2225" s="2412" t="s">
        <v>6723</v>
      </c>
      <c r="H2225" s="2383">
        <v>0</v>
      </c>
      <c r="I2225" s="2383">
        <v>0</v>
      </c>
      <c r="J2225" s="2413">
        <v>0</v>
      </c>
      <c r="K2225" s="2387"/>
      <c r="L2225" s="2381">
        <v>13295020602</v>
      </c>
      <c r="M2225" s="2382">
        <v>0</v>
      </c>
      <c r="N2225" s="2382">
        <v>0</v>
      </c>
      <c r="O2225" s="2383">
        <v>0</v>
      </c>
    </row>
    <row r="2226" spans="3:15">
      <c r="C2226" s="2388" t="s">
        <v>6724</v>
      </c>
      <c r="D2226" s="2385">
        <v>0</v>
      </c>
      <c r="E2226" s="2385">
        <v>0</v>
      </c>
      <c r="F2226" s="2386">
        <v>0</v>
      </c>
      <c r="G2226" s="2412" t="s">
        <v>6724</v>
      </c>
      <c r="H2226" s="2383">
        <v>0</v>
      </c>
      <c r="I2226" s="2383">
        <v>0</v>
      </c>
      <c r="J2226" s="2413">
        <v>0</v>
      </c>
      <c r="K2226" s="2387"/>
      <c r="L2226" s="2381">
        <v>13295020700</v>
      </c>
      <c r="M2226" s="2382">
        <v>0</v>
      </c>
      <c r="N2226" s="2382">
        <v>0</v>
      </c>
      <c r="O2226" s="2383">
        <v>0</v>
      </c>
    </row>
    <row r="2227" spans="3:15">
      <c r="C2227" s="2388" t="s">
        <v>6725</v>
      </c>
      <c r="D2227" s="2385">
        <v>0</v>
      </c>
      <c r="E2227" s="2385">
        <v>0</v>
      </c>
      <c r="F2227" s="2386">
        <v>0</v>
      </c>
      <c r="G2227" s="2412" t="s">
        <v>6725</v>
      </c>
      <c r="H2227" s="2383">
        <v>0</v>
      </c>
      <c r="I2227" s="2383">
        <v>0</v>
      </c>
      <c r="J2227" s="2413">
        <v>0</v>
      </c>
      <c r="K2227" s="2387"/>
      <c r="L2227" s="2381">
        <v>13295020800</v>
      </c>
      <c r="M2227" s="2382">
        <v>0</v>
      </c>
      <c r="N2227" s="2382">
        <v>0</v>
      </c>
      <c r="O2227" s="2383">
        <v>0</v>
      </c>
    </row>
    <row r="2228" spans="3:15">
      <c r="C2228" s="2388" t="s">
        <v>6726</v>
      </c>
      <c r="D2228" s="2385">
        <v>0</v>
      </c>
      <c r="E2228" s="2385">
        <v>0</v>
      </c>
      <c r="F2228" s="2386">
        <v>0</v>
      </c>
      <c r="G2228" s="2412" t="s">
        <v>6726</v>
      </c>
      <c r="H2228" s="2383">
        <v>1</v>
      </c>
      <c r="I2228" s="2383">
        <v>1</v>
      </c>
      <c r="J2228" s="2413">
        <v>2</v>
      </c>
      <c r="K2228" s="2387"/>
      <c r="L2228" s="2381">
        <v>13295020901</v>
      </c>
      <c r="M2228" s="2382">
        <v>1</v>
      </c>
      <c r="N2228" s="2382">
        <v>1</v>
      </c>
      <c r="O2228" s="2383">
        <v>2</v>
      </c>
    </row>
    <row r="2229" spans="3:15">
      <c r="C2229" s="2388" t="s">
        <v>6727</v>
      </c>
      <c r="D2229" s="2385">
        <v>0</v>
      </c>
      <c r="E2229" s="2385">
        <v>0</v>
      </c>
      <c r="F2229" s="2386">
        <v>0</v>
      </c>
      <c r="G2229" s="2412" t="s">
        <v>6727</v>
      </c>
      <c r="H2229" s="2383">
        <v>0</v>
      </c>
      <c r="I2229" s="2383">
        <v>1</v>
      </c>
      <c r="J2229" s="2413">
        <v>1</v>
      </c>
      <c r="K2229" s="2387"/>
      <c r="L2229" s="2381">
        <v>13295020902</v>
      </c>
      <c r="M2229" s="2382">
        <v>0</v>
      </c>
      <c r="N2229" s="2382">
        <v>1</v>
      </c>
      <c r="O2229" s="2383">
        <v>1</v>
      </c>
    </row>
    <row r="2230" spans="3:15">
      <c r="C2230" s="2388" t="s">
        <v>6728</v>
      </c>
      <c r="D2230" s="2385">
        <v>1</v>
      </c>
      <c r="E2230" s="2385">
        <v>1</v>
      </c>
      <c r="F2230" s="2386">
        <v>2</v>
      </c>
      <c r="G2230" s="2412" t="s">
        <v>6728</v>
      </c>
      <c r="H2230" s="2383">
        <v>1</v>
      </c>
      <c r="I2230" s="2383">
        <v>1</v>
      </c>
      <c r="J2230" s="2413">
        <v>2</v>
      </c>
      <c r="K2230" s="2387"/>
      <c r="L2230" s="2381">
        <v>13297110100</v>
      </c>
      <c r="M2230" s="2382">
        <v>1</v>
      </c>
      <c r="N2230" s="2382">
        <v>1</v>
      </c>
      <c r="O2230" s="2383">
        <v>2</v>
      </c>
    </row>
    <row r="2231" spans="3:15">
      <c r="C2231" s="2388" t="s">
        <v>6729</v>
      </c>
      <c r="D2231" s="2385">
        <v>1</v>
      </c>
      <c r="E2231" s="2385">
        <v>1</v>
      </c>
      <c r="F2231" s="2386">
        <v>2</v>
      </c>
      <c r="G2231" s="2412" t="s">
        <v>6729</v>
      </c>
      <c r="H2231" s="2383">
        <v>1</v>
      </c>
      <c r="I2231" s="2383">
        <v>0</v>
      </c>
      <c r="J2231" s="2413">
        <v>1</v>
      </c>
      <c r="K2231" s="2387"/>
      <c r="L2231" s="2381">
        <v>13297110200</v>
      </c>
      <c r="M2231" s="2382">
        <v>1</v>
      </c>
      <c r="N2231" s="2382">
        <v>1</v>
      </c>
      <c r="O2231" s="2383">
        <v>2</v>
      </c>
    </row>
    <row r="2232" spans="3:15">
      <c r="C2232" s="2388" t="s">
        <v>6730</v>
      </c>
      <c r="D2232" s="2385">
        <v>0</v>
      </c>
      <c r="E2232" s="2385">
        <v>0</v>
      </c>
      <c r="F2232" s="2386">
        <v>0</v>
      </c>
      <c r="G2232" s="2412" t="s">
        <v>6730</v>
      </c>
      <c r="H2232" s="2383">
        <v>0</v>
      </c>
      <c r="I2232" s="2383">
        <v>0</v>
      </c>
      <c r="J2232" s="2413">
        <v>0</v>
      </c>
      <c r="K2232" s="2387"/>
      <c r="L2232" s="2381">
        <v>13297110300</v>
      </c>
      <c r="M2232" s="2382">
        <v>0</v>
      </c>
      <c r="N2232" s="2382">
        <v>0</v>
      </c>
      <c r="O2232" s="2383">
        <v>0</v>
      </c>
    </row>
    <row r="2233" spans="3:15">
      <c r="C2233" s="2388" t="s">
        <v>6731</v>
      </c>
      <c r="D2233" s="2385">
        <v>0</v>
      </c>
      <c r="E2233" s="2385">
        <v>0</v>
      </c>
      <c r="F2233" s="2386">
        <v>0</v>
      </c>
      <c r="G2233" s="2412" t="s">
        <v>6731</v>
      </c>
      <c r="H2233" s="2383">
        <v>0</v>
      </c>
      <c r="I2233" s="2383">
        <v>0</v>
      </c>
      <c r="J2233" s="2413">
        <v>0</v>
      </c>
      <c r="K2233" s="2387"/>
      <c r="L2233" s="2381">
        <v>13297110400</v>
      </c>
      <c r="M2233" s="2382">
        <v>0</v>
      </c>
      <c r="N2233" s="2382">
        <v>0</v>
      </c>
      <c r="O2233" s="2383">
        <v>0</v>
      </c>
    </row>
    <row r="2234" spans="3:15">
      <c r="C2234" s="2388" t="s">
        <v>6732</v>
      </c>
      <c r="D2234" s="2385">
        <v>1</v>
      </c>
      <c r="E2234" s="2385">
        <v>1</v>
      </c>
      <c r="F2234" s="2386">
        <v>2</v>
      </c>
      <c r="G2234" s="2412" t="s">
        <v>6732</v>
      </c>
      <c r="H2234" s="2383">
        <v>1</v>
      </c>
      <c r="I2234" s="2383">
        <v>1</v>
      </c>
      <c r="J2234" s="2413">
        <v>2</v>
      </c>
      <c r="K2234" s="2387"/>
      <c r="L2234" s="2381">
        <v>13297110503</v>
      </c>
      <c r="M2234" s="2382">
        <v>1</v>
      </c>
      <c r="N2234" s="2382">
        <v>1</v>
      </c>
      <c r="O2234" s="2383">
        <v>2</v>
      </c>
    </row>
    <row r="2235" spans="3:15">
      <c r="C2235" s="2388" t="s">
        <v>6733</v>
      </c>
      <c r="D2235" s="2385">
        <v>1</v>
      </c>
      <c r="E2235" s="2385">
        <v>1</v>
      </c>
      <c r="F2235" s="2386">
        <v>2</v>
      </c>
      <c r="G2235" s="2412" t="s">
        <v>6733</v>
      </c>
      <c r="H2235" s="2383">
        <v>1</v>
      </c>
      <c r="I2235" s="2383">
        <v>1</v>
      </c>
      <c r="J2235" s="2413">
        <v>2</v>
      </c>
      <c r="K2235" s="2387"/>
      <c r="L2235" s="2381">
        <v>13297110504</v>
      </c>
      <c r="M2235" s="2382">
        <v>1</v>
      </c>
      <c r="N2235" s="2382">
        <v>1</v>
      </c>
      <c r="O2235" s="2383">
        <v>2</v>
      </c>
    </row>
    <row r="2236" spans="3:15">
      <c r="C2236" s="2388" t="s">
        <v>6734</v>
      </c>
      <c r="D2236" s="2385">
        <v>1</v>
      </c>
      <c r="E2236" s="2385">
        <v>1</v>
      </c>
      <c r="F2236" s="2386">
        <v>2</v>
      </c>
      <c r="G2236" s="2412" t="s">
        <v>6734</v>
      </c>
      <c r="H2236" s="2383">
        <v>1</v>
      </c>
      <c r="I2236" s="2383">
        <v>0</v>
      </c>
      <c r="J2236" s="2413">
        <v>1</v>
      </c>
      <c r="K2236" s="2387"/>
      <c r="L2236" s="2381">
        <v>13297110505</v>
      </c>
      <c r="M2236" s="2382">
        <v>1</v>
      </c>
      <c r="N2236" s="2382">
        <v>1</v>
      </c>
      <c r="O2236" s="2383">
        <v>2</v>
      </c>
    </row>
    <row r="2237" spans="3:15">
      <c r="C2237" s="2388" t="s">
        <v>6735</v>
      </c>
      <c r="D2237" s="2385">
        <v>1</v>
      </c>
      <c r="E2237" s="2385">
        <v>1</v>
      </c>
      <c r="F2237" s="2386">
        <v>2</v>
      </c>
      <c r="G2237" s="2412" t="s">
        <v>6735</v>
      </c>
      <c r="H2237" s="2383">
        <v>1</v>
      </c>
      <c r="I2237" s="2383">
        <v>1</v>
      </c>
      <c r="J2237" s="2413">
        <v>2</v>
      </c>
      <c r="K2237" s="2387"/>
      <c r="L2237" s="2381">
        <v>13297110506</v>
      </c>
      <c r="M2237" s="2382">
        <v>1</v>
      </c>
      <c r="N2237" s="2382">
        <v>1</v>
      </c>
      <c r="O2237" s="2383">
        <v>2</v>
      </c>
    </row>
    <row r="2238" spans="3:15">
      <c r="C2238" s="2388" t="s">
        <v>6736</v>
      </c>
      <c r="D2238" s="2385">
        <v>1</v>
      </c>
      <c r="E2238" s="2385">
        <v>1</v>
      </c>
      <c r="F2238" s="2386">
        <v>2</v>
      </c>
      <c r="G2238" s="2412" t="s">
        <v>6736</v>
      </c>
      <c r="H2238" s="2383">
        <v>1</v>
      </c>
      <c r="I2238" s="2383">
        <v>1</v>
      </c>
      <c r="J2238" s="2413">
        <v>2</v>
      </c>
      <c r="K2238" s="2387"/>
      <c r="L2238" s="2381">
        <v>13297110507</v>
      </c>
      <c r="M2238" s="2382">
        <v>1</v>
      </c>
      <c r="N2238" s="2382">
        <v>1</v>
      </c>
      <c r="O2238" s="2383">
        <v>2</v>
      </c>
    </row>
    <row r="2239" spans="3:15">
      <c r="C2239" s="2388" t="s">
        <v>6737</v>
      </c>
      <c r="D2239" s="2385">
        <v>1</v>
      </c>
      <c r="E2239" s="2385">
        <v>1</v>
      </c>
      <c r="F2239" s="2386">
        <v>2</v>
      </c>
      <c r="G2239" s="2412" t="s">
        <v>6737</v>
      </c>
      <c r="H2239" s="2383">
        <v>0</v>
      </c>
      <c r="I2239" s="2383">
        <v>1</v>
      </c>
      <c r="J2239" s="2413">
        <v>1</v>
      </c>
      <c r="K2239" s="2387"/>
      <c r="L2239" s="2381">
        <v>13297110508</v>
      </c>
      <c r="M2239" s="2382">
        <v>1</v>
      </c>
      <c r="N2239" s="2382">
        <v>1</v>
      </c>
      <c r="O2239" s="2383">
        <v>2</v>
      </c>
    </row>
    <row r="2240" spans="3:15">
      <c r="C2240" s="2388" t="s">
        <v>6738</v>
      </c>
      <c r="D2240" s="2385">
        <v>1</v>
      </c>
      <c r="E2240" s="2385">
        <v>1</v>
      </c>
      <c r="F2240" s="2386">
        <v>2</v>
      </c>
      <c r="G2240" s="2412" t="s">
        <v>6738</v>
      </c>
      <c r="H2240" s="2383">
        <v>1</v>
      </c>
      <c r="I2240" s="2383">
        <v>1</v>
      </c>
      <c r="J2240" s="2413">
        <v>2</v>
      </c>
      <c r="K2240" s="2387"/>
      <c r="L2240" s="2381">
        <v>13297110601</v>
      </c>
      <c r="M2240" s="2382">
        <v>1</v>
      </c>
      <c r="N2240" s="2382">
        <v>1</v>
      </c>
      <c r="O2240" s="2383">
        <v>2</v>
      </c>
    </row>
    <row r="2241" spans="3:15">
      <c r="C2241" s="2388" t="s">
        <v>6739</v>
      </c>
      <c r="D2241" s="2385">
        <v>1</v>
      </c>
      <c r="E2241" s="2385">
        <v>1</v>
      </c>
      <c r="F2241" s="2386">
        <v>2</v>
      </c>
      <c r="G2241" s="2412" t="s">
        <v>6739</v>
      </c>
      <c r="H2241" s="2383">
        <v>1</v>
      </c>
      <c r="I2241" s="2383">
        <v>1</v>
      </c>
      <c r="J2241" s="2413">
        <v>2</v>
      </c>
      <c r="K2241" s="2387"/>
      <c r="L2241" s="2381">
        <v>13297110602</v>
      </c>
      <c r="M2241" s="2382">
        <v>1</v>
      </c>
      <c r="N2241" s="2382">
        <v>1</v>
      </c>
      <c r="O2241" s="2383">
        <v>2</v>
      </c>
    </row>
    <row r="2242" spans="3:15">
      <c r="C2242" s="2388" t="s">
        <v>6740</v>
      </c>
      <c r="D2242" s="2385">
        <v>0</v>
      </c>
      <c r="E2242" s="2385">
        <v>1</v>
      </c>
      <c r="F2242" s="2386">
        <v>1</v>
      </c>
      <c r="G2242" s="2412" t="s">
        <v>6740</v>
      </c>
      <c r="H2242" s="2383">
        <v>0</v>
      </c>
      <c r="I2242" s="2383">
        <v>0</v>
      </c>
      <c r="J2242" s="2413">
        <v>0</v>
      </c>
      <c r="K2242" s="2387"/>
      <c r="L2242" s="2381">
        <v>13297110603</v>
      </c>
      <c r="M2242" s="2382">
        <v>0</v>
      </c>
      <c r="N2242" s="2382">
        <v>1</v>
      </c>
      <c r="O2242" s="2383">
        <v>1</v>
      </c>
    </row>
    <row r="2243" spans="3:15">
      <c r="C2243" s="2388" t="s">
        <v>6741</v>
      </c>
      <c r="D2243" s="2385">
        <v>0</v>
      </c>
      <c r="E2243" s="2385">
        <v>0</v>
      </c>
      <c r="F2243" s="2386">
        <v>0</v>
      </c>
      <c r="G2243" s="2412" t="s">
        <v>6741</v>
      </c>
      <c r="H2243" s="2383">
        <v>0</v>
      </c>
      <c r="I2243" s="2383">
        <v>0</v>
      </c>
      <c r="J2243" s="2413">
        <v>0</v>
      </c>
      <c r="K2243" s="2387"/>
      <c r="L2243" s="2381">
        <v>13297110700</v>
      </c>
      <c r="M2243" s="2382">
        <v>0</v>
      </c>
      <c r="N2243" s="2382">
        <v>0</v>
      </c>
      <c r="O2243" s="2383">
        <v>0</v>
      </c>
    </row>
    <row r="2244" spans="3:15">
      <c r="C2244" s="2388" t="s">
        <v>6742</v>
      </c>
      <c r="D2244" s="2385">
        <v>1</v>
      </c>
      <c r="E2244" s="2385">
        <v>0</v>
      </c>
      <c r="F2244" s="2386">
        <v>1</v>
      </c>
      <c r="G2244" s="2412" t="s">
        <v>6742</v>
      </c>
      <c r="H2244" s="2383">
        <v>1</v>
      </c>
      <c r="I2244" s="2383">
        <v>0</v>
      </c>
      <c r="J2244" s="2413">
        <v>1</v>
      </c>
      <c r="K2244" s="2387"/>
      <c r="L2244" s="2381">
        <v>13297110800</v>
      </c>
      <c r="M2244" s="2382">
        <v>1</v>
      </c>
      <c r="N2244" s="2382">
        <v>0</v>
      </c>
      <c r="O2244" s="2383">
        <v>1</v>
      </c>
    </row>
    <row r="2245" spans="3:15">
      <c r="C2245" s="2388" t="s">
        <v>6743</v>
      </c>
      <c r="D2245" s="2385">
        <v>1</v>
      </c>
      <c r="E2245" s="2385">
        <v>0</v>
      </c>
      <c r="F2245" s="2386">
        <v>1</v>
      </c>
      <c r="G2245" s="2412" t="s">
        <v>6743</v>
      </c>
      <c r="H2245" s="2383">
        <v>0</v>
      </c>
      <c r="I2245" s="2383">
        <v>0</v>
      </c>
      <c r="J2245" s="2413">
        <v>0</v>
      </c>
      <c r="K2245" s="2387"/>
      <c r="L2245" s="2381">
        <v>13299950100</v>
      </c>
      <c r="M2245" s="2382">
        <v>1</v>
      </c>
      <c r="N2245" s="2382">
        <v>0</v>
      </c>
      <c r="O2245" s="2383">
        <v>1</v>
      </c>
    </row>
    <row r="2246" spans="3:15">
      <c r="C2246" s="2388" t="s">
        <v>6744</v>
      </c>
      <c r="D2246" s="2385">
        <v>0</v>
      </c>
      <c r="E2246" s="2385">
        <v>0</v>
      </c>
      <c r="F2246" s="2386">
        <v>0</v>
      </c>
      <c r="G2246" s="2412" t="s">
        <v>6744</v>
      </c>
      <c r="H2246" s="2383">
        <v>0</v>
      </c>
      <c r="I2246" s="2383">
        <v>0</v>
      </c>
      <c r="J2246" s="2413">
        <v>0</v>
      </c>
      <c r="K2246" s="2387"/>
      <c r="L2246" s="2381">
        <v>13299950200</v>
      </c>
      <c r="M2246" s="2382">
        <v>0</v>
      </c>
      <c r="N2246" s="2382">
        <v>0</v>
      </c>
      <c r="O2246" s="2383">
        <v>0</v>
      </c>
    </row>
    <row r="2247" spans="3:15">
      <c r="C2247" s="2388" t="s">
        <v>6745</v>
      </c>
      <c r="D2247" s="2385">
        <v>0</v>
      </c>
      <c r="E2247" s="2385">
        <v>0</v>
      </c>
      <c r="F2247" s="2386">
        <v>0</v>
      </c>
      <c r="G2247" s="2412" t="s">
        <v>6745</v>
      </c>
      <c r="H2247" s="2383">
        <v>0</v>
      </c>
      <c r="I2247" s="2383">
        <v>0</v>
      </c>
      <c r="J2247" s="2413">
        <v>0</v>
      </c>
      <c r="K2247" s="2387"/>
      <c r="L2247" s="2381">
        <v>13299950300</v>
      </c>
      <c r="M2247" s="2382">
        <v>0</v>
      </c>
      <c r="N2247" s="2382">
        <v>0</v>
      </c>
      <c r="O2247" s="2383">
        <v>0</v>
      </c>
    </row>
    <row r="2248" spans="3:15">
      <c r="C2248" s="2388" t="s">
        <v>6746</v>
      </c>
      <c r="D2248" s="2385">
        <v>0</v>
      </c>
      <c r="E2248" s="2385">
        <v>0</v>
      </c>
      <c r="F2248" s="2386">
        <v>0</v>
      </c>
      <c r="G2248" s="2412" t="s">
        <v>6746</v>
      </c>
      <c r="H2248" s="2383">
        <v>0</v>
      </c>
      <c r="I2248" s="2383">
        <v>0</v>
      </c>
      <c r="J2248" s="2413">
        <v>0</v>
      </c>
      <c r="K2248" s="2387"/>
      <c r="L2248" s="2381">
        <v>13299950400</v>
      </c>
      <c r="M2248" s="2382">
        <v>0</v>
      </c>
      <c r="N2248" s="2382">
        <v>0</v>
      </c>
      <c r="O2248" s="2383">
        <v>0</v>
      </c>
    </row>
    <row r="2249" spans="3:15">
      <c r="C2249" s="2388" t="s">
        <v>6747</v>
      </c>
      <c r="D2249" s="2385">
        <v>1</v>
      </c>
      <c r="E2249" s="2385">
        <v>0</v>
      </c>
      <c r="F2249" s="2386">
        <v>1</v>
      </c>
      <c r="G2249" s="2412" t="s">
        <v>6747</v>
      </c>
      <c r="H2249" s="2383">
        <v>1</v>
      </c>
      <c r="I2249" s="2383">
        <v>0</v>
      </c>
      <c r="J2249" s="2413">
        <v>1</v>
      </c>
      <c r="K2249" s="2387"/>
      <c r="L2249" s="2381">
        <v>13299950500</v>
      </c>
      <c r="M2249" s="2382">
        <v>1</v>
      </c>
      <c r="N2249" s="2382">
        <v>0</v>
      </c>
      <c r="O2249" s="2383">
        <v>1</v>
      </c>
    </row>
    <row r="2250" spans="3:15">
      <c r="C2250" s="2388" t="s">
        <v>6748</v>
      </c>
      <c r="D2250" s="2385">
        <v>1</v>
      </c>
      <c r="E2250" s="2385">
        <v>0</v>
      </c>
      <c r="F2250" s="2386">
        <v>1</v>
      </c>
      <c r="G2250" s="2412" t="s">
        <v>6748</v>
      </c>
      <c r="H2250" s="2383">
        <v>1</v>
      </c>
      <c r="I2250" s="2383">
        <v>0</v>
      </c>
      <c r="J2250" s="2413">
        <v>1</v>
      </c>
      <c r="K2250" s="2387"/>
      <c r="L2250" s="2381">
        <v>13299950600</v>
      </c>
      <c r="M2250" s="2382">
        <v>1</v>
      </c>
      <c r="N2250" s="2382">
        <v>0</v>
      </c>
      <c r="O2250" s="2383">
        <v>1</v>
      </c>
    </row>
    <row r="2251" spans="3:15">
      <c r="C2251" s="2388" t="s">
        <v>6749</v>
      </c>
      <c r="D2251" s="2385">
        <v>0</v>
      </c>
      <c r="E2251" s="2385">
        <v>0</v>
      </c>
      <c r="F2251" s="2386">
        <v>0</v>
      </c>
      <c r="G2251" s="2412" t="s">
        <v>6749</v>
      </c>
      <c r="H2251" s="2383">
        <v>0</v>
      </c>
      <c r="I2251" s="2383">
        <v>0</v>
      </c>
      <c r="J2251" s="2413">
        <v>0</v>
      </c>
      <c r="K2251" s="2387"/>
      <c r="L2251" s="2381">
        <v>13299950700</v>
      </c>
      <c r="M2251" s="2382">
        <v>0</v>
      </c>
      <c r="N2251" s="2382">
        <v>0</v>
      </c>
      <c r="O2251" s="2383">
        <v>0</v>
      </c>
    </row>
    <row r="2252" spans="3:15">
      <c r="C2252" s="2388" t="s">
        <v>6750</v>
      </c>
      <c r="D2252" s="2385">
        <v>0</v>
      </c>
      <c r="E2252" s="2385">
        <v>0</v>
      </c>
      <c r="F2252" s="2386">
        <v>0</v>
      </c>
      <c r="G2252" s="2412" t="s">
        <v>6750</v>
      </c>
      <c r="H2252" s="2383">
        <v>0</v>
      </c>
      <c r="I2252" s="2383">
        <v>0</v>
      </c>
      <c r="J2252" s="2413">
        <v>0</v>
      </c>
      <c r="K2252" s="2387"/>
      <c r="L2252" s="2381">
        <v>13299950800</v>
      </c>
      <c r="M2252" s="2382">
        <v>0</v>
      </c>
      <c r="N2252" s="2382">
        <v>0</v>
      </c>
      <c r="O2252" s="2383">
        <v>0</v>
      </c>
    </row>
    <row r="2253" spans="3:15">
      <c r="C2253" s="2388" t="s">
        <v>6751</v>
      </c>
      <c r="D2253" s="2385">
        <v>0</v>
      </c>
      <c r="E2253" s="2385">
        <v>0</v>
      </c>
      <c r="F2253" s="2386">
        <v>0</v>
      </c>
      <c r="G2253" s="2412" t="s">
        <v>6751</v>
      </c>
      <c r="H2253" s="2383">
        <v>0</v>
      </c>
      <c r="I2253" s="2383">
        <v>0</v>
      </c>
      <c r="J2253" s="2413">
        <v>0</v>
      </c>
      <c r="K2253" s="2387"/>
      <c r="L2253" s="2381">
        <v>13299950900</v>
      </c>
      <c r="M2253" s="2382">
        <v>0</v>
      </c>
      <c r="N2253" s="2382">
        <v>0</v>
      </c>
      <c r="O2253" s="2383">
        <v>0</v>
      </c>
    </row>
    <row r="2254" spans="3:15">
      <c r="C2254" s="2388" t="s">
        <v>6752</v>
      </c>
      <c r="D2254" s="2385">
        <v>0</v>
      </c>
      <c r="E2254" s="2385">
        <v>0</v>
      </c>
      <c r="F2254" s="2386">
        <v>0</v>
      </c>
      <c r="G2254" s="2412" t="s">
        <v>6752</v>
      </c>
      <c r="H2254" s="2383">
        <v>0</v>
      </c>
      <c r="I2254" s="2383">
        <v>0</v>
      </c>
      <c r="J2254" s="2413">
        <v>0</v>
      </c>
      <c r="K2254" s="2387"/>
      <c r="L2254" s="2381">
        <v>13301970400</v>
      </c>
      <c r="M2254" s="2382">
        <v>0</v>
      </c>
      <c r="N2254" s="2382">
        <v>0</v>
      </c>
      <c r="O2254" s="2383">
        <v>0</v>
      </c>
    </row>
    <row r="2255" spans="3:15">
      <c r="C2255" s="2388" t="s">
        <v>6753</v>
      </c>
      <c r="D2255" s="2385">
        <v>0</v>
      </c>
      <c r="E2255" s="2385">
        <v>0</v>
      </c>
      <c r="F2255" s="2386">
        <v>0</v>
      </c>
      <c r="G2255" s="2412" t="s">
        <v>6753</v>
      </c>
      <c r="H2255" s="2383">
        <v>0</v>
      </c>
      <c r="I2255" s="2383">
        <v>0</v>
      </c>
      <c r="J2255" s="2413">
        <v>0</v>
      </c>
      <c r="K2255" s="2387"/>
      <c r="L2255" s="2381">
        <v>13301970500</v>
      </c>
      <c r="M2255" s="2382">
        <v>0</v>
      </c>
      <c r="N2255" s="2382">
        <v>0</v>
      </c>
      <c r="O2255" s="2383">
        <v>0</v>
      </c>
    </row>
    <row r="2256" spans="3:15">
      <c r="C2256" s="2388" t="s">
        <v>6754</v>
      </c>
      <c r="D2256" s="2385">
        <v>0</v>
      </c>
      <c r="E2256" s="2385">
        <v>0</v>
      </c>
      <c r="F2256" s="2386">
        <v>0</v>
      </c>
      <c r="G2256" s="2412" t="s">
        <v>6754</v>
      </c>
      <c r="H2256" s="2383">
        <v>0</v>
      </c>
      <c r="I2256" s="2383">
        <v>1</v>
      </c>
      <c r="J2256" s="2413">
        <v>1</v>
      </c>
      <c r="K2256" s="2387"/>
      <c r="L2256" s="2381">
        <v>13303950100</v>
      </c>
      <c r="M2256" s="2382">
        <v>0</v>
      </c>
      <c r="N2256" s="2382">
        <v>1</v>
      </c>
      <c r="O2256" s="2383">
        <v>1</v>
      </c>
    </row>
    <row r="2257" spans="3:15">
      <c r="C2257" s="2388" t="s">
        <v>6755</v>
      </c>
      <c r="D2257" s="2385">
        <v>0</v>
      </c>
      <c r="E2257" s="2385">
        <v>0</v>
      </c>
      <c r="F2257" s="2386">
        <v>0</v>
      </c>
      <c r="G2257" s="2412" t="s">
        <v>6755</v>
      </c>
      <c r="H2257" s="2383">
        <v>0</v>
      </c>
      <c r="I2257" s="2383">
        <v>0</v>
      </c>
      <c r="J2257" s="2413">
        <v>0</v>
      </c>
      <c r="K2257" s="2387"/>
      <c r="L2257" s="2381">
        <v>13303950300</v>
      </c>
      <c r="M2257" s="2382">
        <v>0</v>
      </c>
      <c r="N2257" s="2382">
        <v>0</v>
      </c>
      <c r="O2257" s="2383">
        <v>0</v>
      </c>
    </row>
    <row r="2258" spans="3:15">
      <c r="C2258" s="2388" t="s">
        <v>6756</v>
      </c>
      <c r="D2258" s="2385">
        <v>0</v>
      </c>
      <c r="E2258" s="2385">
        <v>0</v>
      </c>
      <c r="F2258" s="2386">
        <v>0</v>
      </c>
      <c r="G2258" s="2412" t="s">
        <v>6756</v>
      </c>
      <c r="H2258" s="2383">
        <v>0</v>
      </c>
      <c r="I2258" s="2383">
        <v>0</v>
      </c>
      <c r="J2258" s="2413">
        <v>0</v>
      </c>
      <c r="K2258" s="2387"/>
      <c r="L2258" s="2381">
        <v>13303950400</v>
      </c>
      <c r="M2258" s="2382">
        <v>0</v>
      </c>
      <c r="N2258" s="2382">
        <v>0</v>
      </c>
      <c r="O2258" s="2383">
        <v>0</v>
      </c>
    </row>
    <row r="2259" spans="3:15">
      <c r="C2259" s="2388" t="s">
        <v>6757</v>
      </c>
      <c r="D2259" s="2385">
        <v>0</v>
      </c>
      <c r="E2259" s="2385">
        <v>0</v>
      </c>
      <c r="F2259" s="2386">
        <v>0</v>
      </c>
      <c r="G2259" s="2412" t="s">
        <v>6757</v>
      </c>
      <c r="H2259" s="2383">
        <v>0</v>
      </c>
      <c r="I2259" s="2383">
        <v>0</v>
      </c>
      <c r="J2259" s="2413">
        <v>0</v>
      </c>
      <c r="K2259" s="2387"/>
      <c r="L2259" s="2381">
        <v>13303950500</v>
      </c>
      <c r="M2259" s="2382">
        <v>0</v>
      </c>
      <c r="N2259" s="2382">
        <v>0</v>
      </c>
      <c r="O2259" s="2383">
        <v>0</v>
      </c>
    </row>
    <row r="2260" spans="3:15">
      <c r="C2260" s="2388" t="s">
        <v>6758</v>
      </c>
      <c r="D2260" s="2385">
        <v>0</v>
      </c>
      <c r="E2260" s="2385">
        <v>0</v>
      </c>
      <c r="F2260" s="2386">
        <v>0</v>
      </c>
      <c r="G2260" s="2412" t="s">
        <v>6758</v>
      </c>
      <c r="H2260" s="2383">
        <v>0</v>
      </c>
      <c r="I2260" s="2383">
        <v>1</v>
      </c>
      <c r="J2260" s="2413">
        <v>1</v>
      </c>
      <c r="K2260" s="2387"/>
      <c r="L2260" s="2381">
        <v>13303950700</v>
      </c>
      <c r="M2260" s="2382">
        <v>0</v>
      </c>
      <c r="N2260" s="2382">
        <v>1</v>
      </c>
      <c r="O2260" s="2383">
        <v>1</v>
      </c>
    </row>
    <row r="2261" spans="3:15">
      <c r="C2261" s="2388" t="s">
        <v>6759</v>
      </c>
      <c r="D2261" s="2385">
        <v>0</v>
      </c>
      <c r="E2261" s="2385">
        <v>0</v>
      </c>
      <c r="F2261" s="2386">
        <v>0</v>
      </c>
      <c r="G2261" s="2412" t="s">
        <v>6759</v>
      </c>
      <c r="H2261" s="2383">
        <v>0</v>
      </c>
      <c r="I2261" s="2383">
        <v>0</v>
      </c>
      <c r="J2261" s="2413">
        <v>0</v>
      </c>
      <c r="K2261" s="2387"/>
      <c r="L2261" s="2381">
        <v>13305970100</v>
      </c>
      <c r="M2261" s="2382">
        <v>0</v>
      </c>
      <c r="N2261" s="2382">
        <v>0</v>
      </c>
      <c r="O2261" s="2383">
        <v>0</v>
      </c>
    </row>
    <row r="2262" spans="3:15">
      <c r="C2262" s="2388" t="s">
        <v>6760</v>
      </c>
      <c r="D2262" s="2385">
        <v>0</v>
      </c>
      <c r="E2262" s="2385">
        <v>0</v>
      </c>
      <c r="F2262" s="2386">
        <v>0</v>
      </c>
      <c r="G2262" s="2412" t="s">
        <v>6760</v>
      </c>
      <c r="H2262" s="2383">
        <v>0</v>
      </c>
      <c r="I2262" s="2383">
        <v>0</v>
      </c>
      <c r="J2262" s="2413">
        <v>0</v>
      </c>
      <c r="K2262" s="2387"/>
      <c r="L2262" s="2381">
        <v>13305970200</v>
      </c>
      <c r="M2262" s="2382">
        <v>0</v>
      </c>
      <c r="N2262" s="2382">
        <v>0</v>
      </c>
      <c r="O2262" s="2383">
        <v>0</v>
      </c>
    </row>
    <row r="2263" spans="3:15">
      <c r="C2263" s="2388" t="s">
        <v>6761</v>
      </c>
      <c r="D2263" s="2385">
        <v>0</v>
      </c>
      <c r="E2263" s="2385">
        <v>0</v>
      </c>
      <c r="F2263" s="2386">
        <v>0</v>
      </c>
      <c r="G2263" s="2412" t="s">
        <v>6761</v>
      </c>
      <c r="H2263" s="2383">
        <v>0</v>
      </c>
      <c r="I2263" s="2383">
        <v>0</v>
      </c>
      <c r="J2263" s="2413">
        <v>0</v>
      </c>
      <c r="K2263" s="2387"/>
      <c r="L2263" s="2381">
        <v>13305970300</v>
      </c>
      <c r="M2263" s="2382">
        <v>0</v>
      </c>
      <c r="N2263" s="2382">
        <v>0</v>
      </c>
      <c r="O2263" s="2383">
        <v>0</v>
      </c>
    </row>
    <row r="2264" spans="3:15">
      <c r="C2264" s="2388" t="s">
        <v>6762</v>
      </c>
      <c r="D2264" s="2385">
        <v>0</v>
      </c>
      <c r="E2264" s="2385">
        <v>0</v>
      </c>
      <c r="F2264" s="2386">
        <v>0</v>
      </c>
      <c r="G2264" s="2412" t="s">
        <v>6762</v>
      </c>
      <c r="H2264" s="2383">
        <v>0</v>
      </c>
      <c r="I2264" s="2383">
        <v>0</v>
      </c>
      <c r="J2264" s="2413">
        <v>0</v>
      </c>
      <c r="K2264" s="2387"/>
      <c r="L2264" s="2381">
        <v>13305970400</v>
      </c>
      <c r="M2264" s="2382">
        <v>0</v>
      </c>
      <c r="N2264" s="2382">
        <v>0</v>
      </c>
      <c r="O2264" s="2383">
        <v>0</v>
      </c>
    </row>
    <row r="2265" spans="3:15">
      <c r="C2265" s="2388" t="s">
        <v>6763</v>
      </c>
      <c r="D2265" s="2385">
        <v>0</v>
      </c>
      <c r="E2265" s="2385">
        <v>0</v>
      </c>
      <c r="F2265" s="2386">
        <v>0</v>
      </c>
      <c r="G2265" s="2412" t="s">
        <v>6763</v>
      </c>
      <c r="H2265" s="2383">
        <v>0</v>
      </c>
      <c r="I2265" s="2383">
        <v>0</v>
      </c>
      <c r="J2265" s="2413">
        <v>0</v>
      </c>
      <c r="K2265" s="2387"/>
      <c r="L2265" s="2381">
        <v>13305970500</v>
      </c>
      <c r="M2265" s="2382">
        <v>0</v>
      </c>
      <c r="N2265" s="2382">
        <v>0</v>
      </c>
      <c r="O2265" s="2383">
        <v>0</v>
      </c>
    </row>
    <row r="2266" spans="3:15">
      <c r="C2266" s="2388" t="s">
        <v>6764</v>
      </c>
      <c r="D2266" s="2385">
        <v>0</v>
      </c>
      <c r="E2266" s="2385">
        <v>0</v>
      </c>
      <c r="F2266" s="2386">
        <v>0</v>
      </c>
      <c r="G2266" s="2412" t="s">
        <v>6764</v>
      </c>
      <c r="H2266" s="2383">
        <v>0</v>
      </c>
      <c r="I2266" s="2383">
        <v>0</v>
      </c>
      <c r="J2266" s="2413">
        <v>0</v>
      </c>
      <c r="K2266" s="2387"/>
      <c r="L2266" s="2381">
        <v>13305970600</v>
      </c>
      <c r="M2266" s="2382">
        <v>0</v>
      </c>
      <c r="N2266" s="2382">
        <v>0</v>
      </c>
      <c r="O2266" s="2383">
        <v>0</v>
      </c>
    </row>
    <row r="2267" spans="3:15">
      <c r="C2267" s="2388" t="s">
        <v>6765</v>
      </c>
      <c r="D2267" s="2385">
        <v>0</v>
      </c>
      <c r="E2267" s="2385">
        <v>0</v>
      </c>
      <c r="F2267" s="2386">
        <v>0</v>
      </c>
      <c r="G2267" s="2412" t="s">
        <v>6765</v>
      </c>
      <c r="H2267" s="2383">
        <v>0</v>
      </c>
      <c r="I2267" s="2383">
        <v>1</v>
      </c>
      <c r="J2267" s="2413">
        <v>1</v>
      </c>
      <c r="K2267" s="2387"/>
      <c r="L2267" s="2381">
        <v>13307960100</v>
      </c>
      <c r="M2267" s="2382">
        <v>0</v>
      </c>
      <c r="N2267" s="2382">
        <v>1</v>
      </c>
      <c r="O2267" s="2383">
        <v>1</v>
      </c>
    </row>
    <row r="2268" spans="3:15">
      <c r="C2268" s="2388" t="s">
        <v>6766</v>
      </c>
      <c r="D2268" s="2385">
        <v>0</v>
      </c>
      <c r="E2268" s="2385">
        <v>0</v>
      </c>
      <c r="F2268" s="2386">
        <v>0</v>
      </c>
      <c r="G2268" s="2412" t="s">
        <v>6766</v>
      </c>
      <c r="H2268" s="2383">
        <v>0</v>
      </c>
      <c r="I2268" s="2383">
        <v>0</v>
      </c>
      <c r="J2268" s="2413">
        <v>0</v>
      </c>
      <c r="K2268" s="2387"/>
      <c r="L2268" s="2381">
        <v>13307960200</v>
      </c>
      <c r="M2268" s="2382">
        <v>0</v>
      </c>
      <c r="N2268" s="2382">
        <v>0</v>
      </c>
      <c r="O2268" s="2383">
        <v>0</v>
      </c>
    </row>
    <row r="2269" spans="3:15">
      <c r="C2269" s="2388" t="s">
        <v>6767</v>
      </c>
      <c r="D2269" s="2385">
        <v>0</v>
      </c>
      <c r="E2269" s="2385">
        <v>0</v>
      </c>
      <c r="F2269" s="2386">
        <v>0</v>
      </c>
      <c r="G2269" s="2412" t="s">
        <v>6767</v>
      </c>
      <c r="H2269" s="2383">
        <v>0</v>
      </c>
      <c r="I2269" s="2383">
        <v>0</v>
      </c>
      <c r="J2269" s="2413">
        <v>0</v>
      </c>
      <c r="K2269" s="2387"/>
      <c r="L2269" s="2381">
        <v>13309780100</v>
      </c>
      <c r="M2269" s="2382">
        <v>0</v>
      </c>
      <c r="N2269" s="2382">
        <v>0</v>
      </c>
      <c r="O2269" s="2383">
        <v>0</v>
      </c>
    </row>
    <row r="2270" spans="3:15">
      <c r="C2270" s="2388" t="s">
        <v>6768</v>
      </c>
      <c r="D2270" s="2385">
        <v>0</v>
      </c>
      <c r="E2270" s="2385">
        <v>0</v>
      </c>
      <c r="F2270" s="2386">
        <v>0</v>
      </c>
      <c r="G2270" s="2412" t="s">
        <v>6768</v>
      </c>
      <c r="H2270" s="2383">
        <v>0</v>
      </c>
      <c r="I2270" s="2383">
        <v>1</v>
      </c>
      <c r="J2270" s="2413">
        <v>1</v>
      </c>
      <c r="K2270" s="2387"/>
      <c r="L2270" s="2381">
        <v>13309780200</v>
      </c>
      <c r="M2270" s="2382">
        <v>0</v>
      </c>
      <c r="N2270" s="2382">
        <v>1</v>
      </c>
      <c r="O2270" s="2383">
        <v>1</v>
      </c>
    </row>
    <row r="2271" spans="3:15">
      <c r="C2271" s="2388" t="s">
        <v>6769</v>
      </c>
      <c r="D2271" s="2385">
        <v>1</v>
      </c>
      <c r="E2271" s="2385">
        <v>0</v>
      </c>
      <c r="F2271" s="2386">
        <v>1</v>
      </c>
      <c r="G2271" s="2412" t="s">
        <v>6769</v>
      </c>
      <c r="H2271" s="2383">
        <v>1</v>
      </c>
      <c r="I2271" s="2383">
        <v>0</v>
      </c>
      <c r="J2271" s="2413">
        <v>1</v>
      </c>
      <c r="K2271" s="2387"/>
      <c r="L2271" s="2381">
        <v>13311950100</v>
      </c>
      <c r="M2271" s="2382">
        <v>1</v>
      </c>
      <c r="N2271" s="2382">
        <v>0</v>
      </c>
      <c r="O2271" s="2383">
        <v>1</v>
      </c>
    </row>
    <row r="2272" spans="3:15">
      <c r="C2272" s="2388" t="s">
        <v>6770</v>
      </c>
      <c r="D2272" s="2385">
        <v>0</v>
      </c>
      <c r="E2272" s="2385">
        <v>0</v>
      </c>
      <c r="F2272" s="2386">
        <v>0</v>
      </c>
      <c r="G2272" s="2412" t="s">
        <v>6770</v>
      </c>
      <c r="H2272" s="2383">
        <v>0</v>
      </c>
      <c r="I2272" s="2383">
        <v>0</v>
      </c>
      <c r="J2272" s="2413">
        <v>0</v>
      </c>
      <c r="K2272" s="2387"/>
      <c r="L2272" s="2381">
        <v>13311950201</v>
      </c>
      <c r="M2272" s="2382">
        <v>0</v>
      </c>
      <c r="N2272" s="2382">
        <v>0</v>
      </c>
      <c r="O2272" s="2383">
        <v>0</v>
      </c>
    </row>
    <row r="2273" spans="3:15">
      <c r="C2273" s="2388" t="s">
        <v>6771</v>
      </c>
      <c r="D2273" s="2385">
        <v>1</v>
      </c>
      <c r="E2273" s="2385">
        <v>1</v>
      </c>
      <c r="F2273" s="2386">
        <v>2</v>
      </c>
      <c r="G2273" s="2412" t="s">
        <v>6771</v>
      </c>
      <c r="H2273" s="2383">
        <v>0</v>
      </c>
      <c r="I2273" s="2383">
        <v>1</v>
      </c>
      <c r="J2273" s="2413">
        <v>1</v>
      </c>
      <c r="K2273" s="2387"/>
      <c r="L2273" s="2381">
        <v>13311950202</v>
      </c>
      <c r="M2273" s="2382">
        <v>1</v>
      </c>
      <c r="N2273" s="2382">
        <v>1</v>
      </c>
      <c r="O2273" s="2383">
        <v>2</v>
      </c>
    </row>
    <row r="2274" spans="3:15">
      <c r="C2274" s="2388" t="s">
        <v>6772</v>
      </c>
      <c r="D2274" s="2385">
        <v>1</v>
      </c>
      <c r="E2274" s="2385">
        <v>0</v>
      </c>
      <c r="F2274" s="2386">
        <v>1</v>
      </c>
      <c r="G2274" s="2412" t="s">
        <v>6772</v>
      </c>
      <c r="H2274" s="2383">
        <v>0</v>
      </c>
      <c r="I2274" s="2383">
        <v>1</v>
      </c>
      <c r="J2274" s="2413">
        <v>1</v>
      </c>
      <c r="K2274" s="2387"/>
      <c r="L2274" s="2381">
        <v>13311950203</v>
      </c>
      <c r="M2274" s="2382">
        <v>1</v>
      </c>
      <c r="N2274" s="2382">
        <v>1</v>
      </c>
      <c r="O2274" s="2383">
        <v>1</v>
      </c>
    </row>
    <row r="2275" spans="3:15">
      <c r="C2275" s="2388" t="s">
        <v>6773</v>
      </c>
      <c r="D2275" s="2385">
        <v>0</v>
      </c>
      <c r="E2275" s="2385">
        <v>1</v>
      </c>
      <c r="F2275" s="2386">
        <v>1</v>
      </c>
      <c r="G2275" s="2412" t="s">
        <v>6773</v>
      </c>
      <c r="H2275" s="2383">
        <v>0</v>
      </c>
      <c r="I2275" s="2383">
        <v>1</v>
      </c>
      <c r="J2275" s="2413">
        <v>1</v>
      </c>
      <c r="K2275" s="2387"/>
      <c r="L2275" s="2381">
        <v>13311950300</v>
      </c>
      <c r="M2275" s="2382">
        <v>0</v>
      </c>
      <c r="N2275" s="2382">
        <v>1</v>
      </c>
      <c r="O2275" s="2383">
        <v>1</v>
      </c>
    </row>
    <row r="2276" spans="3:15">
      <c r="C2276" s="2388" t="s">
        <v>6774</v>
      </c>
      <c r="D2276" s="2385">
        <v>0</v>
      </c>
      <c r="E2276" s="2385">
        <v>0</v>
      </c>
      <c r="F2276" s="2386">
        <v>0</v>
      </c>
      <c r="G2276" s="2412" t="s">
        <v>6774</v>
      </c>
      <c r="H2276" s="2383">
        <v>0</v>
      </c>
      <c r="I2276" s="2383">
        <v>1</v>
      </c>
      <c r="J2276" s="2413">
        <v>1</v>
      </c>
      <c r="K2276" s="2387"/>
      <c r="L2276" s="2381">
        <v>13313000101</v>
      </c>
      <c r="M2276" s="2382">
        <v>0</v>
      </c>
      <c r="N2276" s="2382">
        <v>1</v>
      </c>
      <c r="O2276" s="2383">
        <v>1</v>
      </c>
    </row>
    <row r="2277" spans="3:15">
      <c r="C2277" s="2388" t="s">
        <v>6775</v>
      </c>
      <c r="D2277" s="2385">
        <v>0</v>
      </c>
      <c r="E2277" s="2385">
        <v>1</v>
      </c>
      <c r="F2277" s="2386">
        <v>1</v>
      </c>
      <c r="G2277" s="2412" t="s">
        <v>6775</v>
      </c>
      <c r="H2277" s="2383">
        <v>0</v>
      </c>
      <c r="I2277" s="2383">
        <v>0</v>
      </c>
      <c r="J2277" s="2413">
        <v>0</v>
      </c>
      <c r="K2277" s="2387"/>
      <c r="L2277" s="2381">
        <v>13313000102</v>
      </c>
      <c r="M2277" s="2382">
        <v>0</v>
      </c>
      <c r="N2277" s="2382">
        <v>1</v>
      </c>
      <c r="O2277" s="2383">
        <v>1</v>
      </c>
    </row>
    <row r="2278" spans="3:15">
      <c r="C2278" s="2388" t="s">
        <v>6776</v>
      </c>
      <c r="D2278" s="2385">
        <v>0</v>
      </c>
      <c r="E2278" s="2385">
        <v>1</v>
      </c>
      <c r="F2278" s="2386">
        <v>1</v>
      </c>
      <c r="G2278" s="2412" t="s">
        <v>6776</v>
      </c>
      <c r="H2278" s="2383">
        <v>0</v>
      </c>
      <c r="I2278" s="2383">
        <v>1</v>
      </c>
      <c r="J2278" s="2413">
        <v>1</v>
      </c>
      <c r="K2278" s="2387"/>
      <c r="L2278" s="2381">
        <v>13313000200</v>
      </c>
      <c r="M2278" s="2382">
        <v>0</v>
      </c>
      <c r="N2278" s="2382">
        <v>1</v>
      </c>
      <c r="O2278" s="2383">
        <v>1</v>
      </c>
    </row>
    <row r="2279" spans="3:15">
      <c r="C2279" s="2388" t="s">
        <v>6777</v>
      </c>
      <c r="D2279" s="2385">
        <v>0</v>
      </c>
      <c r="E2279" s="2385">
        <v>0</v>
      </c>
      <c r="F2279" s="2386">
        <v>0</v>
      </c>
      <c r="G2279" s="2412" t="s">
        <v>6777</v>
      </c>
      <c r="H2279" s="2383">
        <v>0</v>
      </c>
      <c r="I2279" s="2383">
        <v>0</v>
      </c>
      <c r="J2279" s="2413">
        <v>0</v>
      </c>
      <c r="K2279" s="2387"/>
      <c r="L2279" s="2381">
        <v>13313000301</v>
      </c>
      <c r="M2279" s="2382">
        <v>0</v>
      </c>
      <c r="N2279" s="2382">
        <v>0</v>
      </c>
      <c r="O2279" s="2383">
        <v>0</v>
      </c>
    </row>
    <row r="2280" spans="3:15">
      <c r="C2280" s="2388" t="s">
        <v>6778</v>
      </c>
      <c r="D2280" s="2385">
        <v>0</v>
      </c>
      <c r="E2280" s="2385">
        <v>1</v>
      </c>
      <c r="F2280" s="2386">
        <v>1</v>
      </c>
      <c r="G2280" s="2412" t="s">
        <v>6778</v>
      </c>
      <c r="H2280" s="2383">
        <v>1</v>
      </c>
      <c r="I2280" s="2383">
        <v>1</v>
      </c>
      <c r="J2280" s="2413">
        <v>2</v>
      </c>
      <c r="K2280" s="2387"/>
      <c r="L2280" s="2381">
        <v>13313000302</v>
      </c>
      <c r="M2280" s="2382">
        <v>1</v>
      </c>
      <c r="N2280" s="2382">
        <v>1</v>
      </c>
      <c r="O2280" s="2383">
        <v>2</v>
      </c>
    </row>
    <row r="2281" spans="3:15">
      <c r="C2281" s="2388" t="s">
        <v>6779</v>
      </c>
      <c r="D2281" s="2385">
        <v>0</v>
      </c>
      <c r="E2281" s="2385">
        <v>0</v>
      </c>
      <c r="F2281" s="2386">
        <v>0</v>
      </c>
      <c r="G2281" s="2412" t="s">
        <v>6779</v>
      </c>
      <c r="H2281" s="2383">
        <v>0</v>
      </c>
      <c r="I2281" s="2383">
        <v>0</v>
      </c>
      <c r="J2281" s="2413">
        <v>0</v>
      </c>
      <c r="K2281" s="2387"/>
      <c r="L2281" s="2381">
        <v>13313000400</v>
      </c>
      <c r="M2281" s="2382">
        <v>0</v>
      </c>
      <c r="N2281" s="2382">
        <v>0</v>
      </c>
      <c r="O2281" s="2383">
        <v>0</v>
      </c>
    </row>
    <row r="2282" spans="3:15">
      <c r="C2282" s="2388" t="s">
        <v>6780</v>
      </c>
      <c r="D2282" s="2385">
        <v>1</v>
      </c>
      <c r="E2282" s="2385">
        <v>0</v>
      </c>
      <c r="F2282" s="2386">
        <v>1</v>
      </c>
      <c r="G2282" s="2412" t="s">
        <v>6780</v>
      </c>
      <c r="H2282" s="2383">
        <v>1</v>
      </c>
      <c r="I2282" s="2383">
        <v>1</v>
      </c>
      <c r="J2282" s="2413">
        <v>2</v>
      </c>
      <c r="K2282" s="2387"/>
      <c r="L2282" s="2381">
        <v>13313000501</v>
      </c>
      <c r="M2282" s="2382">
        <v>1</v>
      </c>
      <c r="N2282" s="2382">
        <v>1</v>
      </c>
      <c r="O2282" s="2383">
        <v>2</v>
      </c>
    </row>
    <row r="2283" spans="3:15">
      <c r="C2283" s="2388" t="s">
        <v>6781</v>
      </c>
      <c r="D2283" s="2385">
        <v>0</v>
      </c>
      <c r="E2283" s="2385">
        <v>0</v>
      </c>
      <c r="F2283" s="2386">
        <v>0</v>
      </c>
      <c r="G2283" s="2412" t="s">
        <v>6781</v>
      </c>
      <c r="H2283" s="2383">
        <v>0</v>
      </c>
      <c r="I2283" s="2383">
        <v>0</v>
      </c>
      <c r="J2283" s="2413">
        <v>0</v>
      </c>
      <c r="K2283" s="2387"/>
      <c r="L2283" s="2381">
        <v>13313000502</v>
      </c>
      <c r="M2283" s="2382">
        <v>0</v>
      </c>
      <c r="N2283" s="2382">
        <v>0</v>
      </c>
      <c r="O2283" s="2383">
        <v>0</v>
      </c>
    </row>
    <row r="2284" spans="3:15">
      <c r="C2284" s="2388" t="s">
        <v>6782</v>
      </c>
      <c r="D2284" s="2385">
        <v>0</v>
      </c>
      <c r="E2284" s="2385">
        <v>1</v>
      </c>
      <c r="F2284" s="2386">
        <v>1</v>
      </c>
      <c r="G2284" s="2412" t="s">
        <v>6782</v>
      </c>
      <c r="H2284" s="2383">
        <v>0</v>
      </c>
      <c r="I2284" s="2383">
        <v>0</v>
      </c>
      <c r="J2284" s="2413">
        <v>0</v>
      </c>
      <c r="K2284" s="2387"/>
      <c r="L2284" s="2381">
        <v>13313000600</v>
      </c>
      <c r="M2284" s="2382">
        <v>0</v>
      </c>
      <c r="N2284" s="2382">
        <v>1</v>
      </c>
      <c r="O2284" s="2383">
        <v>1</v>
      </c>
    </row>
    <row r="2285" spans="3:15">
      <c r="C2285" s="2388" t="s">
        <v>6783</v>
      </c>
      <c r="D2285" s="2385">
        <v>0</v>
      </c>
      <c r="E2285" s="2385">
        <v>1</v>
      </c>
      <c r="F2285" s="2386">
        <v>1</v>
      </c>
      <c r="G2285" s="2412" t="s">
        <v>6783</v>
      </c>
      <c r="H2285" s="2383">
        <v>0</v>
      </c>
      <c r="I2285" s="2383">
        <v>1</v>
      </c>
      <c r="J2285" s="2413">
        <v>1</v>
      </c>
      <c r="K2285" s="2387"/>
      <c r="L2285" s="2381">
        <v>13313000700</v>
      </c>
      <c r="M2285" s="2382">
        <v>0</v>
      </c>
      <c r="N2285" s="2382">
        <v>1</v>
      </c>
      <c r="O2285" s="2383">
        <v>1</v>
      </c>
    </row>
    <row r="2286" spans="3:15">
      <c r="C2286" s="2388" t="s">
        <v>6784</v>
      </c>
      <c r="D2286" s="2385">
        <v>1</v>
      </c>
      <c r="E2286" s="2385">
        <v>0</v>
      </c>
      <c r="F2286" s="2386">
        <v>1</v>
      </c>
      <c r="G2286" s="2412" t="s">
        <v>6784</v>
      </c>
      <c r="H2286" s="2383">
        <v>1</v>
      </c>
      <c r="I2286" s="2383">
        <v>0</v>
      </c>
      <c r="J2286" s="2413">
        <v>1</v>
      </c>
      <c r="K2286" s="2387"/>
      <c r="L2286" s="2381">
        <v>13313000800</v>
      </c>
      <c r="M2286" s="2382">
        <v>1</v>
      </c>
      <c r="N2286" s="2382">
        <v>0</v>
      </c>
      <c r="O2286" s="2383">
        <v>1</v>
      </c>
    </row>
    <row r="2287" spans="3:15">
      <c r="C2287" s="2388" t="s">
        <v>6785</v>
      </c>
      <c r="D2287" s="2385">
        <v>1</v>
      </c>
      <c r="E2287" s="2385">
        <v>1</v>
      </c>
      <c r="F2287" s="2386">
        <v>2</v>
      </c>
      <c r="G2287" s="2412" t="s">
        <v>6785</v>
      </c>
      <c r="H2287" s="2383">
        <v>1</v>
      </c>
      <c r="I2287" s="2383">
        <v>1</v>
      </c>
      <c r="J2287" s="2413">
        <v>2</v>
      </c>
      <c r="K2287" s="2387"/>
      <c r="L2287" s="2381">
        <v>13313000900</v>
      </c>
      <c r="M2287" s="2382">
        <v>1</v>
      </c>
      <c r="N2287" s="2382">
        <v>1</v>
      </c>
      <c r="O2287" s="2383">
        <v>2</v>
      </c>
    </row>
    <row r="2288" spans="3:15">
      <c r="C2288" s="2388" t="s">
        <v>6786</v>
      </c>
      <c r="D2288" s="2385">
        <v>0</v>
      </c>
      <c r="E2288" s="2385">
        <v>0</v>
      </c>
      <c r="F2288" s="2386">
        <v>0</v>
      </c>
      <c r="G2288" s="2412" t="s">
        <v>6786</v>
      </c>
      <c r="H2288" s="2383">
        <v>1</v>
      </c>
      <c r="I2288" s="2383">
        <v>0</v>
      </c>
      <c r="J2288" s="2413">
        <v>0</v>
      </c>
      <c r="K2288" s="2387"/>
      <c r="L2288" s="2381">
        <v>13313001000</v>
      </c>
      <c r="M2288" s="2382">
        <v>1</v>
      </c>
      <c r="N2288" s="2382">
        <v>0</v>
      </c>
      <c r="O2288" s="2383">
        <v>0</v>
      </c>
    </row>
    <row r="2289" spans="3:15">
      <c r="C2289" s="2388" t="s">
        <v>6787</v>
      </c>
      <c r="D2289" s="2385">
        <v>0</v>
      </c>
      <c r="E2289" s="2385">
        <v>0</v>
      </c>
      <c r="F2289" s="2386">
        <v>0</v>
      </c>
      <c r="G2289" s="2412" t="s">
        <v>6787</v>
      </c>
      <c r="H2289" s="2383">
        <v>0</v>
      </c>
      <c r="I2289" s="2383">
        <v>0</v>
      </c>
      <c r="J2289" s="2413">
        <v>0</v>
      </c>
      <c r="K2289" s="2387"/>
      <c r="L2289" s="2381">
        <v>13313001100</v>
      </c>
      <c r="M2289" s="2382">
        <v>0</v>
      </c>
      <c r="N2289" s="2382">
        <v>0</v>
      </c>
      <c r="O2289" s="2383">
        <v>0</v>
      </c>
    </row>
    <row r="2290" spans="3:15">
      <c r="C2290" s="2388" t="s">
        <v>6788</v>
      </c>
      <c r="D2290" s="2385">
        <v>0</v>
      </c>
      <c r="E2290" s="2385">
        <v>0</v>
      </c>
      <c r="F2290" s="2386">
        <v>0</v>
      </c>
      <c r="G2290" s="2412" t="s">
        <v>6788</v>
      </c>
      <c r="H2290" s="2383">
        <v>0</v>
      </c>
      <c r="I2290" s="2383">
        <v>0</v>
      </c>
      <c r="J2290" s="2413">
        <v>0</v>
      </c>
      <c r="K2290" s="2387"/>
      <c r="L2290" s="2381">
        <v>13313001200</v>
      </c>
      <c r="M2290" s="2382">
        <v>0</v>
      </c>
      <c r="N2290" s="2382">
        <v>0</v>
      </c>
      <c r="O2290" s="2383">
        <v>0</v>
      </c>
    </row>
    <row r="2291" spans="3:15">
      <c r="C2291" s="2388" t="s">
        <v>6789</v>
      </c>
      <c r="D2291" s="2385">
        <v>0</v>
      </c>
      <c r="E2291" s="2385">
        <v>0</v>
      </c>
      <c r="F2291" s="2386">
        <v>0</v>
      </c>
      <c r="G2291" s="2412" t="s">
        <v>6789</v>
      </c>
      <c r="H2291" s="2383">
        <v>0</v>
      </c>
      <c r="I2291" s="2383">
        <v>0</v>
      </c>
      <c r="J2291" s="2413">
        <v>0</v>
      </c>
      <c r="K2291" s="2387"/>
      <c r="L2291" s="2381">
        <v>13313001300</v>
      </c>
      <c r="M2291" s="2382">
        <v>0</v>
      </c>
      <c r="N2291" s="2382">
        <v>0</v>
      </c>
      <c r="O2291" s="2383">
        <v>0</v>
      </c>
    </row>
    <row r="2292" spans="3:15">
      <c r="C2292" s="2388" t="s">
        <v>6790</v>
      </c>
      <c r="D2292" s="2385">
        <v>0</v>
      </c>
      <c r="E2292" s="2385">
        <v>0</v>
      </c>
      <c r="F2292" s="2386">
        <v>0</v>
      </c>
      <c r="G2292" s="2412" t="s">
        <v>6790</v>
      </c>
      <c r="H2292" s="2383">
        <v>0</v>
      </c>
      <c r="I2292" s="2383">
        <v>0</v>
      </c>
      <c r="J2292" s="2413">
        <v>0</v>
      </c>
      <c r="K2292" s="2387"/>
      <c r="L2292" s="2381">
        <v>13313001400</v>
      </c>
      <c r="M2292" s="2382">
        <v>0</v>
      </c>
      <c r="N2292" s="2382">
        <v>0</v>
      </c>
      <c r="O2292" s="2383">
        <v>0</v>
      </c>
    </row>
    <row r="2293" spans="3:15">
      <c r="C2293" s="2388" t="s">
        <v>6791</v>
      </c>
      <c r="D2293" s="2385">
        <v>1</v>
      </c>
      <c r="E2293" s="2385">
        <v>0</v>
      </c>
      <c r="F2293" s="2386">
        <v>1</v>
      </c>
      <c r="G2293" s="2412" t="s">
        <v>6791</v>
      </c>
      <c r="H2293" s="2383">
        <v>0</v>
      </c>
      <c r="I2293" s="2383">
        <v>0</v>
      </c>
      <c r="J2293" s="2413">
        <v>0</v>
      </c>
      <c r="K2293" s="2387"/>
      <c r="L2293" s="2381">
        <v>13313001500</v>
      </c>
      <c r="M2293" s="2382">
        <v>1</v>
      </c>
      <c r="N2293" s="2382">
        <v>0</v>
      </c>
      <c r="O2293" s="2383">
        <v>1</v>
      </c>
    </row>
    <row r="2294" spans="3:15">
      <c r="C2294" s="2388" t="s">
        <v>6792</v>
      </c>
      <c r="D2294" s="2385">
        <v>0</v>
      </c>
      <c r="E2294" s="2385">
        <v>0</v>
      </c>
      <c r="F2294" s="2386">
        <v>0</v>
      </c>
      <c r="G2294" s="2412" t="s">
        <v>6792</v>
      </c>
      <c r="H2294" s="2383">
        <v>0</v>
      </c>
      <c r="I2294" s="2383">
        <v>0</v>
      </c>
      <c r="J2294" s="2413">
        <v>0</v>
      </c>
      <c r="K2294" s="2387"/>
      <c r="L2294" s="2381">
        <v>13315960100</v>
      </c>
      <c r="M2294" s="2382">
        <v>0</v>
      </c>
      <c r="N2294" s="2382">
        <v>0</v>
      </c>
      <c r="O2294" s="2383">
        <v>0</v>
      </c>
    </row>
    <row r="2295" spans="3:15">
      <c r="C2295" s="2388" t="s">
        <v>6793</v>
      </c>
      <c r="D2295" s="2385">
        <v>0</v>
      </c>
      <c r="E2295" s="2385">
        <v>0</v>
      </c>
      <c r="F2295" s="2386">
        <v>0</v>
      </c>
      <c r="G2295" s="2412" t="s">
        <v>6793</v>
      </c>
      <c r="H2295" s="2383">
        <v>0</v>
      </c>
      <c r="I2295" s="2383">
        <v>0</v>
      </c>
      <c r="J2295" s="2413">
        <v>0</v>
      </c>
      <c r="K2295" s="2387"/>
      <c r="L2295" s="2381">
        <v>13315960200</v>
      </c>
      <c r="M2295" s="2382">
        <v>0</v>
      </c>
      <c r="N2295" s="2382">
        <v>0</v>
      </c>
      <c r="O2295" s="2383">
        <v>0</v>
      </c>
    </row>
    <row r="2296" spans="3:15">
      <c r="C2296" s="2388" t="s">
        <v>6794</v>
      </c>
      <c r="D2296" s="2385">
        <v>0</v>
      </c>
      <c r="E2296" s="2385">
        <v>0</v>
      </c>
      <c r="F2296" s="2386">
        <v>0</v>
      </c>
      <c r="G2296" s="2412" t="s">
        <v>6794</v>
      </c>
      <c r="H2296" s="2383">
        <v>0</v>
      </c>
      <c r="I2296" s="2383">
        <v>0</v>
      </c>
      <c r="J2296" s="2413">
        <v>0</v>
      </c>
      <c r="K2296" s="2387"/>
      <c r="L2296" s="2381">
        <v>13315960300</v>
      </c>
      <c r="M2296" s="2382">
        <v>0</v>
      </c>
      <c r="N2296" s="2382">
        <v>0</v>
      </c>
      <c r="O2296" s="2383">
        <v>0</v>
      </c>
    </row>
    <row r="2297" spans="3:15">
      <c r="C2297" s="2388" t="s">
        <v>6795</v>
      </c>
      <c r="D2297" s="2385">
        <v>0</v>
      </c>
      <c r="E2297" s="2385">
        <v>0</v>
      </c>
      <c r="F2297" s="2386">
        <v>0</v>
      </c>
      <c r="G2297" s="2412" t="s">
        <v>6795</v>
      </c>
      <c r="H2297" s="2383">
        <v>0</v>
      </c>
      <c r="I2297" s="2383">
        <v>0</v>
      </c>
      <c r="J2297" s="2413">
        <v>0</v>
      </c>
      <c r="K2297" s="2387"/>
      <c r="L2297" s="2381">
        <v>13315960400</v>
      </c>
      <c r="M2297" s="2382">
        <v>0</v>
      </c>
      <c r="N2297" s="2382">
        <v>0</v>
      </c>
      <c r="O2297" s="2383">
        <v>0</v>
      </c>
    </row>
    <row r="2298" spans="3:15">
      <c r="C2298" s="2388" t="s">
        <v>6796</v>
      </c>
      <c r="D2298" s="2385">
        <v>0</v>
      </c>
      <c r="E2298" s="2385">
        <v>0</v>
      </c>
      <c r="F2298" s="2386">
        <v>0</v>
      </c>
      <c r="G2298" s="2412" t="s">
        <v>6796</v>
      </c>
      <c r="H2298" s="2383">
        <v>0</v>
      </c>
      <c r="I2298" s="2383">
        <v>1</v>
      </c>
      <c r="J2298" s="2413">
        <v>1</v>
      </c>
      <c r="K2298" s="2387"/>
      <c r="L2298" s="2381">
        <v>13317010101</v>
      </c>
      <c r="M2298" s="2382">
        <v>0</v>
      </c>
      <c r="N2298" s="2382">
        <v>1</v>
      </c>
      <c r="O2298" s="2383">
        <v>1</v>
      </c>
    </row>
    <row r="2299" spans="3:15">
      <c r="C2299" s="2388" t="s">
        <v>6797</v>
      </c>
      <c r="D2299" s="2385">
        <v>0</v>
      </c>
      <c r="E2299" s="2385">
        <v>0</v>
      </c>
      <c r="F2299" s="2386">
        <v>0</v>
      </c>
      <c r="G2299" s="2412" t="s">
        <v>6797</v>
      </c>
      <c r="H2299" s="2383">
        <v>0</v>
      </c>
      <c r="I2299" s="2383">
        <v>0</v>
      </c>
      <c r="J2299" s="2413">
        <v>0</v>
      </c>
      <c r="K2299" s="2387"/>
      <c r="L2299" s="2381">
        <v>13317010102</v>
      </c>
      <c r="M2299" s="2382">
        <v>0</v>
      </c>
      <c r="N2299" s="2382">
        <v>0</v>
      </c>
      <c r="O2299" s="2383">
        <v>0</v>
      </c>
    </row>
    <row r="2300" spans="3:15">
      <c r="C2300" s="2388" t="s">
        <v>6798</v>
      </c>
      <c r="D2300" s="2385">
        <v>1</v>
      </c>
      <c r="E2300" s="2385">
        <v>0</v>
      </c>
      <c r="F2300" s="2386">
        <v>1</v>
      </c>
      <c r="G2300" s="2412" t="s">
        <v>6798</v>
      </c>
      <c r="H2300" s="2383">
        <v>0</v>
      </c>
      <c r="I2300" s="2383">
        <v>0</v>
      </c>
      <c r="J2300" s="2413">
        <v>0</v>
      </c>
      <c r="K2300" s="2387"/>
      <c r="L2300" s="2381">
        <v>13317010301</v>
      </c>
      <c r="M2300" s="2382">
        <v>1</v>
      </c>
      <c r="N2300" s="2382">
        <v>0</v>
      </c>
      <c r="O2300" s="2383">
        <v>1</v>
      </c>
    </row>
    <row r="2301" spans="3:15">
      <c r="C2301" s="2388" t="s">
        <v>6799</v>
      </c>
      <c r="D2301" s="2385">
        <v>0</v>
      </c>
      <c r="E2301" s="2385">
        <v>0</v>
      </c>
      <c r="F2301" s="2386">
        <v>0</v>
      </c>
      <c r="G2301" s="2412" t="s">
        <v>6799</v>
      </c>
      <c r="H2301" s="2383">
        <v>0</v>
      </c>
      <c r="I2301" s="2383">
        <v>0</v>
      </c>
      <c r="J2301" s="2413">
        <v>0</v>
      </c>
      <c r="K2301" s="2387"/>
      <c r="L2301" s="2381">
        <v>13317010302</v>
      </c>
      <c r="M2301" s="2382">
        <v>0</v>
      </c>
      <c r="N2301" s="2382">
        <v>0</v>
      </c>
      <c r="O2301" s="2383">
        <v>0</v>
      </c>
    </row>
    <row r="2302" spans="3:15">
      <c r="C2302" s="2388" t="s">
        <v>6800</v>
      </c>
      <c r="D2302" s="2385">
        <v>0</v>
      </c>
      <c r="E2302" s="2385">
        <v>0</v>
      </c>
      <c r="F2302" s="2386">
        <v>0</v>
      </c>
      <c r="G2302" s="2412" t="s">
        <v>6800</v>
      </c>
      <c r="H2302" s="2383">
        <v>0</v>
      </c>
      <c r="I2302" s="2383">
        <v>0</v>
      </c>
      <c r="J2302" s="2413">
        <v>0</v>
      </c>
      <c r="K2302" s="2387"/>
      <c r="L2302" s="2381">
        <v>13319960200</v>
      </c>
      <c r="M2302" s="2382">
        <v>0</v>
      </c>
      <c r="N2302" s="2382">
        <v>0</v>
      </c>
      <c r="O2302" s="2383">
        <v>0</v>
      </c>
    </row>
    <row r="2303" spans="3:15">
      <c r="C2303" s="2388" t="s">
        <v>6801</v>
      </c>
      <c r="D2303" s="2385">
        <v>0</v>
      </c>
      <c r="E2303" s="2385">
        <v>0</v>
      </c>
      <c r="F2303" s="2386">
        <v>0</v>
      </c>
      <c r="G2303" s="2412" t="s">
        <v>6801</v>
      </c>
      <c r="H2303" s="2383">
        <v>0</v>
      </c>
      <c r="I2303" s="2383">
        <v>1</v>
      </c>
      <c r="J2303" s="2413">
        <v>1</v>
      </c>
      <c r="K2303" s="2387"/>
      <c r="L2303" s="2381">
        <v>13319960300</v>
      </c>
      <c r="M2303" s="2382">
        <v>0</v>
      </c>
      <c r="N2303" s="2382">
        <v>1</v>
      </c>
      <c r="O2303" s="2383">
        <v>1</v>
      </c>
    </row>
    <row r="2304" spans="3:15">
      <c r="C2304" s="2388" t="s">
        <v>6802</v>
      </c>
      <c r="D2304" s="2385">
        <v>0</v>
      </c>
      <c r="E2304" s="2385">
        <v>0</v>
      </c>
      <c r="F2304" s="2386">
        <v>0</v>
      </c>
      <c r="G2304" s="2412" t="s">
        <v>6802</v>
      </c>
      <c r="H2304" s="2383">
        <v>0</v>
      </c>
      <c r="I2304" s="2383">
        <v>0</v>
      </c>
      <c r="J2304" s="2413">
        <v>0</v>
      </c>
      <c r="K2304" s="2387"/>
      <c r="L2304" s="2381">
        <v>13319960400</v>
      </c>
      <c r="M2304" s="2382">
        <v>0</v>
      </c>
      <c r="N2304" s="2382">
        <v>0</v>
      </c>
      <c r="O2304" s="2383">
        <v>0</v>
      </c>
    </row>
    <row r="2305" spans="3:15">
      <c r="C2305" s="2388" t="s">
        <v>6803</v>
      </c>
      <c r="D2305" s="2385">
        <v>0</v>
      </c>
      <c r="E2305" s="2385">
        <v>0</v>
      </c>
      <c r="F2305" s="2386">
        <v>0</v>
      </c>
      <c r="G2305" s="2412" t="s">
        <v>6803</v>
      </c>
      <c r="H2305" s="2383">
        <v>0</v>
      </c>
      <c r="I2305" s="2383">
        <v>0</v>
      </c>
      <c r="J2305" s="2413">
        <v>0</v>
      </c>
      <c r="K2305" s="2387"/>
      <c r="L2305" s="2381">
        <v>13321950100</v>
      </c>
      <c r="M2305" s="2382">
        <v>0</v>
      </c>
      <c r="N2305" s="2382">
        <v>0</v>
      </c>
      <c r="O2305" s="2383">
        <v>0</v>
      </c>
    </row>
    <row r="2306" spans="3:15">
      <c r="C2306" s="2388" t="s">
        <v>6804</v>
      </c>
      <c r="D2306" s="2385">
        <v>0</v>
      </c>
      <c r="E2306" s="2385">
        <v>0</v>
      </c>
      <c r="F2306" s="2386">
        <v>0</v>
      </c>
      <c r="G2306" s="2412" t="s">
        <v>6804</v>
      </c>
      <c r="H2306" s="2383">
        <v>0</v>
      </c>
      <c r="I2306" s="2383">
        <v>0</v>
      </c>
      <c r="J2306" s="2413">
        <v>0</v>
      </c>
      <c r="K2306" s="2387"/>
      <c r="L2306" s="2381">
        <v>13321950200</v>
      </c>
      <c r="M2306" s="2382">
        <v>0</v>
      </c>
      <c r="N2306" s="2382">
        <v>0</v>
      </c>
      <c r="O2306" s="2383">
        <v>0</v>
      </c>
    </row>
    <row r="2307" spans="3:15">
      <c r="C2307" s="2388" t="s">
        <v>6805</v>
      </c>
      <c r="D2307" s="2385">
        <v>0</v>
      </c>
      <c r="E2307" s="2385">
        <v>0</v>
      </c>
      <c r="F2307" s="2386">
        <v>0</v>
      </c>
      <c r="G2307" s="2412" t="s">
        <v>6805</v>
      </c>
      <c r="H2307" s="2383">
        <v>0</v>
      </c>
      <c r="I2307" s="2383">
        <v>0</v>
      </c>
      <c r="J2307" s="2413">
        <v>0</v>
      </c>
      <c r="K2307" s="2387"/>
      <c r="L2307" s="2381">
        <v>13321950400</v>
      </c>
      <c r="M2307" s="2382">
        <v>0</v>
      </c>
      <c r="N2307" s="2382">
        <v>0</v>
      </c>
      <c r="O2307" s="2383">
        <v>0</v>
      </c>
    </row>
    <row r="2308" spans="3:15">
      <c r="C2308" s="2388" t="s">
        <v>6806</v>
      </c>
      <c r="D2308" s="2385">
        <v>0</v>
      </c>
      <c r="E2308" s="2385">
        <v>0</v>
      </c>
      <c r="F2308" s="2386">
        <v>0</v>
      </c>
      <c r="G2308" s="2412" t="s">
        <v>6806</v>
      </c>
      <c r="H2308" s="2383">
        <v>0</v>
      </c>
      <c r="I2308" s="2383">
        <v>0</v>
      </c>
      <c r="J2308" s="2413">
        <v>0</v>
      </c>
      <c r="K2308" s="2387"/>
      <c r="L2308" s="2381">
        <v>13321950500</v>
      </c>
      <c r="M2308" s="2382">
        <v>0</v>
      </c>
      <c r="N2308" s="2382">
        <v>0</v>
      </c>
      <c r="O2308" s="2383">
        <v>0</v>
      </c>
    </row>
    <row r="2309" spans="3:15">
      <c r="C2309" s="2389" t="s">
        <v>6807</v>
      </c>
      <c r="D2309" s="2390">
        <v>0</v>
      </c>
      <c r="E2309" s="2390">
        <v>0</v>
      </c>
      <c r="F2309" s="2391">
        <v>0</v>
      </c>
      <c r="G2309" s="2414" t="s">
        <v>6807</v>
      </c>
      <c r="H2309" s="2415">
        <v>1</v>
      </c>
      <c r="I2309" s="2415">
        <v>0</v>
      </c>
      <c r="J2309" s="2416">
        <v>1</v>
      </c>
      <c r="K2309" s="2387"/>
      <c r="L2309" s="2381">
        <v>13321950600</v>
      </c>
      <c r="M2309" s="2382">
        <v>1</v>
      </c>
      <c r="N2309" s="2382">
        <v>0</v>
      </c>
      <c r="O2309" s="2383">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activeCell="A154" sqref="A154:M154"/>
    </sheetView>
  </sheetViews>
  <sheetFormatPr defaultColWidth="9.109375" defaultRowHeight="13.8"/>
  <cols>
    <col min="1" max="1" width="2.88671875" style="344" customWidth="1"/>
    <col min="2" max="4" width="1.88671875" style="344" customWidth="1"/>
    <col min="5" max="5" width="14.88671875" style="344" customWidth="1"/>
    <col min="6" max="6" width="6.109375" style="344" customWidth="1"/>
    <col min="7" max="7" width="2.88671875" style="344" customWidth="1"/>
    <col min="8" max="8" width="8" style="344" customWidth="1"/>
    <col min="9" max="9" width="6.109375" style="344" customWidth="1"/>
    <col min="10" max="10" width="8.109375" style="344" customWidth="1"/>
    <col min="11" max="11" width="9.88671875" style="344" customWidth="1"/>
    <col min="12" max="13" width="8.88671875" style="344" customWidth="1"/>
    <col min="14" max="14" width="9.44140625" style="344" customWidth="1"/>
    <col min="15" max="15" width="9.88671875" style="344" customWidth="1"/>
    <col min="16" max="19" width="6.109375" style="344" customWidth="1"/>
    <col min="20" max="24" width="11.5546875" style="344" customWidth="1"/>
    <col min="25" max="16384" width="9.109375" style="344"/>
  </cols>
  <sheetData>
    <row r="1" spans="1:27" s="323" customFormat="1" ht="14.1" customHeight="1">
      <c r="A1" s="3148" t="str">
        <f>CONCATENATE("PART TWO - DEVELOPMENT TEAM INFORMATION","  -  ",'Part I-Project Information'!$O$6," ",'Part I-Project Information'!$F$34,", ",'Part I-Project Information'!F38,", ",'Part I-Project Information'!J39," County")</f>
        <v>PART TWO - DEVELOPMENT TEAM INFORMATION  -  2020-5 Lakeview Terrace, Augusta, Richmond County</v>
      </c>
      <c r="B1" s="3149"/>
      <c r="C1" s="3149"/>
      <c r="D1" s="3149"/>
      <c r="E1" s="3149"/>
      <c r="F1" s="3149"/>
      <c r="G1" s="3149"/>
      <c r="H1" s="3149"/>
      <c r="I1" s="3149"/>
      <c r="J1" s="3149"/>
      <c r="K1" s="3149"/>
      <c r="L1" s="3149"/>
      <c r="M1" s="3149"/>
      <c r="N1" s="3149"/>
      <c r="O1" s="3149"/>
      <c r="P1" s="3149"/>
      <c r="Q1" s="3149"/>
      <c r="R1" s="3149"/>
      <c r="S1" s="3150"/>
    </row>
    <row r="2" spans="1:27" ht="12" customHeight="1" thickBot="1">
      <c r="A2" s="1073" t="s">
        <v>4101</v>
      </c>
      <c r="B2" s="1075"/>
      <c r="C2" s="1075"/>
      <c r="D2" s="1075"/>
      <c r="E2" s="1075"/>
      <c r="F2" s="1075"/>
      <c r="G2" s="1075"/>
      <c r="H2" s="1075"/>
      <c r="I2" s="1075"/>
      <c r="J2" s="1075"/>
      <c r="K2" s="1075"/>
      <c r="L2" s="1075"/>
      <c r="M2" s="1075"/>
      <c r="N2" s="1075"/>
      <c r="O2" s="1075"/>
      <c r="P2" s="1075"/>
      <c r="Q2" s="1075"/>
      <c r="R2" s="1075"/>
      <c r="S2" s="1075"/>
    </row>
    <row r="3" spans="1:27" s="323" customFormat="1" ht="13.35" customHeight="1" thickBot="1">
      <c r="A3" s="325" t="s">
        <v>598</v>
      </c>
      <c r="B3" s="329" t="s">
        <v>1812</v>
      </c>
      <c r="C3" s="329"/>
      <c r="E3" s="329"/>
      <c r="F3" s="329"/>
      <c r="G3" s="329"/>
      <c r="H3" s="1511" t="s">
        <v>3900</v>
      </c>
      <c r="O3" s="3151" t="str">
        <f>'Part I-Project Information'!$B$6</f>
        <v>July 15, 2020 Version (4%)</v>
      </c>
      <c r="P3" s="3152"/>
      <c r="Q3" s="3152"/>
      <c r="R3" s="3152"/>
      <c r="S3" s="3153"/>
    </row>
    <row r="4" spans="1:27" s="323" customFormat="1" ht="8.4" customHeight="1">
      <c r="A4" s="325"/>
      <c r="B4" s="325"/>
      <c r="C4" s="325"/>
      <c r="D4" s="329"/>
      <c r="E4" s="329"/>
      <c r="F4" s="329"/>
      <c r="G4" s="329"/>
      <c r="H4" s="329"/>
      <c r="I4" s="329"/>
      <c r="J4" s="329"/>
    </row>
    <row r="5" spans="1:27" s="323" customFormat="1" ht="11.25" customHeight="1">
      <c r="B5" s="325" t="s">
        <v>1936</v>
      </c>
      <c r="C5" s="329" t="s">
        <v>1808</v>
      </c>
      <c r="H5" s="3060" t="s">
        <v>7048</v>
      </c>
      <c r="I5" s="3135"/>
      <c r="J5" s="3135"/>
      <c r="K5" s="3135"/>
      <c r="L5" s="3135"/>
      <c r="M5" s="3135"/>
      <c r="N5" s="3136"/>
      <c r="O5" s="369" t="s">
        <v>1942</v>
      </c>
      <c r="P5" s="369"/>
      <c r="Q5" s="3060" t="s">
        <v>7017</v>
      </c>
      <c r="R5" s="3135"/>
      <c r="S5" s="3136"/>
      <c r="Y5" s="1230"/>
      <c r="Z5" s="1231"/>
      <c r="AA5" s="1226"/>
    </row>
    <row r="6" spans="1:27" s="323" customFormat="1" ht="11.25" customHeight="1">
      <c r="D6" s="370"/>
      <c r="E6" s="328" t="s">
        <v>999</v>
      </c>
      <c r="F6" s="337"/>
      <c r="H6" s="2967" t="s">
        <v>7014</v>
      </c>
      <c r="I6" s="3143"/>
      <c r="J6" s="3143"/>
      <c r="K6" s="3144"/>
      <c r="L6" s="3143"/>
      <c r="M6" s="3143"/>
      <c r="N6" s="3145"/>
      <c r="O6" s="369" t="s">
        <v>1704</v>
      </c>
      <c r="P6" s="371"/>
      <c r="Q6" s="2900" t="s">
        <v>7018</v>
      </c>
      <c r="R6" s="2946"/>
      <c r="S6" s="2947"/>
      <c r="V6" s="1230"/>
      <c r="W6" s="1230"/>
      <c r="X6" s="1230"/>
      <c r="Y6" s="1230"/>
      <c r="Z6" s="1231"/>
      <c r="AA6" s="1226"/>
    </row>
    <row r="7" spans="1:27" s="323" customFormat="1" ht="11.25" customHeight="1">
      <c r="D7" s="370"/>
      <c r="E7" s="328" t="s">
        <v>600</v>
      </c>
      <c r="H7" s="2967" t="s">
        <v>7015</v>
      </c>
      <c r="I7" s="3144"/>
      <c r="J7" s="2973"/>
      <c r="K7" s="471" t="s">
        <v>744</v>
      </c>
      <c r="L7" s="2936" t="s">
        <v>3103</v>
      </c>
      <c r="M7" s="3143"/>
      <c r="N7" s="3145"/>
      <c r="O7" s="369" t="s">
        <v>1679</v>
      </c>
      <c r="P7" s="371"/>
      <c r="Q7" s="2897">
        <v>4074614651</v>
      </c>
      <c r="R7" s="2898"/>
      <c r="S7" s="2899"/>
    </row>
    <row r="8" spans="1:27" s="323" customFormat="1" ht="11.25" customHeight="1">
      <c r="D8" s="370"/>
      <c r="E8" s="328" t="s">
        <v>1754</v>
      </c>
      <c r="H8" s="1524" t="s">
        <v>827</v>
      </c>
      <c r="I8" s="974" t="s">
        <v>2173</v>
      </c>
      <c r="J8" s="3154">
        <v>347870000</v>
      </c>
      <c r="K8" s="3155"/>
      <c r="L8" s="371" t="s">
        <v>3513</v>
      </c>
      <c r="M8" s="3156" t="s">
        <v>7049</v>
      </c>
      <c r="N8" s="3157"/>
      <c r="O8" s="369" t="s">
        <v>1932</v>
      </c>
      <c r="P8" s="371"/>
      <c r="Q8" s="2897">
        <v>4074614651</v>
      </c>
      <c r="R8" s="2898"/>
      <c r="S8" s="2899"/>
    </row>
    <row r="9" spans="1:27" s="323" customFormat="1" ht="11.25" customHeight="1">
      <c r="D9" s="370"/>
      <c r="E9" s="328" t="s">
        <v>3901</v>
      </c>
      <c r="H9" s="3133">
        <v>4076142414</v>
      </c>
      <c r="I9" s="3134"/>
      <c r="J9" s="354"/>
      <c r="K9" s="372" t="s">
        <v>1937</v>
      </c>
      <c r="L9" s="2894" t="s">
        <v>7016</v>
      </c>
      <c r="M9" s="2895"/>
      <c r="N9" s="3029"/>
      <c r="O9" s="3029"/>
      <c r="P9" s="3029"/>
      <c r="Q9" s="2895"/>
      <c r="R9" s="2895"/>
      <c r="S9" s="2896"/>
    </row>
    <row r="10" spans="1:27" s="323" customFormat="1" ht="11.25" customHeight="1">
      <c r="D10" s="370"/>
      <c r="E10" s="1511" t="s">
        <v>3900</v>
      </c>
      <c r="H10" s="373"/>
      <c r="I10" s="371"/>
      <c r="J10" s="371"/>
      <c r="K10" s="427"/>
      <c r="L10" s="371"/>
      <c r="M10" s="371"/>
      <c r="N10" s="472" t="s">
        <v>3435</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1938</v>
      </c>
      <c r="C12" s="329" t="s">
        <v>1809</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1939</v>
      </c>
      <c r="D13" s="368" t="s">
        <v>1940</v>
      </c>
      <c r="H13" s="377"/>
      <c r="I13" s="377"/>
      <c r="J13" s="377"/>
      <c r="K13" s="371"/>
      <c r="L13" s="371"/>
      <c r="M13" s="371"/>
      <c r="N13" s="473"/>
      <c r="O13" s="371"/>
      <c r="P13" s="371"/>
      <c r="Q13" s="371"/>
      <c r="R13" s="371"/>
      <c r="S13" s="371"/>
      <c r="W13" s="555"/>
      <c r="X13" s="555"/>
      <c r="Y13" s="555"/>
      <c r="Z13" s="555"/>
    </row>
    <row r="14" spans="1:27" s="323" customFormat="1" ht="11.25" customHeight="1">
      <c r="D14" s="325" t="s">
        <v>2066</v>
      </c>
      <c r="E14" s="323" t="s">
        <v>1810</v>
      </c>
      <c r="H14" s="3060" t="s">
        <v>7050</v>
      </c>
      <c r="I14" s="3135"/>
      <c r="J14" s="3135"/>
      <c r="K14" s="3135"/>
      <c r="L14" s="3135"/>
      <c r="M14" s="3135"/>
      <c r="N14" s="3136"/>
      <c r="O14" s="369" t="s">
        <v>1942</v>
      </c>
      <c r="P14" s="369"/>
      <c r="Q14" s="3060" t="s">
        <v>7022</v>
      </c>
      <c r="R14" s="3135"/>
      <c r="S14" s="3136"/>
    </row>
    <row r="15" spans="1:27" s="323" customFormat="1" ht="11.25" customHeight="1">
      <c r="D15" s="370"/>
      <c r="E15" s="328" t="s">
        <v>999</v>
      </c>
      <c r="F15" s="337"/>
      <c r="H15" s="2967" t="s">
        <v>7020</v>
      </c>
      <c r="I15" s="3143"/>
      <c r="J15" s="3143"/>
      <c r="K15" s="3144"/>
      <c r="L15" s="3143"/>
      <c r="M15" s="3143"/>
      <c r="N15" s="3145"/>
      <c r="O15" s="369" t="s">
        <v>1704</v>
      </c>
      <c r="P15" s="371"/>
      <c r="Q15" s="2900" t="s">
        <v>7051</v>
      </c>
      <c r="R15" s="2946"/>
      <c r="S15" s="2947"/>
    </row>
    <row r="16" spans="1:27" s="323" customFormat="1" ht="11.25" customHeight="1">
      <c r="D16" s="370"/>
      <c r="E16" s="328" t="s">
        <v>600</v>
      </c>
      <c r="H16" s="2967" t="s">
        <v>1124</v>
      </c>
      <c r="I16" s="3144"/>
      <c r="J16" s="2973"/>
      <c r="K16" s="564" t="s">
        <v>2625</v>
      </c>
      <c r="L16" s="2967" t="s">
        <v>2728</v>
      </c>
      <c r="M16" s="3143"/>
      <c r="N16" s="2973"/>
      <c r="O16" s="369" t="s">
        <v>1679</v>
      </c>
      <c r="P16" s="371"/>
      <c r="Q16" s="2897">
        <v>9042790131</v>
      </c>
      <c r="R16" s="2898"/>
      <c r="S16" s="2899"/>
    </row>
    <row r="17" spans="3:19" s="323" customFormat="1" ht="11.25" customHeight="1">
      <c r="D17" s="325"/>
      <c r="E17" s="328" t="s">
        <v>1754</v>
      </c>
      <c r="H17" s="1524" t="s">
        <v>827</v>
      </c>
      <c r="I17" s="371"/>
      <c r="J17" s="371"/>
      <c r="K17" s="974" t="s">
        <v>2173</v>
      </c>
      <c r="L17" s="3036">
        <v>322160927</v>
      </c>
      <c r="M17" s="3146"/>
      <c r="N17" s="371"/>
      <c r="O17" s="369" t="s">
        <v>1932</v>
      </c>
      <c r="P17" s="371"/>
      <c r="Q17" s="2897">
        <v>9046730639</v>
      </c>
      <c r="R17" s="2898"/>
      <c r="S17" s="2899"/>
    </row>
    <row r="18" spans="3:19" s="323" customFormat="1" ht="11.25" customHeight="1">
      <c r="D18" s="370"/>
      <c r="E18" s="328" t="s">
        <v>3901</v>
      </c>
      <c r="H18" s="3133">
        <v>9042790131</v>
      </c>
      <c r="I18" s="3134"/>
      <c r="J18" s="354"/>
      <c r="K18" s="372" t="s">
        <v>1937</v>
      </c>
      <c r="L18" s="2894" t="s">
        <v>7021</v>
      </c>
      <c r="M18" s="2895"/>
      <c r="N18" s="3029"/>
      <c r="O18" s="3029"/>
      <c r="P18" s="3029"/>
      <c r="Q18" s="2895"/>
      <c r="R18" s="2895"/>
      <c r="S18" s="2896"/>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2067</v>
      </c>
      <c r="E20" s="323" t="s">
        <v>1811</v>
      </c>
      <c r="F20" s="1198"/>
      <c r="H20" s="3060" t="s">
        <v>7052</v>
      </c>
      <c r="I20" s="3135"/>
      <c r="J20" s="3135"/>
      <c r="K20" s="3135"/>
      <c r="L20" s="3135"/>
      <c r="M20" s="3135"/>
      <c r="N20" s="3136"/>
      <c r="O20" s="369" t="s">
        <v>1942</v>
      </c>
      <c r="P20" s="369"/>
      <c r="Q20" s="3060" t="s">
        <v>7017</v>
      </c>
      <c r="R20" s="3135"/>
      <c r="S20" s="3136"/>
    </row>
    <row r="21" spans="3:19" s="323" customFormat="1" ht="11.25" customHeight="1">
      <c r="D21" s="370"/>
      <c r="E21" s="328" t="s">
        <v>999</v>
      </c>
      <c r="F21" s="337"/>
      <c r="H21" s="2967" t="s">
        <v>7014</v>
      </c>
      <c r="I21" s="3143"/>
      <c r="J21" s="3143"/>
      <c r="K21" s="3144"/>
      <c r="L21" s="3143"/>
      <c r="M21" s="3143"/>
      <c r="N21" s="3145"/>
      <c r="O21" s="369" t="s">
        <v>1704</v>
      </c>
      <c r="P21" s="371"/>
      <c r="Q21" s="2900" t="s">
        <v>7018</v>
      </c>
      <c r="R21" s="2946"/>
      <c r="S21" s="2947"/>
    </row>
    <row r="22" spans="3:19" s="323" customFormat="1" ht="11.25" customHeight="1">
      <c r="D22" s="370"/>
      <c r="E22" s="328" t="s">
        <v>600</v>
      </c>
      <c r="H22" s="2967" t="s">
        <v>7015</v>
      </c>
      <c r="I22" s="3144"/>
      <c r="J22" s="2973"/>
      <c r="K22" s="564" t="s">
        <v>2625</v>
      </c>
      <c r="L22" s="2967" t="s">
        <v>7053</v>
      </c>
      <c r="M22" s="3143"/>
      <c r="N22" s="2973"/>
      <c r="O22" s="369" t="s">
        <v>1679</v>
      </c>
      <c r="P22" s="371"/>
      <c r="Q22" s="2897">
        <v>4074614651</v>
      </c>
      <c r="R22" s="2898"/>
      <c r="S22" s="2899"/>
    </row>
    <row r="23" spans="3:19" s="323" customFormat="1" ht="11.25" customHeight="1">
      <c r="E23" s="328" t="s">
        <v>1754</v>
      </c>
      <c r="H23" s="1524" t="s">
        <v>827</v>
      </c>
      <c r="I23" s="371"/>
      <c r="J23" s="371"/>
      <c r="K23" s="974" t="s">
        <v>2173</v>
      </c>
      <c r="L23" s="3036">
        <v>347870000</v>
      </c>
      <c r="M23" s="3146"/>
      <c r="N23" s="371"/>
      <c r="O23" s="369" t="s">
        <v>1932</v>
      </c>
      <c r="P23" s="371"/>
      <c r="Q23" s="2897">
        <v>4074614651</v>
      </c>
      <c r="R23" s="2898"/>
      <c r="S23" s="2899"/>
    </row>
    <row r="24" spans="3:19" s="323" customFormat="1" ht="11.25" customHeight="1">
      <c r="D24" s="370"/>
      <c r="E24" s="328" t="s">
        <v>3901</v>
      </c>
      <c r="H24" s="3133">
        <v>4076142414</v>
      </c>
      <c r="I24" s="3134"/>
      <c r="J24" s="354"/>
      <c r="K24" s="372" t="s">
        <v>1937</v>
      </c>
      <c r="L24" s="2894" t="s">
        <v>7016</v>
      </c>
      <c r="M24" s="2895"/>
      <c r="N24" s="3029"/>
      <c r="O24" s="3029"/>
      <c r="P24" s="3029"/>
      <c r="Q24" s="2895"/>
      <c r="R24" s="2895"/>
      <c r="S24" s="2896"/>
    </row>
    <row r="25" spans="3:19" s="323" customFormat="1" ht="4.3499999999999996" customHeight="1">
      <c r="D25" s="370"/>
      <c r="E25" s="1198"/>
      <c r="F25" s="1198"/>
      <c r="G25" s="1188"/>
      <c r="H25" s="381"/>
      <c r="I25" s="381"/>
      <c r="J25" s="381"/>
      <c r="K25" s="372"/>
      <c r="L25" s="381"/>
      <c r="M25" s="381"/>
      <c r="N25" s="379"/>
      <c r="O25" s="380"/>
      <c r="P25" s="380"/>
      <c r="Q25" s="372"/>
      <c r="R25" s="380"/>
      <c r="S25" s="380"/>
    </row>
    <row r="26" spans="3:19" s="323" customFormat="1" ht="11.25" customHeight="1">
      <c r="D26" s="325" t="s">
        <v>1691</v>
      </c>
      <c r="E26" s="323" t="s">
        <v>1811</v>
      </c>
      <c r="F26" s="1198"/>
      <c r="H26" s="3060"/>
      <c r="I26" s="3135"/>
      <c r="J26" s="3135"/>
      <c r="K26" s="3135"/>
      <c r="L26" s="3135"/>
      <c r="M26" s="3135"/>
      <c r="N26" s="3136"/>
      <c r="O26" s="369" t="s">
        <v>1942</v>
      </c>
      <c r="P26" s="369"/>
      <c r="Q26" s="3060"/>
      <c r="R26" s="3135"/>
      <c r="S26" s="3136"/>
    </row>
    <row r="27" spans="3:19" s="323" customFormat="1" ht="11.25" customHeight="1">
      <c r="D27" s="370"/>
      <c r="E27" s="328" t="s">
        <v>999</v>
      </c>
      <c r="F27" s="337"/>
      <c r="H27" s="2967"/>
      <c r="I27" s="3143"/>
      <c r="J27" s="3143"/>
      <c r="K27" s="3144"/>
      <c r="L27" s="3143"/>
      <c r="M27" s="3143"/>
      <c r="N27" s="3145"/>
      <c r="O27" s="369" t="s">
        <v>1704</v>
      </c>
      <c r="P27" s="371"/>
      <c r="Q27" s="2900"/>
      <c r="R27" s="2946"/>
      <c r="S27" s="2947"/>
    </row>
    <row r="28" spans="3:19" s="323" customFormat="1" ht="11.25" customHeight="1">
      <c r="D28" s="370"/>
      <c r="E28" s="328" t="s">
        <v>600</v>
      </c>
      <c r="H28" s="2967"/>
      <c r="I28" s="3144"/>
      <c r="J28" s="2973"/>
      <c r="K28" s="564" t="s">
        <v>2625</v>
      </c>
      <c r="L28" s="2967"/>
      <c r="M28" s="3143"/>
      <c r="N28" s="2973"/>
      <c r="O28" s="369" t="s">
        <v>1679</v>
      </c>
      <c r="P28" s="371"/>
      <c r="Q28" s="2897"/>
      <c r="R28" s="2898"/>
      <c r="S28" s="2899"/>
    </row>
    <row r="29" spans="3:19" s="323" customFormat="1" ht="11.25" customHeight="1">
      <c r="E29" s="328" t="s">
        <v>1754</v>
      </c>
      <c r="H29" s="1524"/>
      <c r="I29" s="371"/>
      <c r="J29" s="371"/>
      <c r="K29" s="974" t="s">
        <v>2173</v>
      </c>
      <c r="L29" s="3036"/>
      <c r="M29" s="3146"/>
      <c r="N29" s="371"/>
      <c r="O29" s="369" t="s">
        <v>1932</v>
      </c>
      <c r="P29" s="371"/>
      <c r="Q29" s="2897"/>
      <c r="R29" s="2898"/>
      <c r="S29" s="2899"/>
    </row>
    <row r="30" spans="3:19" s="323" customFormat="1" ht="11.25" customHeight="1">
      <c r="D30" s="370"/>
      <c r="E30" s="328" t="s">
        <v>3901</v>
      </c>
      <c r="H30" s="3133"/>
      <c r="I30" s="3134"/>
      <c r="J30" s="354"/>
      <c r="K30" s="372" t="s">
        <v>1937</v>
      </c>
      <c r="L30" s="2894"/>
      <c r="M30" s="2895"/>
      <c r="N30" s="3029"/>
      <c r="O30" s="3029"/>
      <c r="P30" s="3029"/>
      <c r="Q30" s="2895"/>
      <c r="R30" s="2895"/>
      <c r="S30" s="2896"/>
    </row>
    <row r="31" spans="3:19" ht="4.3499999999999996" customHeight="1">
      <c r="H31" s="382"/>
      <c r="I31" s="382"/>
      <c r="J31" s="382"/>
      <c r="K31" s="382"/>
      <c r="L31" s="382"/>
      <c r="M31" s="382"/>
      <c r="N31" s="382"/>
      <c r="O31" s="382"/>
      <c r="P31" s="382"/>
      <c r="Q31" s="382"/>
      <c r="R31" s="382"/>
      <c r="S31" s="382"/>
    </row>
    <row r="32" spans="3:19" s="323" customFormat="1" ht="11.25" customHeight="1">
      <c r="C32" s="376" t="s">
        <v>1941</v>
      </c>
      <c r="D32" s="368" t="s">
        <v>1813</v>
      </c>
      <c r="H32" s="377"/>
      <c r="I32" s="377"/>
      <c r="J32" s="377"/>
      <c r="K32" s="2006" t="s">
        <v>3900</v>
      </c>
      <c r="L32" s="377"/>
      <c r="M32" s="377"/>
      <c r="N32" s="371"/>
      <c r="O32" s="371"/>
      <c r="P32" s="371"/>
      <c r="Q32" s="371"/>
      <c r="R32" s="371"/>
      <c r="S32" s="371"/>
    </row>
    <row r="33" spans="3:19" s="323" customFormat="1" ht="11.25" customHeight="1">
      <c r="D33" s="325" t="s">
        <v>2066</v>
      </c>
      <c r="E33" s="323" t="s">
        <v>732</v>
      </c>
      <c r="H33" s="3060" t="s">
        <v>7054</v>
      </c>
      <c r="I33" s="3135"/>
      <c r="J33" s="3135"/>
      <c r="K33" s="3135"/>
      <c r="L33" s="3135"/>
      <c r="M33" s="3135"/>
      <c r="N33" s="3136"/>
      <c r="O33" s="369" t="s">
        <v>1942</v>
      </c>
      <c r="P33" s="369"/>
      <c r="Q33" s="3060" t="s">
        <v>7058</v>
      </c>
      <c r="R33" s="3135"/>
      <c r="S33" s="3136"/>
    </row>
    <row r="34" spans="3:19" s="323" customFormat="1" ht="11.25" customHeight="1">
      <c r="D34" s="370"/>
      <c r="E34" s="328" t="s">
        <v>999</v>
      </c>
      <c r="F34" s="337"/>
      <c r="H34" s="2967" t="s">
        <v>7055</v>
      </c>
      <c r="I34" s="3143"/>
      <c r="J34" s="3143"/>
      <c r="K34" s="3144"/>
      <c r="L34" s="3143"/>
      <c r="M34" s="3143"/>
      <c r="N34" s="3145"/>
      <c r="O34" s="369" t="s">
        <v>1704</v>
      </c>
      <c r="P34" s="371"/>
      <c r="Q34" s="2900" t="s">
        <v>7059</v>
      </c>
      <c r="R34" s="2946"/>
      <c r="S34" s="2947"/>
    </row>
    <row r="35" spans="3:19" s="323" customFormat="1" ht="11.25" customHeight="1">
      <c r="D35" s="370"/>
      <c r="E35" s="328" t="s">
        <v>600</v>
      </c>
      <c r="H35" s="2967" t="s">
        <v>1179</v>
      </c>
      <c r="I35" s="3144"/>
      <c r="J35" s="2973"/>
      <c r="K35" s="564" t="s">
        <v>2625</v>
      </c>
      <c r="L35" s="2967" t="s">
        <v>7056</v>
      </c>
      <c r="M35" s="3143"/>
      <c r="N35" s="2973"/>
      <c r="O35" s="369" t="s">
        <v>1679</v>
      </c>
      <c r="P35" s="371"/>
      <c r="Q35" s="2897"/>
      <c r="R35" s="2898"/>
      <c r="S35" s="2899"/>
    </row>
    <row r="36" spans="3:19" s="323" customFormat="1" ht="11.25" customHeight="1">
      <c r="E36" s="328" t="s">
        <v>1754</v>
      </c>
      <c r="H36" s="1524" t="s">
        <v>828</v>
      </c>
      <c r="I36" s="371"/>
      <c r="J36" s="371"/>
      <c r="K36" s="974" t="s">
        <v>2173</v>
      </c>
      <c r="L36" s="3036">
        <v>303260000</v>
      </c>
      <c r="M36" s="3146"/>
      <c r="N36" s="371"/>
      <c r="O36" s="369" t="s">
        <v>1932</v>
      </c>
      <c r="P36" s="371"/>
      <c r="Q36" s="2897"/>
      <c r="R36" s="2898"/>
      <c r="S36" s="2899"/>
    </row>
    <row r="37" spans="3:19" s="323" customFormat="1" ht="11.25" customHeight="1">
      <c r="D37" s="370"/>
      <c r="E37" s="328" t="s">
        <v>3901</v>
      </c>
      <c r="H37" s="3133">
        <v>4045968019</v>
      </c>
      <c r="I37" s="3134"/>
      <c r="J37" s="354"/>
      <c r="K37" s="372" t="s">
        <v>1937</v>
      </c>
      <c r="L37" s="2894" t="s">
        <v>7057</v>
      </c>
      <c r="M37" s="2895"/>
      <c r="N37" s="3029"/>
      <c r="O37" s="3029"/>
      <c r="P37" s="3029"/>
      <c r="Q37" s="2895"/>
      <c r="R37" s="2895"/>
      <c r="S37" s="2896"/>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2067</v>
      </c>
      <c r="E39" s="323" t="s">
        <v>733</v>
      </c>
      <c r="F39" s="325"/>
      <c r="H39" s="3060" t="s">
        <v>7054</v>
      </c>
      <c r="I39" s="3135"/>
      <c r="J39" s="3135"/>
      <c r="K39" s="3135"/>
      <c r="L39" s="3135"/>
      <c r="M39" s="3135"/>
      <c r="N39" s="3136"/>
      <c r="O39" s="369" t="s">
        <v>1942</v>
      </c>
      <c r="P39" s="369"/>
      <c r="Q39" s="3060" t="s">
        <v>7058</v>
      </c>
      <c r="R39" s="3135"/>
      <c r="S39" s="3136"/>
    </row>
    <row r="40" spans="3:19" s="323" customFormat="1" ht="11.25" customHeight="1">
      <c r="D40" s="370"/>
      <c r="E40" s="328" t="s">
        <v>999</v>
      </c>
      <c r="F40" s="337"/>
      <c r="H40" s="2967" t="s">
        <v>7055</v>
      </c>
      <c r="I40" s="3143"/>
      <c r="J40" s="3143"/>
      <c r="K40" s="3144"/>
      <c r="L40" s="3143"/>
      <c r="M40" s="3143"/>
      <c r="N40" s="3145"/>
      <c r="O40" s="369" t="s">
        <v>1704</v>
      </c>
      <c r="P40" s="371"/>
      <c r="Q40" s="2900" t="s">
        <v>7059</v>
      </c>
      <c r="R40" s="2946"/>
      <c r="S40" s="2947"/>
    </row>
    <row r="41" spans="3:19" s="323" customFormat="1" ht="11.25" customHeight="1">
      <c r="D41" s="370"/>
      <c r="E41" s="328" t="s">
        <v>600</v>
      </c>
      <c r="H41" s="2967" t="s">
        <v>1179</v>
      </c>
      <c r="I41" s="3144"/>
      <c r="J41" s="2973"/>
      <c r="K41" s="564" t="s">
        <v>2625</v>
      </c>
      <c r="L41" s="2967" t="s">
        <v>7056</v>
      </c>
      <c r="M41" s="3143"/>
      <c r="N41" s="2973"/>
      <c r="O41" s="369" t="s">
        <v>1679</v>
      </c>
      <c r="P41" s="371"/>
      <c r="Q41" s="2897"/>
      <c r="R41" s="2898"/>
      <c r="S41" s="2899"/>
    </row>
    <row r="42" spans="3:19" s="323" customFormat="1" ht="11.25" customHeight="1">
      <c r="D42" s="325"/>
      <c r="E42" s="328" t="s">
        <v>1754</v>
      </c>
      <c r="H42" s="2863" t="s">
        <v>828</v>
      </c>
      <c r="I42" s="371"/>
      <c r="J42" s="371"/>
      <c r="K42" s="974" t="s">
        <v>2173</v>
      </c>
      <c r="L42" s="3036">
        <v>303260000</v>
      </c>
      <c r="M42" s="3146"/>
      <c r="N42" s="371"/>
      <c r="O42" s="369" t="s">
        <v>1932</v>
      </c>
      <c r="P42" s="371"/>
      <c r="Q42" s="2897"/>
      <c r="R42" s="2898"/>
      <c r="S42" s="2899"/>
    </row>
    <row r="43" spans="3:19" s="323" customFormat="1" ht="11.25" customHeight="1">
      <c r="D43" s="370"/>
      <c r="E43" s="328" t="s">
        <v>3901</v>
      </c>
      <c r="H43" s="3133">
        <v>4045968019</v>
      </c>
      <c r="I43" s="3134"/>
      <c r="J43" s="354"/>
      <c r="K43" s="372" t="s">
        <v>1937</v>
      </c>
      <c r="L43" s="2894" t="s">
        <v>7057</v>
      </c>
      <c r="M43" s="2895"/>
      <c r="N43" s="3029"/>
      <c r="O43" s="3029"/>
      <c r="P43" s="3029"/>
      <c r="Q43" s="2895"/>
      <c r="R43" s="2895"/>
      <c r="S43" s="2896"/>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2468</v>
      </c>
      <c r="D45" s="368" t="s">
        <v>633</v>
      </c>
      <c r="H45" s="377"/>
      <c r="I45" s="377"/>
      <c r="J45" s="377"/>
      <c r="K45" s="2006" t="s">
        <v>3900</v>
      </c>
      <c r="L45" s="377"/>
      <c r="M45" s="377"/>
      <c r="N45" s="371"/>
      <c r="O45" s="371"/>
      <c r="P45" s="371"/>
      <c r="Q45" s="371"/>
      <c r="R45" s="371"/>
      <c r="S45" s="371"/>
    </row>
    <row r="46" spans="3:19" s="323" customFormat="1" ht="11.25" customHeight="1">
      <c r="E46" s="323" t="s">
        <v>90</v>
      </c>
      <c r="H46" s="3060"/>
      <c r="I46" s="3135"/>
      <c r="J46" s="3135"/>
      <c r="K46" s="3135"/>
      <c r="L46" s="3135"/>
      <c r="M46" s="3135"/>
      <c r="N46" s="3136"/>
      <c r="O46" s="369" t="s">
        <v>1942</v>
      </c>
      <c r="P46" s="369"/>
      <c r="Q46" s="3060"/>
      <c r="R46" s="3135"/>
      <c r="S46" s="3136"/>
    </row>
    <row r="47" spans="3:19" s="323" customFormat="1" ht="11.25" customHeight="1">
      <c r="D47" s="370"/>
      <c r="E47" s="328" t="s">
        <v>999</v>
      </c>
      <c r="F47" s="337"/>
      <c r="H47" s="2967"/>
      <c r="I47" s="3143"/>
      <c r="J47" s="3143"/>
      <c r="K47" s="3144"/>
      <c r="L47" s="3143"/>
      <c r="M47" s="3143"/>
      <c r="N47" s="3145"/>
      <c r="O47" s="369" t="s">
        <v>1704</v>
      </c>
      <c r="P47" s="371"/>
      <c r="Q47" s="2900"/>
      <c r="R47" s="2946"/>
      <c r="S47" s="2947"/>
    </row>
    <row r="48" spans="3:19" s="323" customFormat="1" ht="11.25" customHeight="1">
      <c r="D48" s="370"/>
      <c r="E48" s="328" t="s">
        <v>600</v>
      </c>
      <c r="H48" s="2967"/>
      <c r="I48" s="3144"/>
      <c r="J48" s="2973"/>
      <c r="K48" s="564" t="s">
        <v>2625</v>
      </c>
      <c r="L48" s="2967"/>
      <c r="M48" s="3143"/>
      <c r="N48" s="2973"/>
      <c r="O48" s="369" t="s">
        <v>1679</v>
      </c>
      <c r="P48" s="371"/>
      <c r="Q48" s="2897"/>
      <c r="R48" s="2898"/>
      <c r="S48" s="2899"/>
    </row>
    <row r="49" spans="1:19" s="323" customFormat="1" ht="11.25" customHeight="1">
      <c r="E49" s="328" t="s">
        <v>1754</v>
      </c>
      <c r="H49" s="1524"/>
      <c r="I49" s="371"/>
      <c r="J49" s="371"/>
      <c r="K49" s="974" t="s">
        <v>2173</v>
      </c>
      <c r="L49" s="3036"/>
      <c r="M49" s="3146"/>
      <c r="N49" s="371"/>
      <c r="O49" s="369" t="s">
        <v>1932</v>
      </c>
      <c r="P49" s="371"/>
      <c r="Q49" s="2897"/>
      <c r="R49" s="2898"/>
      <c r="S49" s="2899"/>
    </row>
    <row r="50" spans="1:19" s="323" customFormat="1" ht="11.25" customHeight="1">
      <c r="D50" s="370"/>
      <c r="E50" s="328" t="s">
        <v>3901</v>
      </c>
      <c r="H50" s="3133"/>
      <c r="I50" s="3134"/>
      <c r="J50" s="354"/>
      <c r="K50" s="372" t="s">
        <v>1937</v>
      </c>
      <c r="L50" s="2894"/>
      <c r="M50" s="2895"/>
      <c r="N50" s="3029"/>
      <c r="O50" s="3029"/>
      <c r="P50" s="3029"/>
      <c r="Q50" s="2895"/>
      <c r="R50" s="2895"/>
      <c r="S50" s="2896"/>
    </row>
    <row r="51" spans="1:19" ht="6.75" customHeight="1">
      <c r="H51" s="382"/>
      <c r="I51" s="382"/>
      <c r="J51" s="382"/>
      <c r="K51" s="382"/>
      <c r="L51" s="382"/>
      <c r="M51" s="382"/>
      <c r="N51" s="382"/>
      <c r="O51" s="382"/>
      <c r="P51" s="382"/>
      <c r="Q51" s="382"/>
      <c r="R51" s="382"/>
      <c r="S51" s="382"/>
    </row>
    <row r="52" spans="1:19" s="323" customFormat="1" ht="13.35" customHeight="1">
      <c r="A52" s="325" t="s">
        <v>722</v>
      </c>
      <c r="B52" s="325" t="s">
        <v>634</v>
      </c>
      <c r="F52" s="325"/>
      <c r="G52" s="1203"/>
      <c r="H52" s="372"/>
      <c r="I52" s="372"/>
      <c r="J52" s="377"/>
      <c r="K52" s="2006" t="s">
        <v>3900</v>
      </c>
      <c r="L52" s="377"/>
      <c r="M52" s="377"/>
      <c r="N52" s="377"/>
      <c r="O52" s="377"/>
      <c r="P52" s="377"/>
      <c r="Q52" s="377"/>
      <c r="R52" s="377"/>
      <c r="S52" s="377"/>
    </row>
    <row r="53" spans="1:19" s="323" customFormat="1" ht="3" customHeight="1">
      <c r="A53" s="325"/>
      <c r="B53" s="325"/>
      <c r="F53" s="325"/>
      <c r="G53" s="1203"/>
      <c r="H53" s="378"/>
      <c r="I53" s="378"/>
      <c r="J53" s="378"/>
      <c r="K53" s="379"/>
      <c r="L53" s="378"/>
      <c r="M53" s="378"/>
      <c r="N53" s="379"/>
      <c r="O53" s="380"/>
      <c r="P53" s="380"/>
      <c r="Q53" s="372"/>
      <c r="R53" s="380"/>
      <c r="S53" s="380"/>
    </row>
    <row r="54" spans="1:19" s="323" customFormat="1" ht="11.25" customHeight="1">
      <c r="B54" s="325" t="s">
        <v>1936</v>
      </c>
      <c r="C54" s="325" t="s">
        <v>277</v>
      </c>
      <c r="H54" s="3060" t="s">
        <v>7060</v>
      </c>
      <c r="I54" s="3135"/>
      <c r="J54" s="3135"/>
      <c r="K54" s="3135"/>
      <c r="L54" s="3135"/>
      <c r="M54" s="3135"/>
      <c r="N54" s="3136"/>
      <c r="O54" s="369" t="s">
        <v>1942</v>
      </c>
      <c r="P54" s="369"/>
      <c r="Q54" s="3060" t="s">
        <v>7022</v>
      </c>
      <c r="R54" s="3135"/>
      <c r="S54" s="3136"/>
    </row>
    <row r="55" spans="1:19" s="323" customFormat="1" ht="11.25" customHeight="1">
      <c r="D55" s="370"/>
      <c r="E55" s="328" t="s">
        <v>999</v>
      </c>
      <c r="F55" s="337"/>
      <c r="H55" s="2967" t="s">
        <v>7020</v>
      </c>
      <c r="I55" s="3143"/>
      <c r="J55" s="3143"/>
      <c r="K55" s="3144"/>
      <c r="L55" s="3143"/>
      <c r="M55" s="3143"/>
      <c r="N55" s="3145"/>
      <c r="O55" s="369" t="s">
        <v>1704</v>
      </c>
      <c r="P55" s="371"/>
      <c r="Q55" s="2900" t="s">
        <v>7062</v>
      </c>
      <c r="R55" s="2946"/>
      <c r="S55" s="2947"/>
    </row>
    <row r="56" spans="1:19" s="323" customFormat="1" ht="11.25" customHeight="1">
      <c r="D56" s="370"/>
      <c r="E56" s="328" t="s">
        <v>600</v>
      </c>
      <c r="H56" s="2967" t="s">
        <v>1124</v>
      </c>
      <c r="I56" s="3144"/>
      <c r="J56" s="2973"/>
      <c r="K56" s="564" t="s">
        <v>2625</v>
      </c>
      <c r="L56" s="2967" t="s">
        <v>7061</v>
      </c>
      <c r="M56" s="3143"/>
      <c r="N56" s="2973"/>
      <c r="O56" s="369" t="s">
        <v>1679</v>
      </c>
      <c r="P56" s="371"/>
      <c r="Q56" s="2897">
        <v>9046730639</v>
      </c>
      <c r="R56" s="2898"/>
      <c r="S56" s="2899"/>
    </row>
    <row r="57" spans="1:19" s="323" customFormat="1" ht="11.25" customHeight="1">
      <c r="E57" s="328" t="s">
        <v>1754</v>
      </c>
      <c r="H57" s="1524" t="s">
        <v>827</v>
      </c>
      <c r="I57" s="371"/>
      <c r="J57" s="371"/>
      <c r="K57" s="974" t="s">
        <v>2173</v>
      </c>
      <c r="L57" s="3036">
        <v>322160000</v>
      </c>
      <c r="M57" s="3146"/>
      <c r="N57" s="371"/>
      <c r="O57" s="369" t="s">
        <v>1932</v>
      </c>
      <c r="P57" s="371"/>
      <c r="Q57" s="2897">
        <v>9046730639</v>
      </c>
      <c r="R57" s="2898"/>
      <c r="S57" s="2899"/>
    </row>
    <row r="58" spans="1:19" s="323" customFormat="1" ht="11.25" customHeight="1">
      <c r="D58" s="370"/>
      <c r="E58" s="328" t="s">
        <v>3901</v>
      </c>
      <c r="H58" s="3133">
        <v>9046730639</v>
      </c>
      <c r="I58" s="3134"/>
      <c r="J58" s="354"/>
      <c r="K58" s="372" t="s">
        <v>1937</v>
      </c>
      <c r="L58" s="2894" t="s">
        <v>7021</v>
      </c>
      <c r="M58" s="2895"/>
      <c r="N58" s="3029"/>
      <c r="O58" s="3029"/>
      <c r="P58" s="3029"/>
      <c r="Q58" s="2895"/>
      <c r="R58" s="2895"/>
      <c r="S58" s="2896"/>
    </row>
    <row r="59" spans="1:19" s="323" customFormat="1" ht="6.6" customHeight="1">
      <c r="D59" s="370"/>
      <c r="E59" s="1198"/>
      <c r="F59" s="1198"/>
      <c r="G59" s="1188"/>
      <c r="H59" s="381"/>
      <c r="I59" s="381"/>
      <c r="J59" s="381"/>
      <c r="K59" s="372"/>
      <c r="L59" s="381"/>
      <c r="M59" s="381"/>
      <c r="N59" s="379"/>
      <c r="O59" s="380"/>
      <c r="P59" s="380"/>
      <c r="Q59" s="372"/>
      <c r="R59" s="380"/>
      <c r="S59" s="380"/>
    </row>
    <row r="60" spans="1:19" s="323" customFormat="1" ht="11.25" customHeight="1">
      <c r="B60" s="325" t="s">
        <v>1938</v>
      </c>
      <c r="C60" s="325" t="s">
        <v>278</v>
      </c>
      <c r="H60" s="3060" t="s">
        <v>7043</v>
      </c>
      <c r="I60" s="3135"/>
      <c r="J60" s="3135"/>
      <c r="K60" s="3135"/>
      <c r="L60" s="3135"/>
      <c r="M60" s="3135"/>
      <c r="N60" s="3136"/>
      <c r="O60" s="369" t="s">
        <v>1942</v>
      </c>
      <c r="P60" s="369"/>
      <c r="Q60" s="3060" t="s">
        <v>7042</v>
      </c>
      <c r="R60" s="3135"/>
      <c r="S60" s="3136"/>
    </row>
    <row r="61" spans="1:19" s="323" customFormat="1" ht="11.25" customHeight="1">
      <c r="D61" s="370"/>
      <c r="E61" s="328" t="s">
        <v>999</v>
      </c>
      <c r="F61" s="337"/>
      <c r="H61" s="2967" t="s">
        <v>7063</v>
      </c>
      <c r="I61" s="3143"/>
      <c r="J61" s="3143"/>
      <c r="K61" s="3144"/>
      <c r="L61" s="3143"/>
      <c r="M61" s="3143"/>
      <c r="N61" s="3145"/>
      <c r="O61" s="369" t="s">
        <v>1704</v>
      </c>
      <c r="P61" s="371"/>
      <c r="Q61" s="2900" t="s">
        <v>7062</v>
      </c>
      <c r="R61" s="2946"/>
      <c r="S61" s="2947"/>
    </row>
    <row r="62" spans="1:19" s="323" customFormat="1" ht="11.25" customHeight="1">
      <c r="D62" s="370"/>
      <c r="E62" s="328" t="s">
        <v>600</v>
      </c>
      <c r="H62" s="2967" t="s">
        <v>7064</v>
      </c>
      <c r="I62" s="3144"/>
      <c r="J62" s="2973"/>
      <c r="K62" s="564" t="s">
        <v>2625</v>
      </c>
      <c r="L62" s="2967" t="s">
        <v>2728</v>
      </c>
      <c r="M62" s="3143"/>
      <c r="N62" s="2973"/>
      <c r="O62" s="369" t="s">
        <v>1679</v>
      </c>
      <c r="P62" s="371"/>
      <c r="Q62" s="2897"/>
      <c r="R62" s="2898"/>
      <c r="S62" s="2899"/>
    </row>
    <row r="63" spans="1:19" s="323" customFormat="1" ht="11.25" customHeight="1">
      <c r="E63" s="328" t="s">
        <v>1754</v>
      </c>
      <c r="H63" s="1524" t="s">
        <v>840</v>
      </c>
      <c r="I63" s="371"/>
      <c r="J63" s="371"/>
      <c r="K63" s="974" t="s">
        <v>2173</v>
      </c>
      <c r="L63" s="3036">
        <v>486040000</v>
      </c>
      <c r="M63" s="3146"/>
      <c r="N63" s="371"/>
      <c r="O63" s="369" t="s">
        <v>1932</v>
      </c>
      <c r="P63" s="371"/>
      <c r="Q63" s="2897"/>
      <c r="R63" s="2898"/>
      <c r="S63" s="2899"/>
    </row>
    <row r="64" spans="1:19" s="323" customFormat="1" ht="11.25" customHeight="1">
      <c r="D64" s="370"/>
      <c r="E64" s="328" t="s">
        <v>3901</v>
      </c>
      <c r="H64" s="3133"/>
      <c r="I64" s="3134"/>
      <c r="J64" s="354"/>
      <c r="K64" s="372" t="s">
        <v>1937</v>
      </c>
      <c r="L64" s="2894" t="s">
        <v>7065</v>
      </c>
      <c r="M64" s="2895"/>
      <c r="N64" s="3029"/>
      <c r="O64" s="3029"/>
      <c r="P64" s="3029"/>
      <c r="Q64" s="2895"/>
      <c r="R64" s="2895"/>
      <c r="S64" s="2896"/>
    </row>
    <row r="65" spans="1:19" s="323" customFormat="1" ht="6.6" customHeight="1">
      <c r="D65" s="370"/>
      <c r="E65" s="1198"/>
      <c r="F65" s="1198"/>
      <c r="G65" s="1188"/>
      <c r="H65" s="381"/>
      <c r="I65" s="381"/>
      <c r="J65" s="381"/>
      <c r="K65" s="372"/>
      <c r="L65" s="381"/>
      <c r="M65" s="381"/>
      <c r="N65" s="379"/>
      <c r="O65" s="380"/>
      <c r="P65" s="380"/>
      <c r="Q65" s="372"/>
      <c r="R65" s="380"/>
      <c r="S65" s="380"/>
    </row>
    <row r="66" spans="1:19" s="323" customFormat="1" ht="11.25" customHeight="1">
      <c r="B66" s="325" t="s">
        <v>731</v>
      </c>
      <c r="C66" s="325" t="s">
        <v>1496</v>
      </c>
      <c r="H66" s="3060" t="s">
        <v>7066</v>
      </c>
      <c r="I66" s="3135"/>
      <c r="J66" s="3135"/>
      <c r="K66" s="3135"/>
      <c r="L66" s="3135"/>
      <c r="M66" s="3135"/>
      <c r="N66" s="3136"/>
      <c r="O66" s="369" t="s">
        <v>1942</v>
      </c>
      <c r="P66" s="369"/>
      <c r="Q66" s="3060" t="s">
        <v>7017</v>
      </c>
      <c r="R66" s="3135"/>
      <c r="S66" s="3136"/>
    </row>
    <row r="67" spans="1:19" s="323" customFormat="1" ht="11.25" customHeight="1">
      <c r="D67" s="370"/>
      <c r="E67" s="328" t="s">
        <v>999</v>
      </c>
      <c r="F67" s="337"/>
      <c r="H67" s="2967" t="s">
        <v>7014</v>
      </c>
      <c r="I67" s="3143"/>
      <c r="J67" s="3143"/>
      <c r="K67" s="3144"/>
      <c r="L67" s="3143"/>
      <c r="M67" s="3143"/>
      <c r="N67" s="3145"/>
      <c r="O67" s="369" t="s">
        <v>1704</v>
      </c>
      <c r="P67" s="371"/>
      <c r="Q67" s="2900" t="s">
        <v>7051</v>
      </c>
      <c r="R67" s="2946"/>
      <c r="S67" s="2947"/>
    </row>
    <row r="68" spans="1:19" s="323" customFormat="1" ht="11.25" customHeight="1">
      <c r="D68" s="370"/>
      <c r="E68" s="328" t="s">
        <v>600</v>
      </c>
      <c r="H68" s="2967" t="s">
        <v>7015</v>
      </c>
      <c r="I68" s="3144"/>
      <c r="J68" s="2973"/>
      <c r="K68" s="564" t="s">
        <v>2625</v>
      </c>
      <c r="L68" s="2967" t="s">
        <v>7053</v>
      </c>
      <c r="M68" s="3143"/>
      <c r="N68" s="2973"/>
      <c r="O68" s="369" t="s">
        <v>1679</v>
      </c>
      <c r="P68" s="371"/>
      <c r="Q68" s="2897">
        <v>4074614651</v>
      </c>
      <c r="R68" s="2898"/>
      <c r="S68" s="2899"/>
    </row>
    <row r="69" spans="1:19" s="323" customFormat="1" ht="11.25" customHeight="1">
      <c r="E69" s="328" t="s">
        <v>1754</v>
      </c>
      <c r="H69" s="1524" t="s">
        <v>827</v>
      </c>
      <c r="I69" s="371"/>
      <c r="J69" s="371"/>
      <c r="K69" s="974" t="s">
        <v>2173</v>
      </c>
      <c r="L69" s="3036">
        <v>347870000</v>
      </c>
      <c r="M69" s="3146"/>
      <c r="N69" s="371"/>
      <c r="O69" s="369" t="s">
        <v>1932</v>
      </c>
      <c r="P69" s="371"/>
      <c r="Q69" s="2897">
        <v>4074614651</v>
      </c>
      <c r="R69" s="2898"/>
      <c r="S69" s="2899"/>
    </row>
    <row r="70" spans="1:19" s="323" customFormat="1" ht="11.25" customHeight="1">
      <c r="D70" s="370"/>
      <c r="E70" s="328" t="s">
        <v>3901</v>
      </c>
      <c r="H70" s="3133">
        <v>4076142414</v>
      </c>
      <c r="I70" s="3134"/>
      <c r="J70" s="354"/>
      <c r="K70" s="372" t="s">
        <v>1937</v>
      </c>
      <c r="L70" s="2894" t="s">
        <v>7016</v>
      </c>
      <c r="M70" s="2895"/>
      <c r="N70" s="3029"/>
      <c r="O70" s="3029"/>
      <c r="P70" s="3029"/>
      <c r="Q70" s="2895"/>
      <c r="R70" s="2895"/>
      <c r="S70" s="2896"/>
    </row>
    <row r="71" spans="1:19" ht="6.6" customHeight="1">
      <c r="H71" s="381"/>
      <c r="I71" s="381"/>
      <c r="J71" s="381"/>
      <c r="K71" s="372"/>
      <c r="L71" s="381"/>
      <c r="M71" s="381"/>
      <c r="N71" s="379"/>
      <c r="O71" s="380"/>
      <c r="P71" s="380"/>
      <c r="Q71" s="372"/>
      <c r="R71" s="380"/>
      <c r="S71" s="380"/>
    </row>
    <row r="72" spans="1:19" s="323" customFormat="1" ht="11.25" customHeight="1">
      <c r="B72" s="325" t="s">
        <v>2065</v>
      </c>
      <c r="C72" s="325" t="s">
        <v>279</v>
      </c>
      <c r="H72" s="3060"/>
      <c r="I72" s="3135"/>
      <c r="J72" s="3135"/>
      <c r="K72" s="3135"/>
      <c r="L72" s="3135"/>
      <c r="M72" s="3135"/>
      <c r="N72" s="3136"/>
      <c r="O72" s="369" t="s">
        <v>1942</v>
      </c>
      <c r="P72" s="369"/>
      <c r="Q72" s="3060"/>
      <c r="R72" s="3135"/>
      <c r="S72" s="3136"/>
    </row>
    <row r="73" spans="1:19" s="323" customFormat="1" ht="11.25" customHeight="1">
      <c r="D73" s="370"/>
      <c r="E73" s="328" t="s">
        <v>999</v>
      </c>
      <c r="F73" s="337"/>
      <c r="H73" s="2967"/>
      <c r="I73" s="3143"/>
      <c r="J73" s="3143"/>
      <c r="K73" s="3144"/>
      <c r="L73" s="3143"/>
      <c r="M73" s="3143"/>
      <c r="N73" s="3145"/>
      <c r="O73" s="369" t="s">
        <v>1704</v>
      </c>
      <c r="P73" s="371"/>
      <c r="Q73" s="2900"/>
      <c r="R73" s="2946"/>
      <c r="S73" s="2947"/>
    </row>
    <row r="74" spans="1:19" s="323" customFormat="1" ht="11.25" customHeight="1">
      <c r="D74" s="370"/>
      <c r="E74" s="328" t="s">
        <v>600</v>
      </c>
      <c r="H74" s="2967"/>
      <c r="I74" s="3144"/>
      <c r="J74" s="2973"/>
      <c r="K74" s="564" t="s">
        <v>2625</v>
      </c>
      <c r="L74" s="2967"/>
      <c r="M74" s="3143"/>
      <c r="N74" s="2973"/>
      <c r="O74" s="369" t="s">
        <v>1679</v>
      </c>
      <c r="P74" s="371"/>
      <c r="Q74" s="2897"/>
      <c r="R74" s="2898"/>
      <c r="S74" s="2899"/>
    </row>
    <row r="75" spans="1:19" s="323" customFormat="1" ht="11.25" customHeight="1">
      <c r="E75" s="328" t="s">
        <v>1754</v>
      </c>
      <c r="H75" s="1524"/>
      <c r="I75" s="371"/>
      <c r="J75" s="371"/>
      <c r="K75" s="974" t="s">
        <v>2173</v>
      </c>
      <c r="L75" s="3036"/>
      <c r="M75" s="3146"/>
      <c r="N75" s="371"/>
      <c r="O75" s="369" t="s">
        <v>1932</v>
      </c>
      <c r="P75" s="371"/>
      <c r="Q75" s="2897"/>
      <c r="R75" s="2898"/>
      <c r="S75" s="2899"/>
    </row>
    <row r="76" spans="1:19" s="323" customFormat="1" ht="11.25" customHeight="1">
      <c r="D76" s="370"/>
      <c r="E76" s="328" t="s">
        <v>3901</v>
      </c>
      <c r="H76" s="3133"/>
      <c r="I76" s="3134"/>
      <c r="J76" s="354"/>
      <c r="K76" s="372" t="s">
        <v>1937</v>
      </c>
      <c r="L76" s="2894"/>
      <c r="M76" s="2895"/>
      <c r="N76" s="3029"/>
      <c r="O76" s="3029"/>
      <c r="P76" s="3029"/>
      <c r="Q76" s="2895"/>
      <c r="R76" s="2895"/>
      <c r="S76" s="2896"/>
    </row>
    <row r="77" spans="1:19" ht="6.75" customHeight="1">
      <c r="H77" s="382"/>
      <c r="I77" s="382"/>
      <c r="J77" s="382"/>
      <c r="K77" s="382"/>
      <c r="L77" s="382"/>
      <c r="M77" s="382"/>
      <c r="N77" s="382"/>
      <c r="O77" s="382"/>
      <c r="P77" s="382"/>
      <c r="Q77" s="382"/>
      <c r="R77" s="382"/>
      <c r="S77" s="382"/>
    </row>
    <row r="78" spans="1:19" s="328" customFormat="1" ht="13.35" customHeight="1">
      <c r="A78" s="329" t="s">
        <v>724</v>
      </c>
      <c r="B78" s="329" t="s">
        <v>280</v>
      </c>
      <c r="D78" s="329"/>
      <c r="E78" s="1188"/>
      <c r="F78" s="297"/>
      <c r="G78" s="297"/>
      <c r="H78" s="385"/>
      <c r="I78" s="385"/>
      <c r="J78" s="385"/>
      <c r="K78" s="2006" t="s">
        <v>3900</v>
      </c>
      <c r="L78" s="385"/>
      <c r="M78" s="385"/>
      <c r="N78" s="386"/>
      <c r="O78" s="386"/>
      <c r="P78" s="386"/>
      <c r="Q78" s="386"/>
      <c r="R78" s="386"/>
      <c r="S78" s="386"/>
    </row>
    <row r="79" spans="1:19" s="328" customFormat="1" ht="3" customHeight="1">
      <c r="A79" s="329"/>
      <c r="B79" s="329"/>
      <c r="D79" s="329"/>
      <c r="E79" s="1188"/>
      <c r="F79" s="297"/>
      <c r="G79" s="297"/>
      <c r="H79" s="378"/>
      <c r="I79" s="378"/>
      <c r="J79" s="378"/>
      <c r="K79" s="379"/>
      <c r="L79" s="378"/>
      <c r="M79" s="378"/>
      <c r="N79" s="379"/>
      <c r="O79" s="380"/>
      <c r="P79" s="380"/>
      <c r="Q79" s="372"/>
      <c r="R79" s="380"/>
      <c r="S79" s="380"/>
    </row>
    <row r="80" spans="1:19" s="323" customFormat="1" ht="11.25" customHeight="1">
      <c r="B80" s="325" t="s">
        <v>1936</v>
      </c>
      <c r="C80" s="325" t="s">
        <v>281</v>
      </c>
      <c r="H80" s="3060"/>
      <c r="I80" s="3135"/>
      <c r="J80" s="3135"/>
      <c r="K80" s="3135"/>
      <c r="L80" s="3135"/>
      <c r="M80" s="3135"/>
      <c r="N80" s="3136"/>
      <c r="O80" s="369" t="s">
        <v>1942</v>
      </c>
      <c r="P80" s="369"/>
      <c r="Q80" s="3060"/>
      <c r="R80" s="3135"/>
      <c r="S80" s="3136"/>
    </row>
    <row r="81" spans="2:19" s="323" customFormat="1" ht="11.25" customHeight="1">
      <c r="D81" s="370"/>
      <c r="E81" s="328" t="s">
        <v>999</v>
      </c>
      <c r="F81" s="337"/>
      <c r="H81" s="2967"/>
      <c r="I81" s="3143"/>
      <c r="J81" s="3143"/>
      <c r="K81" s="3144"/>
      <c r="L81" s="3143"/>
      <c r="M81" s="3143"/>
      <c r="N81" s="3145"/>
      <c r="O81" s="369" t="s">
        <v>1704</v>
      </c>
      <c r="P81" s="371"/>
      <c r="Q81" s="2900"/>
      <c r="R81" s="2946"/>
      <c r="S81" s="2947"/>
    </row>
    <row r="82" spans="2:19" s="323" customFormat="1" ht="11.25" customHeight="1">
      <c r="D82" s="370"/>
      <c r="E82" s="328" t="s">
        <v>600</v>
      </c>
      <c r="H82" s="2967"/>
      <c r="I82" s="3144"/>
      <c r="J82" s="2973"/>
      <c r="K82" s="564" t="s">
        <v>2625</v>
      </c>
      <c r="L82" s="2967"/>
      <c r="M82" s="3143"/>
      <c r="N82" s="2973"/>
      <c r="O82" s="369" t="s">
        <v>1679</v>
      </c>
      <c r="P82" s="371"/>
      <c r="Q82" s="2897"/>
      <c r="R82" s="2898"/>
      <c r="S82" s="2899"/>
    </row>
    <row r="83" spans="2:19" s="323" customFormat="1" ht="11.25" customHeight="1">
      <c r="E83" s="328" t="s">
        <v>1754</v>
      </c>
      <c r="H83" s="1524"/>
      <c r="I83" s="371"/>
      <c r="J83" s="371"/>
      <c r="K83" s="974" t="s">
        <v>2173</v>
      </c>
      <c r="L83" s="3036"/>
      <c r="M83" s="3146"/>
      <c r="N83" s="371"/>
      <c r="O83" s="369" t="s">
        <v>1932</v>
      </c>
      <c r="P83" s="371"/>
      <c r="Q83" s="2897"/>
      <c r="R83" s="2898"/>
      <c r="S83" s="2899"/>
    </row>
    <row r="84" spans="2:19" s="323" customFormat="1" ht="11.25" customHeight="1">
      <c r="D84" s="370"/>
      <c r="E84" s="328" t="s">
        <v>3901</v>
      </c>
      <c r="H84" s="3133"/>
      <c r="I84" s="3134"/>
      <c r="J84" s="354"/>
      <c r="K84" s="372" t="s">
        <v>1937</v>
      </c>
      <c r="L84" s="2894"/>
      <c r="M84" s="2895"/>
      <c r="N84" s="3029"/>
      <c r="O84" s="3029"/>
      <c r="P84" s="3029"/>
      <c r="Q84" s="2895"/>
      <c r="R84" s="2895"/>
      <c r="S84" s="2896"/>
    </row>
    <row r="85" spans="2:19" ht="6.6" customHeight="1">
      <c r="H85" s="381"/>
      <c r="I85" s="381"/>
      <c r="J85" s="381"/>
      <c r="K85" s="372"/>
      <c r="L85" s="381"/>
      <c r="M85" s="381"/>
      <c r="N85" s="379"/>
      <c r="O85" s="380"/>
      <c r="P85" s="380"/>
      <c r="Q85" s="372"/>
      <c r="R85" s="380"/>
      <c r="S85" s="380"/>
    </row>
    <row r="86" spans="2:19" s="323" customFormat="1" ht="11.25" customHeight="1">
      <c r="B86" s="325" t="s">
        <v>1938</v>
      </c>
      <c r="C86" s="325" t="s">
        <v>282</v>
      </c>
      <c r="H86" s="3060" t="s">
        <v>7067</v>
      </c>
      <c r="I86" s="3135"/>
      <c r="J86" s="3135"/>
      <c r="K86" s="3135"/>
      <c r="L86" s="3135"/>
      <c r="M86" s="3135"/>
      <c r="N86" s="3136"/>
      <c r="O86" s="369" t="s">
        <v>1942</v>
      </c>
      <c r="P86" s="369"/>
      <c r="Q86" s="3060" t="s">
        <v>7042</v>
      </c>
      <c r="R86" s="3135"/>
      <c r="S86" s="3136"/>
    </row>
    <row r="87" spans="2:19" s="323" customFormat="1" ht="11.25" customHeight="1">
      <c r="D87" s="370"/>
      <c r="E87" s="328" t="s">
        <v>999</v>
      </c>
      <c r="F87" s="337"/>
      <c r="H87" s="2967" t="s">
        <v>7068</v>
      </c>
      <c r="I87" s="3143"/>
      <c r="J87" s="3143"/>
      <c r="K87" s="3144"/>
      <c r="L87" s="3143"/>
      <c r="M87" s="3143"/>
      <c r="N87" s="3145"/>
      <c r="O87" s="369" t="s">
        <v>1704</v>
      </c>
      <c r="P87" s="371"/>
      <c r="Q87" s="2900" t="s">
        <v>7070</v>
      </c>
      <c r="R87" s="2946"/>
      <c r="S87" s="2947"/>
    </row>
    <row r="88" spans="2:19" s="323" customFormat="1" ht="11.25" customHeight="1">
      <c r="D88" s="370"/>
      <c r="E88" s="328" t="s">
        <v>600</v>
      </c>
      <c r="H88" s="2967" t="s">
        <v>7064</v>
      </c>
      <c r="I88" s="3144"/>
      <c r="J88" s="2973"/>
      <c r="K88" s="564" t="s">
        <v>2625</v>
      </c>
      <c r="L88" s="2967" t="s">
        <v>7069</v>
      </c>
      <c r="M88" s="3143"/>
      <c r="N88" s="2973"/>
      <c r="O88" s="369" t="s">
        <v>1679</v>
      </c>
      <c r="P88" s="371"/>
      <c r="Q88" s="2897">
        <v>9899219706</v>
      </c>
      <c r="R88" s="2898"/>
      <c r="S88" s="2899"/>
    </row>
    <row r="89" spans="2:19" s="323" customFormat="1" ht="11.25" customHeight="1">
      <c r="E89" s="328" t="s">
        <v>1754</v>
      </c>
      <c r="H89" s="1524" t="s">
        <v>840</v>
      </c>
      <c r="I89" s="371"/>
      <c r="J89" s="371"/>
      <c r="K89" s="974" t="s">
        <v>2173</v>
      </c>
      <c r="L89" s="3036">
        <v>486042830</v>
      </c>
      <c r="M89" s="3146"/>
      <c r="N89" s="371"/>
      <c r="O89" s="369" t="s">
        <v>1932</v>
      </c>
      <c r="P89" s="371"/>
      <c r="Q89" s="2897">
        <v>9892334656</v>
      </c>
      <c r="R89" s="2898"/>
      <c r="S89" s="2899"/>
    </row>
    <row r="90" spans="2:19" s="323" customFormat="1" ht="11.25" customHeight="1">
      <c r="D90" s="370"/>
      <c r="E90" s="328" t="s">
        <v>3901</v>
      </c>
      <c r="H90" s="3133">
        <v>9899219706</v>
      </c>
      <c r="I90" s="3134"/>
      <c r="J90" s="354"/>
      <c r="K90" s="372" t="s">
        <v>1937</v>
      </c>
      <c r="L90" s="2894" t="s">
        <v>7065</v>
      </c>
      <c r="M90" s="2895"/>
      <c r="N90" s="3029"/>
      <c r="O90" s="3029"/>
      <c r="P90" s="3029"/>
      <c r="Q90" s="2895"/>
      <c r="R90" s="2895"/>
      <c r="S90" s="2896"/>
    </row>
    <row r="91" spans="2:19" ht="6.6"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3060" t="s">
        <v>7071</v>
      </c>
      <c r="I92" s="3135"/>
      <c r="J92" s="3135"/>
      <c r="K92" s="3135"/>
      <c r="L92" s="3135"/>
      <c r="M92" s="3135"/>
      <c r="N92" s="3136"/>
      <c r="O92" s="369" t="s">
        <v>1942</v>
      </c>
      <c r="P92" s="369"/>
      <c r="Q92" s="3060" t="s">
        <v>7076</v>
      </c>
      <c r="R92" s="3135"/>
      <c r="S92" s="3136"/>
    </row>
    <row r="93" spans="2:19" s="323" customFormat="1" ht="11.25" customHeight="1">
      <c r="D93" s="370"/>
      <c r="E93" s="328" t="s">
        <v>999</v>
      </c>
      <c r="F93" s="337"/>
      <c r="H93" s="2967" t="s">
        <v>7072</v>
      </c>
      <c r="I93" s="3143"/>
      <c r="J93" s="3143"/>
      <c r="K93" s="3144"/>
      <c r="L93" s="3143"/>
      <c r="M93" s="3143"/>
      <c r="N93" s="3145"/>
      <c r="O93" s="369" t="s">
        <v>1704</v>
      </c>
      <c r="P93" s="371"/>
      <c r="Q93" s="2900" t="s">
        <v>7070</v>
      </c>
      <c r="R93" s="2946"/>
      <c r="S93" s="2947"/>
    </row>
    <row r="94" spans="2:19" s="323" customFormat="1" ht="11.25" customHeight="1">
      <c r="D94" s="370"/>
      <c r="E94" s="328" t="s">
        <v>600</v>
      </c>
      <c r="H94" s="2967" t="s">
        <v>7073</v>
      </c>
      <c r="I94" s="3144"/>
      <c r="J94" s="2973"/>
      <c r="K94" s="564" t="s">
        <v>2625</v>
      </c>
      <c r="L94" s="2967" t="s">
        <v>7074</v>
      </c>
      <c r="M94" s="3143"/>
      <c r="N94" s="2973"/>
      <c r="O94" s="369" t="s">
        <v>1679</v>
      </c>
      <c r="P94" s="371"/>
      <c r="Q94" s="2897">
        <v>2059803245</v>
      </c>
      <c r="R94" s="2898"/>
      <c r="S94" s="2899"/>
    </row>
    <row r="95" spans="2:19" s="323" customFormat="1" ht="11.25" customHeight="1">
      <c r="D95" s="370"/>
      <c r="E95" s="328" t="s">
        <v>1754</v>
      </c>
      <c r="H95" s="1524" t="s">
        <v>818</v>
      </c>
      <c r="I95" s="371"/>
      <c r="J95" s="371"/>
      <c r="K95" s="974" t="s">
        <v>2173</v>
      </c>
      <c r="L95" s="3036">
        <v>352420000</v>
      </c>
      <c r="M95" s="3146"/>
      <c r="N95" s="371"/>
      <c r="O95" s="369" t="s">
        <v>1932</v>
      </c>
      <c r="P95" s="371"/>
      <c r="Q95" s="2897"/>
      <c r="R95" s="2898"/>
      <c r="S95" s="2899"/>
    </row>
    <row r="96" spans="2:19" s="323" customFormat="1" ht="11.25" customHeight="1">
      <c r="D96" s="370"/>
      <c r="E96" s="328" t="s">
        <v>3901</v>
      </c>
      <c r="H96" s="3133">
        <v>2059803245</v>
      </c>
      <c r="I96" s="3134"/>
      <c r="J96" s="354"/>
      <c r="K96" s="372" t="s">
        <v>1937</v>
      </c>
      <c r="L96" s="2894" t="s">
        <v>7075</v>
      </c>
      <c r="M96" s="2895"/>
      <c r="N96" s="3029"/>
      <c r="O96" s="3029"/>
      <c r="P96" s="3029"/>
      <c r="Q96" s="2895"/>
      <c r="R96" s="2895"/>
      <c r="S96" s="2896"/>
    </row>
    <row r="97" spans="2:19" ht="6.6" customHeight="1">
      <c r="H97" s="381"/>
      <c r="I97" s="381"/>
      <c r="J97" s="381"/>
      <c r="K97" s="372"/>
      <c r="L97" s="381"/>
      <c r="M97" s="381"/>
      <c r="N97" s="379"/>
      <c r="O97" s="380"/>
      <c r="P97" s="380"/>
      <c r="Q97" s="372"/>
      <c r="R97" s="380"/>
      <c r="S97" s="380"/>
    </row>
    <row r="98" spans="2:19" s="323" customFormat="1" ht="11.25" customHeight="1">
      <c r="B98" s="325" t="s">
        <v>2065</v>
      </c>
      <c r="C98" s="325" t="s">
        <v>284</v>
      </c>
      <c r="H98" s="3060" t="s">
        <v>7077</v>
      </c>
      <c r="I98" s="3135"/>
      <c r="J98" s="3135"/>
      <c r="K98" s="3135"/>
      <c r="L98" s="3135"/>
      <c r="M98" s="3135"/>
      <c r="N98" s="3136"/>
      <c r="O98" s="369" t="s">
        <v>1942</v>
      </c>
      <c r="P98" s="369"/>
      <c r="Q98" s="3060" t="s">
        <v>7081</v>
      </c>
      <c r="R98" s="3135"/>
      <c r="S98" s="3136"/>
    </row>
    <row r="99" spans="2:19" s="323" customFormat="1" ht="11.25" customHeight="1">
      <c r="D99" s="370"/>
      <c r="E99" s="328" t="s">
        <v>999</v>
      </c>
      <c r="F99" s="337"/>
      <c r="H99" s="2967" t="s">
        <v>7078</v>
      </c>
      <c r="I99" s="3143"/>
      <c r="J99" s="3143"/>
      <c r="K99" s="3144"/>
      <c r="L99" s="3143"/>
      <c r="M99" s="3143"/>
      <c r="N99" s="3145"/>
      <c r="O99" s="369" t="s">
        <v>1704</v>
      </c>
      <c r="P99" s="371"/>
      <c r="Q99" s="2900" t="s">
        <v>7082</v>
      </c>
      <c r="R99" s="2946"/>
      <c r="S99" s="2947"/>
    </row>
    <row r="100" spans="2:19" s="323" customFormat="1" ht="11.25" customHeight="1">
      <c r="D100" s="370"/>
      <c r="E100" s="328" t="s">
        <v>600</v>
      </c>
      <c r="H100" s="2967" t="s">
        <v>1654</v>
      </c>
      <c r="I100" s="3144"/>
      <c r="J100" s="2973"/>
      <c r="K100" s="564" t="s">
        <v>2625</v>
      </c>
      <c r="L100" s="2967" t="s">
        <v>7079</v>
      </c>
      <c r="M100" s="3143"/>
      <c r="N100" s="2973"/>
      <c r="O100" s="369" t="s">
        <v>1679</v>
      </c>
      <c r="P100" s="371"/>
      <c r="Q100" s="2897">
        <v>2296718260</v>
      </c>
      <c r="R100" s="2898"/>
      <c r="S100" s="2899"/>
    </row>
    <row r="101" spans="2:19" s="323" customFormat="1" ht="11.25" customHeight="1">
      <c r="D101" s="370"/>
      <c r="E101" s="328" t="s">
        <v>1754</v>
      </c>
      <c r="H101" s="1524" t="s">
        <v>828</v>
      </c>
      <c r="I101" s="371"/>
      <c r="J101" s="371"/>
      <c r="K101" s="974" t="s">
        <v>2173</v>
      </c>
      <c r="L101" s="3036">
        <v>316014531</v>
      </c>
      <c r="M101" s="3146"/>
      <c r="N101" s="371"/>
      <c r="O101" s="369" t="s">
        <v>1932</v>
      </c>
      <c r="P101" s="371"/>
      <c r="Q101" s="2897">
        <v>2298349704</v>
      </c>
      <c r="R101" s="2898"/>
      <c r="S101" s="2899"/>
    </row>
    <row r="102" spans="2:19" ht="11.25" customHeight="1">
      <c r="E102" s="328" t="s">
        <v>3901</v>
      </c>
      <c r="F102" s="323"/>
      <c r="G102" s="323"/>
      <c r="H102" s="3133">
        <v>2292427562</v>
      </c>
      <c r="I102" s="3134"/>
      <c r="J102" s="354"/>
      <c r="K102" s="372" t="s">
        <v>1937</v>
      </c>
      <c r="L102" s="2894" t="s">
        <v>7080</v>
      </c>
      <c r="M102" s="2895"/>
      <c r="N102" s="3029"/>
      <c r="O102" s="3029"/>
      <c r="P102" s="3029"/>
      <c r="Q102" s="2895"/>
      <c r="R102" s="2895"/>
      <c r="S102" s="2896"/>
    </row>
    <row r="103" spans="2:19" ht="6" customHeight="1">
      <c r="E103" s="328"/>
      <c r="F103" s="323"/>
      <c r="G103" s="1198"/>
      <c r="H103" s="381"/>
      <c r="I103" s="381"/>
      <c r="J103" s="381"/>
      <c r="K103" s="372"/>
      <c r="L103" s="381"/>
      <c r="M103" s="381"/>
      <c r="N103" s="379"/>
      <c r="O103" s="380"/>
      <c r="P103" s="380"/>
      <c r="Q103" s="372"/>
      <c r="R103" s="380"/>
      <c r="S103" s="380"/>
    </row>
    <row r="104" spans="2:19" s="323" customFormat="1" ht="11.25" customHeight="1">
      <c r="B104" s="325" t="s">
        <v>1692</v>
      </c>
      <c r="C104" s="325" t="s">
        <v>285</v>
      </c>
      <c r="H104" s="3060" t="s">
        <v>7083</v>
      </c>
      <c r="I104" s="3135"/>
      <c r="J104" s="3135"/>
      <c r="K104" s="3135"/>
      <c r="L104" s="3135"/>
      <c r="M104" s="3135"/>
      <c r="N104" s="3136"/>
      <c r="O104" s="369" t="s">
        <v>1942</v>
      </c>
      <c r="P104" s="369"/>
      <c r="Q104" s="3060" t="s">
        <v>7087</v>
      </c>
      <c r="R104" s="3135"/>
      <c r="S104" s="3136"/>
    </row>
    <row r="105" spans="2:19" s="323" customFormat="1" ht="11.25" customHeight="1">
      <c r="D105" s="370"/>
      <c r="E105" s="328" t="s">
        <v>999</v>
      </c>
      <c r="F105" s="337"/>
      <c r="H105" s="2967" t="s">
        <v>7084</v>
      </c>
      <c r="I105" s="3143"/>
      <c r="J105" s="3143"/>
      <c r="K105" s="3144"/>
      <c r="L105" s="3143"/>
      <c r="M105" s="3143"/>
      <c r="N105" s="3145"/>
      <c r="O105" s="369" t="s">
        <v>1704</v>
      </c>
      <c r="P105" s="371"/>
      <c r="Q105" s="2900" t="s">
        <v>7088</v>
      </c>
      <c r="R105" s="2946"/>
      <c r="S105" s="2947"/>
    </row>
    <row r="106" spans="2:19" s="323" customFormat="1" ht="11.25" customHeight="1">
      <c r="D106" s="370"/>
      <c r="E106" s="328" t="s">
        <v>600</v>
      </c>
      <c r="H106" s="2967" t="s">
        <v>7073</v>
      </c>
      <c r="I106" s="3144"/>
      <c r="J106" s="2973"/>
      <c r="K106" s="564" t="s">
        <v>2625</v>
      </c>
      <c r="L106" s="2967" t="s">
        <v>7085</v>
      </c>
      <c r="M106" s="3143"/>
      <c r="N106" s="2973"/>
      <c r="O106" s="369" t="s">
        <v>1679</v>
      </c>
      <c r="P106" s="371"/>
      <c r="Q106" s="2897"/>
      <c r="R106" s="2898"/>
      <c r="S106" s="2899"/>
    </row>
    <row r="107" spans="2:19" s="323" customFormat="1" ht="11.25" customHeight="1">
      <c r="D107" s="370"/>
      <c r="E107" s="328" t="s">
        <v>1754</v>
      </c>
      <c r="H107" s="1524" t="s">
        <v>818</v>
      </c>
      <c r="I107" s="371"/>
      <c r="J107" s="371"/>
      <c r="K107" s="974" t="s">
        <v>2173</v>
      </c>
      <c r="L107" s="3036">
        <v>352044803</v>
      </c>
      <c r="M107" s="3146"/>
      <c r="N107" s="371"/>
      <c r="O107" s="369" t="s">
        <v>1932</v>
      </c>
      <c r="P107" s="371"/>
      <c r="Q107" s="2897">
        <v>3345461281</v>
      </c>
      <c r="R107" s="2898"/>
      <c r="S107" s="2899"/>
    </row>
    <row r="108" spans="2:19" ht="11.25" customHeight="1">
      <c r="E108" s="328" t="s">
        <v>3901</v>
      </c>
      <c r="F108" s="323"/>
      <c r="G108" s="323"/>
      <c r="H108" s="3133">
        <v>2058221010</v>
      </c>
      <c r="I108" s="3134"/>
      <c r="J108" s="354"/>
      <c r="K108" s="372" t="s">
        <v>1937</v>
      </c>
      <c r="L108" s="2894" t="s">
        <v>7086</v>
      </c>
      <c r="M108" s="2895"/>
      <c r="N108" s="3029"/>
      <c r="O108" s="3029"/>
      <c r="P108" s="3029"/>
      <c r="Q108" s="2895"/>
      <c r="R108" s="2895"/>
      <c r="S108" s="2896"/>
    </row>
    <row r="109" spans="2:19" ht="6.6" customHeight="1">
      <c r="E109" s="328"/>
      <c r="F109" s="323"/>
      <c r="G109" s="1198"/>
      <c r="H109" s="381"/>
      <c r="I109" s="381"/>
      <c r="J109" s="381"/>
      <c r="K109" s="372"/>
      <c r="L109" s="381"/>
      <c r="M109" s="381"/>
      <c r="N109" s="379"/>
      <c r="O109" s="380"/>
      <c r="P109" s="380"/>
      <c r="Q109" s="372"/>
      <c r="R109" s="380"/>
      <c r="S109" s="380"/>
    </row>
    <row r="110" spans="2:19" s="323" customFormat="1" ht="11.25" customHeight="1">
      <c r="B110" s="325" t="s">
        <v>1693</v>
      </c>
      <c r="C110" s="325" t="s">
        <v>286</v>
      </c>
      <c r="H110" s="3060" t="s">
        <v>7089</v>
      </c>
      <c r="I110" s="3135"/>
      <c r="J110" s="3135"/>
      <c r="K110" s="3135"/>
      <c r="L110" s="3135"/>
      <c r="M110" s="3135"/>
      <c r="N110" s="3136"/>
      <c r="O110" s="369" t="s">
        <v>1942</v>
      </c>
      <c r="P110" s="369"/>
      <c r="Q110" s="3060" t="s">
        <v>7094</v>
      </c>
      <c r="R110" s="3135"/>
      <c r="S110" s="3136"/>
    </row>
    <row r="111" spans="2:19" s="323" customFormat="1" ht="11.25" customHeight="1">
      <c r="D111" s="370"/>
      <c r="E111" s="328" t="s">
        <v>999</v>
      </c>
      <c r="F111" s="337"/>
      <c r="H111" s="2967" t="s">
        <v>7090</v>
      </c>
      <c r="I111" s="3143"/>
      <c r="J111" s="3143"/>
      <c r="K111" s="3144"/>
      <c r="L111" s="3143"/>
      <c r="M111" s="3143"/>
      <c r="N111" s="3145"/>
      <c r="O111" s="369" t="s">
        <v>1704</v>
      </c>
      <c r="P111" s="371"/>
      <c r="Q111" s="2900" t="s">
        <v>2410</v>
      </c>
      <c r="R111" s="2946"/>
      <c r="S111" s="2947"/>
    </row>
    <row r="112" spans="2:19" s="323" customFormat="1" ht="11.25" customHeight="1">
      <c r="D112" s="370"/>
      <c r="E112" s="328" t="s">
        <v>600</v>
      </c>
      <c r="H112" s="2967" t="s">
        <v>7091</v>
      </c>
      <c r="I112" s="3144"/>
      <c r="J112" s="2973"/>
      <c r="K112" s="564" t="s">
        <v>2625</v>
      </c>
      <c r="L112" s="2967" t="s">
        <v>7092</v>
      </c>
      <c r="M112" s="3143"/>
      <c r="N112" s="2973"/>
      <c r="O112" s="369" t="s">
        <v>1679</v>
      </c>
      <c r="P112" s="371"/>
      <c r="Q112" s="2897">
        <v>9725090088</v>
      </c>
      <c r="R112" s="2898"/>
      <c r="S112" s="2899"/>
    </row>
    <row r="113" spans="1:22" s="323" customFormat="1" ht="11.25" customHeight="1">
      <c r="D113" s="387"/>
      <c r="E113" s="328" t="s">
        <v>1754</v>
      </c>
      <c r="H113" s="1524" t="s">
        <v>1332</v>
      </c>
      <c r="I113" s="371"/>
      <c r="J113" s="371"/>
      <c r="K113" s="974" t="s">
        <v>2173</v>
      </c>
      <c r="L113" s="3036">
        <v>750745829</v>
      </c>
      <c r="M113" s="3146"/>
      <c r="N113" s="371"/>
      <c r="O113" s="369" t="s">
        <v>1932</v>
      </c>
      <c r="P113" s="371"/>
      <c r="Q113" s="2897">
        <v>9725670445</v>
      </c>
      <c r="R113" s="2898"/>
      <c r="S113" s="2899"/>
    </row>
    <row r="114" spans="1:22" s="323" customFormat="1" ht="11.25" customHeight="1">
      <c r="D114" s="387"/>
      <c r="E114" s="328" t="s">
        <v>3901</v>
      </c>
      <c r="H114" s="3133">
        <v>9725090088</v>
      </c>
      <c r="I114" s="3134"/>
      <c r="J114" s="354"/>
      <c r="K114" s="372" t="s">
        <v>1937</v>
      </c>
      <c r="L114" s="2894" t="s">
        <v>7093</v>
      </c>
      <c r="M114" s="2895"/>
      <c r="N114" s="3029"/>
      <c r="O114" s="3029"/>
      <c r="P114" s="3029"/>
      <c r="Q114" s="2895"/>
      <c r="R114" s="2895"/>
      <c r="S114" s="2896"/>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2536</v>
      </c>
      <c r="F116" s="325"/>
      <c r="G116" s="1203"/>
      <c r="H116" s="372"/>
      <c r="I116" s="372"/>
      <c r="J116" s="372"/>
      <c r="K116" s="372"/>
      <c r="L116" s="372"/>
      <c r="M116" s="372"/>
      <c r="N116" s="372"/>
      <c r="O116" s="372"/>
      <c r="P116" s="372"/>
      <c r="Q116" s="564"/>
      <c r="R116" s="371"/>
      <c r="S116" s="371"/>
    </row>
    <row r="117" spans="1:22" s="323" customFormat="1" ht="11.25" customHeight="1">
      <c r="B117" s="325" t="s">
        <v>1936</v>
      </c>
      <c r="C117" s="325" t="s">
        <v>3441</v>
      </c>
      <c r="H117" s="3060" t="s">
        <v>7095</v>
      </c>
      <c r="I117" s="3061"/>
      <c r="J117" s="3062"/>
      <c r="K117" s="372" t="s">
        <v>2410</v>
      </c>
      <c r="L117" s="3060" t="s">
        <v>7096</v>
      </c>
      <c r="M117" s="3135"/>
      <c r="N117" s="3136"/>
      <c r="O117" s="386" t="s">
        <v>3442</v>
      </c>
      <c r="P117" s="371"/>
      <c r="Q117" s="3059"/>
      <c r="R117" s="3137"/>
      <c r="S117" s="3138"/>
    </row>
    <row r="118" spans="1:22" s="323" customFormat="1" ht="11.25" customHeight="1">
      <c r="D118" s="370"/>
      <c r="E118" s="328" t="s">
        <v>999</v>
      </c>
      <c r="F118" s="337"/>
      <c r="H118" s="2948" t="s">
        <v>7097</v>
      </c>
      <c r="I118" s="3139"/>
      <c r="J118" s="3140"/>
      <c r="K118" s="2949"/>
      <c r="L118" s="3139"/>
      <c r="M118" s="3139"/>
      <c r="N118" s="3141"/>
      <c r="O118" s="386" t="s">
        <v>600</v>
      </c>
      <c r="P118" s="371"/>
      <c r="Q118" s="3142" t="s">
        <v>1303</v>
      </c>
      <c r="R118" s="2952"/>
      <c r="S118" s="2953"/>
    </row>
    <row r="119" spans="1:22" s="323" customFormat="1" ht="11.25" customHeight="1">
      <c r="D119" s="370"/>
      <c r="E119" s="328" t="s">
        <v>1754</v>
      </c>
      <c r="H119" s="1976" t="s">
        <v>828</v>
      </c>
      <c r="I119" s="974" t="s">
        <v>2173</v>
      </c>
      <c r="J119" s="2972">
        <v>309190000</v>
      </c>
      <c r="K119" s="2973"/>
      <c r="L119" s="372" t="s">
        <v>1937</v>
      </c>
      <c r="M119" s="2958" t="s">
        <v>7098</v>
      </c>
      <c r="N119" s="3029"/>
      <c r="O119" s="3029"/>
      <c r="P119" s="3029"/>
      <c r="Q119" s="2895"/>
      <c r="R119" s="2895"/>
      <c r="S119" s="2896"/>
    </row>
    <row r="120" spans="1:22" ht="12" customHeight="1">
      <c r="B120" s="325" t="s">
        <v>1938</v>
      </c>
      <c r="C120" s="325" t="s">
        <v>4440</v>
      </c>
      <c r="H120" s="686"/>
      <c r="I120" s="686"/>
      <c r="J120" s="686"/>
      <c r="K120" s="686"/>
      <c r="L120" s="686"/>
      <c r="M120" s="686"/>
      <c r="N120" s="686"/>
      <c r="O120" s="686"/>
      <c r="P120" s="686"/>
      <c r="Q120" s="686"/>
      <c r="R120" s="686"/>
      <c r="S120" s="686"/>
    </row>
    <row r="121" spans="1:22" ht="11.25" customHeight="1" thickBot="1">
      <c r="A121" s="3127" t="s">
        <v>3663</v>
      </c>
      <c r="B121" s="3127"/>
      <c r="C121" s="3127"/>
      <c r="D121" s="3127"/>
      <c r="E121" s="3128"/>
      <c r="F121" s="1980" t="s">
        <v>2444</v>
      </c>
      <c r="G121" s="3129" t="s">
        <v>3358</v>
      </c>
      <c r="H121" s="3130"/>
      <c r="I121" s="3130"/>
      <c r="J121" s="3130"/>
      <c r="K121" s="3130"/>
      <c r="L121" s="3130"/>
      <c r="M121" s="3130"/>
      <c r="N121" s="3130"/>
      <c r="O121" s="3130"/>
      <c r="P121" s="3130"/>
      <c r="Q121" s="3130"/>
      <c r="R121" s="3130"/>
      <c r="S121" s="3131"/>
    </row>
    <row r="122" spans="1:22" s="323" customFormat="1" ht="25.5" customHeight="1" thickBot="1">
      <c r="B122" s="556"/>
      <c r="C122" s="1288" t="s">
        <v>1939</v>
      </c>
      <c r="D122" s="3098" t="s">
        <v>2738</v>
      </c>
      <c r="E122" s="3098"/>
      <c r="F122" s="1895" t="s">
        <v>2886</v>
      </c>
      <c r="G122" s="3132" t="s">
        <v>7099</v>
      </c>
      <c r="H122" s="3092"/>
      <c r="I122" s="3092"/>
      <c r="J122" s="3092"/>
      <c r="K122" s="3092"/>
      <c r="L122" s="3092"/>
      <c r="M122" s="3092"/>
      <c r="N122" s="3092"/>
      <c r="O122" s="3092"/>
      <c r="P122" s="3092"/>
      <c r="Q122" s="3092"/>
      <c r="R122" s="3092"/>
      <c r="S122" s="3094"/>
      <c r="U122" s="3147" t="s">
        <v>1984</v>
      </c>
      <c r="V122" s="3147"/>
    </row>
    <row r="123" spans="1:22" s="323" customFormat="1" ht="25.5" customHeight="1" thickBot="1">
      <c r="B123" s="556"/>
      <c r="C123" s="682" t="s">
        <v>1941</v>
      </c>
      <c r="D123" s="2879" t="s">
        <v>2799</v>
      </c>
      <c r="E123" s="2979"/>
      <c r="F123" s="1895" t="s">
        <v>2889</v>
      </c>
      <c r="G123" s="3072"/>
      <c r="H123" s="3072"/>
      <c r="I123" s="3072"/>
      <c r="J123" s="3072"/>
      <c r="K123" s="3072"/>
      <c r="L123" s="3072"/>
      <c r="M123" s="3072"/>
      <c r="N123" s="3072"/>
      <c r="O123" s="3072"/>
      <c r="P123" s="3072"/>
      <c r="Q123" s="3072"/>
      <c r="R123" s="3072"/>
      <c r="S123" s="3074"/>
      <c r="U123" s="3147"/>
      <c r="V123" s="3147"/>
    </row>
    <row r="124" spans="1:22" s="323" customFormat="1" ht="25.5" customHeight="1" thickBot="1">
      <c r="B124" s="556"/>
      <c r="C124" s="682" t="s">
        <v>2468</v>
      </c>
      <c r="D124" s="2879" t="s">
        <v>2778</v>
      </c>
      <c r="E124" s="2979"/>
      <c r="F124" s="1895" t="s">
        <v>2886</v>
      </c>
      <c r="G124" s="3072" t="s">
        <v>7100</v>
      </c>
      <c r="H124" s="3072"/>
      <c r="I124" s="3072"/>
      <c r="J124" s="3072"/>
      <c r="K124" s="3072"/>
      <c r="L124" s="3072"/>
      <c r="M124" s="3072"/>
      <c r="N124" s="3072"/>
      <c r="O124" s="3072"/>
      <c r="P124" s="3072"/>
      <c r="Q124" s="3072"/>
      <c r="R124" s="3072"/>
      <c r="S124" s="3074"/>
      <c r="U124" s="3147"/>
      <c r="V124" s="3147"/>
    </row>
    <row r="125" spans="1:22" s="323" customFormat="1" ht="25.5" customHeight="1" thickBot="1">
      <c r="B125" s="556"/>
      <c r="C125" s="682" t="s">
        <v>1198</v>
      </c>
      <c r="D125" s="2879" t="s">
        <v>2739</v>
      </c>
      <c r="E125" s="2979"/>
      <c r="F125" s="1895" t="s">
        <v>2889</v>
      </c>
      <c r="G125" s="3072"/>
      <c r="H125" s="3072"/>
      <c r="I125" s="3072"/>
      <c r="J125" s="3072"/>
      <c r="K125" s="3072"/>
      <c r="L125" s="3072"/>
      <c r="M125" s="3072"/>
      <c r="N125" s="3072"/>
      <c r="O125" s="3072"/>
      <c r="P125" s="3072"/>
      <c r="Q125" s="3072"/>
      <c r="R125" s="3072"/>
      <c r="S125" s="3074"/>
      <c r="U125" s="3147"/>
      <c r="V125" s="3147"/>
    </row>
    <row r="126" spans="1:22" s="323" customFormat="1" ht="25.5" customHeight="1" thickBot="1">
      <c r="B126" s="556"/>
      <c r="C126" s="682" t="s">
        <v>1199</v>
      </c>
      <c r="D126" s="2879" t="s">
        <v>3349</v>
      </c>
      <c r="E126" s="2979"/>
      <c r="F126" s="1895" t="s">
        <v>2889</v>
      </c>
      <c r="G126" s="3072"/>
      <c r="H126" s="3072"/>
      <c r="I126" s="3072"/>
      <c r="J126" s="3072"/>
      <c r="K126" s="3072"/>
      <c r="L126" s="3072"/>
      <c r="M126" s="3072"/>
      <c r="N126" s="3072"/>
      <c r="O126" s="3072"/>
      <c r="P126" s="3072"/>
      <c r="Q126" s="3072"/>
      <c r="R126" s="3072"/>
      <c r="S126" s="3074"/>
      <c r="U126" s="3147"/>
      <c r="V126" s="3147"/>
    </row>
    <row r="127" spans="1:22" s="323" customFormat="1" ht="25.5" customHeight="1" thickBot="1">
      <c r="B127" s="556"/>
      <c r="C127" s="682" t="s">
        <v>1834</v>
      </c>
      <c r="D127" s="2879" t="s">
        <v>3350</v>
      </c>
      <c r="E127" s="2979"/>
      <c r="F127" s="1895" t="s">
        <v>2889</v>
      </c>
      <c r="G127" s="3072"/>
      <c r="H127" s="3072"/>
      <c r="I127" s="3072"/>
      <c r="J127" s="3072"/>
      <c r="K127" s="3072"/>
      <c r="L127" s="3072"/>
      <c r="M127" s="3072"/>
      <c r="N127" s="3072"/>
      <c r="O127" s="3072"/>
      <c r="P127" s="3072"/>
      <c r="Q127" s="3072"/>
      <c r="R127" s="3072"/>
      <c r="S127" s="3074"/>
      <c r="U127" s="3147"/>
      <c r="V127" s="3147"/>
    </row>
    <row r="128" spans="1:22" s="323" customFormat="1" ht="25.5" customHeight="1" thickBot="1">
      <c r="B128" s="556"/>
      <c r="C128" s="682" t="s">
        <v>492</v>
      </c>
      <c r="D128" s="2879" t="s">
        <v>2740</v>
      </c>
      <c r="E128" s="2979"/>
      <c r="F128" s="1895" t="s">
        <v>2889</v>
      </c>
      <c r="G128" s="3072"/>
      <c r="H128" s="3072"/>
      <c r="I128" s="3072"/>
      <c r="J128" s="3072"/>
      <c r="K128" s="3072"/>
      <c r="L128" s="3072"/>
      <c r="M128" s="3072"/>
      <c r="N128" s="3072"/>
      <c r="O128" s="3072"/>
      <c r="P128" s="3072"/>
      <c r="Q128" s="3072"/>
      <c r="R128" s="3072"/>
      <c r="S128" s="3074"/>
    </row>
    <row r="129" spans="1:22" s="323" customFormat="1" ht="25.5" customHeight="1" thickBot="1">
      <c r="B129" s="556"/>
      <c r="C129" s="682" t="s">
        <v>493</v>
      </c>
      <c r="D129" s="2879" t="s">
        <v>4454</v>
      </c>
      <c r="E129" s="2979"/>
      <c r="F129" s="1895" t="s">
        <v>2889</v>
      </c>
      <c r="G129" s="3072"/>
      <c r="H129" s="3072"/>
      <c r="I129" s="3072"/>
      <c r="J129" s="3072"/>
      <c r="K129" s="3072"/>
      <c r="L129" s="3072"/>
      <c r="M129" s="3072"/>
      <c r="N129" s="3072"/>
      <c r="O129" s="3072"/>
      <c r="P129" s="3072"/>
      <c r="Q129" s="3072"/>
      <c r="R129" s="3072"/>
      <c r="S129" s="3074"/>
    </row>
    <row r="130" spans="1:22" s="323" customFormat="1" ht="25.5" customHeight="1" thickBot="1">
      <c r="B130" s="556"/>
      <c r="C130" s="682" t="s">
        <v>4453</v>
      </c>
      <c r="D130" s="3095" t="s">
        <v>3662</v>
      </c>
      <c r="E130" s="3096"/>
      <c r="F130" s="1895" t="s">
        <v>2889</v>
      </c>
      <c r="G130" s="3079"/>
      <c r="H130" s="3079"/>
      <c r="I130" s="3079"/>
      <c r="J130" s="3079"/>
      <c r="K130" s="3079"/>
      <c r="L130" s="3079"/>
      <c r="M130" s="3079"/>
      <c r="N130" s="3079"/>
      <c r="O130" s="3079"/>
      <c r="P130" s="3079"/>
      <c r="Q130" s="3079"/>
      <c r="R130" s="3079"/>
      <c r="S130" s="3081"/>
    </row>
    <row r="131" spans="1:22" s="323" customFormat="1" ht="13.35" customHeight="1">
      <c r="A131" s="325" t="s">
        <v>1748</v>
      </c>
      <c r="B131" s="325" t="s">
        <v>2747</v>
      </c>
      <c r="F131" s="325"/>
      <c r="G131" s="1203"/>
      <c r="H131" s="1203"/>
      <c r="I131" s="1203"/>
      <c r="J131" s="1203"/>
      <c r="K131" s="1203"/>
      <c r="L131" s="1203"/>
      <c r="M131" s="1203"/>
      <c r="N131" s="1203"/>
      <c r="O131" s="1203"/>
      <c r="P131" s="1203"/>
      <c r="Q131" s="1191"/>
    </row>
    <row r="132" spans="1:22" s="323" customFormat="1" ht="2.25" customHeight="1">
      <c r="A132" s="325"/>
      <c r="B132" s="325"/>
      <c r="F132" s="325"/>
      <c r="G132" s="1203"/>
      <c r="H132" s="1203"/>
      <c r="I132" s="1203"/>
      <c r="J132" s="1203"/>
      <c r="K132" s="1203"/>
      <c r="L132" s="1203"/>
      <c r="M132" s="1203"/>
      <c r="N132" s="1203"/>
      <c r="O132" s="1203"/>
      <c r="P132" s="1203"/>
      <c r="Q132" s="1191"/>
    </row>
    <row r="133" spans="1:22" ht="13.35" customHeight="1">
      <c r="B133" s="325" t="s">
        <v>731</v>
      </c>
      <c r="C133" s="325" t="s">
        <v>4441</v>
      </c>
    </row>
    <row r="134" spans="1:22" s="323" customFormat="1" ht="13.5" customHeight="1">
      <c r="A134" s="3097" t="s">
        <v>622</v>
      </c>
      <c r="B134" s="3098"/>
      <c r="C134" s="3098"/>
      <c r="D134" s="3098"/>
      <c r="E134" s="3102" t="s">
        <v>3334</v>
      </c>
      <c r="F134" s="3103"/>
      <c r="G134" s="3103"/>
      <c r="H134" s="3103"/>
      <c r="I134" s="3104"/>
      <c r="J134" s="3108" t="s">
        <v>3335</v>
      </c>
      <c r="K134" s="3111" t="s">
        <v>2805</v>
      </c>
      <c r="L134" s="3111" t="s">
        <v>2806</v>
      </c>
      <c r="M134" s="3114" t="s">
        <v>3343</v>
      </c>
      <c r="N134" s="3115"/>
      <c r="O134" s="3115"/>
      <c r="P134" s="3115"/>
      <c r="Q134" s="3115"/>
      <c r="R134" s="3115"/>
      <c r="S134" s="3116"/>
    </row>
    <row r="135" spans="1:22" s="323" customFormat="1" ht="13.5" customHeight="1">
      <c r="A135" s="3099"/>
      <c r="B135" s="2979"/>
      <c r="C135" s="2979"/>
      <c r="D135" s="2979"/>
      <c r="E135" s="3105"/>
      <c r="F135" s="3106"/>
      <c r="G135" s="3106"/>
      <c r="H135" s="3106"/>
      <c r="I135" s="3107"/>
      <c r="J135" s="3109"/>
      <c r="K135" s="3112"/>
      <c r="L135" s="3112"/>
      <c r="M135" s="3117"/>
      <c r="N135" s="3118"/>
      <c r="O135" s="3118"/>
      <c r="P135" s="3118"/>
      <c r="Q135" s="3118"/>
      <c r="R135" s="3118"/>
      <c r="S135" s="3119"/>
    </row>
    <row r="136" spans="1:22" s="323" customFormat="1" ht="13.5" customHeight="1">
      <c r="A136" s="3099"/>
      <c r="B136" s="2979"/>
      <c r="C136" s="2979"/>
      <c r="D136" s="2979"/>
      <c r="E136" s="3105"/>
      <c r="F136" s="3106"/>
      <c r="G136" s="3106"/>
      <c r="H136" s="3106"/>
      <c r="I136" s="3107"/>
      <c r="J136" s="3109"/>
      <c r="K136" s="3112"/>
      <c r="L136" s="3112"/>
      <c r="M136" s="3117"/>
      <c r="N136" s="3118"/>
      <c r="O136" s="3118"/>
      <c r="P136" s="3118"/>
      <c r="Q136" s="3118"/>
      <c r="R136" s="3118"/>
      <c r="S136" s="3119"/>
    </row>
    <row r="137" spans="1:22" s="323" customFormat="1" ht="23.25" customHeight="1">
      <c r="A137" s="3099"/>
      <c r="B137" s="2979"/>
      <c r="C137" s="2979"/>
      <c r="D137" s="2979"/>
      <c r="E137" s="3120" t="s">
        <v>3541</v>
      </c>
      <c r="F137" s="3121"/>
      <c r="G137" s="3121"/>
      <c r="H137" s="3122"/>
      <c r="I137" s="687"/>
      <c r="J137" s="3109"/>
      <c r="K137" s="3112"/>
      <c r="L137" s="3112"/>
      <c r="M137" s="3117"/>
      <c r="N137" s="3118"/>
      <c r="O137" s="3118"/>
      <c r="P137" s="3118"/>
      <c r="Q137" s="3118"/>
      <c r="R137" s="3118"/>
      <c r="S137" s="3119"/>
    </row>
    <row r="138" spans="1:22" s="323" customFormat="1" ht="13.5" customHeight="1">
      <c r="A138" s="3100"/>
      <c r="B138" s="3101"/>
      <c r="C138" s="3101"/>
      <c r="D138" s="3101"/>
      <c r="E138" s="3123"/>
      <c r="F138" s="3124"/>
      <c r="G138" s="3124"/>
      <c r="H138" s="3125"/>
      <c r="I138" s="1896" t="s">
        <v>2444</v>
      </c>
      <c r="J138" s="3110"/>
      <c r="K138" s="3113"/>
      <c r="L138" s="3112"/>
      <c r="M138" s="1897" t="s">
        <v>2444</v>
      </c>
      <c r="N138" s="3055" t="s">
        <v>2804</v>
      </c>
      <c r="O138" s="3055"/>
      <c r="P138" s="3055"/>
      <c r="Q138" s="3055"/>
      <c r="R138" s="3055"/>
      <c r="S138" s="3126"/>
    </row>
    <row r="139" spans="1:22" s="323" customFormat="1" ht="24" customHeight="1">
      <c r="A139" s="3088" t="s">
        <v>3329</v>
      </c>
      <c r="B139" s="3089"/>
      <c r="C139" s="3089"/>
      <c r="D139" s="3090"/>
      <c r="E139" s="3091" t="s">
        <v>7101</v>
      </c>
      <c r="F139" s="3092"/>
      <c r="G139" s="3092"/>
      <c r="H139" s="3092"/>
      <c r="I139" s="935" t="s">
        <v>2889</v>
      </c>
      <c r="J139" s="683" t="s">
        <v>2889</v>
      </c>
      <c r="K139" s="688" t="s">
        <v>7049</v>
      </c>
      <c r="L139" s="938">
        <v>4.0000000000000003E-5</v>
      </c>
      <c r="M139" s="689" t="s">
        <v>2886</v>
      </c>
      <c r="N139" s="3093" t="s">
        <v>7102</v>
      </c>
      <c r="O139" s="3092"/>
      <c r="P139" s="3092"/>
      <c r="Q139" s="3092"/>
      <c r="R139" s="3092"/>
      <c r="S139" s="3094"/>
    </row>
    <row r="140" spans="1:22" s="323" customFormat="1" ht="24" customHeight="1">
      <c r="A140" s="3068" t="s">
        <v>3330</v>
      </c>
      <c r="B140" s="3069"/>
      <c r="C140" s="3069"/>
      <c r="D140" s="3070"/>
      <c r="E140" s="3071" t="s">
        <v>7052</v>
      </c>
      <c r="F140" s="3072"/>
      <c r="G140" s="3072"/>
      <c r="H140" s="3072"/>
      <c r="I140" s="936" t="s">
        <v>2889</v>
      </c>
      <c r="J140" s="684" t="s">
        <v>2889</v>
      </c>
      <c r="K140" s="690" t="s">
        <v>7049</v>
      </c>
      <c r="L140" s="939">
        <v>6.0000000000000002E-5</v>
      </c>
      <c r="M140" s="691" t="s">
        <v>2886</v>
      </c>
      <c r="N140" s="3073" t="s">
        <v>7102</v>
      </c>
      <c r="O140" s="3072"/>
      <c r="P140" s="3072"/>
      <c r="Q140" s="3072"/>
      <c r="R140" s="3072"/>
      <c r="S140" s="3074"/>
      <c r="U140" s="3147" t="s">
        <v>1984</v>
      </c>
      <c r="V140" s="3147"/>
    </row>
    <row r="141" spans="1:22" s="323" customFormat="1" ht="24" customHeight="1">
      <c r="A141" s="3068" t="s">
        <v>3331</v>
      </c>
      <c r="B141" s="3069"/>
      <c r="C141" s="3069"/>
      <c r="D141" s="3070"/>
      <c r="E141" s="3071"/>
      <c r="F141" s="3072"/>
      <c r="G141" s="3072"/>
      <c r="H141" s="3072"/>
      <c r="I141" s="936" t="s">
        <v>4385</v>
      </c>
      <c r="J141" s="684" t="s">
        <v>4385</v>
      </c>
      <c r="K141" s="690"/>
      <c r="L141" s="939"/>
      <c r="M141" s="691" t="s">
        <v>4385</v>
      </c>
      <c r="N141" s="3073"/>
      <c r="O141" s="3072"/>
      <c r="P141" s="3072"/>
      <c r="Q141" s="3072"/>
      <c r="R141" s="3072"/>
      <c r="S141" s="3074"/>
      <c r="U141" s="3147"/>
      <c r="V141" s="3147"/>
    </row>
    <row r="142" spans="1:22" s="323" customFormat="1" ht="24" customHeight="1">
      <c r="A142" s="3068" t="s">
        <v>3332</v>
      </c>
      <c r="B142" s="3069"/>
      <c r="C142" s="3069"/>
      <c r="D142" s="3070"/>
      <c r="E142" s="3071" t="s">
        <v>7054</v>
      </c>
      <c r="F142" s="3072"/>
      <c r="G142" s="3072"/>
      <c r="H142" s="3072"/>
      <c r="I142" s="936" t="s">
        <v>2889</v>
      </c>
      <c r="J142" s="684" t="s">
        <v>2889</v>
      </c>
      <c r="K142" s="690" t="s">
        <v>7049</v>
      </c>
      <c r="L142" s="939">
        <v>0.9899</v>
      </c>
      <c r="M142" s="691" t="s">
        <v>2889</v>
      </c>
      <c r="N142" s="3073"/>
      <c r="O142" s="3072"/>
      <c r="P142" s="3072"/>
      <c r="Q142" s="3072"/>
      <c r="R142" s="3072"/>
      <c r="S142" s="3074"/>
      <c r="U142" s="3147"/>
      <c r="V142" s="3147"/>
    </row>
    <row r="143" spans="1:22" s="323" customFormat="1" ht="24" customHeight="1">
      <c r="A143" s="3068" t="s">
        <v>3333</v>
      </c>
      <c r="B143" s="3069"/>
      <c r="C143" s="3069"/>
      <c r="D143" s="3070"/>
      <c r="E143" s="3071" t="s">
        <v>7054</v>
      </c>
      <c r="F143" s="3072"/>
      <c r="G143" s="3072"/>
      <c r="H143" s="3072"/>
      <c r="I143" s="936" t="s">
        <v>2889</v>
      </c>
      <c r="J143" s="684" t="s">
        <v>2889</v>
      </c>
      <c r="K143" s="2861" t="s">
        <v>7049</v>
      </c>
      <c r="L143" s="939">
        <v>0.01</v>
      </c>
      <c r="M143" s="691" t="s">
        <v>4385</v>
      </c>
      <c r="N143" s="3073"/>
      <c r="O143" s="3072"/>
      <c r="P143" s="3072"/>
      <c r="Q143" s="3072"/>
      <c r="R143" s="3072"/>
      <c r="S143" s="3074"/>
      <c r="U143" s="3147"/>
      <c r="V143" s="3147"/>
    </row>
    <row r="144" spans="1:22" s="323" customFormat="1" ht="24" customHeight="1">
      <c r="A144" s="3068" t="s">
        <v>2793</v>
      </c>
      <c r="B144" s="3069"/>
      <c r="C144" s="3069"/>
      <c r="D144" s="3070"/>
      <c r="E144" s="3071"/>
      <c r="F144" s="3072"/>
      <c r="G144" s="3072"/>
      <c r="H144" s="3072"/>
      <c r="I144" s="936" t="s">
        <v>4385</v>
      </c>
      <c r="J144" s="684" t="s">
        <v>4385</v>
      </c>
      <c r="K144" s="690"/>
      <c r="L144" s="939"/>
      <c r="M144" s="691" t="s">
        <v>4385</v>
      </c>
      <c r="N144" s="3073"/>
      <c r="O144" s="3072"/>
      <c r="P144" s="3072"/>
      <c r="Q144" s="3072"/>
      <c r="R144" s="3072"/>
      <c r="S144" s="3074"/>
      <c r="U144" s="3147"/>
      <c r="V144" s="3147"/>
    </row>
    <row r="145" spans="1:24" s="323" customFormat="1" ht="24" customHeight="1">
      <c r="A145" s="3068" t="s">
        <v>635</v>
      </c>
      <c r="B145" s="3069"/>
      <c r="C145" s="3069"/>
      <c r="D145" s="3070"/>
      <c r="E145" s="3071" t="s">
        <v>7060</v>
      </c>
      <c r="F145" s="3072"/>
      <c r="G145" s="3072"/>
      <c r="H145" s="3072"/>
      <c r="I145" s="936" t="s">
        <v>2889</v>
      </c>
      <c r="J145" s="684" t="s">
        <v>2889</v>
      </c>
      <c r="K145" s="690" t="s">
        <v>7049</v>
      </c>
      <c r="L145" s="939">
        <v>0</v>
      </c>
      <c r="M145" s="691" t="s">
        <v>2886</v>
      </c>
      <c r="N145" s="3073" t="s">
        <v>7102</v>
      </c>
      <c r="O145" s="3072"/>
      <c r="P145" s="3072"/>
      <c r="Q145" s="3072"/>
      <c r="R145" s="3072"/>
      <c r="S145" s="3074"/>
      <c r="U145" s="3147"/>
      <c r="V145" s="3147"/>
    </row>
    <row r="146" spans="1:24" s="323" customFormat="1" ht="24" customHeight="1">
      <c r="A146" s="3068" t="s">
        <v>2794</v>
      </c>
      <c r="B146" s="3069"/>
      <c r="C146" s="3069"/>
      <c r="D146" s="3070"/>
      <c r="E146" s="3071" t="s">
        <v>7043</v>
      </c>
      <c r="F146" s="3072"/>
      <c r="G146" s="3072"/>
      <c r="H146" s="3072"/>
      <c r="I146" s="936" t="s">
        <v>2889</v>
      </c>
      <c r="J146" s="684" t="s">
        <v>2889</v>
      </c>
      <c r="K146" s="2861" t="s">
        <v>7049</v>
      </c>
      <c r="L146" s="939">
        <v>0</v>
      </c>
      <c r="M146" s="691" t="s">
        <v>2886</v>
      </c>
      <c r="N146" s="3073" t="s">
        <v>7102</v>
      </c>
      <c r="O146" s="3072"/>
      <c r="P146" s="3072"/>
      <c r="Q146" s="3072"/>
      <c r="R146" s="3072"/>
      <c r="S146" s="3074"/>
    </row>
    <row r="147" spans="1:24" s="323" customFormat="1" ht="24" customHeight="1">
      <c r="A147" s="3068" t="s">
        <v>2795</v>
      </c>
      <c r="B147" s="3069"/>
      <c r="C147" s="3069"/>
      <c r="D147" s="3070"/>
      <c r="E147" s="3071" t="s">
        <v>7066</v>
      </c>
      <c r="F147" s="3072"/>
      <c r="G147" s="3072"/>
      <c r="H147" s="3072"/>
      <c r="I147" s="936" t="s">
        <v>2889</v>
      </c>
      <c r="J147" s="684" t="s">
        <v>2889</v>
      </c>
      <c r="K147" s="690" t="s">
        <v>7049</v>
      </c>
      <c r="L147" s="939">
        <v>0</v>
      </c>
      <c r="M147" s="691" t="s">
        <v>2886</v>
      </c>
      <c r="N147" s="3073" t="s">
        <v>7102</v>
      </c>
      <c r="O147" s="3072"/>
      <c r="P147" s="3072"/>
      <c r="Q147" s="3072"/>
      <c r="R147" s="3072"/>
      <c r="S147" s="3074"/>
    </row>
    <row r="148" spans="1:24" s="323" customFormat="1" ht="24" customHeight="1">
      <c r="A148" s="3068" t="s">
        <v>2797</v>
      </c>
      <c r="B148" s="3069"/>
      <c r="C148" s="3069"/>
      <c r="D148" s="3070"/>
      <c r="E148" s="3071"/>
      <c r="F148" s="3072"/>
      <c r="G148" s="3072"/>
      <c r="H148" s="3072"/>
      <c r="I148" s="936" t="s">
        <v>4385</v>
      </c>
      <c r="J148" s="684" t="s">
        <v>4385</v>
      </c>
      <c r="K148" s="690"/>
      <c r="L148" s="939"/>
      <c r="M148" s="691" t="s">
        <v>4385</v>
      </c>
      <c r="N148" s="3073"/>
      <c r="O148" s="3072"/>
      <c r="P148" s="3072"/>
      <c r="Q148" s="3072"/>
      <c r="R148" s="3072"/>
      <c r="S148" s="3074"/>
    </row>
    <row r="149" spans="1:24" s="323" customFormat="1" ht="24" customHeight="1">
      <c r="A149" s="3068" t="s">
        <v>2796</v>
      </c>
      <c r="B149" s="3069"/>
      <c r="C149" s="3069"/>
      <c r="D149" s="3070"/>
      <c r="E149" s="3071"/>
      <c r="F149" s="3072"/>
      <c r="G149" s="3072"/>
      <c r="H149" s="3072"/>
      <c r="I149" s="936" t="s">
        <v>4385</v>
      </c>
      <c r="J149" s="684" t="s">
        <v>4385</v>
      </c>
      <c r="K149" s="690"/>
      <c r="L149" s="939"/>
      <c r="M149" s="691" t="s">
        <v>4385</v>
      </c>
      <c r="N149" s="3073"/>
      <c r="O149" s="3072"/>
      <c r="P149" s="3072"/>
      <c r="Q149" s="3072"/>
      <c r="R149" s="3072"/>
      <c r="S149" s="3074"/>
    </row>
    <row r="150" spans="1:24" s="323" customFormat="1" ht="24" customHeight="1">
      <c r="A150" s="3068" t="s">
        <v>1497</v>
      </c>
      <c r="B150" s="3069"/>
      <c r="C150" s="3069"/>
      <c r="D150" s="3070"/>
      <c r="E150" s="3071" t="s">
        <v>7067</v>
      </c>
      <c r="F150" s="3072"/>
      <c r="G150" s="3072"/>
      <c r="H150" s="3072"/>
      <c r="I150" s="936" t="s">
        <v>2889</v>
      </c>
      <c r="J150" s="684" t="s">
        <v>2889</v>
      </c>
      <c r="K150" s="690" t="s">
        <v>7049</v>
      </c>
      <c r="L150" s="939">
        <v>0</v>
      </c>
      <c r="M150" s="691" t="s">
        <v>2886</v>
      </c>
      <c r="N150" s="3073" t="s">
        <v>7102</v>
      </c>
      <c r="O150" s="3072"/>
      <c r="P150" s="3072"/>
      <c r="Q150" s="3072"/>
      <c r="R150" s="3072"/>
      <c r="S150" s="3074"/>
    </row>
    <row r="151" spans="1:24" s="323" customFormat="1" ht="24" customHeight="1">
      <c r="A151" s="3075" t="s">
        <v>2798</v>
      </c>
      <c r="B151" s="3076"/>
      <c r="C151" s="3076"/>
      <c r="D151" s="3077"/>
      <c r="E151" s="3078" t="s">
        <v>7071</v>
      </c>
      <c r="F151" s="3079"/>
      <c r="G151" s="3079"/>
      <c r="H151" s="3079"/>
      <c r="I151" s="937" t="s">
        <v>2889</v>
      </c>
      <c r="J151" s="685" t="s">
        <v>2889</v>
      </c>
      <c r="K151" s="692" t="s">
        <v>7049</v>
      </c>
      <c r="L151" s="940">
        <v>0</v>
      </c>
      <c r="M151" s="693" t="s">
        <v>2889</v>
      </c>
      <c r="N151" s="3080"/>
      <c r="O151" s="3079"/>
      <c r="P151" s="3079"/>
      <c r="Q151" s="3079"/>
      <c r="R151" s="3079"/>
      <c r="S151" s="3081"/>
    </row>
    <row r="152" spans="1:24" s="1198" customFormat="1" ht="12" customHeight="1">
      <c r="G152" s="335"/>
      <c r="H152" s="335"/>
      <c r="I152" s="335"/>
      <c r="J152" s="1203"/>
      <c r="K152" s="352" t="s">
        <v>524</v>
      </c>
      <c r="L152" s="616">
        <f>SUM(L139:L151)</f>
        <v>1</v>
      </c>
      <c r="M152" s="1203"/>
      <c r="P152" s="333"/>
    </row>
    <row r="153" spans="1:24" ht="11.25" customHeight="1">
      <c r="A153" s="353" t="s">
        <v>516</v>
      </c>
      <c r="B153" s="368"/>
      <c r="C153" s="353" t="s">
        <v>555</v>
      </c>
      <c r="N153" s="353" t="s">
        <v>516</v>
      </c>
      <c r="O153" s="353" t="s">
        <v>77</v>
      </c>
    </row>
    <row r="154" spans="1:24" ht="60" customHeight="1">
      <c r="A154" s="3082" t="s">
        <v>7103</v>
      </c>
      <c r="B154" s="3083"/>
      <c r="C154" s="3083"/>
      <c r="D154" s="3083"/>
      <c r="E154" s="3083"/>
      <c r="F154" s="3083"/>
      <c r="G154" s="3083"/>
      <c r="H154" s="3083"/>
      <c r="I154" s="3083"/>
      <c r="J154" s="3083"/>
      <c r="K154" s="3083"/>
      <c r="L154" s="3083"/>
      <c r="M154" s="3084"/>
      <c r="N154" s="3085"/>
      <c r="O154" s="3086"/>
      <c r="P154" s="3086"/>
      <c r="Q154" s="3086"/>
      <c r="R154" s="3086"/>
      <c r="S154" s="3087"/>
      <c r="T154" s="2878" t="s">
        <v>2614</v>
      </c>
      <c r="U154" s="2878"/>
      <c r="V154" s="2878"/>
      <c r="W154" s="2878"/>
      <c r="X154" s="2878"/>
    </row>
    <row r="155" spans="1:24" s="323" customFormat="1" ht="12" customHeight="1">
      <c r="A155" s="329"/>
      <c r="B155" s="344"/>
      <c r="C155" s="344"/>
      <c r="D155" s="344"/>
      <c r="E155" s="344"/>
      <c r="F155" s="344"/>
      <c r="G155" s="344"/>
      <c r="H155" s="344"/>
      <c r="I155" s="344"/>
      <c r="J155" s="344"/>
      <c r="K155" s="344"/>
      <c r="L155" s="344"/>
      <c r="M155" s="344"/>
      <c r="N155" s="344"/>
      <c r="O155" s="344"/>
      <c r="T155" s="2878"/>
      <c r="U155" s="2878"/>
      <c r="V155" s="2878"/>
      <c r="W155" s="2878"/>
      <c r="X155" s="2878"/>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activeCell="P43" sqref="P43:Q43"/>
    </sheetView>
  </sheetViews>
  <sheetFormatPr defaultColWidth="9.109375" defaultRowHeight="13.2"/>
  <cols>
    <col min="1" max="1" width="4.109375" style="391" customWidth="1"/>
    <col min="2" max="17" width="8.109375" style="391" customWidth="1"/>
    <col min="18" max="18" width="3.109375" style="391" customWidth="1"/>
    <col min="19" max="19" width="13.5546875" style="391" customWidth="1"/>
    <col min="20" max="20" width="98.88671875" style="391" customWidth="1"/>
    <col min="21" max="16384" width="9.109375" style="391"/>
  </cols>
  <sheetData>
    <row r="1" spans="1:20" s="298" customFormat="1" ht="14.1" customHeight="1">
      <c r="A1" s="3148" t="str">
        <f>CONCATENATE("PART THREE - SOURCES OF FUNDS","  -  ",'Part I-Project Information'!$O$6," ",'Part I-Project Information'!$F$34,", ",'Part I-Project Information'!$F$38,", ",'Part I-Project Information'!$J$39," County")</f>
        <v>PART THREE - SOURCES OF FUNDS  -  2020-5 Lakeview Terrace, Augusta, Richmond County</v>
      </c>
      <c r="B1" s="3149"/>
      <c r="C1" s="3149"/>
      <c r="D1" s="3149"/>
      <c r="E1" s="3149"/>
      <c r="F1" s="3149"/>
      <c r="G1" s="3149"/>
      <c r="H1" s="3149"/>
      <c r="I1" s="3149"/>
      <c r="J1" s="3149"/>
      <c r="K1" s="3149"/>
      <c r="L1" s="3149"/>
      <c r="M1" s="3149"/>
      <c r="N1" s="3149"/>
      <c r="O1" s="3149"/>
      <c r="P1" s="3149"/>
      <c r="Q1" s="3150"/>
      <c r="S1" s="3264" t="str">
        <f>$A$1</f>
        <v>PART THREE - SOURCES OF FUNDS  -  2020-5 Lakeview Terrace, Augusta, Richmond County</v>
      </c>
      <c r="T1" s="3264"/>
    </row>
    <row r="2" spans="1:20" ht="17.399999999999999" customHeight="1">
      <c r="A2" s="344"/>
      <c r="B2" s="344"/>
      <c r="C2" s="344"/>
      <c r="D2" s="344"/>
      <c r="E2" s="344"/>
      <c r="F2" s="344"/>
      <c r="G2" s="1527"/>
      <c r="H2" s="1527"/>
      <c r="I2" s="1527"/>
      <c r="J2" s="1527"/>
      <c r="K2" s="1527"/>
      <c r="L2" s="1527"/>
    </row>
    <row r="3" spans="1:20" s="298" customFormat="1" ht="13.35" customHeight="1">
      <c r="A3" s="325" t="s">
        <v>598</v>
      </c>
      <c r="B3" s="335" t="s">
        <v>2426</v>
      </c>
      <c r="C3" s="323"/>
      <c r="D3" s="1890"/>
      <c r="E3" s="1890"/>
      <c r="F3" s="1890"/>
      <c r="G3" s="1890"/>
      <c r="L3" s="3278" t="str">
        <f>'Part I-Project Information'!$B$6</f>
        <v>July 15, 2020 Version (4%)</v>
      </c>
      <c r="M3" s="3279"/>
      <c r="N3" s="3279"/>
      <c r="O3" s="3279"/>
      <c r="P3" s="3280"/>
      <c r="S3" s="392" t="str">
        <f>B3</f>
        <v>GOVERNMENT FUNDING SOURCES  (check all that apply)</v>
      </c>
    </row>
    <row r="4" spans="1:20" s="298" customFormat="1" ht="15.75" customHeight="1">
      <c r="A4" s="353"/>
      <c r="B4" s="535"/>
      <c r="C4" s="347"/>
      <c r="D4" s="1198"/>
      <c r="E4" s="1198"/>
      <c r="F4" s="1198"/>
      <c r="G4" s="1198"/>
      <c r="S4" s="3230" t="s">
        <v>2607</v>
      </c>
      <c r="T4" s="3230"/>
    </row>
    <row r="5" spans="1:20" s="298" customFormat="1" ht="16.5" customHeight="1">
      <c r="A5" s="535"/>
      <c r="B5" s="1919" t="s">
        <v>2886</v>
      </c>
      <c r="C5" s="1899" t="s">
        <v>2348</v>
      </c>
      <c r="D5" s="323"/>
      <c r="E5" s="1919" t="s">
        <v>2889</v>
      </c>
      <c r="F5" s="1899" t="s">
        <v>3544</v>
      </c>
      <c r="G5" s="323"/>
      <c r="H5" s="3270"/>
      <c r="I5" s="3271"/>
      <c r="L5" s="1919" t="s">
        <v>2889</v>
      </c>
      <c r="M5" s="1899" t="s">
        <v>1504</v>
      </c>
      <c r="O5" s="941" t="s">
        <v>2889</v>
      </c>
      <c r="P5" s="3181" t="s">
        <v>4496</v>
      </c>
      <c r="Q5" s="3181"/>
      <c r="S5" s="3195"/>
      <c r="T5" s="3196"/>
    </row>
    <row r="6" spans="1:20" s="298" customFormat="1" ht="16.5" customHeight="1">
      <c r="A6" s="535"/>
      <c r="B6" s="1901" t="s">
        <v>2889</v>
      </c>
      <c r="C6" s="1899" t="s">
        <v>4435</v>
      </c>
      <c r="D6" s="323"/>
      <c r="E6" s="1900" t="s">
        <v>2889</v>
      </c>
      <c r="F6" s="1899" t="s">
        <v>3545</v>
      </c>
      <c r="H6" s="3272"/>
      <c r="I6" s="3273"/>
      <c r="L6" s="1901" t="s">
        <v>2889</v>
      </c>
      <c r="M6" s="1899" t="s">
        <v>534</v>
      </c>
      <c r="P6" s="3181"/>
      <c r="Q6" s="3181"/>
      <c r="S6" s="3169"/>
      <c r="T6" s="3170"/>
    </row>
    <row r="7" spans="1:20" s="298" customFormat="1" ht="16.5" customHeight="1">
      <c r="A7" s="323"/>
      <c r="B7" s="1901" t="s">
        <v>2889</v>
      </c>
      <c r="C7" s="1899" t="s">
        <v>535</v>
      </c>
      <c r="F7" s="323" t="s">
        <v>4434</v>
      </c>
      <c r="H7" s="3281" t="s">
        <v>3336</v>
      </c>
      <c r="I7" s="3282"/>
      <c r="J7" s="3269"/>
      <c r="L7" s="1901" t="s">
        <v>2889</v>
      </c>
      <c r="M7" s="1898" t="s">
        <v>3459</v>
      </c>
      <c r="P7" s="2010"/>
      <c r="Q7" s="2010"/>
      <c r="S7" s="3169"/>
      <c r="T7" s="3170"/>
    </row>
    <row r="8" spans="1:20" s="298" customFormat="1" ht="16.5" customHeight="1">
      <c r="A8" s="535"/>
      <c r="B8" s="1901" t="s">
        <v>2889</v>
      </c>
      <c r="C8" s="1899" t="s">
        <v>2534</v>
      </c>
      <c r="E8" s="1919" t="s">
        <v>2889</v>
      </c>
      <c r="F8" s="1898" t="s">
        <v>2542</v>
      </c>
      <c r="L8" s="1901" t="s">
        <v>2889</v>
      </c>
      <c r="M8" s="1898" t="s">
        <v>4436</v>
      </c>
      <c r="S8" s="3171"/>
      <c r="T8" s="3172"/>
    </row>
    <row r="9" spans="1:20" s="298" customFormat="1" ht="16.5" customHeight="1">
      <c r="A9" s="535"/>
      <c r="B9" s="1901" t="s">
        <v>2889</v>
      </c>
      <c r="C9" s="1899" t="s">
        <v>2535</v>
      </c>
      <c r="E9" s="1901" t="s">
        <v>2889</v>
      </c>
      <c r="F9" s="1898" t="s">
        <v>3543</v>
      </c>
      <c r="H9" s="3267" t="s">
        <v>3656</v>
      </c>
      <c r="I9" s="3268"/>
      <c r="J9" s="3269"/>
      <c r="L9" s="1901" t="s">
        <v>2889</v>
      </c>
      <c r="M9" s="1899" t="s">
        <v>3508</v>
      </c>
      <c r="S9" s="3195"/>
      <c r="T9" s="3196"/>
    </row>
    <row r="10" spans="1:20" s="298" customFormat="1" ht="16.5" customHeight="1">
      <c r="A10" s="535"/>
      <c r="B10" s="1901" t="s">
        <v>2889</v>
      </c>
      <c r="C10" s="1898" t="s">
        <v>3512</v>
      </c>
      <c r="E10" s="1923" t="s">
        <v>2889</v>
      </c>
      <c r="F10" s="3274" t="s">
        <v>4227</v>
      </c>
      <c r="G10" s="2962"/>
      <c r="H10" s="2962"/>
      <c r="I10" s="2962"/>
      <c r="J10" s="2963"/>
      <c r="L10" s="1901" t="s">
        <v>2889</v>
      </c>
      <c r="M10" s="323" t="s">
        <v>2543</v>
      </c>
      <c r="S10" s="3169"/>
      <c r="T10" s="3170"/>
    </row>
    <row r="11" spans="1:20" s="298" customFormat="1" ht="16.5" customHeight="1">
      <c r="A11" s="535"/>
      <c r="B11" s="1901" t="s">
        <v>2889</v>
      </c>
      <c r="C11" s="323" t="s">
        <v>3668</v>
      </c>
      <c r="F11" s="3275" t="s">
        <v>4229</v>
      </c>
      <c r="G11" s="3276"/>
      <c r="H11" s="3276"/>
      <c r="I11" s="3276"/>
      <c r="J11" s="3277"/>
      <c r="L11" s="1901" t="s">
        <v>2889</v>
      </c>
      <c r="M11" s="323" t="s">
        <v>3546</v>
      </c>
      <c r="S11" s="3169"/>
      <c r="T11" s="3170"/>
    </row>
    <row r="12" spans="1:20" s="298" customFormat="1" ht="16.5" customHeight="1">
      <c r="A12" s="535"/>
      <c r="B12" s="1901" t="s">
        <v>2889</v>
      </c>
      <c r="C12" s="323" t="s">
        <v>2541</v>
      </c>
      <c r="E12" s="1924" t="s">
        <v>2889</v>
      </c>
      <c r="F12" s="3274" t="s">
        <v>4228</v>
      </c>
      <c r="G12" s="2962"/>
      <c r="H12" s="2962"/>
      <c r="I12" s="2962"/>
      <c r="J12" s="2963"/>
      <c r="L12" s="1901" t="s">
        <v>2889</v>
      </c>
      <c r="M12" s="323" t="s">
        <v>2705</v>
      </c>
      <c r="S12" s="3169"/>
      <c r="T12" s="3170"/>
    </row>
    <row r="13" spans="1:20" s="298" customFormat="1" ht="16.5" customHeight="1">
      <c r="A13" s="535"/>
      <c r="B13" s="1901" t="s">
        <v>2889</v>
      </c>
      <c r="C13" s="323" t="s">
        <v>3542</v>
      </c>
      <c r="F13" s="3275" t="s">
        <v>4230</v>
      </c>
      <c r="G13" s="3276"/>
      <c r="H13" s="3276"/>
      <c r="I13" s="3276"/>
      <c r="J13" s="3277"/>
      <c r="L13" s="1901" t="s">
        <v>2889</v>
      </c>
      <c r="M13" s="1898" t="s">
        <v>3667</v>
      </c>
      <c r="S13" s="3171"/>
      <c r="T13" s="3172"/>
    </row>
    <row r="14" spans="1:20" s="298" customFormat="1" ht="16.5" customHeight="1">
      <c r="A14" s="535"/>
      <c r="B14" s="1900" t="s">
        <v>2889</v>
      </c>
      <c r="C14" s="1899" t="s">
        <v>1757</v>
      </c>
      <c r="E14" s="941" t="s">
        <v>2886</v>
      </c>
      <c r="F14" s="1899" t="s">
        <v>4433</v>
      </c>
      <c r="I14" s="3265">
        <v>23000000</v>
      </c>
      <c r="J14" s="3266"/>
      <c r="L14" s="1900" t="s">
        <v>2889</v>
      </c>
      <c r="M14" s="318" t="s">
        <v>4438</v>
      </c>
    </row>
    <row r="15" spans="1:20" s="298" customFormat="1" ht="17.100000000000001" customHeight="1">
      <c r="A15" s="535"/>
      <c r="B15" s="298" t="s">
        <v>4437</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2286</v>
      </c>
      <c r="C17" s="323"/>
      <c r="D17" s="1198"/>
      <c r="E17" s="323"/>
      <c r="F17" s="323"/>
      <c r="G17" s="323"/>
      <c r="H17" s="298"/>
      <c r="L17" s="323"/>
      <c r="M17" s="1198"/>
      <c r="N17" s="3283"/>
      <c r="O17" s="3283"/>
      <c r="P17" s="323"/>
      <c r="Q17" s="323"/>
      <c r="S17" s="392" t="str">
        <f>B17</f>
        <v>CONSTRUCTION FINANCING</v>
      </c>
    </row>
    <row r="18" spans="1:20" s="392" customFormat="1" ht="5.25" customHeight="1">
      <c r="A18" s="325"/>
      <c r="B18" s="297"/>
      <c r="C18" s="323"/>
      <c r="K18" s="323"/>
      <c r="L18" s="323"/>
      <c r="M18" s="1198"/>
      <c r="N18" s="1191"/>
      <c r="O18" s="1191"/>
      <c r="P18" s="323"/>
      <c r="Q18" s="323"/>
    </row>
    <row r="19" spans="1:20" s="298" customFormat="1" ht="17.100000000000001" customHeight="1">
      <c r="A19" s="323"/>
      <c r="B19" s="1188" t="s">
        <v>1824</v>
      </c>
      <c r="C19" s="323"/>
      <c r="D19" s="323"/>
      <c r="E19" s="323"/>
      <c r="F19" s="323"/>
      <c r="G19" s="323"/>
      <c r="H19" s="3284" t="s">
        <v>1271</v>
      </c>
      <c r="I19" s="3284"/>
      <c r="J19" s="3284"/>
      <c r="K19" s="3284"/>
      <c r="L19" s="3056" t="s">
        <v>4396</v>
      </c>
      <c r="M19" s="3056"/>
      <c r="N19" s="3056" t="s">
        <v>1475</v>
      </c>
      <c r="O19" s="3056"/>
      <c r="P19" s="3056" t="s">
        <v>1597</v>
      </c>
      <c r="Q19" s="3056"/>
      <c r="S19" s="3230" t="s">
        <v>2607</v>
      </c>
      <c r="T19" s="3230"/>
    </row>
    <row r="20" spans="1:20" s="298" customFormat="1" ht="15.75" customHeight="1">
      <c r="A20" s="323"/>
      <c r="B20" s="3232" t="s">
        <v>1558</v>
      </c>
      <c r="C20" s="3233"/>
      <c r="D20" s="3233"/>
      <c r="E20" s="1199"/>
      <c r="F20" s="1199"/>
      <c r="G20" s="1199"/>
      <c r="H20" s="3190" t="s">
        <v>7006</v>
      </c>
      <c r="I20" s="3191"/>
      <c r="J20" s="3191"/>
      <c r="K20" s="3192"/>
      <c r="L20" s="3247">
        <v>33449287</v>
      </c>
      <c r="M20" s="3248"/>
      <c r="N20" s="3249">
        <v>0.03</v>
      </c>
      <c r="O20" s="3250"/>
      <c r="P20" s="3251">
        <v>24</v>
      </c>
      <c r="Q20" s="3252"/>
      <c r="S20" s="3195"/>
      <c r="T20" s="3196"/>
    </row>
    <row r="21" spans="1:20" s="298" customFormat="1" ht="15.75" customHeight="1">
      <c r="A21" s="323"/>
      <c r="B21" s="3197" t="s">
        <v>1559</v>
      </c>
      <c r="C21" s="3198"/>
      <c r="D21" s="3198"/>
      <c r="E21" s="1198"/>
      <c r="F21" s="1198"/>
      <c r="G21" s="1198"/>
      <c r="H21" s="3174"/>
      <c r="I21" s="3175"/>
      <c r="J21" s="3175"/>
      <c r="K21" s="3176"/>
      <c r="L21" s="3235"/>
      <c r="M21" s="3236"/>
      <c r="N21" s="3258"/>
      <c r="O21" s="3259"/>
      <c r="P21" s="3260"/>
      <c r="Q21" s="3261"/>
      <c r="S21" s="3169"/>
      <c r="T21" s="3170"/>
    </row>
    <row r="22" spans="1:20" s="298" customFormat="1" ht="15.75" customHeight="1">
      <c r="A22" s="323"/>
      <c r="B22" s="3262" t="s">
        <v>1560</v>
      </c>
      <c r="C22" s="3263"/>
      <c r="D22" s="3263"/>
      <c r="E22" s="1205"/>
      <c r="F22" s="1205"/>
      <c r="G22" s="1205"/>
      <c r="H22" s="3159"/>
      <c r="I22" s="3160"/>
      <c r="J22" s="3160"/>
      <c r="K22" s="3161"/>
      <c r="L22" s="3239"/>
      <c r="M22" s="3240"/>
      <c r="N22" s="3285"/>
      <c r="O22" s="3286"/>
      <c r="P22" s="3287"/>
      <c r="Q22" s="3288"/>
      <c r="S22" s="3169"/>
      <c r="T22" s="3170"/>
    </row>
    <row r="23" spans="1:20" s="298" customFormat="1" ht="15.75" customHeight="1">
      <c r="A23" s="323"/>
      <c r="B23" s="3232" t="s">
        <v>2159</v>
      </c>
      <c r="C23" s="3233"/>
      <c r="D23" s="3233"/>
      <c r="E23" s="1198"/>
      <c r="F23" s="1198"/>
      <c r="G23" s="1198"/>
      <c r="H23" s="3253"/>
      <c r="I23" s="3254"/>
      <c r="J23" s="3254"/>
      <c r="K23" s="3255"/>
      <c r="L23" s="3256"/>
      <c r="M23" s="3257"/>
      <c r="N23" s="3237"/>
      <c r="O23" s="3238"/>
      <c r="P23" s="3227"/>
      <c r="Q23" s="3227"/>
      <c r="S23" s="3169"/>
      <c r="T23" s="3170"/>
    </row>
    <row r="24" spans="1:20" s="298" customFormat="1" ht="15.75" customHeight="1">
      <c r="A24" s="323"/>
      <c r="B24" s="3197" t="s">
        <v>781</v>
      </c>
      <c r="C24" s="3198"/>
      <c r="D24" s="3198"/>
      <c r="E24" s="1198"/>
      <c r="H24" s="3174"/>
      <c r="I24" s="3175"/>
      <c r="J24" s="3175"/>
      <c r="K24" s="3176"/>
      <c r="L24" s="3235"/>
      <c r="M24" s="3236"/>
      <c r="N24" s="3237"/>
      <c r="O24" s="3238"/>
      <c r="P24" s="3227"/>
      <c r="Q24" s="3227"/>
      <c r="S24" s="3169"/>
      <c r="T24" s="3170"/>
    </row>
    <row r="25" spans="1:20" s="298" customFormat="1" ht="15.75" customHeight="1">
      <c r="A25" s="323"/>
      <c r="B25" s="3197" t="s">
        <v>623</v>
      </c>
      <c r="C25" s="3198"/>
      <c r="D25" s="3198"/>
      <c r="E25" s="1198"/>
      <c r="H25" s="3174"/>
      <c r="I25" s="3175"/>
      <c r="J25" s="3175"/>
      <c r="K25" s="3176"/>
      <c r="L25" s="3235"/>
      <c r="M25" s="3236"/>
      <c r="N25" s="3237"/>
      <c r="O25" s="3238"/>
      <c r="P25" s="3227"/>
      <c r="Q25" s="3227"/>
      <c r="S25" s="3169"/>
      <c r="T25" s="3170"/>
    </row>
    <row r="26" spans="1:20" s="298" customFormat="1" ht="15.75" customHeight="1">
      <c r="A26" s="323"/>
      <c r="B26" s="3197" t="s">
        <v>782</v>
      </c>
      <c r="C26" s="3198"/>
      <c r="D26" s="3198"/>
      <c r="E26" s="1198"/>
      <c r="H26" s="3174" t="s">
        <v>7009</v>
      </c>
      <c r="I26" s="3175"/>
      <c r="J26" s="3175"/>
      <c r="K26" s="3176"/>
      <c r="L26" s="3235">
        <v>2642400</v>
      </c>
      <c r="M26" s="3236"/>
      <c r="N26" s="323"/>
      <c r="Q26" s="323"/>
      <c r="S26" s="3171"/>
      <c r="T26" s="3172"/>
    </row>
    <row r="27" spans="1:20" s="298" customFormat="1" ht="15.75" customHeight="1">
      <c r="A27" s="323"/>
      <c r="B27" s="3197" t="s">
        <v>783</v>
      </c>
      <c r="C27" s="3198"/>
      <c r="D27" s="3198"/>
      <c r="E27" s="1198"/>
      <c r="H27" s="3174" t="s">
        <v>7009</v>
      </c>
      <c r="I27" s="3175"/>
      <c r="J27" s="3175"/>
      <c r="K27" s="3176"/>
      <c r="L27" s="3235">
        <v>1619536</v>
      </c>
      <c r="M27" s="3236"/>
      <c r="N27" s="323"/>
      <c r="Q27" s="323"/>
      <c r="S27" s="3195"/>
      <c r="T27" s="3196"/>
    </row>
    <row r="28" spans="1:20" s="298" customFormat="1" ht="15.75" customHeight="1">
      <c r="A28" s="323"/>
      <c r="B28" s="1197" t="s">
        <v>237</v>
      </c>
      <c r="C28" s="1198"/>
      <c r="D28" s="3173"/>
      <c r="E28" s="3173"/>
      <c r="F28" s="3173"/>
      <c r="G28" s="3173"/>
      <c r="H28" s="3174"/>
      <c r="I28" s="3175"/>
      <c r="J28" s="3175"/>
      <c r="K28" s="3176"/>
      <c r="L28" s="3235"/>
      <c r="M28" s="3236"/>
      <c r="N28" s="323"/>
      <c r="Q28" s="323"/>
      <c r="S28" s="3169"/>
      <c r="T28" s="3170"/>
    </row>
    <row r="29" spans="1:20" s="298" customFormat="1" ht="15.75" customHeight="1">
      <c r="A29" s="323"/>
      <c r="B29" s="1197" t="s">
        <v>237</v>
      </c>
      <c r="C29" s="1198"/>
      <c r="D29" s="3178"/>
      <c r="E29" s="3178"/>
      <c r="F29" s="3178"/>
      <c r="G29" s="3178"/>
      <c r="H29" s="3174"/>
      <c r="I29" s="3175"/>
      <c r="J29" s="3175"/>
      <c r="K29" s="3176"/>
      <c r="L29" s="3235"/>
      <c r="M29" s="3236"/>
      <c r="N29" s="323"/>
      <c r="S29" s="3169"/>
      <c r="T29" s="3170"/>
    </row>
    <row r="30" spans="1:20" s="298" customFormat="1" ht="15.75" customHeight="1">
      <c r="A30" s="323"/>
      <c r="B30" s="1204" t="s">
        <v>237</v>
      </c>
      <c r="C30" s="1205"/>
      <c r="D30" s="3158"/>
      <c r="E30" s="3158"/>
      <c r="F30" s="3158"/>
      <c r="G30" s="3158"/>
      <c r="H30" s="3159"/>
      <c r="I30" s="3160"/>
      <c r="J30" s="3160"/>
      <c r="K30" s="3161"/>
      <c r="L30" s="3239"/>
      <c r="M30" s="3240"/>
      <c r="N30" s="323"/>
      <c r="S30" s="3169"/>
      <c r="T30" s="3170"/>
    </row>
    <row r="31" spans="1:20" s="298" customFormat="1" ht="16.5" customHeight="1">
      <c r="A31" s="323"/>
      <c r="B31" s="297" t="s">
        <v>1272</v>
      </c>
      <c r="C31" s="323"/>
      <c r="D31" s="323"/>
      <c r="E31" s="323"/>
      <c r="F31" s="323"/>
      <c r="G31" s="323"/>
      <c r="H31" s="323"/>
      <c r="I31" s="323"/>
      <c r="L31" s="3241">
        <f>SUM(L20:L30)</f>
        <v>37711223</v>
      </c>
      <c r="M31" s="3242"/>
      <c r="N31" s="344"/>
      <c r="S31" s="3169"/>
      <c r="T31" s="3170"/>
    </row>
    <row r="32" spans="1:20" s="298" customFormat="1" ht="16.5" customHeight="1">
      <c r="A32" s="323"/>
      <c r="B32" s="1188" t="s">
        <v>1273</v>
      </c>
      <c r="C32" s="323"/>
      <c r="D32" s="323"/>
      <c r="E32" s="323"/>
      <c r="F32" s="323"/>
      <c r="G32" s="323"/>
      <c r="H32" s="323"/>
      <c r="I32" s="323"/>
      <c r="L32" s="3243">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37711223</v>
      </c>
      <c r="M32" s="3244"/>
      <c r="N32" s="946"/>
      <c r="S32" s="3169"/>
      <c r="T32" s="3170"/>
    </row>
    <row r="33" spans="1:20" s="298" customFormat="1" ht="16.5" customHeight="1">
      <c r="A33" s="323"/>
      <c r="B33" s="328" t="s">
        <v>2107</v>
      </c>
      <c r="C33" s="323"/>
      <c r="D33" s="323"/>
      <c r="E33" s="323"/>
      <c r="F33" s="323"/>
      <c r="G33" s="323"/>
      <c r="H33" s="323"/>
      <c r="I33" s="323"/>
      <c r="L33" s="3245">
        <f>L31-L32</f>
        <v>0</v>
      </c>
      <c r="M33" s="3246"/>
      <c r="N33" s="946"/>
      <c r="S33" s="3171"/>
      <c r="T33" s="3172"/>
    </row>
    <row r="34" spans="1:20" ht="9.6" customHeight="1">
      <c r="A34" s="353"/>
      <c r="B34" s="297"/>
      <c r="C34" s="344"/>
      <c r="D34" s="344"/>
      <c r="E34" s="344"/>
      <c r="F34" s="344"/>
      <c r="G34" s="344"/>
      <c r="H34" s="344"/>
      <c r="I34" s="344"/>
      <c r="J34" s="344"/>
      <c r="K34" s="344"/>
      <c r="L34" s="344"/>
      <c r="M34" s="1203"/>
      <c r="N34" s="1203"/>
    </row>
    <row r="35" spans="1:20" ht="9.6" customHeight="1">
      <c r="A35" s="325" t="s">
        <v>724</v>
      </c>
      <c r="B35" s="297" t="s">
        <v>780</v>
      </c>
      <c r="C35" s="344"/>
      <c r="D35" s="344"/>
      <c r="E35" s="344"/>
      <c r="F35" s="344"/>
      <c r="G35" s="344"/>
      <c r="H35" s="344"/>
      <c r="I35" s="344"/>
      <c r="J35" s="344"/>
      <c r="K35" s="344"/>
      <c r="L35" s="344"/>
      <c r="M35" s="1203"/>
      <c r="N35" s="1203"/>
      <c r="O35" s="344"/>
      <c r="S35" s="392" t="str">
        <f>B35</f>
        <v>PERMANENT FINANCING</v>
      </c>
    </row>
    <row r="36" spans="1:20" s="298" customFormat="1" ht="13.35" customHeight="1">
      <c r="A36" s="323"/>
      <c r="B36" s="323"/>
      <c r="C36" s="323"/>
      <c r="D36" s="323"/>
      <c r="E36" s="323"/>
      <c r="F36" s="1203"/>
      <c r="G36" s="1203"/>
      <c r="H36" s="3227"/>
      <c r="I36" s="3227"/>
      <c r="K36" s="420" t="s">
        <v>2051</v>
      </c>
      <c r="L36" s="1203" t="s">
        <v>1269</v>
      </c>
      <c r="M36" s="1203" t="s">
        <v>1274</v>
      </c>
      <c r="P36" s="3228" t="s">
        <v>32</v>
      </c>
      <c r="Q36" s="3228"/>
      <c r="S36" s="392"/>
    </row>
    <row r="37" spans="1:20" s="298" customFormat="1" ht="13.35" customHeight="1">
      <c r="A37" s="323"/>
      <c r="B37" s="1206" t="s">
        <v>1824</v>
      </c>
      <c r="C37" s="1205"/>
      <c r="D37" s="1205"/>
      <c r="E37" s="2915" t="s">
        <v>1271</v>
      </c>
      <c r="F37" s="2915"/>
      <c r="G37" s="2915"/>
      <c r="H37" s="2915"/>
      <c r="I37" s="3056" t="s">
        <v>4395</v>
      </c>
      <c r="J37" s="3056"/>
      <c r="K37" s="1190" t="s">
        <v>1760</v>
      </c>
      <c r="L37" s="1190" t="s">
        <v>2158</v>
      </c>
      <c r="M37" s="1190" t="s">
        <v>2158</v>
      </c>
      <c r="N37" s="3056" t="s">
        <v>72</v>
      </c>
      <c r="O37" s="3056"/>
      <c r="P37" s="3229"/>
      <c r="Q37" s="3229"/>
      <c r="S37" s="3230" t="s">
        <v>2607</v>
      </c>
      <c r="T37" s="3230"/>
    </row>
    <row r="38" spans="1:20" s="298" customFormat="1" ht="15.75" customHeight="1">
      <c r="A38" s="323"/>
      <c r="B38" s="3232" t="s">
        <v>2547</v>
      </c>
      <c r="C38" s="3233"/>
      <c r="D38" s="3233"/>
      <c r="E38" s="3190" t="s">
        <v>7007</v>
      </c>
      <c r="F38" s="3191"/>
      <c r="G38" s="3191"/>
      <c r="H38" s="3192"/>
      <c r="I38" s="3185">
        <v>13700000</v>
      </c>
      <c r="J38" s="3186"/>
      <c r="K38" s="943">
        <v>0.04</v>
      </c>
      <c r="L38" s="1200">
        <v>18</v>
      </c>
      <c r="M38" s="1200">
        <v>35</v>
      </c>
      <c r="N38" s="3234" t="s">
        <v>7008</v>
      </c>
      <c r="O38" s="3234"/>
      <c r="P38" s="3226">
        <f>IF(OR(I38&lt;=0,I38=""),"",IF(N38="Cash Flow",0,IF(N38="Amortizing",-PMT(K38/12,M38*12,I38,0,0)*12,"")))</f>
        <v>727921.67425877007</v>
      </c>
      <c r="Q38" s="3226"/>
      <c r="S38" s="3195"/>
      <c r="T38" s="3196"/>
    </row>
    <row r="39" spans="1:20" s="298" customFormat="1" ht="15.75" customHeight="1">
      <c r="A39" s="323"/>
      <c r="B39" s="3197" t="s">
        <v>2548</v>
      </c>
      <c r="C39" s="3198"/>
      <c r="D39" s="3198"/>
      <c r="E39" s="3174"/>
      <c r="F39" s="3175"/>
      <c r="G39" s="3175"/>
      <c r="H39" s="3176"/>
      <c r="I39" s="3177"/>
      <c r="J39" s="3200"/>
      <c r="K39" s="944"/>
      <c r="L39" s="1201"/>
      <c r="M39" s="1201"/>
      <c r="N39" s="3231"/>
      <c r="O39" s="3231"/>
      <c r="P39" s="3211" t="str">
        <f>IF(OR(I39&lt;=0,I39=""),"",IF(N39="Cash Flow",0,IF(N39="Amortizing",-PMT(K39/12,M39*12,I39,0,0)*12,"")))</f>
        <v/>
      </c>
      <c r="Q39" s="3211"/>
      <c r="S39" s="3169"/>
      <c r="T39" s="3170"/>
    </row>
    <row r="40" spans="1:20" s="298" customFormat="1" ht="15.75" customHeight="1">
      <c r="A40" s="323"/>
      <c r="B40" s="3197" t="s">
        <v>2549</v>
      </c>
      <c r="C40" s="3198"/>
      <c r="D40" s="3198"/>
      <c r="E40" s="3174"/>
      <c r="F40" s="3175"/>
      <c r="G40" s="3175"/>
      <c r="H40" s="3176"/>
      <c r="I40" s="3177"/>
      <c r="J40" s="3200"/>
      <c r="K40" s="944"/>
      <c r="L40" s="1201"/>
      <c r="M40" s="1201"/>
      <c r="N40" s="3231"/>
      <c r="O40" s="3231"/>
      <c r="P40" s="3211" t="str">
        <f>IF(OR(I40&lt;=0,I40=""),"",IF(N40="Cash Flow",0,IF(N40="Amortizing",-PMT(K40/12,M40*12,I40,0,0)*12,"")))</f>
        <v/>
      </c>
      <c r="Q40" s="3211"/>
      <c r="S40" s="3169"/>
      <c r="T40" s="3170"/>
    </row>
    <row r="41" spans="1:20" s="298" customFormat="1" ht="15.75" customHeight="1">
      <c r="A41" s="323"/>
      <c r="B41" s="1197" t="s">
        <v>723</v>
      </c>
      <c r="C41" s="3218"/>
      <c r="D41" s="3219"/>
      <c r="E41" s="3174"/>
      <c r="F41" s="3175"/>
      <c r="G41" s="3175"/>
      <c r="H41" s="3176"/>
      <c r="I41" s="3220"/>
      <c r="J41" s="3221"/>
      <c r="K41" s="945"/>
      <c r="L41" s="1194"/>
      <c r="M41" s="1194"/>
      <c r="N41" s="3223"/>
      <c r="O41" s="3223"/>
      <c r="P41" s="3222" t="str">
        <f>IF(OR(I41&lt;=0,I41=""),"",IF(N41="Cash Flow",0,IF(N41="Amortizing",-PMT(K41/12,M41*12,I41,0,0)*12,"")))</f>
        <v/>
      </c>
      <c r="Q41" s="3222"/>
      <c r="S41" s="3169"/>
      <c r="T41" s="3170"/>
    </row>
    <row r="42" spans="1:20" s="298" customFormat="1" ht="15.75" customHeight="1">
      <c r="A42" s="323"/>
      <c r="B42" s="1197" t="s">
        <v>4561</v>
      </c>
      <c r="C42" s="1198"/>
      <c r="D42" s="1202"/>
      <c r="E42" s="3174"/>
      <c r="F42" s="3175"/>
      <c r="G42" s="3175"/>
      <c r="H42" s="3176"/>
      <c r="I42" s="3177"/>
      <c r="J42" s="3200"/>
      <c r="K42" s="514"/>
      <c r="L42" s="1196"/>
      <c r="M42" s="1196"/>
      <c r="N42" s="3225"/>
      <c r="O42" s="3225"/>
      <c r="P42" s="3224"/>
      <c r="Q42" s="3224"/>
      <c r="S42" s="3169"/>
      <c r="T42" s="3170"/>
    </row>
    <row r="43" spans="1:20" s="298" customFormat="1" ht="15.75" customHeight="1">
      <c r="A43" s="323"/>
      <c r="B43" s="1204" t="s">
        <v>223</v>
      </c>
      <c r="C43" s="1205"/>
      <c r="D43" s="421">
        <f>IF(OR(I43="",I43=0,'Part IV-A-Uses of Funds'!$G$118="",'Part IV-A-Uses of Funds'!$G$118=0),"",I43/'Part IV-A-Uses of Funds'!$G$118)</f>
        <v>0.28349039370078738</v>
      </c>
      <c r="E43" s="3159" t="s">
        <v>7111</v>
      </c>
      <c r="F43" s="3160"/>
      <c r="G43" s="3160"/>
      <c r="H43" s="3161"/>
      <c r="I43" s="3212">
        <v>900082</v>
      </c>
      <c r="J43" s="3213"/>
      <c r="K43" s="942"/>
      <c r="L43" s="941"/>
      <c r="M43" s="941"/>
      <c r="N43" s="3216" t="s">
        <v>1142</v>
      </c>
      <c r="O43" s="3217"/>
      <c r="P43" s="3214">
        <f>IF(OR(I43&lt;=0,I43=""),"",IF(N43="Cash Flow",0,IF(N43="Amortizing",-PMT(K43/12,M43*12,I43,0,0)*12,"")))</f>
        <v>0</v>
      </c>
      <c r="Q43" s="3215"/>
      <c r="S43" s="3169"/>
      <c r="T43" s="3170"/>
    </row>
    <row r="44" spans="1:20" s="298" customFormat="1" ht="3" customHeight="1">
      <c r="A44" s="323"/>
      <c r="B44" s="323"/>
      <c r="C44" s="323"/>
      <c r="D44" s="323"/>
      <c r="E44" s="323"/>
      <c r="F44" s="323"/>
      <c r="G44" s="323"/>
      <c r="H44" s="323"/>
      <c r="I44" s="1478"/>
      <c r="J44" s="1479"/>
      <c r="K44" s="1238"/>
      <c r="L44" s="372"/>
      <c r="M44" s="372"/>
      <c r="N44" s="1239"/>
      <c r="O44" s="1239"/>
      <c r="P44" s="372"/>
      <c r="Q44" s="372"/>
      <c r="S44" s="3169"/>
      <c r="T44" s="3170"/>
    </row>
    <row r="45" spans="1:20" s="298" customFormat="1" ht="14.25" customHeight="1">
      <c r="A45" s="323"/>
      <c r="B45" s="1237" t="s">
        <v>3839</v>
      </c>
      <c r="C45" s="1460"/>
      <c r="E45" s="298" t="s">
        <v>3778</v>
      </c>
      <c r="F45" s="3179" t="e">
        <f>IF(OR($I$43="",$I$43=0,'Part VII-Pro Forma'!$S$34=0,'Part VII-Pro Forma'!$S$34=""),"",VLOOKUP($L$43,'Part VII-Pro Forma'!$Q$20:$S$39,3))</f>
        <v>#N/A</v>
      </c>
      <c r="G45" s="3180"/>
      <c r="H45" s="694" t="s">
        <v>3838</v>
      </c>
      <c r="I45" s="3179" t="e">
        <f>IF(OR($I$43="",$I$43=0,'Part VII-Pro Forma'!$R$34=0,'Part VII-Pro Forma'!$R$34=""),"",VLOOKUP($L$43,'Part VII-Pro Forma'!$Q$20:$S$34,2))</f>
        <v>#N/A</v>
      </c>
      <c r="J45" s="3180"/>
      <c r="K45" s="694" t="s">
        <v>3840</v>
      </c>
      <c r="L45" s="3205" t="e">
        <f>IF(OR($F$45 = 0,$F$45 =""),"",$I$45/$F$45)</f>
        <v>#N/A</v>
      </c>
      <c r="M45" s="3206"/>
      <c r="N45" s="3209" t="s">
        <v>4403</v>
      </c>
      <c r="O45" s="3210"/>
      <c r="P45" s="3207">
        <f>IF(OR($I$60=0,$I$58&gt;$I$59),0,ABS($I$58-$I$59))</f>
        <v>0</v>
      </c>
      <c r="Q45" s="3208"/>
      <c r="S45" s="3169"/>
      <c r="T45" s="3170"/>
    </row>
    <row r="46" spans="1:20" s="298" customFormat="1" ht="3" customHeight="1">
      <c r="A46" s="323"/>
      <c r="B46" s="323"/>
      <c r="C46" s="323"/>
      <c r="D46" s="323"/>
      <c r="E46" s="323"/>
      <c r="F46" s="323"/>
      <c r="G46" s="323"/>
      <c r="H46" s="323"/>
      <c r="I46" s="1240"/>
      <c r="J46" s="1241"/>
      <c r="K46" s="1238"/>
      <c r="L46" s="372"/>
      <c r="M46" s="372"/>
      <c r="N46" s="1239"/>
      <c r="O46" s="1239"/>
      <c r="P46" s="372"/>
      <c r="Q46" s="372"/>
      <c r="S46" s="3171"/>
      <c r="T46" s="3172"/>
    </row>
    <row r="47" spans="1:20" s="298" customFormat="1" ht="15.75" customHeight="1">
      <c r="A47" s="323"/>
      <c r="B47" s="3187" t="s">
        <v>2159</v>
      </c>
      <c r="C47" s="3188"/>
      <c r="D47" s="3189"/>
      <c r="E47" s="3190"/>
      <c r="F47" s="3191"/>
      <c r="G47" s="3191"/>
      <c r="H47" s="3192"/>
      <c r="I47" s="3193"/>
      <c r="J47" s="3194"/>
      <c r="K47" s="422"/>
      <c r="L47" s="422"/>
      <c r="M47" s="422"/>
      <c r="N47" s="422"/>
      <c r="O47" s="422"/>
      <c r="P47" s="455" t="s">
        <v>502</v>
      </c>
      <c r="Q47" s="422"/>
      <c r="S47" s="3195"/>
      <c r="T47" s="3196"/>
    </row>
    <row r="48" spans="1:20" s="298" customFormat="1" ht="15.75" customHeight="1">
      <c r="A48" s="323"/>
      <c r="B48" s="3197" t="s">
        <v>781</v>
      </c>
      <c r="C48" s="3198"/>
      <c r="D48" s="3199"/>
      <c r="E48" s="3174"/>
      <c r="F48" s="3175"/>
      <c r="G48" s="3175"/>
      <c r="H48" s="3176"/>
      <c r="I48" s="3177"/>
      <c r="J48" s="3200"/>
      <c r="L48" s="3201" t="s">
        <v>503</v>
      </c>
      <c r="M48" s="3201"/>
      <c r="N48" s="3202" t="s">
        <v>504</v>
      </c>
      <c r="O48" s="3202"/>
      <c r="P48" s="456" t="s">
        <v>2494</v>
      </c>
      <c r="Q48" s="422"/>
      <c r="S48" s="3169"/>
      <c r="T48" s="3170"/>
    </row>
    <row r="49" spans="1:23" s="298" customFormat="1" ht="15.75" customHeight="1">
      <c r="A49" s="323"/>
      <c r="B49" s="3197" t="s">
        <v>782</v>
      </c>
      <c r="C49" s="3198"/>
      <c r="D49" s="3199"/>
      <c r="E49" s="3174" t="s">
        <v>7009</v>
      </c>
      <c r="F49" s="3175"/>
      <c r="G49" s="3175"/>
      <c r="H49" s="3176"/>
      <c r="I49" s="3177">
        <v>17607999</v>
      </c>
      <c r="J49" s="3177"/>
      <c r="L49" s="3203">
        <f>'Part IV-A-Uses of Funds'!$J$184*10*'Part IV-A-Uses of Funds'!$N$175</f>
        <v>17609768</v>
      </c>
      <c r="M49" s="3203"/>
      <c r="N49" s="3204">
        <f>I49-L49</f>
        <v>-1769</v>
      </c>
      <c r="O49" s="3204"/>
      <c r="P49" s="457">
        <f>I49/I59</f>
        <v>0.40936464455368998</v>
      </c>
      <c r="Q49" s="422"/>
      <c r="S49" s="3169"/>
      <c r="T49" s="3170"/>
    </row>
    <row r="50" spans="1:23" s="298" customFormat="1" ht="15.75" customHeight="1">
      <c r="A50" s="323"/>
      <c r="B50" s="3197" t="s">
        <v>783</v>
      </c>
      <c r="C50" s="3198"/>
      <c r="D50" s="3199"/>
      <c r="E50" s="3174" t="s">
        <v>7009</v>
      </c>
      <c r="F50" s="3175"/>
      <c r="G50" s="3175"/>
      <c r="H50" s="3176"/>
      <c r="I50" s="3177">
        <v>10804913</v>
      </c>
      <c r="J50" s="3177"/>
      <c r="L50" s="3203">
        <f>'Part IV-A-Uses of Funds'!$J$184*10*'Part IV-A-Uses of Funds'!$Q$175</f>
        <v>10805994</v>
      </c>
      <c r="M50" s="3203"/>
      <c r="N50" s="3204">
        <f>I50-L50</f>
        <v>-1081</v>
      </c>
      <c r="O50" s="3204"/>
      <c r="P50" s="457">
        <f>I50/I59</f>
        <v>0.25120113703314861</v>
      </c>
      <c r="Q50" s="422"/>
      <c r="S50" s="3169"/>
      <c r="T50" s="3170"/>
    </row>
    <row r="51" spans="1:23" s="298" customFormat="1" ht="15.75" customHeight="1">
      <c r="A51" s="323"/>
      <c r="B51" s="3197" t="s">
        <v>1383</v>
      </c>
      <c r="C51" s="3198"/>
      <c r="D51" s="3199"/>
      <c r="E51" s="3174"/>
      <c r="F51" s="3175"/>
      <c r="G51" s="3175"/>
      <c r="H51" s="3176"/>
      <c r="I51" s="3177"/>
      <c r="J51" s="3177"/>
      <c r="P51" s="458">
        <f>SUM(P49:P50)</f>
        <v>0.66056578158683865</v>
      </c>
      <c r="Q51" s="422"/>
      <c r="S51" s="3171"/>
      <c r="T51" s="3172"/>
    </row>
    <row r="52" spans="1:23" s="298" customFormat="1" ht="15.75" customHeight="1">
      <c r="A52" s="323"/>
      <c r="B52" s="1197" t="s">
        <v>517</v>
      </c>
      <c r="C52" s="1198"/>
      <c r="D52" s="1202"/>
      <c r="E52" s="3174"/>
      <c r="F52" s="3175"/>
      <c r="G52" s="3175"/>
      <c r="H52" s="3176"/>
      <c r="I52" s="3177"/>
      <c r="J52" s="3177"/>
      <c r="K52" s="323"/>
      <c r="Q52" s="422"/>
      <c r="S52" s="3169"/>
      <c r="T52" s="3170"/>
    </row>
    <row r="53" spans="1:23" s="298" customFormat="1" ht="15.75" customHeight="1">
      <c r="A53" s="323"/>
      <c r="B53" s="1197" t="s">
        <v>1822</v>
      </c>
      <c r="C53" s="1198"/>
      <c r="D53" s="1202"/>
      <c r="E53" s="3174"/>
      <c r="F53" s="3175"/>
      <c r="G53" s="3175"/>
      <c r="H53" s="3176"/>
      <c r="I53" s="3177"/>
      <c r="J53" s="3177"/>
      <c r="N53" s="423"/>
      <c r="O53" s="423"/>
      <c r="P53" s="423"/>
      <c r="Q53" s="422"/>
      <c r="S53" s="3169"/>
      <c r="T53" s="3170"/>
    </row>
    <row r="54" spans="1:23" s="298" customFormat="1" ht="15.75" customHeight="1">
      <c r="A54" s="323"/>
      <c r="B54" s="1197" t="s">
        <v>1823</v>
      </c>
      <c r="C54" s="1198"/>
      <c r="D54" s="1202"/>
      <c r="E54" s="3174"/>
      <c r="F54" s="3175"/>
      <c r="G54" s="3175"/>
      <c r="H54" s="3176"/>
      <c r="I54" s="3177"/>
      <c r="J54" s="3177"/>
      <c r="M54" s="423"/>
      <c r="N54" s="423"/>
      <c r="O54" s="423"/>
      <c r="P54" s="423"/>
      <c r="Q54" s="422"/>
      <c r="S54" s="3169"/>
      <c r="T54" s="3170"/>
    </row>
    <row r="55" spans="1:23" s="298" customFormat="1" ht="15.75" customHeight="1">
      <c r="A55" s="323"/>
      <c r="B55" s="1197" t="s">
        <v>723</v>
      </c>
      <c r="C55" s="3173"/>
      <c r="D55" s="3173"/>
      <c r="E55" s="3174"/>
      <c r="F55" s="3175"/>
      <c r="G55" s="3175"/>
      <c r="H55" s="3176"/>
      <c r="I55" s="3177"/>
      <c r="J55" s="3177"/>
      <c r="M55" s="423"/>
      <c r="N55" s="423"/>
      <c r="O55" s="423"/>
      <c r="P55" s="423"/>
      <c r="Q55" s="422"/>
      <c r="S55" s="3169"/>
      <c r="T55" s="3170"/>
    </row>
    <row r="56" spans="1:23" s="298" customFormat="1" ht="15.75" customHeight="1">
      <c r="A56" s="323"/>
      <c r="B56" s="1197" t="s">
        <v>723</v>
      </c>
      <c r="C56" s="3178"/>
      <c r="D56" s="3178"/>
      <c r="E56" s="3174"/>
      <c r="F56" s="3175"/>
      <c r="G56" s="3175"/>
      <c r="H56" s="3176"/>
      <c r="I56" s="3177"/>
      <c r="J56" s="3177"/>
      <c r="K56" s="323"/>
      <c r="L56" s="424"/>
      <c r="M56" s="423"/>
      <c r="N56" s="423"/>
      <c r="O56" s="423"/>
      <c r="P56" s="423"/>
      <c r="Q56" s="422"/>
      <c r="S56" s="3169"/>
      <c r="T56" s="3170"/>
    </row>
    <row r="57" spans="1:23" s="298" customFormat="1" ht="15.75" customHeight="1">
      <c r="A57" s="323"/>
      <c r="B57" s="1204" t="s">
        <v>723</v>
      </c>
      <c r="C57" s="3158"/>
      <c r="D57" s="3158"/>
      <c r="E57" s="3159"/>
      <c r="F57" s="3160"/>
      <c r="G57" s="3160"/>
      <c r="H57" s="3161"/>
      <c r="I57" s="3162"/>
      <c r="J57" s="3162"/>
      <c r="K57" s="323"/>
      <c r="L57" s="424"/>
      <c r="M57" s="423"/>
      <c r="N57" s="423"/>
      <c r="O57" s="423"/>
      <c r="P57" s="423"/>
      <c r="Q57" s="422"/>
      <c r="S57" s="3169"/>
      <c r="T57" s="3170"/>
    </row>
    <row r="58" spans="1:23" s="298" customFormat="1" ht="14.25" customHeight="1">
      <c r="A58" s="323"/>
      <c r="B58" s="1188" t="s">
        <v>2160</v>
      </c>
      <c r="C58" s="323"/>
      <c r="D58" s="323"/>
      <c r="E58" s="323"/>
      <c r="F58" s="323"/>
      <c r="G58" s="323"/>
      <c r="I58" s="3163">
        <f>SUM(I38:J43)+SUM(I47:J57)</f>
        <v>43012994</v>
      </c>
      <c r="J58" s="3164"/>
      <c r="K58" s="323"/>
      <c r="L58" s="424"/>
      <c r="M58" s="423"/>
      <c r="N58" s="423"/>
      <c r="O58" s="423"/>
      <c r="P58" s="423"/>
      <c r="Q58" s="422"/>
      <c r="S58" s="3169"/>
      <c r="T58" s="3170"/>
    </row>
    <row r="59" spans="1:23" s="298" customFormat="1" ht="14.25" customHeight="1" thickBot="1">
      <c r="A59" s="323"/>
      <c r="B59" s="1188" t="s">
        <v>2161</v>
      </c>
      <c r="C59" s="323"/>
      <c r="D59" s="323"/>
      <c r="E59" s="323"/>
      <c r="F59" s="323"/>
      <c r="G59" s="323"/>
      <c r="I59" s="3165">
        <f>'Part IV-A-Uses of Funds'!$G$132</f>
        <v>43012994</v>
      </c>
      <c r="J59" s="3166"/>
      <c r="K59" s="323"/>
      <c r="L59" s="424"/>
      <c r="M59" s="423"/>
      <c r="N59" s="423"/>
      <c r="O59" s="423"/>
      <c r="P59" s="423"/>
      <c r="Q59" s="422"/>
      <c r="S59" s="3169"/>
      <c r="T59" s="3170"/>
    </row>
    <row r="60" spans="1:23" s="298" customFormat="1" ht="14.25" customHeight="1" thickBot="1">
      <c r="A60" s="323"/>
      <c r="B60" s="328" t="s">
        <v>1493</v>
      </c>
      <c r="C60" s="323"/>
      <c r="D60" s="323"/>
      <c r="E60" s="323"/>
      <c r="F60" s="323"/>
      <c r="G60" s="323"/>
      <c r="I60" s="3167">
        <f>I58-I59</f>
        <v>0</v>
      </c>
      <c r="J60" s="3168"/>
      <c r="K60" s="323"/>
      <c r="L60" s="424"/>
      <c r="M60" s="423"/>
      <c r="N60" s="423"/>
      <c r="O60" s="423"/>
      <c r="P60" s="423"/>
      <c r="Q60" s="422"/>
      <c r="S60" s="3171"/>
      <c r="T60" s="3172"/>
    </row>
    <row r="61" spans="1:23" s="298" customFormat="1" ht="13.35" customHeight="1">
      <c r="A61" s="323" t="s">
        <v>4562</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184" t="s">
        <v>7104</v>
      </c>
      <c r="B64" s="3184"/>
      <c r="C64" s="3184"/>
      <c r="D64" s="3184"/>
      <c r="E64" s="3184"/>
      <c r="F64" s="3184"/>
      <c r="G64" s="3184"/>
      <c r="H64" s="3184"/>
      <c r="I64" s="3184"/>
      <c r="J64" s="3184"/>
      <c r="K64" s="3184"/>
      <c r="L64" s="3184"/>
      <c r="M64" s="3183"/>
      <c r="N64" s="3183"/>
      <c r="O64" s="3183"/>
      <c r="P64" s="3183"/>
      <c r="Q64" s="3183"/>
      <c r="S64" s="3182" t="s">
        <v>2614</v>
      </c>
      <c r="T64" s="3182"/>
      <c r="U64" s="525"/>
      <c r="V64" s="525"/>
      <c r="W64" s="525"/>
    </row>
    <row r="65" spans="1:23" ht="11.25" customHeight="1">
      <c r="S65" s="525"/>
      <c r="T65" s="525"/>
      <c r="U65" s="525"/>
      <c r="V65" s="525"/>
      <c r="W65" s="525"/>
    </row>
    <row r="66" spans="1:23" ht="12" customHeight="1"/>
    <row r="67" spans="1:23" ht="12" customHeight="1">
      <c r="B67" s="394"/>
    </row>
    <row r="68" spans="1:23" ht="14.4" customHeight="1"/>
    <row r="69" spans="1:23" s="298" customFormat="1" ht="14.4" customHeight="1"/>
    <row r="70" spans="1:23" s="298" customFormat="1" ht="14.4" customHeight="1"/>
    <row r="71" spans="1:23" s="298" customFormat="1" ht="14.4" customHeight="1"/>
    <row r="72" spans="1:23" ht="14.4" customHeight="1"/>
    <row r="73" spans="1:23" s="298" customFormat="1" ht="14.4" customHeight="1">
      <c r="A73" s="395"/>
    </row>
    <row r="74" spans="1:23" s="298" customFormat="1" ht="14.4" customHeight="1">
      <c r="A74" s="395"/>
    </row>
    <row r="75" spans="1:23" s="298" customFormat="1" ht="14.4" customHeight="1"/>
    <row r="76" spans="1:23" s="298" customFormat="1" ht="14.4" customHeight="1">
      <c r="A76" s="395"/>
    </row>
    <row r="77" spans="1:23" s="298" customFormat="1" ht="14.4" customHeight="1">
      <c r="A77" s="393"/>
    </row>
    <row r="78" spans="1:23" s="298" customFormat="1" ht="14.4" customHeight="1">
      <c r="A78" s="393"/>
    </row>
    <row r="79" spans="1:23" s="298" customFormat="1" ht="14.4" customHeight="1">
      <c r="A79" s="396"/>
    </row>
    <row r="80" spans="1:23" s="298" customFormat="1" ht="14.4" customHeight="1">
      <c r="A80" s="395"/>
    </row>
    <row r="81" spans="1:1" s="298" customFormat="1" ht="14.4" customHeight="1">
      <c r="A81" s="393"/>
    </row>
    <row r="82" spans="1:1" s="298" customFormat="1" ht="14.4" customHeight="1">
      <c r="A82" s="393"/>
    </row>
    <row r="83" spans="1:1" s="298" customFormat="1" ht="14.4" customHeight="1">
      <c r="A83" s="396"/>
    </row>
    <row r="84" spans="1:1" s="298" customFormat="1" ht="14.4" customHeight="1">
      <c r="A84" s="395"/>
    </row>
    <row r="85" spans="1:1" s="298" customFormat="1" ht="14.4" customHeight="1">
      <c r="A85" s="393"/>
    </row>
    <row r="86" spans="1:1" s="298" customFormat="1" ht="14.4" customHeight="1">
      <c r="A86" s="393"/>
    </row>
    <row r="87" spans="1:1" s="298" customFormat="1" ht="14.4" customHeight="1">
      <c r="A87" s="396"/>
    </row>
    <row r="88" spans="1:1" s="298" customFormat="1" ht="14.4" customHeight="1">
      <c r="A88" s="396"/>
    </row>
    <row r="89" spans="1:1" s="298" customFormat="1" ht="14.4" customHeight="1">
      <c r="A89" s="396"/>
    </row>
    <row r="90" spans="1:1" s="298" customFormat="1" ht="14.4" customHeight="1">
      <c r="A90" s="396"/>
    </row>
    <row r="91" spans="1:1" s="298" customFormat="1" ht="14.4" customHeight="1"/>
    <row r="92" spans="1:1" s="29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323"/>
      <c r="L99" s="298"/>
      <c r="M99" s="298"/>
      <c r="N99" s="29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82" customFormat="1" ht="16.350000000000001" customHeight="1">
      <c r="A1" s="3289" t="e">
        <f>CONCATENATE("PART III B: USD 538 LOAN","  -  ",#REF!," ",#REF!,", ",#REF!,", ",#REF!," County")</f>
        <v>#REF!</v>
      </c>
      <c r="B1" s="3290"/>
      <c r="C1" s="3290"/>
      <c r="D1" s="3290"/>
      <c r="E1" s="3290"/>
      <c r="F1" s="3291"/>
      <c r="G1" s="180"/>
      <c r="H1" s="180"/>
      <c r="I1" s="180"/>
      <c r="J1" s="180"/>
      <c r="K1" s="180"/>
      <c r="L1" s="180"/>
      <c r="M1" s="180"/>
      <c r="N1" s="180"/>
      <c r="O1" s="180"/>
      <c r="P1" s="180"/>
      <c r="Q1" s="180"/>
    </row>
    <row r="2" spans="1:17" ht="11.1" customHeight="1">
      <c r="A2" s="213"/>
      <c r="B2" s="213"/>
      <c r="C2" s="213"/>
      <c r="D2" s="213"/>
      <c r="E2" s="213"/>
      <c r="F2" s="213"/>
      <c r="G2" s="213"/>
      <c r="H2" s="213"/>
    </row>
    <row r="3" spans="1:17" ht="14.4" customHeight="1">
      <c r="A3" s="3298" t="s">
        <v>213</v>
      </c>
      <c r="B3" s="3298"/>
      <c r="C3" s="3298"/>
      <c r="D3" s="3298"/>
      <c r="E3" s="3298"/>
      <c r="F3" s="3298"/>
      <c r="G3" s="213"/>
      <c r="H3" s="213"/>
    </row>
    <row r="4" spans="1:17" s="201" customFormat="1" ht="6" customHeight="1"/>
    <row r="5" spans="1:17">
      <c r="A5" s="33" t="s">
        <v>2197</v>
      </c>
      <c r="B5" s="33"/>
      <c r="C5" s="286"/>
      <c r="D5" s="287">
        <f>IF(C5&gt;1500000,1500000,0)</f>
        <v>0</v>
      </c>
      <c r="E5" s="288">
        <f>IF(C5&gt;1500000,C5-1500000,0)</f>
        <v>0</v>
      </c>
    </row>
    <row r="6" spans="1:17">
      <c r="A6" s="33" t="s">
        <v>2399</v>
      </c>
      <c r="B6" s="234" t="s">
        <v>494</v>
      </c>
      <c r="C6" s="289">
        <v>0</v>
      </c>
      <c r="D6" s="120" t="s">
        <v>495</v>
      </c>
      <c r="E6" s="33"/>
    </row>
    <row r="7" spans="1:17">
      <c r="A7" s="33"/>
      <c r="B7" s="234" t="s">
        <v>2415</v>
      </c>
      <c r="C7" s="290"/>
      <c r="D7" s="120" t="s">
        <v>1624</v>
      </c>
      <c r="E7" s="33"/>
    </row>
    <row r="8" spans="1:17" ht="13.35" customHeight="1">
      <c r="A8" s="33" t="s">
        <v>2403</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99" t="s">
        <v>125</v>
      </c>
      <c r="B14" s="3299"/>
      <c r="C14" s="3299"/>
      <c r="D14" s="3299"/>
      <c r="E14" s="3299"/>
      <c r="F14" s="3299"/>
      <c r="G14" s="213"/>
      <c r="H14" s="213"/>
    </row>
    <row r="15" spans="1:17" ht="5.4" customHeight="1">
      <c r="A15" s="28"/>
      <c r="E15" s="224"/>
      <c r="F15" s="213"/>
      <c r="G15" s="213"/>
      <c r="H15" s="213"/>
    </row>
    <row r="16" spans="1:17" ht="13.35" customHeight="1">
      <c r="A16" s="226" t="s">
        <v>2416</v>
      </c>
      <c r="B16" s="227" t="s">
        <v>2413</v>
      </c>
      <c r="C16" s="227" t="s">
        <v>2414</v>
      </c>
      <c r="D16" s="3295" t="s">
        <v>2196</v>
      </c>
      <c r="E16" s="3295"/>
      <c r="F16" s="213"/>
      <c r="G16" s="213"/>
      <c r="H16" s="213"/>
    </row>
    <row r="17" spans="1:8" ht="12.6" customHeight="1">
      <c r="A17" s="81">
        <v>1</v>
      </c>
      <c r="B17" s="202">
        <f>IF(A17&gt;$C$9,0,SUM(C64:C75)*($C$6/$C$7))</f>
        <v>0</v>
      </c>
      <c r="C17" s="225">
        <f>IF(A17&gt;C9,0,(E63+K63)*$C$8)</f>
        <v>0</v>
      </c>
      <c r="D17" s="3300">
        <f t="shared" ref="D17:D56" si="0">IF(A17&gt;$C$9,0,$C$11+C17)</f>
        <v>0</v>
      </c>
      <c r="E17" s="3300"/>
      <c r="F17" s="213"/>
      <c r="G17" s="213"/>
      <c r="H17" s="213"/>
    </row>
    <row r="18" spans="1:8" ht="12.6" customHeight="1">
      <c r="A18" s="81">
        <v>2</v>
      </c>
      <c r="B18" s="202">
        <f>IF(A18&gt;C9,0,SUM(C76:C87)*($C$6/$C$7))</f>
        <v>0</v>
      </c>
      <c r="C18" s="232">
        <f>IF(A18&gt;C9,0,(E75+K75)*$C$8)</f>
        <v>0</v>
      </c>
      <c r="D18" s="3292">
        <f t="shared" si="0"/>
        <v>0</v>
      </c>
      <c r="E18" s="3292"/>
      <c r="F18" s="213"/>
      <c r="G18" s="213"/>
      <c r="H18" s="213"/>
    </row>
    <row r="19" spans="1:8" ht="12.6" customHeight="1">
      <c r="A19" s="81">
        <v>3</v>
      </c>
      <c r="B19" s="202">
        <f>IF(A19&gt;C9,0,SUM(C88:C99)*($C$6/$C$7))</f>
        <v>0</v>
      </c>
      <c r="C19" s="225">
        <f>IF(A19&gt;C9,0,(E87+K87)*$C$8)</f>
        <v>0</v>
      </c>
      <c r="D19" s="3292">
        <f t="shared" si="0"/>
        <v>0</v>
      </c>
      <c r="E19" s="3292"/>
      <c r="F19" s="213"/>
      <c r="G19" s="213"/>
      <c r="H19" s="213"/>
    </row>
    <row r="20" spans="1:8" ht="12.6" customHeight="1">
      <c r="A20" s="81">
        <v>4</v>
      </c>
      <c r="B20" s="202">
        <f>IF(A20&gt;C9,0,SUM(C100:C111)*($C$6/$C$7))</f>
        <v>0</v>
      </c>
      <c r="C20" s="225">
        <f>IF(A20&gt;C9,0,(E99+K99)*$C$8)</f>
        <v>0</v>
      </c>
      <c r="D20" s="3292">
        <f t="shared" si="0"/>
        <v>0</v>
      </c>
      <c r="E20" s="3292"/>
      <c r="F20" s="213"/>
      <c r="G20" s="213"/>
      <c r="H20" s="213"/>
    </row>
    <row r="21" spans="1:8" ht="12.6" customHeight="1">
      <c r="A21" s="81">
        <v>5</v>
      </c>
      <c r="B21" s="202">
        <f>IF(A21&gt;C9,0,SUM(C112:C123)*($C$6/$C$7))</f>
        <v>0</v>
      </c>
      <c r="C21" s="225">
        <f>IF(A21&gt;C9,0,(E111+K111)*$C$8)</f>
        <v>0</v>
      </c>
      <c r="D21" s="3293">
        <f t="shared" si="0"/>
        <v>0</v>
      </c>
      <c r="E21" s="3293"/>
      <c r="F21" s="213"/>
      <c r="G21" s="213"/>
      <c r="H21" s="213"/>
    </row>
    <row r="22" spans="1:8" ht="12.6" customHeight="1">
      <c r="A22" s="203">
        <v>6</v>
      </c>
      <c r="B22" s="204">
        <f>IF(A22&gt;C9,0,SUM(C124:C135)*($C$6/$C$7))</f>
        <v>0</v>
      </c>
      <c r="C22" s="229">
        <f>IF(A22&gt;C9,0,(E123+K123)*$C$8)</f>
        <v>0</v>
      </c>
      <c r="D22" s="3292">
        <f t="shared" si="0"/>
        <v>0</v>
      </c>
      <c r="E22" s="3292"/>
      <c r="F22" s="213"/>
      <c r="G22" s="213"/>
      <c r="H22" s="213"/>
    </row>
    <row r="23" spans="1:8" ht="12.6" customHeight="1">
      <c r="A23" s="205">
        <v>7</v>
      </c>
      <c r="B23" s="206">
        <f>IF(A23&gt;C9,0,SUM(C136:C147)*($C$6/$C$7))</f>
        <v>0</v>
      </c>
      <c r="C23" s="207">
        <f>IF(A23&gt;C9,0,(E135+K135)*$C$8)</f>
        <v>0</v>
      </c>
      <c r="D23" s="3292">
        <f t="shared" si="0"/>
        <v>0</v>
      </c>
      <c r="E23" s="3292"/>
      <c r="F23" s="213"/>
      <c r="G23" s="213"/>
      <c r="H23" s="213"/>
    </row>
    <row r="24" spans="1:8" ht="12.6" customHeight="1">
      <c r="A24" s="205">
        <v>8</v>
      </c>
      <c r="B24" s="206">
        <f>IF(A24&gt;C9,0,SUM(C148:C159)*($C$6/$C$7))</f>
        <v>0</v>
      </c>
      <c r="C24" s="207">
        <f>IF(A24&gt;C9,0,(E147+K147)*$C$8)</f>
        <v>0</v>
      </c>
      <c r="D24" s="3292">
        <f t="shared" si="0"/>
        <v>0</v>
      </c>
      <c r="E24" s="3292"/>
      <c r="F24" s="213"/>
      <c r="G24" s="213"/>
      <c r="H24" s="213"/>
    </row>
    <row r="25" spans="1:8" ht="12.6" customHeight="1">
      <c r="A25" s="205">
        <v>9</v>
      </c>
      <c r="B25" s="206">
        <f>IF(A25&gt;C9,0,SUM(C160:C171)*($C$6/$C$7))</f>
        <v>0</v>
      </c>
      <c r="C25" s="207">
        <f>IF(A25&gt;C9,0,(E159+K159)*$C$8)</f>
        <v>0</v>
      </c>
      <c r="D25" s="3292">
        <f t="shared" si="0"/>
        <v>0</v>
      </c>
      <c r="E25" s="3292"/>
      <c r="F25" s="213"/>
      <c r="G25" s="213"/>
      <c r="H25" s="213"/>
    </row>
    <row r="26" spans="1:8" ht="12.6" customHeight="1">
      <c r="A26" s="208">
        <v>10</v>
      </c>
      <c r="B26" s="209">
        <f>IF(A26&gt;C9,0,SUM(C172:C183)*($C$6/$C$7))</f>
        <v>0</v>
      </c>
      <c r="C26" s="228">
        <f>IF(A26&gt;C9,0,(E171+K171)*$C$8)</f>
        <v>0</v>
      </c>
      <c r="D26" s="3293">
        <f t="shared" si="0"/>
        <v>0</v>
      </c>
      <c r="E26" s="3293"/>
      <c r="F26" s="213"/>
      <c r="G26" s="213"/>
      <c r="H26" s="213"/>
    </row>
    <row r="27" spans="1:8" ht="12.6" customHeight="1">
      <c r="A27" s="210">
        <v>11</v>
      </c>
      <c r="B27" s="202">
        <f>IF(A27&gt;C9,0,SUM(C184:C195)*($C$6/$C$7))</f>
        <v>0</v>
      </c>
      <c r="C27" s="225">
        <f>IF(A27&gt;C9,0,(E183+K183)*$C$8)</f>
        <v>0</v>
      </c>
      <c r="D27" s="3292">
        <f t="shared" si="0"/>
        <v>0</v>
      </c>
      <c r="E27" s="3292"/>
      <c r="F27" s="213"/>
      <c r="G27" s="213"/>
      <c r="H27" s="213"/>
    </row>
    <row r="28" spans="1:8" ht="12.6" customHeight="1">
      <c r="A28" s="210">
        <v>12</v>
      </c>
      <c r="B28" s="202">
        <f>IF(A28&gt;C9,0,SUM(C196:C207)*($C$6/$C$7))</f>
        <v>0</v>
      </c>
      <c r="C28" s="225">
        <f>IF(A28&gt;C9,0,(E195+K195)*$C$8)</f>
        <v>0</v>
      </c>
      <c r="D28" s="3292">
        <f t="shared" si="0"/>
        <v>0</v>
      </c>
      <c r="E28" s="3292"/>
      <c r="F28" s="213"/>
      <c r="G28" s="213"/>
      <c r="H28" s="213"/>
    </row>
    <row r="29" spans="1:8" ht="12.6" customHeight="1">
      <c r="A29" s="210">
        <v>13</v>
      </c>
      <c r="B29" s="202">
        <f>IF(A29&gt;C9,0,SUM(C208:C219)*($C$6/$C$7))</f>
        <v>0</v>
      </c>
      <c r="C29" s="225">
        <f>IF(A29&gt;C9,0,(E207+K207)*$C$8)</f>
        <v>0</v>
      </c>
      <c r="D29" s="3292">
        <f t="shared" si="0"/>
        <v>0</v>
      </c>
      <c r="E29" s="3292"/>
      <c r="F29" s="213"/>
      <c r="G29" s="213"/>
      <c r="H29" s="213"/>
    </row>
    <row r="30" spans="1:8" ht="12.6" customHeight="1">
      <c r="A30" s="210">
        <v>14</v>
      </c>
      <c r="B30" s="202">
        <f>IF(A30&gt;C9,0,SUM(C220:C231)*($C$6/$C$7))</f>
        <v>0</v>
      </c>
      <c r="C30" s="225">
        <f>IF(A30&gt;C9,0,(E219+K219)*$C$8)</f>
        <v>0</v>
      </c>
      <c r="D30" s="3292">
        <f t="shared" si="0"/>
        <v>0</v>
      </c>
      <c r="E30" s="3292"/>
      <c r="F30" s="213"/>
      <c r="G30" s="213"/>
      <c r="H30" s="213"/>
    </row>
    <row r="31" spans="1:8" ht="12.6" customHeight="1">
      <c r="A31" s="210">
        <v>15</v>
      </c>
      <c r="B31" s="202">
        <f>IF(A31&gt;C9,0,SUM(C232:C243)*($C$6/$C$7))</f>
        <v>0</v>
      </c>
      <c r="C31" s="225">
        <f>IF(A31&gt;C9,0,(E231+K231)*$C$8)</f>
        <v>0</v>
      </c>
      <c r="D31" s="3293">
        <f t="shared" si="0"/>
        <v>0</v>
      </c>
      <c r="E31" s="3293"/>
      <c r="F31" s="213"/>
      <c r="G31" s="213"/>
      <c r="H31" s="213"/>
    </row>
    <row r="32" spans="1:8" ht="12.6" customHeight="1">
      <c r="A32" s="212">
        <v>16</v>
      </c>
      <c r="B32" s="204">
        <f>IF(A32&gt;C9,0,SUM(C244:C255)*($C$6/$C$7))</f>
        <v>0</v>
      </c>
      <c r="C32" s="229">
        <f>IF(A32&gt;C9,0,(E243+K243)*$C$8)</f>
        <v>0</v>
      </c>
      <c r="D32" s="3292">
        <f t="shared" si="0"/>
        <v>0</v>
      </c>
      <c r="E32" s="3292"/>
      <c r="F32" s="213"/>
      <c r="G32" s="213"/>
      <c r="H32" s="213"/>
    </row>
    <row r="33" spans="1:8" ht="12.6" customHeight="1">
      <c r="A33" s="205">
        <v>17</v>
      </c>
      <c r="B33" s="206">
        <f>IF(A33&gt;C9,0,SUM(C256:C267)*($C$6/$C$7))</f>
        <v>0</v>
      </c>
      <c r="C33" s="207">
        <f>IF(A33&gt;C9,0,(E255+K255)*$C$8)</f>
        <v>0</v>
      </c>
      <c r="D33" s="3292">
        <f t="shared" si="0"/>
        <v>0</v>
      </c>
      <c r="E33" s="3292"/>
      <c r="F33" s="213"/>
      <c r="G33" s="213"/>
      <c r="H33" s="213"/>
    </row>
    <row r="34" spans="1:8" ht="12.6" customHeight="1">
      <c r="A34" s="205">
        <v>18</v>
      </c>
      <c r="B34" s="206">
        <f>IF(A34&gt;C9,0,SUM(C268:C279)*($C$6/$C$7))</f>
        <v>0</v>
      </c>
      <c r="C34" s="207">
        <f>IF(A34&gt;C9,0,(E267+K267)*$C$8)</f>
        <v>0</v>
      </c>
      <c r="D34" s="3292">
        <f t="shared" si="0"/>
        <v>0</v>
      </c>
      <c r="E34" s="3292"/>
      <c r="F34" s="213"/>
      <c r="G34" s="213"/>
      <c r="H34" s="213"/>
    </row>
    <row r="35" spans="1:8" ht="12.6" customHeight="1">
      <c r="A35" s="205">
        <v>19</v>
      </c>
      <c r="B35" s="206">
        <f>IF(A35&gt;C9,0,SUM(C280:C291)*($C$6/$C$7))</f>
        <v>0</v>
      </c>
      <c r="C35" s="207">
        <f>IF(A35&gt;C9,0,(E279+K279)*$C$8)</f>
        <v>0</v>
      </c>
      <c r="D35" s="3292">
        <f t="shared" si="0"/>
        <v>0</v>
      </c>
      <c r="E35" s="3292"/>
      <c r="F35" s="213"/>
      <c r="G35" s="213"/>
      <c r="H35" s="213"/>
    </row>
    <row r="36" spans="1:8" ht="12.6" customHeight="1">
      <c r="A36" s="208">
        <v>20</v>
      </c>
      <c r="B36" s="209">
        <f>IF(A36&gt;C9,0,SUM(C292:C303)*($C$6/$C$7))</f>
        <v>0</v>
      </c>
      <c r="C36" s="228">
        <f>IF(A36&gt;C9,0,(E291+K291)*$C$8)</f>
        <v>0</v>
      </c>
      <c r="D36" s="3293">
        <f t="shared" si="0"/>
        <v>0</v>
      </c>
      <c r="E36" s="3293"/>
      <c r="F36" s="213"/>
      <c r="G36" s="213"/>
      <c r="H36" s="213"/>
    </row>
    <row r="37" spans="1:8" ht="12.6" customHeight="1">
      <c r="A37" s="81">
        <v>21</v>
      </c>
      <c r="B37" s="204">
        <f>IF(A37&gt;C9,0,SUM(C293:C304)*($C$6/$C$7))</f>
        <v>0</v>
      </c>
      <c r="C37" s="229">
        <f>IF(A37&gt;C9,0,(E303+K303)*$C$8)</f>
        <v>0</v>
      </c>
      <c r="D37" s="3294">
        <f t="shared" si="0"/>
        <v>0</v>
      </c>
      <c r="E37" s="3294"/>
      <c r="F37" s="213"/>
      <c r="G37" s="213"/>
      <c r="H37" s="213"/>
    </row>
    <row r="38" spans="1:8" ht="12.6" customHeight="1">
      <c r="A38" s="81">
        <v>22</v>
      </c>
      <c r="B38" s="206">
        <f>IF(A38&gt;C9,0,SUM(C294:C305)*($C$6/$C$7))</f>
        <v>0</v>
      </c>
      <c r="C38" s="207">
        <f>IF(A38&gt;C9,0,(E315+K315)*$C$8)</f>
        <v>0</v>
      </c>
      <c r="D38" s="3292">
        <f t="shared" si="0"/>
        <v>0</v>
      </c>
      <c r="E38" s="3292"/>
      <c r="F38" s="213"/>
      <c r="G38" s="213"/>
      <c r="H38" s="213"/>
    </row>
    <row r="39" spans="1:8" ht="12.6" customHeight="1">
      <c r="A39" s="81">
        <v>23</v>
      </c>
      <c r="B39" s="206">
        <f>IF(A39&gt;C9,0,SUM(C295:C306)*($C$6/$C$7))</f>
        <v>0</v>
      </c>
      <c r="C39" s="207">
        <f>IF(A39&gt;C9,0,(E327+K327)*$C$8)</f>
        <v>0</v>
      </c>
      <c r="D39" s="3292">
        <f t="shared" si="0"/>
        <v>0</v>
      </c>
      <c r="E39" s="3292"/>
      <c r="F39" s="213"/>
      <c r="G39" s="213"/>
      <c r="H39" s="213"/>
    </row>
    <row r="40" spans="1:8" ht="12.6" customHeight="1">
      <c r="A40" s="81">
        <v>24</v>
      </c>
      <c r="B40" s="206">
        <f>IF(A40&gt;C9,0,SUM(C296:C307)*($C$6/$C$7))</f>
        <v>0</v>
      </c>
      <c r="C40" s="207">
        <f>IF(A40&gt;C9,0,(E339+K339)*$C$8)</f>
        <v>0</v>
      </c>
      <c r="D40" s="3292">
        <f t="shared" si="0"/>
        <v>0</v>
      </c>
      <c r="E40" s="3292"/>
      <c r="F40" s="213"/>
      <c r="G40" s="213"/>
      <c r="H40" s="213"/>
    </row>
    <row r="41" spans="1:8" ht="12.6" customHeight="1">
      <c r="A41" s="81">
        <v>25</v>
      </c>
      <c r="B41" s="209">
        <f>IF(A41&gt;C9,0,SUM(C297:C308)*($C$6/$C$7))</f>
        <v>0</v>
      </c>
      <c r="C41" s="228">
        <f>IF(A41&gt;C9,0,(E351+K351)*$C$8)</f>
        <v>0</v>
      </c>
      <c r="D41" s="3293">
        <f t="shared" si="0"/>
        <v>0</v>
      </c>
      <c r="E41" s="3293"/>
      <c r="F41" s="213"/>
      <c r="G41" s="213"/>
      <c r="H41" s="213"/>
    </row>
    <row r="42" spans="1:8" ht="12.6" customHeight="1">
      <c r="A42" s="203">
        <v>26</v>
      </c>
      <c r="B42" s="204">
        <f>IF(A42&gt;C9,0,SUM(C298:C309)*($C$6/$C$7))</f>
        <v>0</v>
      </c>
      <c r="C42" s="229">
        <f>IF(A42&gt;C9,0,(E363+K363)*$C$8)</f>
        <v>0</v>
      </c>
      <c r="D42" s="3294">
        <f t="shared" si="0"/>
        <v>0</v>
      </c>
      <c r="E42" s="3294"/>
      <c r="F42" s="213"/>
      <c r="G42" s="213"/>
      <c r="H42" s="213"/>
    </row>
    <row r="43" spans="1:8" ht="12.6" customHeight="1">
      <c r="A43" s="205">
        <v>27</v>
      </c>
      <c r="B43" s="206">
        <f>IF(A43&gt;C9,0,SUM(C299:C310)*($C$6/$C$7))</f>
        <v>0</v>
      </c>
      <c r="C43" s="207">
        <f>IF(A43&gt;C9,0,(E375+K375)*$C$8)</f>
        <v>0</v>
      </c>
      <c r="D43" s="3292">
        <f t="shared" si="0"/>
        <v>0</v>
      </c>
      <c r="E43" s="3292"/>
      <c r="F43" s="213"/>
      <c r="G43" s="213"/>
      <c r="H43" s="213"/>
    </row>
    <row r="44" spans="1:8" ht="12.6" customHeight="1">
      <c r="A44" s="205">
        <v>28</v>
      </c>
      <c r="B44" s="206">
        <f>IF(A44&gt;C9,0,SUM(C300:C311)*($C$6/$C$7))</f>
        <v>0</v>
      </c>
      <c r="C44" s="207">
        <f>IF(A44&gt;C9,0,(E387+K387)*$C$8)</f>
        <v>0</v>
      </c>
      <c r="D44" s="3292">
        <f t="shared" si="0"/>
        <v>0</v>
      </c>
      <c r="E44" s="3292"/>
      <c r="F44" s="213"/>
      <c r="G44" s="213"/>
      <c r="H44" s="213"/>
    </row>
    <row r="45" spans="1:8" ht="12.6" customHeight="1">
      <c r="A45" s="205">
        <v>29</v>
      </c>
      <c r="B45" s="206">
        <f>IF(A45&gt;C9,0,SUM(C301:C312)*($C$6/$C$7))</f>
        <v>0</v>
      </c>
      <c r="C45" s="207">
        <f>IF(A45&gt;C9,0,(E411+K411)*$C$8)</f>
        <v>0</v>
      </c>
      <c r="D45" s="3292">
        <f t="shared" si="0"/>
        <v>0</v>
      </c>
      <c r="E45" s="3292"/>
      <c r="F45" s="213"/>
      <c r="G45" s="213"/>
      <c r="H45" s="213"/>
    </row>
    <row r="46" spans="1:8" ht="12.6" customHeight="1">
      <c r="A46" s="208">
        <v>30</v>
      </c>
      <c r="B46" s="209">
        <f>IF(A46&gt;C9,0,SUM(C302:C313)*($C$6/$C$7))</f>
        <v>0</v>
      </c>
      <c r="C46" s="228">
        <f>IF(A46&gt;C9,0,(E423+K423)*$C$8)</f>
        <v>0</v>
      </c>
      <c r="D46" s="3293">
        <f t="shared" si="0"/>
        <v>0</v>
      </c>
      <c r="E46" s="3293"/>
      <c r="F46" s="213"/>
      <c r="G46" s="213"/>
      <c r="H46" s="213"/>
    </row>
    <row r="47" spans="1:8" ht="12.6" customHeight="1">
      <c r="A47" s="212">
        <v>31</v>
      </c>
      <c r="B47" s="204">
        <f>IF(A47&gt;C9,0,SUM(C303:C314)*($C$6/$C$7))</f>
        <v>0</v>
      </c>
      <c r="C47" s="229">
        <f>IF(A47&gt;C9,0,(E435+K435)*$C$8)</f>
        <v>0</v>
      </c>
      <c r="D47" s="3294">
        <f t="shared" si="0"/>
        <v>0</v>
      </c>
      <c r="E47" s="3294"/>
      <c r="F47" s="213"/>
      <c r="G47" s="213"/>
      <c r="H47" s="213"/>
    </row>
    <row r="48" spans="1:8" ht="12.6" customHeight="1">
      <c r="A48" s="205">
        <v>32</v>
      </c>
      <c r="B48" s="206">
        <f>IF(A48&gt;C9,0,SUM(C304:C315)*($C$6/$C$7))</f>
        <v>0</v>
      </c>
      <c r="C48" s="207">
        <f>IF(A48&gt;C9,0,(E447+K447)*$C$8)</f>
        <v>0</v>
      </c>
      <c r="D48" s="3292">
        <f t="shared" si="0"/>
        <v>0</v>
      </c>
      <c r="E48" s="3292"/>
      <c r="F48" s="213"/>
      <c r="G48" s="213"/>
      <c r="H48" s="213"/>
    </row>
    <row r="49" spans="1:12" ht="12.6" customHeight="1">
      <c r="A49" s="205">
        <v>33</v>
      </c>
      <c r="B49" s="206">
        <f>IF(A49&gt;C9,0,SUM(C305:C316)*($C$6/$C$7))</f>
        <v>0</v>
      </c>
      <c r="C49" s="207">
        <f>IF(A49&gt;C9,0,(E459+K459)*$C$8)</f>
        <v>0</v>
      </c>
      <c r="D49" s="3292">
        <f t="shared" si="0"/>
        <v>0</v>
      </c>
      <c r="E49" s="3292"/>
      <c r="F49" s="213"/>
      <c r="G49" s="213"/>
      <c r="H49" s="213"/>
    </row>
    <row r="50" spans="1:12" ht="12.6" customHeight="1">
      <c r="A50" s="205">
        <v>34</v>
      </c>
      <c r="B50" s="206">
        <f>IF(A50&gt;C9,0,SUM(C306:C317)*($C$6/$C$7))</f>
        <v>0</v>
      </c>
      <c r="C50" s="207">
        <f>IF(A50&gt;C9,0,(E471+K471)*$C$8)</f>
        <v>0</v>
      </c>
      <c r="D50" s="3292">
        <f t="shared" si="0"/>
        <v>0</v>
      </c>
      <c r="E50" s="3292"/>
      <c r="F50" s="213"/>
      <c r="G50" s="213"/>
      <c r="H50" s="213"/>
    </row>
    <row r="51" spans="1:12" ht="12.6" customHeight="1">
      <c r="A51" s="208">
        <v>35</v>
      </c>
      <c r="B51" s="209">
        <f>IF(A51&gt;C9,0,SUM(C307:C318)*($C$6/$C$7))</f>
        <v>0</v>
      </c>
      <c r="C51" s="228">
        <f>IF(A51&gt;C9,0,(E483+K483)*$C$8)</f>
        <v>0</v>
      </c>
      <c r="D51" s="3293">
        <f t="shared" si="0"/>
        <v>0</v>
      </c>
      <c r="E51" s="3293"/>
      <c r="F51" s="213"/>
      <c r="G51" s="213"/>
      <c r="H51" s="213"/>
    </row>
    <row r="52" spans="1:12" ht="12.6" customHeight="1">
      <c r="A52" s="212">
        <v>36</v>
      </c>
      <c r="B52" s="204">
        <f>IF(A52&gt;C9,0,SUM(C308:C319)*($C$6/$C$7))</f>
        <v>0</v>
      </c>
      <c r="C52" s="229">
        <f>IF(A52&gt;C9,0,(E495+K495)*$C$8)</f>
        <v>0</v>
      </c>
      <c r="D52" s="3294">
        <f t="shared" si="0"/>
        <v>0</v>
      </c>
      <c r="E52" s="3294"/>
      <c r="F52" s="213"/>
      <c r="G52" s="213"/>
      <c r="H52" s="213"/>
    </row>
    <row r="53" spans="1:12" ht="12.6" customHeight="1">
      <c r="A53" s="205">
        <v>37</v>
      </c>
      <c r="B53" s="206">
        <f>IF(A53&gt;C9,0,SUM(C309:C320)*($C$6/$C$7))</f>
        <v>0</v>
      </c>
      <c r="C53" s="207">
        <f>IF(A53&gt;C9,0,(E507+K507)*$C$8)</f>
        <v>0</v>
      </c>
      <c r="D53" s="3292">
        <f t="shared" si="0"/>
        <v>0</v>
      </c>
      <c r="E53" s="3292"/>
      <c r="F53" s="213"/>
      <c r="G53" s="213"/>
      <c r="H53" s="213"/>
    </row>
    <row r="54" spans="1:12" ht="12.6" customHeight="1">
      <c r="A54" s="205">
        <v>38</v>
      </c>
      <c r="B54" s="206">
        <f>IF(A54&gt;C9,0,SUM(C310:C321)*($C$6/$C$7))</f>
        <v>0</v>
      </c>
      <c r="C54" s="207">
        <f>IF(A54&gt;C9,0,(E519+K519)*$C$8)</f>
        <v>0</v>
      </c>
      <c r="D54" s="3292">
        <f t="shared" si="0"/>
        <v>0</v>
      </c>
      <c r="E54" s="3292"/>
      <c r="F54" s="213"/>
      <c r="G54" s="213"/>
      <c r="H54" s="213"/>
    </row>
    <row r="55" spans="1:12" ht="12.6" customHeight="1">
      <c r="A55" s="205">
        <v>39</v>
      </c>
      <c r="B55" s="206">
        <f>IF(A55&gt;C9,0,SUM(C311:C322)*($C$6/$C$7))</f>
        <v>0</v>
      </c>
      <c r="C55" s="207">
        <f>IF(A55&gt;C9,0,(E531+K531)*$C$8)</f>
        <v>0</v>
      </c>
      <c r="D55" s="3292">
        <f t="shared" si="0"/>
        <v>0</v>
      </c>
      <c r="E55" s="3292"/>
      <c r="F55" s="213"/>
      <c r="G55" s="213"/>
      <c r="H55" s="213"/>
    </row>
    <row r="56" spans="1:12" ht="12.6" customHeight="1">
      <c r="A56" s="208">
        <v>40</v>
      </c>
      <c r="B56" s="209">
        <f>IF(A56&gt;C9,0,SUM(C312:C323)*($C$6/$C$7))</f>
        <v>0</v>
      </c>
      <c r="C56" s="228">
        <f>IF(A56&gt;C9,0,(E543+K543)*$C$8)</f>
        <v>0</v>
      </c>
      <c r="D56" s="3293">
        <f t="shared" si="0"/>
        <v>0</v>
      </c>
      <c r="E56" s="3293"/>
      <c r="F56" s="213"/>
      <c r="G56" s="213"/>
      <c r="H56" s="213"/>
    </row>
    <row r="57" spans="1:12" ht="3" customHeight="1">
      <c r="A57" s="213"/>
      <c r="B57" s="213"/>
      <c r="C57" s="213"/>
      <c r="D57" s="213"/>
      <c r="E57" s="213"/>
      <c r="F57" s="213"/>
      <c r="G57" s="213"/>
      <c r="H57" s="213"/>
    </row>
    <row r="58" spans="1:12" ht="13.35" customHeight="1">
      <c r="A58" s="3296" t="e">
        <f>CONCATENATE(#REF!," ",#REF!,", ",#REF!,", ",#REF!," County")</f>
        <v>#REF!</v>
      </c>
      <c r="B58" s="3296"/>
      <c r="C58" s="3296"/>
      <c r="D58" s="3296"/>
      <c r="E58" s="3296"/>
      <c r="F58" s="3296"/>
      <c r="G58" s="3296" t="e">
        <f>CONCATENATE(#REF!," ",#REF!,", ",#REF!,", ",#REF!," County")</f>
        <v>#REF!</v>
      </c>
      <c r="H58" s="3296"/>
      <c r="I58" s="3296"/>
      <c r="J58" s="3296"/>
      <c r="K58" s="3296"/>
      <c r="L58" s="3296"/>
    </row>
    <row r="59" spans="1:12" ht="13.8">
      <c r="A59" s="3297" t="s">
        <v>2407</v>
      </c>
      <c r="B59" s="3297"/>
      <c r="C59" s="3297"/>
      <c r="D59" s="3297"/>
      <c r="E59" s="3297"/>
      <c r="F59" s="3297"/>
      <c r="G59" s="3297" t="s">
        <v>2407</v>
      </c>
      <c r="H59" s="3297"/>
      <c r="I59" s="3297"/>
      <c r="J59" s="3297"/>
      <c r="K59" s="3297"/>
      <c r="L59" s="3297"/>
    </row>
    <row r="60" spans="1:12" ht="6" customHeight="1">
      <c r="C60" s="211"/>
      <c r="D60" s="211"/>
      <c r="I60" s="211"/>
      <c r="J60" s="211"/>
    </row>
    <row r="61" spans="1:12">
      <c r="A61" s="214" t="s">
        <v>2408</v>
      </c>
      <c r="B61" s="215" t="s">
        <v>2409</v>
      </c>
      <c r="C61" s="215" t="s">
        <v>1268</v>
      </c>
      <c r="D61" s="215" t="s">
        <v>2410</v>
      </c>
      <c r="E61" s="214" t="s">
        <v>2411</v>
      </c>
      <c r="F61" s="246" t="s">
        <v>2416</v>
      </c>
      <c r="G61" s="214" t="s">
        <v>2408</v>
      </c>
      <c r="H61" s="215" t="s">
        <v>2409</v>
      </c>
      <c r="I61" s="215" t="s">
        <v>1268</v>
      </c>
      <c r="J61" s="215" t="s">
        <v>2410</v>
      </c>
      <c r="K61" s="214" t="s">
        <v>2411</v>
      </c>
      <c r="L61" s="246" t="s">
        <v>2416</v>
      </c>
    </row>
    <row r="62" spans="1:12" ht="3.6" customHeight="1">
      <c r="A62" s="217"/>
      <c r="B62" s="119"/>
      <c r="C62" s="119"/>
      <c r="D62" s="119"/>
      <c r="E62" s="119"/>
      <c r="F62" s="81"/>
      <c r="G62" s="217"/>
      <c r="H62" s="119"/>
      <c r="I62" s="119"/>
      <c r="J62" s="119"/>
      <c r="K62" s="119"/>
      <c r="L62" s="81"/>
    </row>
    <row r="63" spans="1:12">
      <c r="A63" s="218" t="s">
        <v>2412</v>
      </c>
      <c r="B63" s="219"/>
      <c r="C63" s="219"/>
      <c r="D63" s="219"/>
      <c r="E63" s="220">
        <f>IF($C$5&gt;1500000,$D$5,$C$5)</f>
        <v>0</v>
      </c>
      <c r="F63" s="81"/>
      <c r="G63" s="218" t="s">
        <v>2412</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1" customWidth="1"/>
    <col min="9" max="9" width="10.44140625" style="27" bestFit="1" customWidth="1"/>
    <col min="10" max="10" width="12.109375" style="27" customWidth="1"/>
    <col min="11" max="11" width="10.88671875" style="27" customWidth="1"/>
    <col min="12" max="16384" width="8.88671875" style="27"/>
  </cols>
  <sheetData>
    <row r="1" spans="1:17" s="182" customFormat="1" ht="16.350000000000001" customHeight="1">
      <c r="A1" s="3289" t="e">
        <f>CONCATENATE("PART III C  - HUD INSURED LOAN","  -  ",#REF!," ",#REF!,", ",#REF!,", ",#REF!," County")</f>
        <v>#REF!</v>
      </c>
      <c r="B1" s="3290"/>
      <c r="C1" s="3290"/>
      <c r="D1" s="3290"/>
      <c r="E1" s="3290"/>
      <c r="F1" s="3291"/>
      <c r="G1" s="180"/>
      <c r="H1" s="180"/>
      <c r="I1" s="180"/>
      <c r="J1" s="180"/>
      <c r="K1" s="180"/>
      <c r="L1" s="180"/>
      <c r="M1" s="180"/>
      <c r="N1" s="180"/>
      <c r="O1" s="180"/>
      <c r="P1" s="180"/>
      <c r="Q1" s="180"/>
    </row>
    <row r="2" spans="1:17">
      <c r="A2" s="13"/>
      <c r="B2" s="201"/>
      <c r="C2" s="201"/>
      <c r="D2" s="201"/>
    </row>
    <row r="3" spans="1:17" ht="15.6" customHeight="1">
      <c r="A3" s="3298" t="s">
        <v>213</v>
      </c>
      <c r="B3" s="3298"/>
      <c r="C3" s="3298"/>
      <c r="D3" s="3298"/>
      <c r="E3" s="3298"/>
      <c r="F3" s="3298"/>
      <c r="G3" s="250"/>
      <c r="H3" s="250"/>
    </row>
    <row r="4" spans="1:17">
      <c r="A4" s="13"/>
      <c r="B4" s="201"/>
      <c r="C4" s="201"/>
      <c r="D4" s="201"/>
    </row>
    <row r="5" spans="1:17" ht="13.35" customHeight="1">
      <c r="A5" s="27" t="s">
        <v>2197</v>
      </c>
      <c r="D5" s="244"/>
      <c r="E5" s="3301" t="s">
        <v>934</v>
      </c>
      <c r="F5" s="3302"/>
      <c r="G5" s="163"/>
    </row>
    <row r="6" spans="1:17">
      <c r="E6" s="3302"/>
      <c r="F6" s="3302"/>
      <c r="G6" s="163"/>
    </row>
    <row r="7" spans="1:17">
      <c r="A7" s="27" t="s">
        <v>2399</v>
      </c>
      <c r="C7" s="27" t="s">
        <v>2400</v>
      </c>
      <c r="D7" s="245"/>
      <c r="E7" s="3302"/>
      <c r="F7" s="3302"/>
      <c r="G7" s="163"/>
    </row>
    <row r="8" spans="1:17">
      <c r="C8" s="27" t="s">
        <v>2401</v>
      </c>
      <c r="D8" s="245"/>
      <c r="E8" s="3302"/>
      <c r="F8" s="3302"/>
      <c r="G8" s="163"/>
    </row>
    <row r="9" spans="1:17">
      <c r="C9" s="27" t="s">
        <v>2402</v>
      </c>
      <c r="D9" s="245"/>
      <c r="E9" s="3302"/>
      <c r="F9" s="3302"/>
      <c r="G9" s="163"/>
    </row>
    <row r="10" spans="1:17">
      <c r="C10" s="27" t="s">
        <v>2415</v>
      </c>
      <c r="D10" s="251">
        <f>D7+D8+D9</f>
        <v>0</v>
      </c>
      <c r="E10" s="3302"/>
      <c r="F10" s="3302"/>
      <c r="G10" s="163"/>
    </row>
    <row r="11" spans="1:17">
      <c r="F11" s="163"/>
      <c r="G11" s="163"/>
    </row>
    <row r="12" spans="1:17">
      <c r="A12" s="27" t="s">
        <v>1674</v>
      </c>
      <c r="D12" s="243"/>
      <c r="E12" s="27" t="s">
        <v>2084</v>
      </c>
      <c r="F12" s="163"/>
      <c r="G12" s="163"/>
    </row>
    <row r="13" spans="1:17">
      <c r="D13" s="211"/>
      <c r="F13" s="163"/>
      <c r="G13" s="163"/>
    </row>
    <row r="14" spans="1:17">
      <c r="A14" s="27" t="s">
        <v>2404</v>
      </c>
      <c r="D14" s="242"/>
      <c r="E14" s="27" t="s">
        <v>2405</v>
      </c>
      <c r="F14" s="252"/>
    </row>
    <row r="15" spans="1:17">
      <c r="D15" s="231"/>
      <c r="F15" s="252"/>
    </row>
    <row r="16" spans="1:17">
      <c r="A16" s="27" t="s">
        <v>2406</v>
      </c>
      <c r="D16" s="242"/>
      <c r="E16" s="27" t="s">
        <v>2405</v>
      </c>
      <c r="F16" s="252"/>
    </row>
    <row r="17" spans="1:10">
      <c r="D17" s="211"/>
      <c r="F17" s="252"/>
    </row>
    <row r="18" spans="1:10">
      <c r="A18" s="27" t="s">
        <v>908</v>
      </c>
      <c r="D18" s="253" t="e">
        <f>PMT(D10/12,D16*12,-D5,0,0)*12</f>
        <v>#NUM!</v>
      </c>
      <c r="E18" s="27" t="s">
        <v>1470</v>
      </c>
      <c r="F18" s="252"/>
    </row>
    <row r="19" spans="1:10">
      <c r="D19" s="211"/>
      <c r="F19" s="252"/>
    </row>
    <row r="20" spans="1:10">
      <c r="A20" s="27" t="s">
        <v>1471</v>
      </c>
      <c r="D20" s="211" t="e">
        <f>D18/12</f>
        <v>#NUM!</v>
      </c>
      <c r="E20" s="27" t="s">
        <v>1470</v>
      </c>
      <c r="F20" s="252"/>
    </row>
    <row r="24" spans="1:10" ht="18" customHeight="1">
      <c r="A24" s="3299" t="s">
        <v>1675</v>
      </c>
      <c r="B24" s="3299"/>
      <c r="C24" s="3299"/>
      <c r="D24" s="3299"/>
      <c r="E24" s="3299"/>
      <c r="F24" s="3299"/>
      <c r="J24" s="254"/>
    </row>
    <row r="25" spans="1:10">
      <c r="C25" s="211"/>
      <c r="J25" s="254"/>
    </row>
    <row r="26" spans="1:10">
      <c r="A26" s="106"/>
      <c r="B26" s="81"/>
      <c r="C26" s="3303" t="s">
        <v>2196</v>
      </c>
      <c r="D26" s="249"/>
      <c r="E26" s="81"/>
      <c r="F26" s="3303" t="s">
        <v>2196</v>
      </c>
      <c r="J26" s="254"/>
    </row>
    <row r="27" spans="1:10">
      <c r="A27" s="255" t="s">
        <v>2416</v>
      </c>
      <c r="B27" s="71" t="s">
        <v>1004</v>
      </c>
      <c r="C27" s="3304"/>
      <c r="D27" s="256" t="s">
        <v>2416</v>
      </c>
      <c r="E27" s="71" t="s">
        <v>1004</v>
      </c>
      <c r="F27" s="3304"/>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96" t="e">
        <f>CONCATENATE(#REF!," ",#REF!,", ",#REF!,", ",#REF!," County")</f>
        <v>#REF!</v>
      </c>
      <c r="B50" s="3296"/>
      <c r="C50" s="3296"/>
      <c r="D50" s="3296"/>
      <c r="E50" s="3296"/>
      <c r="F50" s="3296"/>
      <c r="G50" s="234"/>
      <c r="H50" s="234"/>
    </row>
    <row r="51" spans="1:10" ht="13.8">
      <c r="A51" s="3297" t="s">
        <v>2407</v>
      </c>
      <c r="B51" s="3297"/>
      <c r="C51" s="3297"/>
      <c r="D51" s="3297"/>
      <c r="E51" s="3297"/>
      <c r="F51" s="3297"/>
      <c r="G51" s="266"/>
      <c r="H51" s="266"/>
      <c r="I51" s="266"/>
      <c r="J51" s="266"/>
    </row>
    <row r="52" spans="1:10" ht="5.4" customHeight="1">
      <c r="C52" s="211"/>
      <c r="D52" s="211"/>
      <c r="G52" s="216"/>
      <c r="H52" s="210"/>
      <c r="I52" s="216"/>
    </row>
    <row r="53" spans="1:10">
      <c r="A53" s="214" t="s">
        <v>2408</v>
      </c>
      <c r="B53" s="214" t="s">
        <v>2409</v>
      </c>
      <c r="C53" s="214" t="s">
        <v>1268</v>
      </c>
      <c r="D53" s="214" t="s">
        <v>2410</v>
      </c>
      <c r="E53" s="214" t="s">
        <v>2411</v>
      </c>
      <c r="F53" s="246" t="s">
        <v>2416</v>
      </c>
      <c r="G53" s="267"/>
      <c r="H53" s="267"/>
      <c r="I53" s="267"/>
    </row>
    <row r="54" spans="1:10" ht="3.6" customHeight="1">
      <c r="F54" s="81"/>
      <c r="G54" s="216"/>
      <c r="H54" s="210"/>
      <c r="I54" s="216"/>
    </row>
    <row r="55" spans="1:10">
      <c r="A55" s="27" t="s">
        <v>2412</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Normal="100" workbookViewId="0">
      <selection activeCell="A189" sqref="A189"/>
    </sheetView>
  </sheetViews>
  <sheetFormatPr defaultColWidth="9.109375" defaultRowHeight="13.8"/>
  <cols>
    <col min="1" max="1" width="2.44140625" style="344" customWidth="1"/>
    <col min="2" max="2" width="5.44140625" style="344" customWidth="1"/>
    <col min="3" max="3" width="18" style="344" customWidth="1"/>
    <col min="4" max="4" width="7.109375" style="344" customWidth="1"/>
    <col min="5" max="5" width="12.5546875" style="344" customWidth="1"/>
    <col min="6" max="6" width="10.44140625" style="344" customWidth="1"/>
    <col min="7" max="8" width="6.44140625" style="344" customWidth="1"/>
    <col min="9" max="9" width="1.88671875" style="344" customWidth="1"/>
    <col min="10" max="11" width="6.44140625" style="344" customWidth="1"/>
    <col min="12" max="12" width="1.88671875" style="344" customWidth="1"/>
    <col min="13" max="14" width="6.44140625" style="344" customWidth="1"/>
    <col min="15" max="15" width="1.88671875" style="344" customWidth="1"/>
    <col min="16" max="17" width="6.44140625" style="344" customWidth="1"/>
    <col min="18" max="18" width="1.88671875" style="344" customWidth="1"/>
    <col min="19" max="20" width="7" style="344" customWidth="1"/>
    <col min="21" max="21" width="5.88671875" style="344" customWidth="1"/>
    <col min="22" max="22" width="13.109375" style="344" customWidth="1"/>
    <col min="23" max="23" width="24.88671875" style="344" customWidth="1"/>
    <col min="24" max="24" width="73.44140625" style="344" customWidth="1"/>
    <col min="25" max="16384" width="9.109375" style="344"/>
  </cols>
  <sheetData>
    <row r="1" spans="1:24" s="323" customFormat="1" ht="13.5" customHeight="1">
      <c r="A1" s="3441" t="str">
        <f>CONCATENATE("PART FOUR -  USES OF FUNDS","  -  ",'Part I-Project Information'!$O$6," ",'Part I-Project Information'!$F$34,", ",'Part I-Project Information'!F38,", ",'Part I-Project Information'!J39," County")</f>
        <v>PART FOUR -  USES OF FUNDS  -  2020-5 Lakeview Terrace, Augusta, Richmond County</v>
      </c>
      <c r="B1" s="3442"/>
      <c r="C1" s="3442"/>
      <c r="D1" s="3442"/>
      <c r="E1" s="3442"/>
      <c r="F1" s="3442"/>
      <c r="G1" s="3442"/>
      <c r="H1" s="3442"/>
      <c r="I1" s="3442"/>
      <c r="J1" s="3442"/>
      <c r="K1" s="3442"/>
      <c r="L1" s="3442"/>
      <c r="M1" s="3442"/>
      <c r="N1" s="3442"/>
      <c r="O1" s="3442"/>
      <c r="P1" s="3442"/>
      <c r="Q1" s="3442"/>
      <c r="R1" s="3442"/>
      <c r="S1" s="3442"/>
      <c r="T1" s="3442"/>
      <c r="W1" s="3443" t="str">
        <f>A1</f>
        <v>PART FOUR -  USES OF FUNDS  -  2020-5 Lakeview Terrace, Augusta, Richmond County</v>
      </c>
      <c r="X1" s="3443"/>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312" t="str">
        <f>'Part I-Project Information'!$B$6</f>
        <v>July 15, 2020 Version (4%)</v>
      </c>
      <c r="E5" s="3312"/>
      <c r="F5" s="3312"/>
      <c r="G5" s="3312"/>
      <c r="H5" s="3312"/>
      <c r="I5" s="538"/>
      <c r="J5" s="3371" t="s">
        <v>266</v>
      </c>
      <c r="K5" s="3372"/>
      <c r="L5" s="397"/>
      <c r="M5" s="3402" t="s">
        <v>479</v>
      </c>
      <c r="N5" s="3403"/>
      <c r="P5" s="3371" t="s">
        <v>267</v>
      </c>
      <c r="Q5" s="3372"/>
      <c r="S5" s="3371" t="s">
        <v>268</v>
      </c>
      <c r="T5" s="3372"/>
      <c r="V5" s="482" t="str">
        <f>B5</f>
        <v>DEVELOPMENT BUDGET</v>
      </c>
    </row>
    <row r="6" spans="1:24" s="323" customFormat="1" ht="19.5" customHeight="1" thickBot="1">
      <c r="D6" s="1914"/>
      <c r="E6" s="1914"/>
      <c r="F6" s="1914"/>
      <c r="G6" s="3406" t="s">
        <v>98</v>
      </c>
      <c r="H6" s="3407"/>
      <c r="J6" s="3373"/>
      <c r="K6" s="3374"/>
      <c r="L6" s="397"/>
      <c r="M6" s="3404"/>
      <c r="N6" s="3405"/>
      <c r="P6" s="3373"/>
      <c r="Q6" s="3374"/>
      <c r="S6" s="3373"/>
      <c r="T6" s="3374"/>
      <c r="V6" s="368" t="s">
        <v>2607</v>
      </c>
      <c r="X6" s="368"/>
    </row>
    <row r="7" spans="1:24" s="323" customFormat="1" ht="12" customHeight="1">
      <c r="B7" s="325" t="s">
        <v>99</v>
      </c>
      <c r="O7" s="535" t="str">
        <f>B7</f>
        <v>PRE-DEVELOPMENT COSTS</v>
      </c>
      <c r="W7" s="323" t="str">
        <f>B7</f>
        <v>PRE-DEVELOPMENT COSTS</v>
      </c>
    </row>
    <row r="8" spans="1:24" s="323" customFormat="1" ht="12.6" customHeight="1">
      <c r="B8" s="323" t="s">
        <v>1953</v>
      </c>
      <c r="G8" s="3247">
        <v>8000</v>
      </c>
      <c r="H8" s="3248"/>
      <c r="J8" s="3247">
        <v>8000</v>
      </c>
      <c r="K8" s="3248"/>
      <c r="L8" s="1207"/>
      <c r="M8" s="3247"/>
      <c r="N8" s="3248"/>
      <c r="P8" s="3247"/>
      <c r="Q8" s="3248"/>
      <c r="S8" s="3247"/>
      <c r="T8" s="3248"/>
      <c r="V8" s="1254"/>
      <c r="W8" s="3306"/>
      <c r="X8" s="3307"/>
    </row>
    <row r="9" spans="1:24" s="323" customFormat="1" ht="12.6" customHeight="1">
      <c r="B9" s="323" t="s">
        <v>448</v>
      </c>
      <c r="G9" s="3235">
        <v>8000</v>
      </c>
      <c r="H9" s="3236"/>
      <c r="J9" s="3235">
        <v>8000</v>
      </c>
      <c r="K9" s="3236"/>
      <c r="L9" s="1207"/>
      <c r="M9" s="3235"/>
      <c r="N9" s="3236"/>
      <c r="P9" s="3235"/>
      <c r="Q9" s="3236"/>
      <c r="S9" s="3235"/>
      <c r="T9" s="3236"/>
      <c r="V9" s="1254"/>
      <c r="W9" s="3306"/>
      <c r="X9" s="3307"/>
    </row>
    <row r="10" spans="1:24" s="323" customFormat="1" ht="12.6" customHeight="1">
      <c r="B10" s="323" t="s">
        <v>477</v>
      </c>
      <c r="G10" s="3235">
        <v>15000</v>
      </c>
      <c r="H10" s="3236"/>
      <c r="J10" s="3235">
        <v>15000</v>
      </c>
      <c r="K10" s="3236"/>
      <c r="L10" s="1207"/>
      <c r="M10" s="3235"/>
      <c r="N10" s="3236"/>
      <c r="P10" s="3235"/>
      <c r="Q10" s="3236"/>
      <c r="S10" s="3235"/>
      <c r="T10" s="3236"/>
      <c r="V10" s="1254"/>
      <c r="W10" s="3306"/>
      <c r="X10" s="3307"/>
    </row>
    <row r="11" spans="1:24" s="323" customFormat="1" ht="12.6" customHeight="1">
      <c r="B11" s="323" t="s">
        <v>478</v>
      </c>
      <c r="G11" s="3235">
        <v>10000</v>
      </c>
      <c r="H11" s="3236"/>
      <c r="J11" s="3235">
        <v>10000</v>
      </c>
      <c r="K11" s="3236"/>
      <c r="L11" s="1207"/>
      <c r="M11" s="3235"/>
      <c r="N11" s="3236"/>
      <c r="P11" s="3235"/>
      <c r="Q11" s="3236"/>
      <c r="S11" s="3235"/>
      <c r="T11" s="3236"/>
      <c r="V11" s="1254"/>
      <c r="W11" s="3306"/>
      <c r="X11" s="3307"/>
    </row>
    <row r="12" spans="1:24" s="323" customFormat="1" ht="12.6" customHeight="1">
      <c r="B12" s="323" t="s">
        <v>2435</v>
      </c>
      <c r="G12" s="3235">
        <v>18000</v>
      </c>
      <c r="H12" s="3236"/>
      <c r="J12" s="3235">
        <v>18000</v>
      </c>
      <c r="K12" s="3236"/>
      <c r="L12" s="1207"/>
      <c r="M12" s="3235"/>
      <c r="N12" s="3236"/>
      <c r="P12" s="3235"/>
      <c r="Q12" s="3236"/>
      <c r="S12" s="3235"/>
      <c r="T12" s="3236"/>
      <c r="V12" s="1254"/>
      <c r="W12" s="3306"/>
      <c r="X12" s="3307"/>
    </row>
    <row r="13" spans="1:24" s="323" customFormat="1" ht="12.6" customHeight="1">
      <c r="B13" s="323" t="s">
        <v>186</v>
      </c>
      <c r="G13" s="3235"/>
      <c r="H13" s="3236"/>
      <c r="J13" s="3235"/>
      <c r="K13" s="3236"/>
      <c r="L13" s="1207"/>
      <c r="M13" s="3235"/>
      <c r="N13" s="3236"/>
      <c r="P13" s="3235"/>
      <c r="Q13" s="3236"/>
      <c r="S13" s="3235"/>
      <c r="T13" s="3236"/>
      <c r="V13" s="1254"/>
      <c r="W13" s="3306"/>
      <c r="X13" s="3307"/>
    </row>
    <row r="14" spans="1:24" s="323" customFormat="1" ht="12.6" customHeight="1">
      <c r="A14" s="426" t="str">
        <f>IF(AND(G14&gt;0,OR(C14="",C14="&lt;Enter detailed description here; use Comments section if needed&gt;")),"X","")</f>
        <v/>
      </c>
      <c r="B14" s="323" t="s">
        <v>723</v>
      </c>
      <c r="C14" s="3386" t="s">
        <v>3535</v>
      </c>
      <c r="D14" s="3386"/>
      <c r="E14" s="3386"/>
      <c r="F14" s="3387"/>
      <c r="G14" s="3235"/>
      <c r="H14" s="3236"/>
      <c r="J14" s="3235"/>
      <c r="K14" s="3236"/>
      <c r="L14" s="1207"/>
      <c r="M14" s="3235"/>
      <c r="N14" s="3236"/>
      <c r="P14" s="3235"/>
      <c r="Q14" s="3236"/>
      <c r="S14" s="3235"/>
      <c r="T14" s="3236"/>
      <c r="U14" s="425" t="str">
        <f>IF(AND(G14&gt;0,OR(C14="",C14="&lt;Enter detailed description here; use Comments section if needed&gt;")),"NO DESCRIPTION PROVIDED - please enter detailed description in Other box at left; use Comments section below if needed.","")</f>
        <v/>
      </c>
      <c r="V14" s="1255"/>
      <c r="W14" s="3306"/>
      <c r="X14" s="3307"/>
    </row>
    <row r="15" spans="1:24" s="323" customFormat="1" ht="12.6" customHeight="1">
      <c r="A15" s="426" t="str">
        <f>IF(AND(G15&gt;0,OR(C15="",C15="&lt;Enter detailed description here; use Comments section if needed&gt;")),"X","")</f>
        <v/>
      </c>
      <c r="B15" s="323" t="s">
        <v>723</v>
      </c>
      <c r="C15" s="3386" t="s">
        <v>3535</v>
      </c>
      <c r="D15" s="3386"/>
      <c r="E15" s="3386"/>
      <c r="F15" s="3387"/>
      <c r="G15" s="3235"/>
      <c r="H15" s="3236"/>
      <c r="J15" s="3235"/>
      <c r="K15" s="3236"/>
      <c r="L15" s="1207"/>
      <c r="M15" s="3235"/>
      <c r="N15" s="3236"/>
      <c r="P15" s="3235"/>
      <c r="Q15" s="3236"/>
      <c r="S15" s="3235"/>
      <c r="T15" s="3236"/>
      <c r="U15" s="425" t="str">
        <f>IF(AND(G15&gt;0,OR(C15="",C15="&lt;Enter detailed description here; use Comments section if needed&gt;")),"NO DESCRIPTION PROVIDED - please enter detailed description in Other box at left; use Comments section below if needed.","")</f>
        <v/>
      </c>
      <c r="V15" s="1255"/>
      <c r="W15" s="3306"/>
      <c r="X15" s="3307"/>
    </row>
    <row r="16" spans="1:24" s="323" customFormat="1" ht="12.6" customHeight="1" thickBot="1">
      <c r="A16" s="426" t="str">
        <f>IF(AND(G16&gt;0,OR(C16="",C16="&lt;Enter detailed description here; use Comments section if needed&gt;")),"X","")</f>
        <v/>
      </c>
      <c r="B16" s="323" t="s">
        <v>723</v>
      </c>
      <c r="C16" s="3386" t="s">
        <v>3535</v>
      </c>
      <c r="D16" s="3386"/>
      <c r="E16" s="3386"/>
      <c r="F16" s="3387"/>
      <c r="G16" s="3392"/>
      <c r="H16" s="3393"/>
      <c r="J16" s="3392"/>
      <c r="K16" s="3393"/>
      <c r="L16" s="1207"/>
      <c r="M16" s="3392"/>
      <c r="N16" s="3393"/>
      <c r="P16" s="3392"/>
      <c r="Q16" s="3393"/>
      <c r="S16" s="3392"/>
      <c r="T16" s="3393"/>
      <c r="U16" s="425" t="str">
        <f>IF(AND(G16&gt;0,OR(C16="",C16="&lt;Enter detailed description here; use Comments section if needed&gt;")),"NO DESCRIPTION PROVIDED - please enter detailed description in Other box at left; use Comments section below if needed.","")</f>
        <v/>
      </c>
      <c r="V16" s="1255"/>
      <c r="W16" s="3308"/>
      <c r="X16" s="3309"/>
    </row>
    <row r="17" spans="2:24" s="323" customFormat="1" ht="12.6" customHeight="1" thickTop="1">
      <c r="F17" s="398" t="s">
        <v>187</v>
      </c>
      <c r="G17" s="3388">
        <f>SUM(G8:H16)</f>
        <v>59000</v>
      </c>
      <c r="H17" s="3389"/>
      <c r="J17" s="3388">
        <f>SUM(J8:K16)</f>
        <v>59000</v>
      </c>
      <c r="K17" s="3435"/>
      <c r="L17" s="1207"/>
      <c r="M17" s="3388">
        <f>SUM(M8:N16)</f>
        <v>0</v>
      </c>
      <c r="N17" s="3389"/>
      <c r="P17" s="3388">
        <f>SUM(P8:Q16)</f>
        <v>0</v>
      </c>
      <c r="Q17" s="3389"/>
      <c r="S17" s="3388">
        <f>SUM(S8:T16)</f>
        <v>0</v>
      </c>
      <c r="T17" s="3389"/>
      <c r="V17" s="1256">
        <f>SUM(V8:V16)</f>
        <v>0</v>
      </c>
      <c r="W17" s="3324"/>
      <c r="X17" s="3325"/>
    </row>
    <row r="18" spans="2:24" s="323" customFormat="1" ht="12" customHeight="1">
      <c r="B18" s="325" t="s">
        <v>2147</v>
      </c>
      <c r="J18" s="397"/>
      <c r="K18" s="397"/>
      <c r="M18" s="397"/>
      <c r="N18" s="397"/>
      <c r="O18" s="399" t="str">
        <f>B18</f>
        <v>ACQUISITION</v>
      </c>
      <c r="P18" s="397"/>
      <c r="Q18" s="397"/>
      <c r="S18" s="397"/>
      <c r="T18" s="397"/>
      <c r="V18" s="1257"/>
      <c r="W18" s="323" t="str">
        <f>B18</f>
        <v>ACQUISITION</v>
      </c>
    </row>
    <row r="19" spans="2:24" s="323" customFormat="1" ht="12.6" customHeight="1">
      <c r="B19" s="323" t="s">
        <v>2148</v>
      </c>
      <c r="E19" s="947" t="s">
        <v>3547</v>
      </c>
      <c r="F19" s="515">
        <f>IF('Part I-Project Information'!$O$37="","",G19/'Part I-Project Information'!$O$37)</f>
        <v>30223.186608803473</v>
      </c>
      <c r="G19" s="3247">
        <v>975000</v>
      </c>
      <c r="H19" s="3248"/>
      <c r="J19" s="400"/>
      <c r="K19" s="397"/>
      <c r="L19" s="400"/>
      <c r="M19" s="400"/>
      <c r="N19" s="397"/>
      <c r="P19" s="400"/>
      <c r="Q19" s="397"/>
      <c r="S19" s="3247">
        <v>975000</v>
      </c>
      <c r="T19" s="3248"/>
      <c r="V19" s="1254"/>
      <c r="W19" s="3306"/>
      <c r="X19" s="3307"/>
    </row>
    <row r="20" spans="2:24" s="323" customFormat="1" ht="12.6" customHeight="1">
      <c r="B20" s="323" t="s">
        <v>1097</v>
      </c>
      <c r="G20" s="3235"/>
      <c r="H20" s="3236"/>
      <c r="J20" s="400"/>
      <c r="K20" s="397"/>
      <c r="L20" s="400"/>
      <c r="M20" s="400"/>
      <c r="N20" s="397"/>
      <c r="P20" s="400"/>
      <c r="Q20" s="397"/>
      <c r="S20" s="3235"/>
      <c r="T20" s="3236"/>
      <c r="V20" s="1254"/>
      <c r="W20" s="3306"/>
      <c r="X20" s="3307"/>
    </row>
    <row r="21" spans="2:24" s="323" customFormat="1" ht="12.6" customHeight="1">
      <c r="B21" s="323" t="s">
        <v>449</v>
      </c>
      <c r="G21" s="3235"/>
      <c r="H21" s="3236"/>
      <c r="J21" s="400"/>
      <c r="K21" s="397"/>
      <c r="L21" s="400"/>
      <c r="M21" s="3247"/>
      <c r="N21" s="3248"/>
      <c r="P21" s="400"/>
      <c r="Q21" s="397"/>
      <c r="S21" s="3235"/>
      <c r="T21" s="3236"/>
      <c r="V21" s="1254"/>
      <c r="W21" s="3306"/>
      <c r="X21" s="3307"/>
    </row>
    <row r="22" spans="2:24" s="323" customFormat="1" ht="12.6" customHeight="1" thickBot="1">
      <c r="B22" s="323" t="s">
        <v>422</v>
      </c>
      <c r="G22" s="3392"/>
      <c r="H22" s="3393"/>
      <c r="J22" s="400"/>
      <c r="K22" s="397"/>
      <c r="L22" s="400"/>
      <c r="M22" s="3392"/>
      <c r="N22" s="3393"/>
      <c r="P22" s="400"/>
      <c r="Q22" s="397"/>
      <c r="S22" s="3392"/>
      <c r="T22" s="3393"/>
      <c r="V22" s="1254"/>
      <c r="W22" s="3308"/>
      <c r="X22" s="3309"/>
    </row>
    <row r="23" spans="2:24" s="323" customFormat="1" ht="12.6" customHeight="1" thickTop="1">
      <c r="F23" s="398" t="s">
        <v>187</v>
      </c>
      <c r="G23" s="3388">
        <f>SUM(G19:H22)</f>
        <v>975000</v>
      </c>
      <c r="H23" s="3389"/>
      <c r="J23" s="400"/>
      <c r="K23" s="397"/>
      <c r="L23" s="400"/>
      <c r="M23" s="3388">
        <f>SUM(M21:N22)</f>
        <v>0</v>
      </c>
      <c r="N23" s="3389"/>
      <c r="P23" s="400"/>
      <c r="Q23" s="397"/>
      <c r="S23" s="3388">
        <f>SUM(S19:T22)</f>
        <v>975000</v>
      </c>
      <c r="T23" s="3389"/>
      <c r="V23" s="1256">
        <f>SUM(V19:V22)</f>
        <v>0</v>
      </c>
      <c r="W23" s="3324"/>
      <c r="X23" s="3325"/>
    </row>
    <row r="24" spans="2:24" s="323" customFormat="1" ht="12" customHeight="1">
      <c r="B24" s="325" t="s">
        <v>1098</v>
      </c>
      <c r="J24" s="400"/>
      <c r="K24" s="397"/>
      <c r="M24" s="400"/>
      <c r="N24" s="397"/>
      <c r="O24" s="399" t="str">
        <f>B24</f>
        <v>LAND IMPROVEMENTS</v>
      </c>
      <c r="P24" s="400"/>
      <c r="Q24" s="397"/>
      <c r="S24" s="400"/>
      <c r="T24" s="397"/>
      <c r="V24" s="1257"/>
      <c r="W24" s="323" t="str">
        <f>B24</f>
        <v>LAND IMPROVEMENTS</v>
      </c>
    </row>
    <row r="25" spans="2:24" s="323" customFormat="1" ht="12.6" customHeight="1">
      <c r="B25" s="323" t="s">
        <v>1099</v>
      </c>
      <c r="E25" s="947" t="s">
        <v>3547</v>
      </c>
      <c r="F25" s="515">
        <f>IF('Part I-Project Information'!$O$37="","",G25/'Part I-Project Information'!$O$37)</f>
        <v>61996.280223186615</v>
      </c>
      <c r="G25" s="3247">
        <v>2000000</v>
      </c>
      <c r="H25" s="3248"/>
      <c r="J25" s="3247">
        <v>1940000</v>
      </c>
      <c r="K25" s="3248"/>
      <c r="L25" s="1207"/>
      <c r="M25" s="3433"/>
      <c r="N25" s="3434"/>
      <c r="P25" s="3433"/>
      <c r="Q25" s="3434"/>
      <c r="S25" s="3247">
        <v>60000</v>
      </c>
      <c r="T25" s="3248"/>
      <c r="V25" s="1254"/>
      <c r="W25" s="3306"/>
      <c r="X25" s="3307"/>
    </row>
    <row r="26" spans="2:24" s="323" customFormat="1" ht="12.6" customHeight="1" thickBot="1">
      <c r="B26" s="323" t="s">
        <v>1100</v>
      </c>
      <c r="G26" s="3392"/>
      <c r="H26" s="3393"/>
      <c r="J26" s="3392"/>
      <c r="K26" s="3393"/>
      <c r="L26" s="401"/>
      <c r="M26" s="3432"/>
      <c r="N26" s="3432"/>
      <c r="P26" s="3432"/>
      <c r="Q26" s="3432"/>
      <c r="S26" s="3392"/>
      <c r="T26" s="3393"/>
      <c r="V26" s="1254"/>
      <c r="W26" s="3308"/>
      <c r="X26" s="3309"/>
    </row>
    <row r="27" spans="2:24" s="323" customFormat="1" ht="12.6" customHeight="1" thickTop="1">
      <c r="F27" s="398" t="s">
        <v>187</v>
      </c>
      <c r="G27" s="3388">
        <f>SUM(G25:H26)</f>
        <v>2000000</v>
      </c>
      <c r="H27" s="3389"/>
      <c r="J27" s="3388">
        <f>SUM(J25:K26)</f>
        <v>1940000</v>
      </c>
      <c r="K27" s="3389"/>
      <c r="L27" s="400"/>
      <c r="M27" s="3388">
        <f>M25</f>
        <v>0</v>
      </c>
      <c r="N27" s="3389"/>
      <c r="P27" s="3388">
        <f>P25</f>
        <v>0</v>
      </c>
      <c r="Q27" s="3389"/>
      <c r="S27" s="3388">
        <f>SUM(S25:T26)</f>
        <v>60000</v>
      </c>
      <c r="T27" s="3389"/>
      <c r="V27" s="1256">
        <f>SUM(V25:V26)</f>
        <v>0</v>
      </c>
      <c r="W27" s="3324"/>
      <c r="X27" s="3325"/>
    </row>
    <row r="28" spans="2:24" s="323" customFormat="1" ht="12" customHeight="1">
      <c r="B28" s="325" t="s">
        <v>1101</v>
      </c>
      <c r="J28" s="400"/>
      <c r="K28" s="397"/>
      <c r="M28" s="400"/>
      <c r="N28" s="397"/>
      <c r="O28" s="399" t="str">
        <f>B28</f>
        <v>STRUCTURES</v>
      </c>
      <c r="P28" s="400"/>
      <c r="Q28" s="397"/>
      <c r="S28" s="400"/>
      <c r="T28" s="397"/>
      <c r="V28" s="1257"/>
      <c r="W28" s="323" t="str">
        <f>B28</f>
        <v>STRUCTURES</v>
      </c>
    </row>
    <row r="29" spans="2:24" s="323" customFormat="1" ht="12.6" customHeight="1">
      <c r="B29" s="323" t="s">
        <v>1102</v>
      </c>
      <c r="G29" s="3247">
        <v>26000000</v>
      </c>
      <c r="H29" s="3248"/>
      <c r="J29" s="3247">
        <v>25220000</v>
      </c>
      <c r="K29" s="3248"/>
      <c r="L29" s="1207"/>
      <c r="M29" s="3247"/>
      <c r="N29" s="3248"/>
      <c r="P29" s="3247"/>
      <c r="Q29" s="3248"/>
      <c r="S29" s="3247">
        <v>780000</v>
      </c>
      <c r="T29" s="3248"/>
      <c r="V29" s="1254"/>
      <c r="W29" s="3306"/>
      <c r="X29" s="3307"/>
    </row>
    <row r="30" spans="2:24" s="323" customFormat="1" ht="12.6" customHeight="1">
      <c r="B30" s="323" t="s">
        <v>1103</v>
      </c>
      <c r="G30" s="3235"/>
      <c r="H30" s="3236"/>
      <c r="J30" s="3235"/>
      <c r="K30" s="3236"/>
      <c r="L30" s="1207"/>
      <c r="M30" s="3235"/>
      <c r="N30" s="3236"/>
      <c r="P30" s="3235"/>
      <c r="Q30" s="3236"/>
      <c r="S30" s="3235"/>
      <c r="T30" s="3236"/>
      <c r="V30" s="1254"/>
      <c r="W30" s="3306"/>
      <c r="X30" s="3307"/>
    </row>
    <row r="31" spans="2:24" s="323" customFormat="1" ht="12.6" customHeight="1">
      <c r="B31" s="323" t="s">
        <v>2689</v>
      </c>
      <c r="G31" s="3235"/>
      <c r="H31" s="3236"/>
      <c r="J31" s="3235"/>
      <c r="K31" s="3236"/>
      <c r="L31" s="1207"/>
      <c r="M31" s="3235"/>
      <c r="N31" s="3236"/>
      <c r="P31" s="3235"/>
      <c r="Q31" s="3236"/>
      <c r="S31" s="3235"/>
      <c r="T31" s="3236"/>
      <c r="V31" s="1254"/>
      <c r="W31" s="3306"/>
      <c r="X31" s="3307"/>
    </row>
    <row r="32" spans="2:24" ht="12.6" customHeight="1" thickBot="1">
      <c r="B32" s="323" t="s">
        <v>2688</v>
      </c>
      <c r="G32" s="3392"/>
      <c r="H32" s="3393"/>
      <c r="I32" s="323"/>
      <c r="J32" s="3392"/>
      <c r="K32" s="3393"/>
      <c r="L32" s="1207"/>
      <c r="M32" s="3392"/>
      <c r="N32" s="3393"/>
      <c r="O32" s="323"/>
      <c r="P32" s="3392"/>
      <c r="Q32" s="3393"/>
      <c r="R32" s="323"/>
      <c r="S32" s="3392"/>
      <c r="T32" s="3393"/>
      <c r="V32" s="1254"/>
      <c r="W32" s="3308"/>
      <c r="X32" s="3309"/>
    </row>
    <row r="33" spans="1:24" s="323" customFormat="1" ht="12.6" customHeight="1" thickTop="1">
      <c r="C33" s="3431"/>
      <c r="D33" s="3431"/>
      <c r="E33" s="1212"/>
      <c r="F33" s="398" t="s">
        <v>187</v>
      </c>
      <c r="G33" s="3388">
        <f>SUM(G29:H32)</f>
        <v>26000000</v>
      </c>
      <c r="H33" s="3389"/>
      <c r="J33" s="3388">
        <f>SUM(J29:K32)</f>
        <v>25220000</v>
      </c>
      <c r="K33" s="3389"/>
      <c r="L33" s="1207"/>
      <c r="M33" s="3388">
        <f>SUM(M29:N32)</f>
        <v>0</v>
      </c>
      <c r="N33" s="3389"/>
      <c r="P33" s="3388">
        <f>SUM(P29:Q32)</f>
        <v>0</v>
      </c>
      <c r="Q33" s="3389"/>
      <c r="S33" s="3388">
        <f>SUM(S29:T32)</f>
        <v>780000</v>
      </c>
      <c r="T33" s="3389"/>
      <c r="V33" s="1256">
        <f>SUM(V29:V32)</f>
        <v>0</v>
      </c>
      <c r="W33" s="3324"/>
      <c r="X33" s="3325"/>
    </row>
    <row r="34" spans="1:24" s="323" customFormat="1" ht="12" customHeight="1">
      <c r="B34" s="325" t="s">
        <v>2284</v>
      </c>
      <c r="D34" s="3430" t="s">
        <v>3551</v>
      </c>
      <c r="E34" s="3430"/>
      <c r="F34" s="1097">
        <f>SUM(F35:F37)</f>
        <v>0.14000000000000001</v>
      </c>
      <c r="G34" s="1106"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7"/>
      <c r="W34" s="323" t="str">
        <f>B34</f>
        <v>CONTRACTOR SERVICES</v>
      </c>
    </row>
    <row r="35" spans="1:24" s="323" customFormat="1" ht="12.6" customHeight="1">
      <c r="B35" s="323" t="s">
        <v>2285</v>
      </c>
      <c r="D35" s="1099">
        <f>'DCA Underwriting Assumptions'!$R$77</f>
        <v>0.06</v>
      </c>
      <c r="E35" s="1101">
        <f>D35*(G27+G33)</f>
        <v>1680000</v>
      </c>
      <c r="F35" s="1098">
        <f>IF(($G$27+$G$33)=0,0,G35/($G$27+$G$33))</f>
        <v>0.06</v>
      </c>
      <c r="G35" s="3247">
        <v>1680000</v>
      </c>
      <c r="H35" s="3248"/>
      <c r="I35" s="344"/>
      <c r="J35" s="3247">
        <v>1680000</v>
      </c>
      <c r="K35" s="3248"/>
      <c r="L35" s="1207"/>
      <c r="M35" s="3247"/>
      <c r="N35" s="3248"/>
      <c r="P35" s="3247"/>
      <c r="Q35" s="3248"/>
      <c r="S35" s="3247"/>
      <c r="T35" s="3248"/>
      <c r="V35" s="1254"/>
      <c r="W35" s="3306"/>
      <c r="X35" s="3307"/>
    </row>
    <row r="36" spans="1:24" s="323" customFormat="1" ht="12.6" customHeight="1">
      <c r="B36" s="323" t="s">
        <v>2651</v>
      </c>
      <c r="D36" s="1100">
        <f>'DCA Underwriting Assumptions'!$R$78</f>
        <v>0.02</v>
      </c>
      <c r="E36" s="1101">
        <f>D36*(G27+G33)</f>
        <v>560000</v>
      </c>
      <c r="F36" s="1098">
        <f>IF(($G$27+$G$33)=0,0,G36/($G$27+$G$33))</f>
        <v>0.02</v>
      </c>
      <c r="G36" s="3235">
        <v>560000</v>
      </c>
      <c r="H36" s="3236"/>
      <c r="I36" s="344"/>
      <c r="J36" s="3235">
        <v>560000</v>
      </c>
      <c r="K36" s="3236"/>
      <c r="L36" s="1207"/>
      <c r="M36" s="3235"/>
      <c r="N36" s="3236"/>
      <c r="P36" s="3235"/>
      <c r="Q36" s="3236"/>
      <c r="S36" s="3235"/>
      <c r="T36" s="3236"/>
      <c r="V36" s="1254"/>
      <c r="W36" s="3306"/>
      <c r="X36" s="3307"/>
    </row>
    <row r="37" spans="1:24" s="323" customFormat="1" ht="12.6" customHeight="1" thickBot="1">
      <c r="B37" s="323" t="s">
        <v>2652</v>
      </c>
      <c r="D37" s="1104">
        <f>'DCA Underwriting Assumptions'!$R$79</f>
        <v>0.06</v>
      </c>
      <c r="E37" s="1105">
        <f>D37*(G27+G33)</f>
        <v>1680000</v>
      </c>
      <c r="F37" s="1456">
        <f>IF(($G$27+$G$33)=0,0,G37/($G$27+$G$33))</f>
        <v>0.06</v>
      </c>
      <c r="G37" s="3392">
        <v>1680000</v>
      </c>
      <c r="H37" s="3393"/>
      <c r="I37" s="344"/>
      <c r="J37" s="3392">
        <v>1680000</v>
      </c>
      <c r="K37" s="3393"/>
      <c r="L37" s="1207"/>
      <c r="M37" s="3392"/>
      <c r="N37" s="3393"/>
      <c r="P37" s="3392"/>
      <c r="Q37" s="3393"/>
      <c r="S37" s="3392"/>
      <c r="T37" s="3393"/>
      <c r="V37" s="1254"/>
      <c r="W37" s="3308"/>
      <c r="X37" s="3309"/>
    </row>
    <row r="38" spans="1:24" s="323" customFormat="1" ht="12.6" customHeight="1" thickTop="1">
      <c r="B38" s="191" t="s">
        <v>3552</v>
      </c>
      <c r="D38" s="1102">
        <f>SUM(D35:D37)</f>
        <v>0.14000000000000001</v>
      </c>
      <c r="E38" s="1103">
        <f>SUM(E35:E37)</f>
        <v>3920000</v>
      </c>
      <c r="F38" s="1083" t="s">
        <v>187</v>
      </c>
      <c r="G38" s="3388">
        <f>SUM(G35:H37)</f>
        <v>3920000</v>
      </c>
      <c r="H38" s="3389"/>
      <c r="J38" s="3388">
        <f>SUM(J35:K37)</f>
        <v>3920000</v>
      </c>
      <c r="K38" s="3389"/>
      <c r="L38" s="400"/>
      <c r="M38" s="3388">
        <f>SUM(M35:N37)</f>
        <v>0</v>
      </c>
      <c r="N38" s="3389"/>
      <c r="P38" s="3388">
        <f>SUM(P35:Q37)</f>
        <v>0</v>
      </c>
      <c r="Q38" s="3389"/>
      <c r="S38" s="3388">
        <f>SUM(S35:T37)</f>
        <v>0</v>
      </c>
      <c r="T38" s="3389"/>
      <c r="V38" s="1256">
        <f>SUM(V35:V37)</f>
        <v>0</v>
      </c>
      <c r="W38" s="3324"/>
      <c r="X38" s="3325"/>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7"/>
    </row>
    <row r="40" spans="1:24" s="323" customFormat="1" ht="12" customHeight="1">
      <c r="B40" s="325" t="s">
        <v>2656</v>
      </c>
      <c r="J40" s="400"/>
      <c r="K40" s="397"/>
      <c r="M40" s="400"/>
      <c r="N40" s="397"/>
      <c r="O40" s="399" t="str">
        <f>B40</f>
        <v>OTHER CONSTRUCTION HARD COSTS (Non-GC work scope items done by Owner)</v>
      </c>
      <c r="P40" s="400"/>
      <c r="Q40" s="397"/>
      <c r="S40" s="400"/>
      <c r="T40" s="397"/>
      <c r="V40" s="1257"/>
      <c r="W40" s="323" t="str">
        <f>B40</f>
        <v>OTHER CONSTRUCTION HARD COSTS (Non-GC work scope items done by Owner)</v>
      </c>
    </row>
    <row r="41" spans="1:24" ht="12.6" customHeight="1">
      <c r="B41" s="323" t="s">
        <v>723</v>
      </c>
      <c r="C41" s="3386" t="s">
        <v>3535</v>
      </c>
      <c r="D41" s="3428"/>
      <c r="E41" s="3428"/>
      <c r="F41" s="3429"/>
      <c r="G41" s="3410"/>
      <c r="H41" s="3411"/>
      <c r="I41" s="323"/>
      <c r="J41" s="3410"/>
      <c r="K41" s="3411"/>
      <c r="L41" s="1207"/>
      <c r="M41" s="3410"/>
      <c r="N41" s="3411"/>
      <c r="O41" s="323"/>
      <c r="P41" s="3410"/>
      <c r="Q41" s="3411"/>
      <c r="R41" s="323"/>
      <c r="S41" s="3410"/>
      <c r="T41" s="3411"/>
      <c r="V41" s="1254"/>
      <c r="W41" s="3416"/>
      <c r="X41" s="3417"/>
    </row>
    <row r="42" spans="1:24" s="323" customFormat="1" ht="6" customHeight="1">
      <c r="A42" s="535"/>
      <c r="B42" s="535"/>
      <c r="C42" s="535"/>
      <c r="D42" s="975"/>
      <c r="E42" s="975"/>
      <c r="F42" s="975"/>
      <c r="G42" s="535"/>
      <c r="H42" s="535"/>
      <c r="I42" s="535"/>
      <c r="J42" s="535"/>
      <c r="K42" s="535"/>
      <c r="L42" s="535"/>
      <c r="M42" s="535"/>
      <c r="N42" s="535"/>
      <c r="O42" s="535"/>
      <c r="P42" s="535"/>
      <c r="Q42" s="535"/>
      <c r="R42" s="535"/>
      <c r="S42" s="535"/>
      <c r="T42" s="535"/>
      <c r="V42" s="1257"/>
      <c r="W42" s="3418"/>
      <c r="X42" s="3419"/>
    </row>
    <row r="43" spans="1:24" s="323" customFormat="1" ht="12.6" customHeight="1">
      <c r="B43" s="566" t="s">
        <v>2660</v>
      </c>
      <c r="C43" s="567"/>
      <c r="E43" s="3422" t="s">
        <v>2659</v>
      </c>
      <c r="F43" s="1208">
        <f>B44/'Part VI-Revenues &amp; Expenses'!$P$65</f>
        <v>159600</v>
      </c>
      <c r="G43" s="1210" t="s">
        <v>2680</v>
      </c>
      <c r="H43" s="536"/>
      <c r="I43" s="536"/>
      <c r="J43" s="3424">
        <f>B44/'Part VI-Revenues &amp; Expenses'!$P$67</f>
        <v>159600</v>
      </c>
      <c r="K43" s="3424"/>
      <c r="L43" s="536"/>
      <c r="M43" s="3425" t="s">
        <v>1375</v>
      </c>
      <c r="N43" s="3425"/>
      <c r="O43" s="536"/>
      <c r="P43" s="3424">
        <f>B44/'Part I-Project Information'!$P$75</f>
        <v>142.03711120010681</v>
      </c>
      <c r="Q43" s="3424"/>
      <c r="R43" s="536"/>
      <c r="S43" s="3426" t="s">
        <v>2687</v>
      </c>
      <c r="T43" s="3427"/>
      <c r="V43" s="1257"/>
      <c r="W43" s="3418"/>
      <c r="X43" s="3419"/>
    </row>
    <row r="44" spans="1:24" s="323" customFormat="1" ht="12.6" customHeight="1">
      <c r="B44" s="3412">
        <f>G27+G33+G38+G41</f>
        <v>31920000</v>
      </c>
      <c r="C44" s="3413"/>
      <c r="E44" s="3423"/>
      <c r="F44" s="1209">
        <f>B44/'Part VI-Revenues &amp; Expenses'!$P$168</f>
        <v>143.63497277595283</v>
      </c>
      <c r="G44" s="565" t="s">
        <v>2681</v>
      </c>
      <c r="H44" s="1205"/>
      <c r="I44" s="1205"/>
      <c r="J44" s="3414">
        <f>B44/'Part VI-Revenues &amp; Expenses'!$P$170</f>
        <v>143.63497277595283</v>
      </c>
      <c r="K44" s="3414"/>
      <c r="L44" s="1205"/>
      <c r="M44" s="3415" t="s">
        <v>2686</v>
      </c>
      <c r="N44" s="3415"/>
      <c r="O44" s="1205"/>
      <c r="P44" s="1205"/>
      <c r="Q44" s="1205"/>
      <c r="R44" s="1205"/>
      <c r="S44" s="1205"/>
      <c r="T44" s="388"/>
      <c r="V44" s="1257"/>
      <c r="W44" s="3420"/>
      <c r="X44" s="3421"/>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7"/>
    </row>
    <row r="46" spans="1:24" s="323" customFormat="1" ht="12" customHeight="1">
      <c r="B46" s="325" t="s">
        <v>1104</v>
      </c>
      <c r="F46" s="1455" t="s">
        <v>3844</v>
      </c>
      <c r="J46" s="400"/>
      <c r="K46" s="397"/>
      <c r="M46" s="400"/>
      <c r="N46" s="397"/>
      <c r="O46" s="399" t="str">
        <f>B46</f>
        <v>CONSTRUCTION CONTINGENCY</v>
      </c>
      <c r="P46" s="400"/>
      <c r="Q46" s="397"/>
      <c r="S46" s="400"/>
      <c r="T46" s="397"/>
      <c r="V46" s="1257"/>
      <c r="W46" s="323" t="str">
        <f>B46</f>
        <v>CONSTRUCTION CONTINGENCY</v>
      </c>
    </row>
    <row r="47" spans="1:24" ht="12.6" customHeight="1">
      <c r="B47" s="323" t="s">
        <v>1914</v>
      </c>
      <c r="D47" s="584" t="s">
        <v>3843</v>
      </c>
      <c r="E47" s="1454">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1596000</v>
      </c>
      <c r="F47" s="402">
        <f>G47/B44</f>
        <v>0.05</v>
      </c>
      <c r="G47" s="3410">
        <v>1596000</v>
      </c>
      <c r="H47" s="3411"/>
      <c r="I47" s="323"/>
      <c r="J47" s="3410">
        <v>1596000</v>
      </c>
      <c r="K47" s="3411"/>
      <c r="L47" s="1207"/>
      <c r="M47" s="3410"/>
      <c r="N47" s="3411"/>
      <c r="O47" s="323"/>
      <c r="P47" s="3410"/>
      <c r="Q47" s="3411"/>
      <c r="R47" s="323"/>
      <c r="S47" s="3410"/>
      <c r="T47" s="3411"/>
      <c r="V47" s="1254"/>
      <c r="W47" s="3306"/>
      <c r="X47" s="3307"/>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7"/>
    </row>
    <row r="49" spans="1:24" s="323" customFormat="1" ht="18.75" customHeight="1" thickBot="1">
      <c r="A49" s="481" t="s">
        <v>598</v>
      </c>
      <c r="B49" s="481" t="s">
        <v>2745</v>
      </c>
      <c r="H49" s="1198"/>
      <c r="I49" s="1198"/>
      <c r="J49" s="3371" t="s">
        <v>266</v>
      </c>
      <c r="K49" s="3372"/>
      <c r="L49" s="397"/>
      <c r="M49" s="3402" t="s">
        <v>479</v>
      </c>
      <c r="N49" s="3403"/>
      <c r="P49" s="3371" t="s">
        <v>267</v>
      </c>
      <c r="Q49" s="3372"/>
      <c r="S49" s="3371" t="s">
        <v>268</v>
      </c>
      <c r="T49" s="3372"/>
      <c r="V49" s="1257"/>
      <c r="W49" s="482" t="str">
        <f>B49</f>
        <v>DEVELOPMENT BUDGET (cont'd)</v>
      </c>
    </row>
    <row r="50" spans="1:24" s="323" customFormat="1" ht="18.75" customHeight="1" thickBot="1">
      <c r="G50" s="3406" t="s">
        <v>98</v>
      </c>
      <c r="H50" s="3407"/>
      <c r="J50" s="3373"/>
      <c r="K50" s="3374"/>
      <c r="L50" s="397"/>
      <c r="M50" s="3404"/>
      <c r="N50" s="3405"/>
      <c r="P50" s="3373"/>
      <c r="Q50" s="3374"/>
      <c r="S50" s="3373"/>
      <c r="T50" s="3374"/>
      <c r="V50" s="1257"/>
      <c r="W50" s="3338" t="s">
        <v>2607</v>
      </c>
      <c r="X50" s="3338"/>
    </row>
    <row r="51" spans="1:24" s="323" customFormat="1" ht="12" customHeight="1">
      <c r="B51" s="325" t="s">
        <v>704</v>
      </c>
      <c r="J51" s="400"/>
      <c r="K51" s="397"/>
      <c r="M51" s="400"/>
      <c r="N51" s="397"/>
      <c r="O51" s="399" t="str">
        <f>B51</f>
        <v>CONSTRUCTION PERIOD FINANCING</v>
      </c>
      <c r="P51" s="400"/>
      <c r="Q51" s="397"/>
      <c r="S51" s="400"/>
      <c r="T51" s="397"/>
      <c r="V51" s="1257"/>
      <c r="W51" s="323" t="str">
        <f>B51</f>
        <v>CONSTRUCTION PERIOD FINANCING</v>
      </c>
    </row>
    <row r="52" spans="1:24" s="323" customFormat="1" ht="12" customHeight="1">
      <c r="B52" s="323" t="s">
        <v>3553</v>
      </c>
      <c r="G52" s="3247"/>
      <c r="H52" s="3248"/>
      <c r="J52" s="3247"/>
      <c r="K52" s="3248"/>
      <c r="L52" s="1207"/>
      <c r="M52" s="3247"/>
      <c r="N52" s="3248"/>
      <c r="P52" s="3247"/>
      <c r="Q52" s="3248"/>
      <c r="S52" s="3247"/>
      <c r="T52" s="3248"/>
      <c r="V52" s="1258"/>
      <c r="W52" s="3306"/>
      <c r="X52" s="3307"/>
    </row>
    <row r="53" spans="1:24" s="323" customFormat="1" ht="12" customHeight="1">
      <c r="B53" s="323" t="s">
        <v>3554</v>
      </c>
      <c r="G53" s="3235"/>
      <c r="H53" s="3236"/>
      <c r="J53" s="3235"/>
      <c r="K53" s="3236"/>
      <c r="L53" s="1207"/>
      <c r="M53" s="3235"/>
      <c r="N53" s="3236"/>
      <c r="P53" s="3235"/>
      <c r="Q53" s="3236"/>
      <c r="S53" s="3235"/>
      <c r="T53" s="3236"/>
      <c r="V53" s="1258"/>
      <c r="W53" s="3306"/>
      <c r="X53" s="3307"/>
    </row>
    <row r="54" spans="1:24" s="323" customFormat="1" ht="12" customHeight="1">
      <c r="B54" s="323" t="s">
        <v>2287</v>
      </c>
      <c r="G54" s="3235">
        <v>335000</v>
      </c>
      <c r="H54" s="3236"/>
      <c r="J54" s="3235">
        <v>217750</v>
      </c>
      <c r="K54" s="3236"/>
      <c r="L54" s="1207"/>
      <c r="M54" s="3235"/>
      <c r="N54" s="3236"/>
      <c r="P54" s="3235"/>
      <c r="Q54" s="3236"/>
      <c r="S54" s="3235">
        <v>117250</v>
      </c>
      <c r="T54" s="3236"/>
      <c r="V54" s="1258"/>
      <c r="W54" s="3306"/>
      <c r="X54" s="3307"/>
    </row>
    <row r="55" spans="1:24" s="323" customFormat="1" ht="12" customHeight="1">
      <c r="B55" s="323" t="s">
        <v>2288</v>
      </c>
      <c r="G55" s="3235">
        <v>1199934</v>
      </c>
      <c r="H55" s="3236"/>
      <c r="J55" s="3235">
        <v>839954</v>
      </c>
      <c r="K55" s="3236"/>
      <c r="L55" s="1207"/>
      <c r="M55" s="3235"/>
      <c r="N55" s="3236"/>
      <c r="P55" s="3235"/>
      <c r="Q55" s="3236"/>
      <c r="S55" s="3235">
        <v>359980</v>
      </c>
      <c r="T55" s="3236"/>
      <c r="V55" s="1258"/>
      <c r="W55" s="3306"/>
      <c r="X55" s="3307"/>
    </row>
    <row r="56" spans="1:24" s="323" customFormat="1" ht="12" customHeight="1">
      <c r="B56" s="323" t="s">
        <v>2289</v>
      </c>
      <c r="G56" s="3235">
        <v>35000</v>
      </c>
      <c r="H56" s="3236"/>
      <c r="J56" s="3235">
        <v>35000</v>
      </c>
      <c r="K56" s="3236"/>
      <c r="L56" s="1207"/>
      <c r="M56" s="3235"/>
      <c r="N56" s="3236"/>
      <c r="P56" s="3235"/>
      <c r="Q56" s="3236"/>
      <c r="S56" s="3235"/>
      <c r="T56" s="3236"/>
      <c r="V56" s="1258"/>
      <c r="W56" s="3306"/>
      <c r="X56" s="3307"/>
    </row>
    <row r="57" spans="1:24" s="323" customFormat="1" ht="12" customHeight="1">
      <c r="B57" s="323" t="s">
        <v>2610</v>
      </c>
      <c r="G57" s="3235">
        <v>25200</v>
      </c>
      <c r="H57" s="3236"/>
      <c r="J57" s="3235">
        <v>25200</v>
      </c>
      <c r="K57" s="3236"/>
      <c r="L57" s="1207"/>
      <c r="M57" s="3235"/>
      <c r="N57" s="3236"/>
      <c r="P57" s="3235"/>
      <c r="Q57" s="3236"/>
      <c r="S57" s="3235"/>
      <c r="T57" s="3236"/>
      <c r="V57" s="1258"/>
      <c r="W57" s="3306"/>
      <c r="X57" s="3307"/>
    </row>
    <row r="58" spans="1:24" s="323" customFormat="1" ht="12" customHeight="1">
      <c r="B58" s="323" t="s">
        <v>705</v>
      </c>
      <c r="G58" s="3235">
        <v>200000</v>
      </c>
      <c r="H58" s="3236"/>
      <c r="J58" s="3235">
        <v>200000</v>
      </c>
      <c r="K58" s="3236"/>
      <c r="L58" s="1207"/>
      <c r="M58" s="3235"/>
      <c r="N58" s="3236"/>
      <c r="P58" s="3235"/>
      <c r="Q58" s="3236"/>
      <c r="S58" s="3235"/>
      <c r="T58" s="3236"/>
      <c r="V58" s="1258"/>
      <c r="W58" s="3306"/>
      <c r="X58" s="3307"/>
    </row>
    <row r="59" spans="1:24" s="323" customFormat="1" ht="12" customHeight="1">
      <c r="B59" s="323" t="s">
        <v>2290</v>
      </c>
      <c r="G59" s="3235">
        <v>60000</v>
      </c>
      <c r="H59" s="3236"/>
      <c r="J59" s="3235">
        <v>60000</v>
      </c>
      <c r="K59" s="3236"/>
      <c r="L59" s="1207"/>
      <c r="M59" s="3235"/>
      <c r="N59" s="3236"/>
      <c r="P59" s="3235"/>
      <c r="Q59" s="3236"/>
      <c r="S59" s="3235"/>
      <c r="T59" s="3236"/>
      <c r="V59" s="1258"/>
      <c r="W59" s="3306"/>
      <c r="X59" s="3307"/>
    </row>
    <row r="60" spans="1:24" s="323" customFormat="1" ht="12" customHeight="1">
      <c r="B60" s="323" t="s">
        <v>1250</v>
      </c>
      <c r="G60" s="3235">
        <v>70000</v>
      </c>
      <c r="H60" s="3236"/>
      <c r="J60" s="3235">
        <v>35000</v>
      </c>
      <c r="K60" s="3236"/>
      <c r="L60" s="1207"/>
      <c r="M60" s="3235"/>
      <c r="N60" s="3236"/>
      <c r="P60" s="3235"/>
      <c r="Q60" s="3236"/>
      <c r="S60" s="3235">
        <v>35000</v>
      </c>
      <c r="T60" s="3236"/>
      <c r="V60" s="1258"/>
      <c r="W60" s="3306"/>
      <c r="X60" s="3307"/>
    </row>
    <row r="61" spans="1:24" s="323" customFormat="1" ht="12" customHeight="1">
      <c r="B61" s="404" t="s">
        <v>1131</v>
      </c>
      <c r="D61" s="402"/>
      <c r="E61" s="402"/>
      <c r="F61" s="403"/>
      <c r="G61" s="3235">
        <v>350000</v>
      </c>
      <c r="H61" s="3236"/>
      <c r="I61" s="344"/>
      <c r="J61" s="3235">
        <v>350000</v>
      </c>
      <c r="K61" s="3236"/>
      <c r="L61" s="1207"/>
      <c r="M61" s="3235"/>
      <c r="N61" s="3236"/>
      <c r="P61" s="3235"/>
      <c r="Q61" s="3236"/>
      <c r="S61" s="3235"/>
      <c r="T61" s="3236"/>
      <c r="V61" s="1258"/>
      <c r="W61" s="3306"/>
      <c r="X61" s="3307"/>
    </row>
    <row r="62" spans="1:24" s="323" customFormat="1" ht="12" customHeight="1">
      <c r="A62" s="426" t="str">
        <f>IF(AND(G62&gt;0,OR(C62="",C62="&lt;Enter detailed description here; use Comments section if needed&gt;")),"X","")</f>
        <v/>
      </c>
      <c r="B62" s="323" t="s">
        <v>723</v>
      </c>
      <c r="C62" s="3398" t="s">
        <v>3535</v>
      </c>
      <c r="D62" s="3398"/>
      <c r="E62" s="3398"/>
      <c r="F62" s="3399"/>
      <c r="G62" s="3235"/>
      <c r="H62" s="3236"/>
      <c r="J62" s="3235"/>
      <c r="K62" s="3236"/>
      <c r="L62" s="1207"/>
      <c r="M62" s="3235"/>
      <c r="N62" s="3236"/>
      <c r="P62" s="3235"/>
      <c r="Q62" s="3236"/>
      <c r="S62" s="3235"/>
      <c r="T62" s="3236"/>
      <c r="U62" s="425" t="str">
        <f>IF(AND(G62&gt;0,OR(C62="",C62="&lt;Enter detailed description here; use Comments section if needed&gt;")),"NO DESCRIPTION PROVIDED - please enter detailed description in Other box at left; use Comments section below if needed.","")</f>
        <v/>
      </c>
      <c r="V62" s="1258"/>
      <c r="W62" s="3306"/>
      <c r="X62" s="3307"/>
    </row>
    <row r="63" spans="1:24" s="323" customFormat="1" ht="12" customHeight="1" thickBot="1">
      <c r="A63" s="426" t="str">
        <f>IF(AND(G63&gt;0,OR(C63="",C63="&lt;Enter detailed description here; use Comments section if needed&gt;")),"X","")</f>
        <v/>
      </c>
      <c r="B63" s="323" t="s">
        <v>723</v>
      </c>
      <c r="C63" s="3400" t="s">
        <v>3535</v>
      </c>
      <c r="D63" s="3400"/>
      <c r="E63" s="3400"/>
      <c r="F63" s="3401"/>
      <c r="G63" s="3239"/>
      <c r="H63" s="3240"/>
      <c r="J63" s="3239"/>
      <c r="K63" s="3240"/>
      <c r="L63" s="1207"/>
      <c r="M63" s="3239"/>
      <c r="N63" s="3240"/>
      <c r="P63" s="3239"/>
      <c r="Q63" s="3240"/>
      <c r="S63" s="3239"/>
      <c r="T63" s="3240"/>
      <c r="U63" s="425" t="str">
        <f>IF(AND(G63&gt;0,OR(C63="",C63="&lt;Enter detailed description here; use Comments section if needed&gt;")),"NO DESCRIPTION PROVIDED - please enter detailed description in Other box at left; use Comments section below if needed.","")</f>
        <v/>
      </c>
      <c r="V63" s="1258"/>
      <c r="W63" s="3308"/>
      <c r="X63" s="3309"/>
    </row>
    <row r="64" spans="1:24" s="323" customFormat="1" ht="12" customHeight="1" thickTop="1">
      <c r="F64" s="398" t="s">
        <v>187</v>
      </c>
      <c r="G64" s="3388">
        <f>SUM(G52:H63)</f>
        <v>2275134</v>
      </c>
      <c r="H64" s="3389"/>
      <c r="J64" s="3388">
        <f>SUM(J52:K63)</f>
        <v>1762904</v>
      </c>
      <c r="K64" s="3389"/>
      <c r="L64" s="400"/>
      <c r="M64" s="3388">
        <f>SUM(M52:N63)</f>
        <v>0</v>
      </c>
      <c r="N64" s="3389"/>
      <c r="P64" s="3388">
        <f>SUM(P52:Q63)</f>
        <v>0</v>
      </c>
      <c r="Q64" s="3389"/>
      <c r="S64" s="3388">
        <f>SUM(S52:T63)</f>
        <v>512230</v>
      </c>
      <c r="T64" s="3389"/>
      <c r="V64" s="1259">
        <f>SUM(V52:V63)</f>
        <v>0</v>
      </c>
      <c r="W64" s="3324"/>
      <c r="X64" s="3325"/>
    </row>
    <row r="65" spans="1:24" s="323" customFormat="1" ht="12" customHeight="1">
      <c r="B65" s="325" t="s">
        <v>467</v>
      </c>
      <c r="G65" s="397"/>
      <c r="H65" s="397"/>
      <c r="J65" s="397"/>
      <c r="K65" s="397"/>
      <c r="M65" s="397"/>
      <c r="N65" s="397"/>
      <c r="O65" s="399" t="str">
        <f>B65</f>
        <v>PROFESSIONAL SERVICES</v>
      </c>
      <c r="P65" s="397"/>
      <c r="Q65" s="397"/>
      <c r="S65" s="397"/>
      <c r="T65" s="397"/>
      <c r="V65" s="1257"/>
      <c r="W65" s="323" t="str">
        <f>B65</f>
        <v>PROFESSIONAL SERVICES</v>
      </c>
    </row>
    <row r="66" spans="1:24" s="323" customFormat="1" ht="12" customHeight="1">
      <c r="B66" s="323" t="s">
        <v>468</v>
      </c>
      <c r="G66" s="3247">
        <v>200000</v>
      </c>
      <c r="H66" s="3248"/>
      <c r="J66" s="3247">
        <v>200000</v>
      </c>
      <c r="K66" s="3248"/>
      <c r="L66" s="1207"/>
      <c r="M66" s="3247"/>
      <c r="N66" s="3248"/>
      <c r="P66" s="3247"/>
      <c r="Q66" s="3248"/>
      <c r="S66" s="3247"/>
      <c r="T66" s="3248"/>
      <c r="V66" s="1254"/>
      <c r="W66" s="3306"/>
      <c r="X66" s="3307"/>
    </row>
    <row r="67" spans="1:24" s="323" customFormat="1" ht="12" customHeight="1">
      <c r="B67" s="323" t="s">
        <v>469</v>
      </c>
      <c r="G67" s="3235">
        <v>25000</v>
      </c>
      <c r="H67" s="3236"/>
      <c r="J67" s="3235">
        <v>25000</v>
      </c>
      <c r="K67" s="3236"/>
      <c r="L67" s="1207"/>
      <c r="M67" s="3235"/>
      <c r="N67" s="3236"/>
      <c r="P67" s="3235"/>
      <c r="Q67" s="3236"/>
      <c r="S67" s="3235"/>
      <c r="T67" s="3236"/>
      <c r="V67" s="1254"/>
      <c r="W67" s="3306"/>
      <c r="X67" s="3307"/>
    </row>
    <row r="68" spans="1:24" s="323" customFormat="1" ht="12" customHeight="1">
      <c r="B68" s="323" t="s">
        <v>1105</v>
      </c>
      <c r="D68" s="337" t="s">
        <v>3638</v>
      </c>
      <c r="E68" s="1242">
        <f>'DCA Underwriting Assumptions'!R80</f>
        <v>20000</v>
      </c>
      <c r="F68" s="1243" t="str">
        <f>IF(G68&gt;E68,"CHECK!!!","")</f>
        <v/>
      </c>
      <c r="G68" s="3235"/>
      <c r="H68" s="3236"/>
      <c r="J68" s="3235"/>
      <c r="K68" s="3236"/>
      <c r="L68" s="1207"/>
      <c r="M68" s="3235"/>
      <c r="N68" s="3236"/>
      <c r="P68" s="3235"/>
      <c r="Q68" s="3236"/>
      <c r="S68" s="3235"/>
      <c r="T68" s="3236"/>
      <c r="V68" s="1254"/>
      <c r="W68" s="3306"/>
      <c r="X68" s="3307"/>
    </row>
    <row r="69" spans="1:24" s="323" customFormat="1" ht="12" customHeight="1">
      <c r="B69" s="323" t="s">
        <v>1106</v>
      </c>
      <c r="G69" s="3235">
        <v>50000</v>
      </c>
      <c r="H69" s="3236"/>
      <c r="J69" s="3235">
        <v>50000</v>
      </c>
      <c r="K69" s="3236"/>
      <c r="L69" s="1207"/>
      <c r="M69" s="3235"/>
      <c r="N69" s="3236"/>
      <c r="P69" s="3235"/>
      <c r="Q69" s="3236"/>
      <c r="S69" s="3235"/>
      <c r="T69" s="3236"/>
      <c r="V69" s="1254"/>
      <c r="W69" s="3306"/>
      <c r="X69" s="3307"/>
    </row>
    <row r="70" spans="1:24" s="323" customFormat="1" ht="12" customHeight="1">
      <c r="B70" s="323" t="s">
        <v>1107</v>
      </c>
      <c r="G70" s="3235"/>
      <c r="H70" s="3236"/>
      <c r="J70" s="3235"/>
      <c r="K70" s="3236"/>
      <c r="L70" s="1207"/>
      <c r="M70" s="3235"/>
      <c r="N70" s="3236"/>
      <c r="P70" s="3235"/>
      <c r="Q70" s="3236"/>
      <c r="S70" s="3235"/>
      <c r="T70" s="3236"/>
      <c r="V70" s="1254"/>
      <c r="W70" s="3306"/>
      <c r="X70" s="3307"/>
    </row>
    <row r="71" spans="1:24" s="323" customFormat="1" ht="12" customHeight="1">
      <c r="B71" s="323" t="s">
        <v>1108</v>
      </c>
      <c r="G71" s="3235"/>
      <c r="H71" s="3236"/>
      <c r="J71" s="3235"/>
      <c r="K71" s="3236"/>
      <c r="L71" s="1207"/>
      <c r="M71" s="3235"/>
      <c r="N71" s="3236"/>
      <c r="P71" s="3235"/>
      <c r="Q71" s="3236"/>
      <c r="S71" s="3235"/>
      <c r="T71" s="3236"/>
      <c r="V71" s="1254"/>
      <c r="W71" s="3306"/>
      <c r="X71" s="3307"/>
    </row>
    <row r="72" spans="1:24" s="323" customFormat="1" ht="12" customHeight="1">
      <c r="B72" s="323" t="s">
        <v>470</v>
      </c>
      <c r="G72" s="3235">
        <v>80000</v>
      </c>
      <c r="H72" s="3236"/>
      <c r="J72" s="3235">
        <v>80000</v>
      </c>
      <c r="K72" s="3236"/>
      <c r="L72" s="1207"/>
      <c r="M72" s="3235"/>
      <c r="N72" s="3236"/>
      <c r="P72" s="3235"/>
      <c r="Q72" s="3236"/>
      <c r="S72" s="3235"/>
      <c r="T72" s="3236"/>
      <c r="V72" s="1254"/>
      <c r="W72" s="3306"/>
      <c r="X72" s="3307"/>
    </row>
    <row r="73" spans="1:24" s="323" customFormat="1" ht="12" customHeight="1">
      <c r="B73" s="323" t="s">
        <v>471</v>
      </c>
      <c r="G73" s="3235">
        <v>150000</v>
      </c>
      <c r="H73" s="3236"/>
      <c r="J73" s="3235">
        <v>135000</v>
      </c>
      <c r="K73" s="3236"/>
      <c r="L73" s="1207"/>
      <c r="M73" s="3235"/>
      <c r="N73" s="3236"/>
      <c r="P73" s="3235"/>
      <c r="Q73" s="3236"/>
      <c r="S73" s="3235">
        <v>15000</v>
      </c>
      <c r="T73" s="3236"/>
      <c r="V73" s="1254"/>
      <c r="W73" s="3306"/>
      <c r="X73" s="3307"/>
    </row>
    <row r="74" spans="1:24" s="323" customFormat="1" ht="12" customHeight="1">
      <c r="B74" s="323" t="s">
        <v>2001</v>
      </c>
      <c r="G74" s="3235">
        <v>20000</v>
      </c>
      <c r="H74" s="3236"/>
      <c r="J74" s="3235">
        <v>20000</v>
      </c>
      <c r="K74" s="3236"/>
      <c r="L74" s="1207"/>
      <c r="M74" s="3235"/>
      <c r="N74" s="3236"/>
      <c r="P74" s="3235"/>
      <c r="Q74" s="3236"/>
      <c r="S74" s="3235"/>
      <c r="T74" s="3236"/>
      <c r="V74" s="1254"/>
      <c r="W74" s="3306"/>
      <c r="X74" s="3307"/>
    </row>
    <row r="75" spans="1:24" s="323" customFormat="1" ht="12" customHeight="1">
      <c r="B75" s="323" t="s">
        <v>1251</v>
      </c>
      <c r="G75" s="3235"/>
      <c r="H75" s="3236"/>
      <c r="J75" s="3235"/>
      <c r="K75" s="3236"/>
      <c r="L75" s="1207"/>
      <c r="M75" s="3235"/>
      <c r="N75" s="3236"/>
      <c r="P75" s="3235"/>
      <c r="Q75" s="3236"/>
      <c r="S75" s="3235"/>
      <c r="T75" s="3236"/>
      <c r="V75" s="1254"/>
      <c r="W75" s="3306"/>
      <c r="X75" s="3307"/>
    </row>
    <row r="76" spans="1:24" s="323" customFormat="1" ht="12" customHeight="1" thickBot="1">
      <c r="A76" s="426" t="str">
        <f>IF(AND(G76&gt;0,OR(C76="",C76="&lt;Enter detailed description here; use Comments section if needed&gt;")),"X","")</f>
        <v/>
      </c>
      <c r="B76" s="323" t="s">
        <v>723</v>
      </c>
      <c r="C76" s="3386" t="s">
        <v>3535</v>
      </c>
      <c r="D76" s="3386"/>
      <c r="E76" s="3386"/>
      <c r="F76" s="3387"/>
      <c r="G76" s="3239"/>
      <c r="H76" s="3240"/>
      <c r="J76" s="3239"/>
      <c r="K76" s="3240"/>
      <c r="L76" s="1207"/>
      <c r="M76" s="3239"/>
      <c r="N76" s="3240"/>
      <c r="P76" s="3239"/>
      <c r="Q76" s="3240"/>
      <c r="S76" s="3239"/>
      <c r="T76" s="3240"/>
      <c r="U76" s="425" t="str">
        <f>IF(AND(G76&gt;0,OR(C76="",C76="&lt;Enter detailed description here; use Comments section if needed&gt;")),"NO DESCRIPTION PROVIDED - please enter detailed description in Other box at left; use Comments section below if needed.","")</f>
        <v/>
      </c>
      <c r="V76" s="1254"/>
      <c r="W76" s="3308"/>
      <c r="X76" s="3309"/>
    </row>
    <row r="77" spans="1:24" s="323" customFormat="1" ht="12" customHeight="1" thickTop="1">
      <c r="F77" s="398" t="s">
        <v>187</v>
      </c>
      <c r="G77" s="3388">
        <f>SUM(G66:H76)</f>
        <v>525000</v>
      </c>
      <c r="H77" s="3389"/>
      <c r="J77" s="3388">
        <f>SUM(J66:K76)</f>
        <v>510000</v>
      </c>
      <c r="K77" s="3389"/>
      <c r="L77" s="400"/>
      <c r="M77" s="3388">
        <f>SUM(M66:N76)</f>
        <v>0</v>
      </c>
      <c r="N77" s="3389"/>
      <c r="P77" s="3388">
        <f>SUM(P66:Q76)</f>
        <v>0</v>
      </c>
      <c r="Q77" s="3389"/>
      <c r="S77" s="3388">
        <f>SUM(S66:T76)</f>
        <v>15000</v>
      </c>
      <c r="T77" s="3389"/>
      <c r="V77" s="1256">
        <f>SUM(V66:V76)</f>
        <v>0</v>
      </c>
      <c r="W77" s="3324"/>
      <c r="X77" s="3325"/>
    </row>
    <row r="78" spans="1:24" ht="12" customHeight="1">
      <c r="A78" s="323"/>
      <c r="B78" s="325" t="s">
        <v>1243</v>
      </c>
      <c r="C78" s="323"/>
      <c r="D78" s="1007" t="s">
        <v>3555</v>
      </c>
      <c r="E78" s="1107">
        <f>G83/'Part VI-Revenues &amp; Expenses'!$P$67</f>
        <v>725</v>
      </c>
      <c r="F78" s="323"/>
      <c r="G78" s="323"/>
      <c r="H78" s="323"/>
      <c r="I78" s="323"/>
      <c r="J78" s="400"/>
      <c r="K78" s="400"/>
      <c r="M78" s="400"/>
      <c r="N78" s="400"/>
      <c r="O78" s="399" t="str">
        <f>B78</f>
        <v>LOCAL GOVERNMENT FEES</v>
      </c>
      <c r="P78" s="400"/>
      <c r="Q78" s="400"/>
      <c r="S78" s="400"/>
      <c r="T78" s="400"/>
      <c r="V78" s="1257"/>
      <c r="W78" s="323" t="str">
        <f>B78</f>
        <v>LOCAL GOVERNMENT FEES</v>
      </c>
    </row>
    <row r="79" spans="1:24" s="323" customFormat="1" ht="12" customHeight="1">
      <c r="B79" s="323" t="s">
        <v>1244</v>
      </c>
      <c r="G79" s="3247">
        <v>25000</v>
      </c>
      <c r="H79" s="3248"/>
      <c r="J79" s="3247">
        <v>25000</v>
      </c>
      <c r="K79" s="3248"/>
      <c r="L79" s="1207"/>
      <c r="M79" s="3247"/>
      <c r="N79" s="3248"/>
      <c r="P79" s="3247"/>
      <c r="Q79" s="3248"/>
      <c r="S79" s="3247"/>
      <c r="T79" s="3248"/>
      <c r="V79" s="1254"/>
      <c r="W79" s="3306"/>
      <c r="X79" s="3307"/>
    </row>
    <row r="80" spans="1:24" s="323" customFormat="1" ht="12" customHeight="1">
      <c r="B80" s="323" t="s">
        <v>1245</v>
      </c>
      <c r="G80" s="3235"/>
      <c r="H80" s="3236"/>
      <c r="J80" s="3235"/>
      <c r="K80" s="3236"/>
      <c r="L80" s="1207"/>
      <c r="M80" s="3235"/>
      <c r="N80" s="3236"/>
      <c r="P80" s="3235"/>
      <c r="Q80" s="3236"/>
      <c r="S80" s="3235"/>
      <c r="T80" s="3236"/>
      <c r="V80" s="1254"/>
      <c r="W80" s="3306"/>
      <c r="X80" s="3307"/>
    </row>
    <row r="81" spans="1:24" s="323" customFormat="1" ht="12" customHeight="1">
      <c r="B81" s="323" t="s">
        <v>1246</v>
      </c>
      <c r="D81" s="406" t="s">
        <v>1376</v>
      </c>
      <c r="E81" s="1277" t="s">
        <v>2889</v>
      </c>
      <c r="G81" s="3235">
        <f>125*200</f>
        <v>25000</v>
      </c>
      <c r="H81" s="3236"/>
      <c r="I81" s="344"/>
      <c r="J81" s="3235">
        <v>25000</v>
      </c>
      <c r="K81" s="3236"/>
      <c r="L81" s="1207"/>
      <c r="M81" s="3235"/>
      <c r="N81" s="3236"/>
      <c r="P81" s="3235"/>
      <c r="Q81" s="3236"/>
      <c r="S81" s="3235"/>
      <c r="T81" s="3236"/>
      <c r="V81" s="1254"/>
      <c r="W81" s="3306"/>
      <c r="X81" s="3307"/>
    </row>
    <row r="82" spans="1:24" s="323" customFormat="1" ht="12" customHeight="1" thickBot="1">
      <c r="B82" s="323" t="s">
        <v>1247</v>
      </c>
      <c r="D82" s="406" t="s">
        <v>1376</v>
      </c>
      <c r="E82" s="1278" t="s">
        <v>2889</v>
      </c>
      <c r="G82" s="3239">
        <f>475*200</f>
        <v>95000</v>
      </c>
      <c r="H82" s="3240"/>
      <c r="I82" s="344"/>
      <c r="J82" s="3239">
        <v>95000</v>
      </c>
      <c r="K82" s="3240"/>
      <c r="L82" s="1207"/>
      <c r="M82" s="3239"/>
      <c r="N82" s="3240"/>
      <c r="P82" s="3239"/>
      <c r="Q82" s="3240"/>
      <c r="S82" s="3239"/>
      <c r="T82" s="3240"/>
      <c r="V82" s="1254"/>
      <c r="W82" s="3308"/>
      <c r="X82" s="3309"/>
    </row>
    <row r="83" spans="1:24" s="323" customFormat="1" ht="12" customHeight="1" thickTop="1">
      <c r="F83" s="398" t="s">
        <v>187</v>
      </c>
      <c r="G83" s="3388">
        <f>SUM(G79:H82)</f>
        <v>145000</v>
      </c>
      <c r="H83" s="3389"/>
      <c r="J83" s="3388">
        <f>SUM(J79:K82)</f>
        <v>145000</v>
      </c>
      <c r="K83" s="3389"/>
      <c r="L83" s="400"/>
      <c r="M83" s="3388">
        <f>SUM(M79:N82)</f>
        <v>0</v>
      </c>
      <c r="N83" s="3389"/>
      <c r="P83" s="3388">
        <f>SUM(P79:Q82)</f>
        <v>0</v>
      </c>
      <c r="Q83" s="3389"/>
      <c r="S83" s="3388">
        <f>SUM(S79:T82)</f>
        <v>0</v>
      </c>
      <c r="T83" s="3389"/>
      <c r="V83" s="1256">
        <f>SUM(V79:V82)</f>
        <v>0</v>
      </c>
      <c r="W83" s="3324"/>
      <c r="X83" s="3325"/>
    </row>
    <row r="84" spans="1:24" s="323" customFormat="1" ht="12" customHeight="1">
      <c r="B84" s="325" t="s">
        <v>706</v>
      </c>
      <c r="J84" s="400"/>
      <c r="K84" s="400"/>
      <c r="M84" s="400"/>
      <c r="N84" s="400"/>
      <c r="O84" s="399" t="str">
        <f>B84</f>
        <v>PERMANENT FINANCING FEES</v>
      </c>
      <c r="P84" s="400"/>
      <c r="Q84" s="400"/>
      <c r="S84" s="400"/>
      <c r="T84" s="400"/>
      <c r="V84" s="1257"/>
      <c r="W84" s="323" t="str">
        <f>B84</f>
        <v>PERMANENT FINANCING FEES</v>
      </c>
    </row>
    <row r="85" spans="1:24" s="323" customFormat="1" ht="12" customHeight="1">
      <c r="B85" s="323" t="s">
        <v>1248</v>
      </c>
      <c r="G85" s="3247">
        <v>137000</v>
      </c>
      <c r="H85" s="3248"/>
      <c r="J85" s="3397"/>
      <c r="K85" s="3397"/>
      <c r="L85" s="1207"/>
      <c r="M85" s="3397"/>
      <c r="N85" s="3397"/>
      <c r="P85" s="3397"/>
      <c r="Q85" s="3397"/>
      <c r="S85" s="3247">
        <v>137000</v>
      </c>
      <c r="T85" s="3248"/>
      <c r="V85" s="1254"/>
      <c r="W85" s="3306"/>
      <c r="X85" s="3307"/>
    </row>
    <row r="86" spans="1:24" s="323" customFormat="1" ht="12" customHeight="1">
      <c r="B86" s="323" t="s">
        <v>1249</v>
      </c>
      <c r="G86" s="3235">
        <v>65000</v>
      </c>
      <c r="H86" s="3236"/>
      <c r="J86" s="3397"/>
      <c r="K86" s="3397"/>
      <c r="L86" s="1207"/>
      <c r="M86" s="3397"/>
      <c r="N86" s="3397"/>
      <c r="P86" s="3397"/>
      <c r="Q86" s="3397"/>
      <c r="S86" s="3235">
        <v>65000</v>
      </c>
      <c r="T86" s="3236"/>
      <c r="V86" s="1254"/>
      <c r="W86" s="3306"/>
      <c r="X86" s="3307"/>
    </row>
    <row r="87" spans="1:24" s="323" customFormat="1" ht="12" customHeight="1">
      <c r="B87" s="323" t="s">
        <v>1250</v>
      </c>
      <c r="G87" s="3235"/>
      <c r="H87" s="3236"/>
      <c r="J87" s="3397"/>
      <c r="K87" s="3397"/>
      <c r="L87" s="1207"/>
      <c r="M87" s="3397"/>
      <c r="N87" s="3397"/>
      <c r="P87" s="3397"/>
      <c r="Q87" s="3397"/>
      <c r="S87" s="3235"/>
      <c r="T87" s="3236"/>
      <c r="V87" s="1254"/>
      <c r="W87" s="3306"/>
      <c r="X87" s="3307"/>
    </row>
    <row r="88" spans="1:24" s="323" customFormat="1" ht="12" customHeight="1">
      <c r="B88" s="323" t="s">
        <v>1252</v>
      </c>
      <c r="G88" s="3235"/>
      <c r="H88" s="3236"/>
      <c r="J88" s="3397"/>
      <c r="K88" s="3397"/>
      <c r="L88" s="1207"/>
      <c r="M88" s="3397"/>
      <c r="N88" s="3397"/>
      <c r="P88" s="3397"/>
      <c r="Q88" s="3397"/>
      <c r="S88" s="3235"/>
      <c r="T88" s="3236"/>
      <c r="V88" s="1254"/>
      <c r="W88" s="3306"/>
      <c r="X88" s="3307"/>
    </row>
    <row r="89" spans="1:24" s="323" customFormat="1" ht="12" customHeight="1">
      <c r="B89" s="323" t="s">
        <v>2240</v>
      </c>
      <c r="G89" s="3235">
        <v>400000</v>
      </c>
      <c r="H89" s="3236"/>
      <c r="J89" s="3397"/>
      <c r="K89" s="3397"/>
      <c r="L89" s="1207"/>
      <c r="M89" s="3397"/>
      <c r="N89" s="3397"/>
      <c r="P89" s="3397"/>
      <c r="Q89" s="3397"/>
      <c r="S89" s="3235">
        <v>400000</v>
      </c>
      <c r="T89" s="3236"/>
      <c r="V89" s="1254"/>
      <c r="W89" s="3306"/>
      <c r="X89" s="3307"/>
    </row>
    <row r="90" spans="1:24" s="323" customFormat="1" ht="12" customHeight="1" thickBot="1">
      <c r="A90" s="426" t="str">
        <f>IF(AND(G90&gt;0,OR(C90="",C90="&lt;Enter detailed description here; use Comments section if needed&gt;")),"X","")</f>
        <v/>
      </c>
      <c r="B90" s="323" t="s">
        <v>723</v>
      </c>
      <c r="C90" s="3386" t="s">
        <v>6999</v>
      </c>
      <c r="D90" s="3386"/>
      <c r="E90" s="3386"/>
      <c r="F90" s="3387"/>
      <c r="G90" s="3239">
        <v>68500</v>
      </c>
      <c r="H90" s="3240"/>
      <c r="J90" s="3397"/>
      <c r="K90" s="3397"/>
      <c r="L90" s="1207"/>
      <c r="M90" s="3397"/>
      <c r="N90" s="3397"/>
      <c r="P90" s="3397"/>
      <c r="Q90" s="3397"/>
      <c r="S90" s="3239">
        <v>68500</v>
      </c>
      <c r="T90" s="3240"/>
      <c r="U90" s="425" t="str">
        <f>IF(AND(G90&gt;0,OR(C90="",C90="&lt;Enter detailed description here; use Comments section if needed&gt;")),"NO DESCRIPTION PROVIDED - please enter detailed description in Other box at left; use Comments section below if needed.","")</f>
        <v/>
      </c>
      <c r="V90" s="1254"/>
      <c r="W90" s="3308"/>
      <c r="X90" s="3309"/>
    </row>
    <row r="91" spans="1:24" s="323" customFormat="1" ht="12" customHeight="1" thickTop="1">
      <c r="F91" s="398" t="s">
        <v>187</v>
      </c>
      <c r="G91" s="3388">
        <f>SUM(G85:H90)</f>
        <v>670500</v>
      </c>
      <c r="H91" s="3389"/>
      <c r="J91" s="3397"/>
      <c r="K91" s="3397"/>
      <c r="L91" s="400"/>
      <c r="M91" s="3397"/>
      <c r="N91" s="3397"/>
      <c r="P91" s="3397"/>
      <c r="Q91" s="3397"/>
      <c r="S91" s="3388">
        <f>SUM(S85:T90)</f>
        <v>670500</v>
      </c>
      <c r="T91" s="3389"/>
      <c r="V91" s="1256">
        <f>SUM(V85:V90)</f>
        <v>0</v>
      </c>
      <c r="W91" s="3324"/>
      <c r="X91" s="3325"/>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7"/>
    </row>
    <row r="93" spans="1:24" s="323" customFormat="1" ht="18" customHeight="1" thickBot="1">
      <c r="A93" s="481" t="s">
        <v>598</v>
      </c>
      <c r="B93" s="481" t="s">
        <v>2744</v>
      </c>
      <c r="H93" s="1198"/>
      <c r="I93" s="1198"/>
      <c r="J93" s="3371" t="s">
        <v>266</v>
      </c>
      <c r="K93" s="3372"/>
      <c r="L93" s="397"/>
      <c r="M93" s="3402" t="s">
        <v>479</v>
      </c>
      <c r="N93" s="3403"/>
      <c r="P93" s="3371" t="s">
        <v>267</v>
      </c>
      <c r="Q93" s="3372"/>
      <c r="S93" s="3371" t="s">
        <v>268</v>
      </c>
      <c r="T93" s="3372"/>
      <c r="V93" s="482" t="str">
        <f>B93</f>
        <v>DEVELOPMENT BUDGET  (cont'd)</v>
      </c>
    </row>
    <row r="94" spans="1:24" s="323" customFormat="1" ht="18" customHeight="1" thickBot="1">
      <c r="G94" s="3406" t="s">
        <v>98</v>
      </c>
      <c r="H94" s="3407"/>
      <c r="J94" s="3373"/>
      <c r="K94" s="3374"/>
      <c r="L94" s="397"/>
      <c r="M94" s="3404"/>
      <c r="N94" s="3405"/>
      <c r="P94" s="3373"/>
      <c r="Q94" s="3374"/>
      <c r="S94" s="3373"/>
      <c r="T94" s="3374"/>
      <c r="V94" s="368" t="s">
        <v>2607</v>
      </c>
      <c r="X94" s="368"/>
    </row>
    <row r="95" spans="1:24" s="323" customFormat="1" ht="13.35" customHeight="1">
      <c r="B95" s="325" t="s">
        <v>707</v>
      </c>
      <c r="J95" s="400"/>
      <c r="K95" s="400"/>
      <c r="M95" s="400"/>
      <c r="N95" s="400"/>
      <c r="O95" s="399" t="str">
        <f>B95</f>
        <v>DCA-RELATED COSTS</v>
      </c>
      <c r="P95" s="400"/>
      <c r="Q95" s="400"/>
      <c r="S95" s="400"/>
      <c r="T95" s="400"/>
      <c r="V95" s="1257"/>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247"/>
      <c r="H96" s="3248"/>
      <c r="J96" s="400"/>
      <c r="K96" s="400"/>
      <c r="L96" s="1207"/>
      <c r="M96" s="400"/>
      <c r="N96" s="400"/>
      <c r="P96" s="400"/>
      <c r="Q96" s="400"/>
      <c r="S96" s="3247"/>
      <c r="T96" s="3248"/>
      <c r="V96" s="1254"/>
      <c r="W96" s="3306"/>
      <c r="X96" s="3307"/>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235"/>
      <c r="H97" s="3236"/>
      <c r="J97" s="400"/>
      <c r="K97" s="400"/>
      <c r="L97" s="407"/>
      <c r="M97" s="400"/>
      <c r="N97" s="400"/>
      <c r="P97" s="400"/>
      <c r="Q97" s="400"/>
      <c r="S97" s="3235"/>
      <c r="T97" s="3236"/>
      <c r="V97" s="1254"/>
      <c r="W97" s="3306"/>
      <c r="X97" s="3307"/>
    </row>
    <row r="98" spans="1:37" s="323" customFormat="1" ht="12.6" customHeight="1">
      <c r="B98" s="323" t="s">
        <v>3707</v>
      </c>
      <c r="G98" s="3235"/>
      <c r="H98" s="3236"/>
      <c r="J98" s="400"/>
      <c r="K98" s="400"/>
      <c r="L98" s="407"/>
      <c r="M98" s="400"/>
      <c r="N98" s="400"/>
      <c r="O98" s="1198"/>
      <c r="P98" s="400"/>
      <c r="Q98" s="400"/>
      <c r="S98" s="3235"/>
      <c r="T98" s="3236"/>
      <c r="V98" s="1254"/>
      <c r="W98" s="3306"/>
      <c r="X98" s="3307"/>
    </row>
    <row r="99" spans="1:37" s="323" customFormat="1" ht="12.6" customHeight="1">
      <c r="B99" s="323" t="s">
        <v>505</v>
      </c>
      <c r="E99" s="3408">
        <f>ROUNDUP('DCA Underwriting Assumptions'!$Q$92*J184,0)</f>
        <v>160089</v>
      </c>
      <c r="F99" s="3409"/>
      <c r="G99" s="3235">
        <v>160089</v>
      </c>
      <c r="H99" s="3236"/>
      <c r="J99" s="1108" t="str">
        <f>IF(E99&gt;G99,"WARNING!  LIHTC Allocation Fee proposed is below minimum required.","")</f>
        <v/>
      </c>
      <c r="K99" s="400"/>
      <c r="L99" s="1207"/>
      <c r="M99" s="400"/>
      <c r="N99" s="400"/>
      <c r="O99" s="1198"/>
      <c r="P99" s="400"/>
      <c r="Q99" s="400"/>
      <c r="S99" s="3235">
        <v>159830</v>
      </c>
      <c r="T99" s="3236"/>
      <c r="V99" s="1254"/>
      <c r="W99" s="3306"/>
      <c r="X99" s="3307"/>
    </row>
    <row r="100" spans="1:37" s="323" customFormat="1" ht="12.6" customHeight="1">
      <c r="B100" s="323" t="s">
        <v>735</v>
      </c>
      <c r="E100" s="3408">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160000</v>
      </c>
      <c r="F100" s="3409"/>
      <c r="G100" s="3235">
        <v>160000</v>
      </c>
      <c r="H100" s="3236"/>
      <c r="J100" s="1108" t="str">
        <f>IF(E100&gt;G100,"WARNING!  LIHTC Compliance Fee proposed is below minimum required.","")</f>
        <v/>
      </c>
      <c r="K100" s="187"/>
      <c r="L100" s="187"/>
      <c r="M100" s="187"/>
      <c r="N100" s="187"/>
      <c r="O100" s="187"/>
      <c r="P100" s="187"/>
      <c r="Q100" s="187"/>
      <c r="S100" s="3235">
        <v>160000</v>
      </c>
      <c r="T100" s="3236"/>
      <c r="V100" s="1254"/>
      <c r="W100" s="3306"/>
      <c r="X100" s="3307"/>
    </row>
    <row r="101" spans="1:37" s="323" customFormat="1" ht="12.6" customHeight="1">
      <c r="B101" s="323" t="s">
        <v>3886</v>
      </c>
      <c r="F101" s="1480">
        <f>ROUNDUP('DCA Underwriting Assumptions'!$Q$94,0)</f>
        <v>3000</v>
      </c>
      <c r="G101" s="3235">
        <v>3000</v>
      </c>
      <c r="H101" s="3236"/>
      <c r="J101" s="187"/>
      <c r="K101" s="187"/>
      <c r="L101" s="187"/>
      <c r="M101" s="187"/>
      <c r="N101" s="187"/>
      <c r="O101" s="187"/>
      <c r="P101" s="187"/>
      <c r="Q101" s="187"/>
      <c r="S101" s="3235">
        <v>3000</v>
      </c>
      <c r="T101" s="3236"/>
      <c r="V101" s="1254"/>
      <c r="W101" s="3306"/>
      <c r="X101" s="3307"/>
    </row>
    <row r="102" spans="1:37" s="323" customFormat="1" ht="12.6" customHeight="1">
      <c r="B102" s="323" t="s">
        <v>3887</v>
      </c>
      <c r="F102" s="1480">
        <f>ROUNDUP('DCA Underwriting Assumptions'!$Q$128,0)</f>
        <v>3000</v>
      </c>
      <c r="G102" s="3235">
        <v>3000</v>
      </c>
      <c r="H102" s="3236"/>
      <c r="J102" s="187"/>
      <c r="K102" s="187"/>
      <c r="L102" s="187"/>
      <c r="M102" s="187"/>
      <c r="N102" s="187"/>
      <c r="O102" s="187"/>
      <c r="P102" s="187"/>
      <c r="Q102" s="187"/>
      <c r="S102" s="3235">
        <v>3000</v>
      </c>
      <c r="T102" s="3236"/>
      <c r="V102" s="1254"/>
      <c r="W102" s="3306"/>
      <c r="X102" s="3307"/>
    </row>
    <row r="103" spans="1:37" s="323" customFormat="1" ht="12.6" customHeight="1">
      <c r="A103" s="426" t="str">
        <f>IF(AND(G103&gt;0,OR(C103="",C103="&lt;Enter detailed description here; use Comments section if needed&gt;")),"X","")</f>
        <v/>
      </c>
      <c r="B103" s="323" t="s">
        <v>723</v>
      </c>
      <c r="C103" s="3398" t="s">
        <v>3535</v>
      </c>
      <c r="D103" s="3398"/>
      <c r="E103" s="3398"/>
      <c r="F103" s="3399"/>
      <c r="G103" s="3235"/>
      <c r="H103" s="3236"/>
      <c r="J103" s="187"/>
      <c r="K103" s="187"/>
      <c r="L103" s="187"/>
      <c r="M103" s="187"/>
      <c r="N103" s="187"/>
      <c r="O103" s="187"/>
      <c r="P103" s="187"/>
      <c r="Q103" s="187"/>
      <c r="S103" s="3235"/>
      <c r="T103" s="3236"/>
      <c r="U103" s="425" t="str">
        <f>IF(AND(G103&gt;0,OR(C103="",C103="&lt;Enter detailed description here; use Comments section if needed&gt;")),"NO DESCRIPTION PROVIDED - please enter detailed description in Other box at left; use Comments section below if needed.","")</f>
        <v/>
      </c>
      <c r="V103" s="1254"/>
      <c r="W103" s="3306"/>
      <c r="X103" s="3307"/>
    </row>
    <row r="104" spans="1:37" s="323" customFormat="1" ht="12.6" customHeight="1" thickBot="1">
      <c r="A104" s="426" t="str">
        <f>IF(AND(G104&gt;0,OR(C104="",C104="&lt;Enter detailed description here; use Comments section if needed&gt;")),"X","")</f>
        <v/>
      </c>
      <c r="B104" s="323" t="s">
        <v>723</v>
      </c>
      <c r="C104" s="3400" t="s">
        <v>3535</v>
      </c>
      <c r="D104" s="3400"/>
      <c r="E104" s="3400"/>
      <c r="F104" s="3401"/>
      <c r="G104" s="3239"/>
      <c r="H104" s="3240"/>
      <c r="J104" s="187"/>
      <c r="K104" s="187"/>
      <c r="L104" s="187"/>
      <c r="M104" s="187"/>
      <c r="N104" s="187"/>
      <c r="O104" s="187"/>
      <c r="P104" s="187"/>
      <c r="Q104" s="187"/>
      <c r="S104" s="3239"/>
      <c r="T104" s="3240"/>
      <c r="U104" s="425" t="str">
        <f>IF(AND(G104&gt;0,OR(C104="",C104="&lt;Enter detailed description here; use Comments section if needed&gt;")),"NO DESCRIPTION PROVIDED - please enter detailed description in Other box at left; use Comments section below if needed.","")</f>
        <v/>
      </c>
      <c r="V104" s="1254"/>
      <c r="W104" s="3308"/>
      <c r="X104" s="3309"/>
    </row>
    <row r="105" spans="1:37" s="323" customFormat="1" ht="12.6" customHeight="1" thickTop="1">
      <c r="F105" s="398" t="s">
        <v>187</v>
      </c>
      <c r="G105" s="3388">
        <f>SUM(G96:H104)</f>
        <v>326089</v>
      </c>
      <c r="H105" s="3389"/>
      <c r="J105" s="400"/>
      <c r="K105" s="400"/>
      <c r="L105" s="1207"/>
      <c r="M105" s="400"/>
      <c r="N105" s="400"/>
      <c r="P105" s="400"/>
      <c r="Q105" s="400"/>
      <c r="S105" s="3388">
        <f>SUM(S96:T104)</f>
        <v>325830</v>
      </c>
      <c r="T105" s="3389"/>
      <c r="V105" s="1256">
        <f>SUM(V96:V104)</f>
        <v>0</v>
      </c>
      <c r="W105" s="3310"/>
      <c r="X105" s="3311"/>
    </row>
    <row r="106" spans="1:37" s="323" customFormat="1" ht="13.35" customHeight="1">
      <c r="B106" s="325" t="s">
        <v>2241</v>
      </c>
      <c r="J106" s="400"/>
      <c r="K106" s="400"/>
      <c r="M106" s="400"/>
      <c r="N106" s="400"/>
      <c r="O106" s="399" t="str">
        <f>B106</f>
        <v>EQUITY COSTS</v>
      </c>
      <c r="P106" s="400"/>
      <c r="Q106" s="400"/>
      <c r="S106" s="400"/>
      <c r="T106" s="400"/>
      <c r="V106" s="1257"/>
      <c r="W106" s="323" t="str">
        <f>B106</f>
        <v>EQUITY COSTS</v>
      </c>
    </row>
    <row r="107" spans="1:37" s="323" customFormat="1" ht="12.6" customHeight="1">
      <c r="B107" s="323" t="s">
        <v>274</v>
      </c>
      <c r="G107" s="3247">
        <v>5000</v>
      </c>
      <c r="H107" s="3248"/>
      <c r="J107" s="3397"/>
      <c r="K107" s="3397"/>
      <c r="L107" s="1207"/>
      <c r="M107" s="3397"/>
      <c r="N107" s="3397"/>
      <c r="O107" s="1198"/>
      <c r="P107" s="3397"/>
      <c r="Q107" s="3397"/>
      <c r="S107" s="3247">
        <v>5000</v>
      </c>
      <c r="T107" s="3248"/>
      <c r="V107" s="1254"/>
      <c r="W107" s="3306"/>
      <c r="X107" s="3307"/>
    </row>
    <row r="108" spans="1:37" s="323" customFormat="1" ht="12.6" customHeight="1">
      <c r="B108" s="323" t="s">
        <v>275</v>
      </c>
      <c r="G108" s="3235"/>
      <c r="H108" s="3236"/>
      <c r="J108" s="3397"/>
      <c r="K108" s="3397"/>
      <c r="L108" s="1207"/>
      <c r="M108" s="3397"/>
      <c r="N108" s="3397"/>
      <c r="O108" s="1198"/>
      <c r="P108" s="3397"/>
      <c r="Q108" s="3397"/>
      <c r="S108" s="3235"/>
      <c r="T108" s="3236"/>
      <c r="V108" s="1254"/>
      <c r="W108" s="3306"/>
      <c r="X108" s="3307"/>
    </row>
    <row r="109" spans="1:37" s="323" customFormat="1" ht="12.6" customHeight="1">
      <c r="B109" s="323" t="s">
        <v>2324</v>
      </c>
      <c r="G109" s="3235">
        <v>35000</v>
      </c>
      <c r="H109" s="3236"/>
      <c r="J109" s="3397"/>
      <c r="K109" s="3397"/>
      <c r="L109" s="1207"/>
      <c r="M109" s="3397"/>
      <c r="N109" s="3397"/>
      <c r="O109" s="1198"/>
      <c r="P109" s="3397"/>
      <c r="Q109" s="3397"/>
      <c r="S109" s="3235">
        <v>35000</v>
      </c>
      <c r="T109" s="3236"/>
      <c r="V109" s="1254"/>
      <c r="W109" s="3306"/>
      <c r="X109" s="3307"/>
    </row>
    <row r="110" spans="1:37" s="323" customFormat="1" ht="12.6" customHeight="1" thickBot="1">
      <c r="A110" s="426" t="str">
        <f>IF(AND(G110&gt;0,OR(C110="",C110="&lt;Enter detailed description here; use Comments section if needed&gt;")),"X","")</f>
        <v/>
      </c>
      <c r="B110" s="323" t="s">
        <v>723</v>
      </c>
      <c r="C110" s="3386" t="s">
        <v>3535</v>
      </c>
      <c r="D110" s="3386"/>
      <c r="E110" s="3386"/>
      <c r="F110" s="3387"/>
      <c r="G110" s="3239"/>
      <c r="H110" s="3240"/>
      <c r="J110" s="3397"/>
      <c r="K110" s="3397"/>
      <c r="L110" s="1207"/>
      <c r="M110" s="3397"/>
      <c r="N110" s="3397"/>
      <c r="O110" s="1198"/>
      <c r="P110" s="3397"/>
      <c r="Q110" s="3397"/>
      <c r="S110" s="3239"/>
      <c r="T110" s="3240"/>
      <c r="U110" s="425" t="str">
        <f>IF(AND(G110&gt;0,OR(C110="",C110="&lt;Enter detailed description here; use Comments section if needed&gt;")),"NO DESCRIPTION PROVIDED - please enter detailed description in Other box at left; use Comments section below if needed.","")</f>
        <v/>
      </c>
      <c r="V110" s="1254"/>
      <c r="W110" s="3308"/>
      <c r="X110" s="3309"/>
    </row>
    <row r="111" spans="1:37" s="323" customFormat="1" ht="12.6" customHeight="1" thickTop="1">
      <c r="F111" s="398" t="s">
        <v>187</v>
      </c>
      <c r="G111" s="3388">
        <f>SUM(G107:H110)</f>
        <v>40000</v>
      </c>
      <c r="H111" s="3389"/>
      <c r="J111" s="3397"/>
      <c r="K111" s="3397"/>
      <c r="L111" s="1207"/>
      <c r="M111" s="3397"/>
      <c r="N111" s="3397"/>
      <c r="O111" s="1198"/>
      <c r="P111" s="3397"/>
      <c r="Q111" s="3397"/>
      <c r="S111" s="3388">
        <f>SUM(S107:T110)</f>
        <v>40000</v>
      </c>
      <c r="T111" s="3389"/>
      <c r="V111" s="1256">
        <f>SUM(V107:V110)</f>
        <v>0</v>
      </c>
      <c r="W111" s="3324"/>
      <c r="X111" s="3325"/>
      <c r="AC111" s="3448" t="s">
        <v>4517</v>
      </c>
      <c r="AD111" s="3448" t="s">
        <v>4518</v>
      </c>
      <c r="AE111" s="3450" t="s">
        <v>4523</v>
      </c>
      <c r="AF111" s="3436" t="s">
        <v>4519</v>
      </c>
    </row>
    <row r="112" spans="1:37" s="323" customFormat="1" ht="13.35" customHeight="1">
      <c r="B112" s="325" t="s">
        <v>276</v>
      </c>
      <c r="D112" s="694" t="s">
        <v>4520</v>
      </c>
      <c r="E112" s="1511"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7"/>
      <c r="W112" s="323" t="str">
        <f>B112</f>
        <v>DEVELOPER'S FEE</v>
      </c>
      <c r="Y112" s="2036" t="s">
        <v>4505</v>
      </c>
      <c r="Z112" s="2027"/>
      <c r="AA112" s="307" t="s">
        <v>4514</v>
      </c>
      <c r="AB112" s="307" t="s">
        <v>4515</v>
      </c>
      <c r="AC112" s="3449"/>
      <c r="AD112" s="3449"/>
      <c r="AE112" s="3451"/>
      <c r="AF112" s="3437"/>
      <c r="AI112"/>
      <c r="AK112" s="2043"/>
    </row>
    <row r="113" spans="1:37" s="323" customFormat="1" ht="12.6" customHeight="1">
      <c r="B113" s="323" t="s">
        <v>1814</v>
      </c>
      <c r="F113" s="454">
        <f>IF($G$118=0,0,G113/$G$118)</f>
        <v>1</v>
      </c>
      <c r="G113" s="3394">
        <v>3175000</v>
      </c>
      <c r="H113" s="3394"/>
      <c r="J113" s="3395">
        <v>3175000</v>
      </c>
      <c r="K113" s="3396"/>
      <c r="L113" s="399"/>
      <c r="M113" s="3395"/>
      <c r="N113" s="3396"/>
      <c r="P113" s="3395"/>
      <c r="Q113" s="3396"/>
      <c r="S113" s="3395"/>
      <c r="T113" s="3396"/>
      <c r="V113" s="1254"/>
      <c r="W113" s="3306"/>
      <c r="X113" s="3307"/>
      <c r="Y113" s="162"/>
      <c r="Z113" s="2054">
        <v>0.09</v>
      </c>
      <c r="AA113" s="2051">
        <f>'DCA Underwriting Assumptions'!$J$104</f>
        <v>1</v>
      </c>
      <c r="AB113" s="2051">
        <f>'DCA Underwriting Assumptions'!$K$104</f>
        <v>50</v>
      </c>
      <c r="AC113" s="2048">
        <f>'DCA Underwriting Assumptions'!$Q$104</f>
        <v>25000</v>
      </c>
      <c r="AD113" s="2048">
        <f>AB113*AC113</f>
        <v>1250000</v>
      </c>
      <c r="AE113" s="2048">
        <f>IF('Part VI-Revenues &amp; Expenses'!$P$67&lt;AA114,'Part VI-Revenues &amp; Expenses'!$P$67*'Part IV-A-Uses of Funds'!AC113,AB113*AC113)</f>
        <v>1250000</v>
      </c>
      <c r="AF113" s="3438">
        <f>SUM(AE113:AE115)</f>
        <v>2000000</v>
      </c>
      <c r="AI113"/>
    </row>
    <row r="114" spans="1:37" s="323" customFormat="1" ht="12.6" customHeight="1">
      <c r="B114" s="323" t="s">
        <v>3847</v>
      </c>
      <c r="F114" s="1458"/>
      <c r="V114" s="1254"/>
      <c r="W114" s="3306"/>
      <c r="X114" s="3307"/>
      <c r="Y114" s="162"/>
      <c r="Z114" s="123"/>
      <c r="AA114" s="2052">
        <f>'DCA Underwriting Assumptions'!$J$105</f>
        <v>51</v>
      </c>
      <c r="AB114" s="2052">
        <f>'DCA Underwriting Assumptions'!$K$105</f>
        <v>70</v>
      </c>
      <c r="AC114" s="2049">
        <f>'DCA Underwriting Assumptions'!$Q$105</f>
        <v>20000</v>
      </c>
      <c r="AD114" s="2049">
        <f>(AB114-AB113)*AC114</f>
        <v>400000</v>
      </c>
      <c r="AE114" s="2049">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439"/>
      <c r="AI114"/>
    </row>
    <row r="115" spans="1:37" s="323" customFormat="1" ht="12.6" customHeight="1">
      <c r="B115" s="323" t="s">
        <v>1815</v>
      </c>
      <c r="F115" s="454">
        <f>IF($G$118=0,0,G115/$G$118)</f>
        <v>0</v>
      </c>
      <c r="G115" s="3247"/>
      <c r="H115" s="3248"/>
      <c r="J115" s="3247"/>
      <c r="K115" s="3248"/>
      <c r="L115" s="1207"/>
      <c r="M115" s="3247"/>
      <c r="N115" s="3248"/>
      <c r="P115" s="3247"/>
      <c r="Q115" s="3248"/>
      <c r="S115" s="3247"/>
      <c r="T115" s="3248"/>
      <c r="V115" s="1254"/>
      <c r="W115" s="3306"/>
      <c r="X115" s="3307"/>
      <c r="Y115" s="162"/>
      <c r="Z115" s="123"/>
      <c r="AA115" s="2053">
        <f>'DCA Underwriting Assumptions'!$J$106</f>
        <v>71</v>
      </c>
      <c r="AB115" s="2058"/>
      <c r="AC115" s="2050">
        <f>'DCA Underwriting Assumptions'!$Q$106</f>
        <v>15000</v>
      </c>
      <c r="AD115" s="2050">
        <f>AF121-AD114-AD113</f>
        <v>350000</v>
      </c>
      <c r="AE115" s="2050">
        <f>MIN(AD115,IF('Part VI-Revenues &amp; Expenses'!$P$67&gt;AB114,('Part VI-Revenues &amp; Expenses'!$P$67-AB114)*AC115,0))</f>
        <v>350000</v>
      </c>
      <c r="AF115" s="3440"/>
      <c r="AI115"/>
    </row>
    <row r="116" spans="1:37" s="323" customFormat="1" ht="12.6" customHeight="1">
      <c r="B116" s="323" t="s">
        <v>3470</v>
      </c>
      <c r="F116" s="454">
        <f>IF($G$118=0,0,G116/$G$118)</f>
        <v>0</v>
      </c>
      <c r="G116" s="3235"/>
      <c r="H116" s="3236"/>
      <c r="J116" s="3235"/>
      <c r="K116" s="3236"/>
      <c r="L116" s="1207"/>
      <c r="M116" s="3235"/>
      <c r="N116" s="3236"/>
      <c r="P116" s="3235"/>
      <c r="Q116" s="3236"/>
      <c r="S116" s="3235"/>
      <c r="T116" s="3236"/>
      <c r="V116" s="1254"/>
      <c r="W116" s="3306"/>
      <c r="X116" s="3307"/>
      <c r="Y116" s="27"/>
      <c r="Z116" s="2054">
        <v>0.04</v>
      </c>
      <c r="AA116" s="2057">
        <f>'DCA Underwriting Assumptions'!$J$107</f>
        <v>1</v>
      </c>
      <c r="AB116" s="2057">
        <f>'DCA Underwriting Assumptions'!$K$107</f>
        <v>100</v>
      </c>
      <c r="AC116" s="2048">
        <f>'DCA Underwriting Assumptions'!$Q$107</f>
        <v>18000</v>
      </c>
      <c r="AD116" s="2048">
        <f>AB116*AC116</f>
        <v>1800000</v>
      </c>
      <c r="AE116" s="2048">
        <f>IF('Part VI-Revenues &amp; Expenses'!$P$67&lt;AA117,'Part VI-Revenues &amp; Expenses'!$P$67*'Part IV-A-Uses of Funds'!AC116,AB116*AC116)</f>
        <v>1800000</v>
      </c>
      <c r="AF116" s="3438">
        <f>SUM(AE116:AE118)</f>
        <v>3175000</v>
      </c>
      <c r="AG116" s="951">
        <f>51*AC116</f>
        <v>918000</v>
      </c>
      <c r="AI116"/>
    </row>
    <row r="117" spans="1:37" s="323" customFormat="1" ht="12.6" customHeight="1" thickBot="1">
      <c r="B117" s="323" t="s">
        <v>1807</v>
      </c>
      <c r="F117" s="454">
        <f>IF($G$118=0,0,G117/$G$118)</f>
        <v>0</v>
      </c>
      <c r="G117" s="3239"/>
      <c r="H117" s="3240"/>
      <c r="J117" s="3239"/>
      <c r="K117" s="3240"/>
      <c r="L117" s="1207"/>
      <c r="M117" s="3239"/>
      <c r="N117" s="3240"/>
      <c r="P117" s="3239"/>
      <c r="Q117" s="3240"/>
      <c r="S117" s="3239"/>
      <c r="T117" s="3240"/>
      <c r="V117" s="1254"/>
      <c r="W117" s="3308"/>
      <c r="X117" s="3309"/>
      <c r="Y117" s="27"/>
      <c r="Z117" s="81"/>
      <c r="AA117" s="2052">
        <f>'DCA Underwriting Assumptions'!$J$108</f>
        <v>101</v>
      </c>
      <c r="AB117" s="2052">
        <f>'DCA Underwriting Assumptions'!$K$108</f>
        <v>130</v>
      </c>
      <c r="AC117" s="2049">
        <f>'DCA Underwriting Assumptions'!$Q$108</f>
        <v>15500</v>
      </c>
      <c r="AD117" s="2049">
        <f>(AB117-AB116)*AC117</f>
        <v>465000</v>
      </c>
      <c r="AE117" s="2049">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439"/>
      <c r="AG117" s="951"/>
      <c r="AI117"/>
    </row>
    <row r="118" spans="1:37" s="323" customFormat="1" ht="12.6" customHeight="1" thickTop="1">
      <c r="A118" s="2060" t="str">
        <f>IF(G118&gt;E118,"DF over limit!  Round down/Enter nbr.","")</f>
        <v/>
      </c>
      <c r="B118" s="2059"/>
      <c r="D118" s="694" t="s">
        <v>4516</v>
      </c>
      <c r="E118" s="2061">
        <f>IF(E112="9%",AF113,IF(E112="4%",AF116,"Enter app type!"))</f>
        <v>3175000</v>
      </c>
      <c r="F118" s="398" t="s">
        <v>187</v>
      </c>
      <c r="G118" s="3390">
        <f>SUM(G113:H117)</f>
        <v>3175000</v>
      </c>
      <c r="H118" s="3391"/>
      <c r="J118" s="3388">
        <f>SUM(J113:K117)</f>
        <v>3175000</v>
      </c>
      <c r="K118" s="3389"/>
      <c r="L118" s="1207"/>
      <c r="M118" s="3388">
        <f>SUM(M113:N117)</f>
        <v>0</v>
      </c>
      <c r="N118" s="3389"/>
      <c r="P118" s="3388">
        <f>SUM(P113:Q117)</f>
        <v>0</v>
      </c>
      <c r="Q118" s="3389"/>
      <c r="S118" s="3388">
        <f>SUM(S113:T117)</f>
        <v>0</v>
      </c>
      <c r="T118" s="3389"/>
      <c r="V118" s="1256">
        <f>SUM(V113:V117)</f>
        <v>0</v>
      </c>
      <c r="W118" s="3324"/>
      <c r="X118" s="3325"/>
      <c r="Y118" s="27"/>
      <c r="Z118" s="81"/>
      <c r="AA118" s="2053">
        <f>'DCA Underwriting Assumptions'!$J$109</f>
        <v>131</v>
      </c>
      <c r="AB118" s="2058"/>
      <c r="AC118" s="2050">
        <f>'DCA Underwriting Assumptions'!$Q$109</f>
        <v>13000</v>
      </c>
      <c r="AD118" s="2050">
        <f>AF122-AD117-AD116</f>
        <v>1235000</v>
      </c>
      <c r="AE118" s="2050">
        <f>MIN(AD118,IF('Part VI-Revenues &amp; Expenses'!$P$67&gt;AB117,('Part VI-Revenues &amp; Expenses'!$P$67-AB117)*AC118,0))</f>
        <v>910000</v>
      </c>
      <c r="AF118" s="3440"/>
      <c r="AG118" s="951"/>
      <c r="AI118"/>
    </row>
    <row r="119" spans="1:37" s="323" customFormat="1" ht="13.35" customHeight="1">
      <c r="B119" s="325" t="s">
        <v>1282</v>
      </c>
      <c r="J119" s="397"/>
      <c r="K119" s="397"/>
      <c r="M119" s="397"/>
      <c r="N119" s="397"/>
      <c r="O119" s="399" t="str">
        <f>B119</f>
        <v>START-UP AND RESERVES</v>
      </c>
      <c r="P119" s="397"/>
      <c r="Q119" s="397"/>
      <c r="S119" s="397"/>
      <c r="T119" s="397"/>
      <c r="V119" s="1257"/>
      <c r="W119" s="323" t="str">
        <f>B119</f>
        <v>START-UP AND RESERVES</v>
      </c>
      <c r="Y119" s="2035"/>
      <c r="Z119" s="2055"/>
      <c r="AB119" s="2035"/>
      <c r="AC119"/>
      <c r="AD119"/>
      <c r="AF119"/>
      <c r="AG119"/>
      <c r="AH119"/>
      <c r="AI119"/>
      <c r="AJ119"/>
      <c r="AK119"/>
    </row>
    <row r="120" spans="1:37" s="323" customFormat="1" ht="12.6" customHeight="1">
      <c r="B120" s="323" t="s">
        <v>246</v>
      </c>
      <c r="G120" s="3247">
        <v>50000</v>
      </c>
      <c r="H120" s="3248"/>
      <c r="J120" s="408"/>
      <c r="K120" s="408"/>
      <c r="L120" s="408"/>
      <c r="M120" s="408"/>
      <c r="N120" s="408"/>
      <c r="P120" s="408"/>
      <c r="Q120" s="408"/>
      <c r="S120" s="3247">
        <v>50000</v>
      </c>
      <c r="T120" s="3248"/>
      <c r="V120" s="1254"/>
      <c r="W120" s="3306"/>
      <c r="X120" s="3307"/>
      <c r="Y120" s="2032" t="s">
        <v>4507</v>
      </c>
      <c r="Z120" s="2055"/>
      <c r="AB120" s="2035"/>
      <c r="AC120"/>
      <c r="AD120"/>
      <c r="AF120"/>
      <c r="AG120"/>
      <c r="AH120"/>
      <c r="AI120"/>
      <c r="AJ120"/>
      <c r="AK120"/>
    </row>
    <row r="121" spans="1:37" s="323" customFormat="1" ht="12.6" customHeight="1">
      <c r="B121" s="323" t="s">
        <v>1503</v>
      </c>
      <c r="F121" s="515">
        <f>+'Part VI-Revenues &amp; Expenses'!$Q$227*('DCA Underwriting Assumptions'!$Q$127/12)</f>
        <v>233635.5</v>
      </c>
      <c r="G121" s="3235">
        <v>100000</v>
      </c>
      <c r="H121" s="3236"/>
      <c r="J121" s="1110" t="str">
        <f>IF(E121&gt;G121,"WARNING! Rent-Up Reserves proposed is below minimum - add comment.","")</f>
        <v/>
      </c>
      <c r="K121" s="1110"/>
      <c r="L121" s="1207"/>
      <c r="M121" s="1082"/>
      <c r="N121" s="1082"/>
      <c r="O121" s="1198"/>
      <c r="P121" s="1082"/>
      <c r="Q121" s="1082"/>
      <c r="R121" s="1198"/>
      <c r="S121" s="3235">
        <v>100000</v>
      </c>
      <c r="T121" s="3236"/>
      <c r="V121" s="1254"/>
      <c r="W121" s="3306"/>
      <c r="X121" s="3307"/>
      <c r="Y121" s="27"/>
      <c r="Z121" s="2056">
        <v>0.09</v>
      </c>
      <c r="AB121" s="2032"/>
      <c r="AD121"/>
      <c r="AF121" s="2047">
        <f>'DCA Underwriting Assumptions'!$Q$112</f>
        <v>2000000</v>
      </c>
      <c r="AG121"/>
      <c r="AH121"/>
      <c r="AI121"/>
    </row>
    <row r="122" spans="1:37" s="323" customFormat="1" ht="12.6" customHeight="1">
      <c r="B122" s="323" t="s">
        <v>660</v>
      </c>
      <c r="F122" s="515">
        <f>'Part VI-Revenues &amp; Expenses'!$Q$227*('DCA Underwriting Assumptions'!$Q$126/12)+('Part VII-Pro Forma'!$B$25+'Part VII-Pro Forma'!$B$26+'Part VII-Pro Forma'!$B$27+'Part VII-Pro Forma'!$B$28)*'DCA Underwriting Assumptions'!$Q$125/(-12)</f>
        <v>831231.83712938498</v>
      </c>
      <c r="G122" s="3235">
        <v>831271</v>
      </c>
      <c r="H122" s="3236"/>
      <c r="J122" s="1110" t="str">
        <f>IF(E122&gt;G122,"WARNING! ODR proposed is below minimum - add comment.","")</f>
        <v/>
      </c>
      <c r="K122" s="407"/>
      <c r="L122" s="407"/>
      <c r="M122" s="407"/>
      <c r="N122" s="407"/>
      <c r="O122" s="1198"/>
      <c r="P122" s="407"/>
      <c r="Q122" s="407"/>
      <c r="R122" s="1198"/>
      <c r="S122" s="3235">
        <v>831271</v>
      </c>
      <c r="T122" s="3236"/>
      <c r="V122" s="1254"/>
      <c r="W122" s="3306"/>
      <c r="X122" s="3307"/>
      <c r="Y122" s="27"/>
      <c r="Z122" s="2056">
        <v>0.04</v>
      </c>
      <c r="AB122" s="2032"/>
      <c r="AD122"/>
      <c r="AF122" s="2047">
        <f>'DCA Underwriting Assumptions'!$Q$113</f>
        <v>3500000</v>
      </c>
      <c r="AG122"/>
      <c r="AH122"/>
      <c r="AI122"/>
    </row>
    <row r="123" spans="1:37" s="323" customFormat="1" ht="12.6" customHeight="1">
      <c r="B123" s="323" t="s">
        <v>1218</v>
      </c>
      <c r="G123" s="3235"/>
      <c r="H123" s="3236"/>
      <c r="J123" s="408"/>
      <c r="K123" s="408"/>
      <c r="L123" s="408"/>
      <c r="M123" s="408"/>
      <c r="N123" s="408"/>
      <c r="P123" s="408"/>
      <c r="Q123" s="408"/>
      <c r="S123" s="3235"/>
      <c r="T123" s="3236"/>
      <c r="V123" s="1254"/>
      <c r="W123" s="3306"/>
      <c r="X123" s="3307"/>
    </row>
    <row r="124" spans="1:37" s="323" customFormat="1" ht="12.6" customHeight="1">
      <c r="B124" s="323" t="s">
        <v>1219</v>
      </c>
      <c r="E124" s="947" t="s">
        <v>3436</v>
      </c>
      <c r="F124" s="515">
        <f>IF('Part VI-Revenues &amp; Expenses'!$P$67=0,0,G124/'Part VI-Revenues &amp; Expenses'!$P$67)</f>
        <v>775</v>
      </c>
      <c r="G124" s="3235">
        <v>155000</v>
      </c>
      <c r="H124" s="3236"/>
      <c r="J124" s="3247">
        <v>155000</v>
      </c>
      <c r="K124" s="3248"/>
      <c r="L124" s="1207"/>
      <c r="M124" s="3247"/>
      <c r="N124" s="3248"/>
      <c r="P124" s="3247"/>
      <c r="Q124" s="3248"/>
      <c r="S124" s="3235"/>
      <c r="T124" s="3236"/>
      <c r="V124" s="1254"/>
      <c r="W124" s="3306"/>
      <c r="X124" s="3307"/>
    </row>
    <row r="125" spans="1:37" s="323" customFormat="1" ht="12.6" customHeight="1" thickBot="1">
      <c r="A125" s="426" t="str">
        <f>IF(AND(G125&gt;0,OR(C125="",C125="&lt;Enter detailed description here; use Comments section if needed&gt;")),"X","")</f>
        <v/>
      </c>
      <c r="B125" s="323" t="s">
        <v>723</v>
      </c>
      <c r="C125" s="3386" t="s">
        <v>6998</v>
      </c>
      <c r="D125" s="3386"/>
      <c r="E125" s="3386"/>
      <c r="F125" s="3387"/>
      <c r="G125" s="3239">
        <v>170000</v>
      </c>
      <c r="H125" s="3240"/>
      <c r="J125" s="3392"/>
      <c r="K125" s="3393"/>
      <c r="L125" s="1207"/>
      <c r="M125" s="3239"/>
      <c r="N125" s="3240"/>
      <c r="P125" s="3239"/>
      <c r="Q125" s="3240"/>
      <c r="S125" s="3239">
        <v>170000</v>
      </c>
      <c r="T125" s="3240"/>
      <c r="U125" s="425" t="str">
        <f>IF(AND(G125&gt;0,OR(C125="",C125="&lt;Enter detailed description here; use Comments section if needed&gt;")),"NO DESCRIPTION PROVIDED - please enter detailed description in Other box at left; use Comments section below if needed.","")</f>
        <v/>
      </c>
      <c r="V125" s="1254"/>
      <c r="W125" s="3308"/>
      <c r="X125" s="3309"/>
    </row>
    <row r="126" spans="1:37" s="323" customFormat="1" ht="12.6" customHeight="1" thickTop="1">
      <c r="B126" s="409"/>
      <c r="F126" s="398" t="s">
        <v>187</v>
      </c>
      <c r="G126" s="3388">
        <f>SUM(G120:H125)</f>
        <v>1306271</v>
      </c>
      <c r="H126" s="3389"/>
      <c r="J126" s="3388">
        <f>SUM(J124:K125)</f>
        <v>155000</v>
      </c>
      <c r="K126" s="3389"/>
      <c r="L126" s="1207"/>
      <c r="M126" s="3388">
        <f>SUM(M124:N125)</f>
        <v>0</v>
      </c>
      <c r="N126" s="3389"/>
      <c r="P126" s="3388">
        <f>SUM(P124:Q125)</f>
        <v>0</v>
      </c>
      <c r="Q126" s="3389"/>
      <c r="S126" s="3388">
        <f>SUM(S120:T125)</f>
        <v>1151271</v>
      </c>
      <c r="T126" s="3389"/>
      <c r="V126" s="1256">
        <f>SUM(V120:V125)</f>
        <v>0</v>
      </c>
      <c r="W126" s="3324"/>
      <c r="X126" s="3325"/>
    </row>
    <row r="127" spans="1:37" s="323" customFormat="1" ht="13.35" customHeight="1">
      <c r="B127" s="325" t="s">
        <v>593</v>
      </c>
      <c r="C127" s="1188"/>
      <c r="H127" s="405"/>
      <c r="I127" s="405"/>
      <c r="J127" s="397"/>
      <c r="K127" s="397"/>
      <c r="M127" s="397"/>
      <c r="N127" s="397"/>
      <c r="O127" s="399" t="str">
        <f>B127</f>
        <v>OTHER COSTS</v>
      </c>
      <c r="P127" s="397"/>
      <c r="Q127" s="397"/>
      <c r="S127" s="397"/>
      <c r="T127" s="397"/>
      <c r="V127" s="1257"/>
      <c r="W127" s="323" t="str">
        <f>B127</f>
        <v>OTHER COSTS</v>
      </c>
    </row>
    <row r="128" spans="1:37" s="323" customFormat="1" ht="12.6" customHeight="1">
      <c r="B128" s="323" t="s">
        <v>594</v>
      </c>
      <c r="C128" s="1188"/>
      <c r="G128" s="3247"/>
      <c r="H128" s="3248"/>
      <c r="J128" s="3247"/>
      <c r="K128" s="3248"/>
      <c r="L128" s="399"/>
      <c r="M128" s="3247"/>
      <c r="N128" s="3248"/>
      <c r="P128" s="3247"/>
      <c r="Q128" s="3248"/>
      <c r="S128" s="3247"/>
      <c r="T128" s="3248"/>
      <c r="V128" s="1254"/>
      <c r="W128" s="3306"/>
      <c r="X128" s="3307"/>
    </row>
    <row r="129" spans="1:24" s="323" customFormat="1" ht="12.6" customHeight="1" thickBot="1">
      <c r="A129" s="426" t="str">
        <f>IF(AND(G129&gt;0,OR(C129="",C129="&lt;Enter detailed description here; use Comments section if needed&gt;")),"X","")</f>
        <v/>
      </c>
      <c r="B129" s="323" t="s">
        <v>723</v>
      </c>
      <c r="C129" s="3386" t="s">
        <v>3535</v>
      </c>
      <c r="D129" s="3386"/>
      <c r="E129" s="3386"/>
      <c r="F129" s="3387"/>
      <c r="G129" s="3239"/>
      <c r="H129" s="3240"/>
      <c r="J129" s="3239"/>
      <c r="K129" s="3240"/>
      <c r="L129" s="1207"/>
      <c r="M129" s="3239"/>
      <c r="N129" s="3240"/>
      <c r="P129" s="3239"/>
      <c r="Q129" s="3240"/>
      <c r="S129" s="3239"/>
      <c r="T129" s="3240"/>
      <c r="U129" s="425" t="str">
        <f>IF(AND(G129&gt;0,OR(C129="",C129="&lt;Enter detailed description here; use Comments section if needed&gt;")),"NO DESCRIPTION PROVIDED - please enter detailed description in Other box at left; use Comments section below if needed.","")</f>
        <v/>
      </c>
      <c r="V129" s="1254"/>
      <c r="W129" s="3308"/>
      <c r="X129" s="3309"/>
    </row>
    <row r="130" spans="1:24" s="323" customFormat="1" ht="12.6" customHeight="1" thickTop="1">
      <c r="C130" s="1188"/>
      <c r="F130" s="398" t="s">
        <v>187</v>
      </c>
      <c r="G130" s="3388">
        <f>SUM(G128:H129)</f>
        <v>0</v>
      </c>
      <c r="H130" s="3389"/>
      <c r="J130" s="3388">
        <f>SUM(J128:K129)</f>
        <v>0</v>
      </c>
      <c r="K130" s="3389"/>
      <c r="L130" s="1207"/>
      <c r="M130" s="3388">
        <f>SUM(M128:N129)</f>
        <v>0</v>
      </c>
      <c r="N130" s="3389"/>
      <c r="P130" s="3388">
        <f>SUM(P128:Q129)</f>
        <v>0</v>
      </c>
      <c r="Q130" s="3389"/>
      <c r="S130" s="3388">
        <f>SUM(S128:T129)</f>
        <v>0</v>
      </c>
      <c r="T130" s="3389"/>
      <c r="V130" s="1256">
        <f>SUM(V128:V129)</f>
        <v>0</v>
      </c>
      <c r="W130" s="3324"/>
      <c r="X130" s="3325"/>
    </row>
    <row r="131" spans="1:24" s="323" customFormat="1" ht="3" customHeight="1" thickBot="1">
      <c r="C131" s="1188"/>
      <c r="H131" s="405"/>
      <c r="I131" s="405"/>
      <c r="L131" s="1198"/>
      <c r="V131" s="1257"/>
      <c r="W131" s="1252"/>
      <c r="X131" s="1253"/>
    </row>
    <row r="132" spans="1:24" s="323" customFormat="1" ht="14.1" customHeight="1" thickBot="1">
      <c r="B132" s="329" t="s">
        <v>2678</v>
      </c>
      <c r="E132" s="947"/>
      <c r="F132" s="2062"/>
      <c r="G132" s="3379">
        <f>G17+G23+G27+G33+G38+G41+G47+G64+G77+G83+G91+G105+G111+G118+G126+G130</f>
        <v>43012994</v>
      </c>
      <c r="H132" s="3380"/>
      <c r="J132" s="3379">
        <f>J17+J23+J27+J33+J38+J41+J47+J64+J77+J83+J91+J105+J111+J118+J126+J130</f>
        <v>38482904</v>
      </c>
      <c r="K132" s="3380"/>
      <c r="M132" s="3379">
        <f>M17+M23+M27+M33+M38+M41+M47+M64+M77+M83+M91+M105+M111+M118+M126+M130</f>
        <v>0</v>
      </c>
      <c r="N132" s="3380"/>
      <c r="P132" s="3379">
        <f>P17+P23+P27+P33+P38+P41+P47+P64+P77+P83+P91+P105+P111+P118+P126+P130</f>
        <v>0</v>
      </c>
      <c r="Q132" s="3380"/>
      <c r="S132" s="3379">
        <f>S17+S23+S27+S33+S38+S41+S47+S64+S77+S83+S91+S105+S111+S118+S126+S130</f>
        <v>4529831</v>
      </c>
      <c r="T132" s="3380"/>
      <c r="V132" s="1260">
        <f>V17+V23+V27+V33+V38+V41+V47+V64+V77+V83+V91+V105+V111+V118+V126+V130</f>
        <v>0</v>
      </c>
      <c r="W132" s="3381"/>
      <c r="X132" s="3325"/>
    </row>
    <row r="133" spans="1:24" s="323" customFormat="1" ht="3" customHeight="1">
      <c r="C133" s="1188"/>
      <c r="H133" s="405"/>
      <c r="I133" s="405"/>
      <c r="L133" s="1198"/>
      <c r="V133" s="1257"/>
    </row>
    <row r="134" spans="1:24" s="323" customFormat="1" ht="14.1" customHeight="1">
      <c r="B134" s="559" t="s">
        <v>2675</v>
      </c>
      <c r="C134" s="557"/>
      <c r="D134" s="3368">
        <f>IF('Part VI-Revenues &amp; Expenses'!$P$67=0,0,G132/'Part VI-Revenues &amp; Expenses'!$P$67)</f>
        <v>215064.97</v>
      </c>
      <c r="E134" s="3368"/>
      <c r="F134" s="558" t="s">
        <v>2674</v>
      </c>
      <c r="G134" s="3369">
        <f>IF('Part I-Project Information'!$P$75=0,0,G132/'Part I-Project Information'!$P$75)</f>
        <v>191.39854047078717</v>
      </c>
      <c r="H134" s="3370"/>
      <c r="I134" s="410"/>
      <c r="V134" s="1257"/>
    </row>
    <row r="135" spans="1:24" s="323" customFormat="1" ht="3" customHeight="1">
      <c r="I135" s="410"/>
      <c r="L135" s="410"/>
      <c r="V135" s="1257"/>
    </row>
    <row r="136" spans="1:24" s="323" customFormat="1" ht="3.6" customHeight="1" thickBot="1">
      <c r="D136" s="1188"/>
      <c r="E136" s="1188"/>
      <c r="I136" s="405"/>
      <c r="J136" s="405"/>
      <c r="K136" s="411"/>
      <c r="L136" s="328"/>
      <c r="P136" s="1198"/>
      <c r="V136" s="1257"/>
    </row>
    <row r="137" spans="1:24" s="323" customFormat="1" ht="26.1" customHeight="1">
      <c r="A137" s="481" t="s">
        <v>722</v>
      </c>
      <c r="B137" s="483" t="s">
        <v>1398</v>
      </c>
      <c r="C137" s="975"/>
      <c r="D137" s="1207"/>
      <c r="E137" s="1207"/>
      <c r="F137" s="1207"/>
      <c r="G137" s="1198"/>
      <c r="H137" s="1198"/>
      <c r="I137" s="412"/>
      <c r="J137" s="3371" t="s">
        <v>266</v>
      </c>
      <c r="K137" s="3372"/>
      <c r="M137" s="3371" t="s">
        <v>97</v>
      </c>
      <c r="N137" s="3372"/>
      <c r="P137" s="3371" t="s">
        <v>267</v>
      </c>
      <c r="Q137" s="3372"/>
      <c r="V137" s="1257"/>
      <c r="W137" s="482" t="str">
        <f>B137</f>
        <v>TAX CREDIT CALCULATION - BASIS METHOD</v>
      </c>
    </row>
    <row r="138" spans="1:24" s="323" customFormat="1" ht="15" customHeight="1" thickBot="1">
      <c r="B138" s="329" t="s">
        <v>1996</v>
      </c>
      <c r="D138" s="1207"/>
      <c r="E138" s="1207"/>
      <c r="I138" s="412"/>
      <c r="J138" s="3373"/>
      <c r="K138" s="3374"/>
      <c r="L138" s="975"/>
      <c r="M138" s="3373"/>
      <c r="N138" s="3374"/>
      <c r="P138" s="3373"/>
      <c r="Q138" s="3374"/>
      <c r="V138" s="1257"/>
      <c r="W138" s="323" t="str">
        <f>B138</f>
        <v>Subtractions From Eligible Basis</v>
      </c>
      <c r="X138" s="368"/>
    </row>
    <row r="139" spans="1:24" s="323" customFormat="1" ht="6" customHeight="1">
      <c r="D139" s="1188"/>
      <c r="E139" s="1188"/>
      <c r="I139" s="405"/>
      <c r="J139" s="405"/>
      <c r="K139" s="411"/>
      <c r="L139" s="328"/>
      <c r="P139" s="1198"/>
      <c r="V139" s="1257"/>
    </row>
    <row r="140" spans="1:24" s="323" customFormat="1" ht="14.1" customHeight="1">
      <c r="B140" s="1188" t="s">
        <v>141</v>
      </c>
      <c r="D140" s="1198"/>
      <c r="E140" s="1198"/>
      <c r="F140" s="1198"/>
      <c r="G140" s="1198"/>
      <c r="H140" s="1198"/>
      <c r="I140" s="412"/>
      <c r="J140" s="3375"/>
      <c r="K140" s="3376"/>
      <c r="P140" s="3375"/>
      <c r="Q140" s="3376"/>
      <c r="V140" s="1254"/>
      <c r="W140" s="3306"/>
      <c r="X140" s="3307"/>
    </row>
    <row r="141" spans="1:24" s="323" customFormat="1" ht="14.1" customHeight="1">
      <c r="B141" s="1198" t="s">
        <v>2102</v>
      </c>
      <c r="D141" s="1198"/>
      <c r="E141" s="1198"/>
      <c r="F141" s="1198"/>
      <c r="G141" s="1198"/>
      <c r="H141" s="1198"/>
      <c r="I141" s="412"/>
      <c r="J141" s="3377"/>
      <c r="K141" s="3378"/>
      <c r="P141" s="3377"/>
      <c r="Q141" s="3378"/>
      <c r="V141" s="1254"/>
      <c r="W141" s="3306"/>
      <c r="X141" s="3307"/>
    </row>
    <row r="142" spans="1:24" s="323" customFormat="1" ht="14.1" customHeight="1">
      <c r="B142" s="1198" t="s">
        <v>1817</v>
      </c>
      <c r="D142" s="1198"/>
      <c r="E142" s="1198"/>
      <c r="I142" s="412"/>
      <c r="J142" s="3377"/>
      <c r="K142" s="3378"/>
      <c r="P142" s="3377"/>
      <c r="Q142" s="3378"/>
      <c r="V142" s="1254"/>
      <c r="W142" s="3306"/>
      <c r="X142" s="3307"/>
    </row>
    <row r="143" spans="1:24" s="323" customFormat="1" ht="14.1" customHeight="1">
      <c r="B143" s="1198" t="s">
        <v>1818</v>
      </c>
      <c r="D143" s="1198"/>
      <c r="E143" s="1198"/>
      <c r="I143" s="412"/>
      <c r="J143" s="3377"/>
      <c r="K143" s="3378"/>
      <c r="P143" s="3377"/>
      <c r="Q143" s="3378"/>
      <c r="V143" s="1254"/>
      <c r="W143" s="3306"/>
      <c r="X143" s="3307"/>
    </row>
    <row r="144" spans="1:24" s="323" customFormat="1" ht="14.1" customHeight="1">
      <c r="B144" s="1198" t="s">
        <v>249</v>
      </c>
      <c r="D144" s="1198"/>
      <c r="E144" s="1198"/>
      <c r="I144" s="412"/>
      <c r="J144" s="3377"/>
      <c r="K144" s="3378"/>
      <c r="P144" s="3377"/>
      <c r="Q144" s="3378"/>
      <c r="V144" s="1254"/>
      <c r="W144" s="3306"/>
      <c r="X144" s="3307"/>
    </row>
    <row r="145" spans="1:24" s="323" customFormat="1" ht="14.1" customHeight="1" thickBot="1">
      <c r="B145" s="1198" t="s">
        <v>1568</v>
      </c>
      <c r="C145" s="3382" t="s">
        <v>2353</v>
      </c>
      <c r="D145" s="3382"/>
      <c r="E145" s="3382"/>
      <c r="F145" s="3382"/>
      <c r="G145" s="3382"/>
      <c r="H145" s="3382"/>
      <c r="I145" s="3383"/>
      <c r="J145" s="3384"/>
      <c r="K145" s="3385"/>
      <c r="P145" s="3384"/>
      <c r="Q145" s="3385"/>
      <c r="V145" s="1254"/>
      <c r="W145" s="3308"/>
      <c r="X145" s="3309"/>
    </row>
    <row r="146" spans="1:24" s="323" customFormat="1" ht="14.1" customHeight="1" thickBot="1">
      <c r="B146" s="335" t="s">
        <v>1819</v>
      </c>
      <c r="C146" s="338"/>
      <c r="J146" s="3167">
        <f>SUM(J140:K145)</f>
        <v>0</v>
      </c>
      <c r="K146" s="3168"/>
      <c r="P146" s="3167">
        <f>SUM(P140:Q145)</f>
        <v>0</v>
      </c>
      <c r="Q146" s="3168"/>
      <c r="V146" s="1256">
        <f>SUM(V140:V145)</f>
        <v>0</v>
      </c>
      <c r="W146" s="3324"/>
      <c r="X146" s="3325"/>
    </row>
    <row r="147" spans="1:24" s="323" customFormat="1" ht="3" customHeight="1">
      <c r="V147" s="1257"/>
    </row>
    <row r="148" spans="1:24" s="323" customFormat="1" ht="15" customHeight="1" thickBot="1">
      <c r="B148" s="325" t="s">
        <v>2281</v>
      </c>
      <c r="V148" s="1257"/>
      <c r="W148" s="323" t="str">
        <f>B148</f>
        <v>Eligible Basis Calculation</v>
      </c>
    </row>
    <row r="149" spans="1:24" s="323" customFormat="1" ht="14.1" customHeight="1">
      <c r="B149" s="323" t="s">
        <v>1746</v>
      </c>
      <c r="J149" s="3452">
        <f>J132</f>
        <v>38482904</v>
      </c>
      <c r="K149" s="3453"/>
      <c r="M149" s="3454">
        <f>M132</f>
        <v>0</v>
      </c>
      <c r="N149" s="3455"/>
      <c r="P149" s="3452">
        <f>P132</f>
        <v>0</v>
      </c>
      <c r="Q149" s="3453"/>
      <c r="R149" s="3313" t="s">
        <v>4235</v>
      </c>
      <c r="S149" s="3314"/>
      <c r="T149" s="3314"/>
      <c r="V149" s="1254"/>
      <c r="W149" s="3306"/>
      <c r="X149" s="3307"/>
    </row>
    <row r="150" spans="1:24" s="323" customFormat="1" ht="14.1" customHeight="1">
      <c r="B150" s="323" t="s">
        <v>2164</v>
      </c>
      <c r="J150" s="3336">
        <f>J146</f>
        <v>0</v>
      </c>
      <c r="K150" s="3337"/>
      <c r="M150" s="3355"/>
      <c r="N150" s="3355"/>
      <c r="P150" s="3336">
        <f>P146</f>
        <v>0</v>
      </c>
      <c r="Q150" s="3337"/>
      <c r="R150" s="3313"/>
      <c r="S150" s="3314"/>
      <c r="T150" s="3314"/>
      <c r="U150" s="1759"/>
      <c r="V150" s="1254"/>
      <c r="W150" s="3306"/>
      <c r="X150" s="3307"/>
    </row>
    <row r="151" spans="1:24" s="323" customFormat="1" ht="14.1" customHeight="1">
      <c r="B151" s="323" t="s">
        <v>2165</v>
      </c>
      <c r="J151" s="3336">
        <f>J149-J150</f>
        <v>38482904</v>
      </c>
      <c r="K151" s="3337"/>
      <c r="M151" s="3336">
        <f>M149</f>
        <v>0</v>
      </c>
      <c r="N151" s="3337"/>
      <c r="P151" s="3336">
        <f>P149-P150</f>
        <v>0</v>
      </c>
      <c r="Q151" s="3337"/>
      <c r="R151" s="3313"/>
      <c r="S151" s="3314"/>
      <c r="T151" s="3314"/>
      <c r="U151" s="1759"/>
      <c r="V151" s="1254"/>
      <c r="W151" s="3306"/>
      <c r="X151" s="3307"/>
    </row>
    <row r="152" spans="1:24" s="323" customFormat="1" ht="14.1" customHeight="1">
      <c r="B152" s="323" t="s">
        <v>1454</v>
      </c>
      <c r="G152" s="1191" t="s">
        <v>1672</v>
      </c>
      <c r="H152" s="3021" t="s">
        <v>7001</v>
      </c>
      <c r="I152" s="3022"/>
      <c r="J152" s="3341">
        <v>1.3</v>
      </c>
      <c r="K152" s="3342"/>
      <c r="M152" s="3365"/>
      <c r="N152" s="3365"/>
      <c r="P152" s="3341"/>
      <c r="Q152" s="3342"/>
      <c r="R152" s="3315" t="s">
        <v>3525</v>
      </c>
      <c r="S152" s="3316"/>
      <c r="T152" s="3317"/>
      <c r="U152" s="1760"/>
      <c r="V152" s="1254"/>
      <c r="W152" s="3306"/>
      <c r="X152" s="3307"/>
    </row>
    <row r="153" spans="1:24" s="323" customFormat="1" ht="14.1" customHeight="1">
      <c r="B153" s="323" t="s">
        <v>2006</v>
      </c>
      <c r="J153" s="3336">
        <f>J151*J152</f>
        <v>50027775.200000003</v>
      </c>
      <c r="K153" s="3337"/>
      <c r="M153" s="3336">
        <f>+M151</f>
        <v>0</v>
      </c>
      <c r="N153" s="3337"/>
      <c r="P153" s="3336">
        <f>P151*P152</f>
        <v>0</v>
      </c>
      <c r="Q153" s="3337"/>
      <c r="R153" s="3318"/>
      <c r="S153" s="3319"/>
      <c r="T153" s="3320"/>
      <c r="U153" s="1760"/>
      <c r="V153" s="1254"/>
      <c r="W153" s="3306"/>
      <c r="X153" s="3307"/>
    </row>
    <row r="154" spans="1:24" s="323" customFormat="1" ht="14.1" customHeight="1">
      <c r="B154" s="323" t="s">
        <v>2475</v>
      </c>
      <c r="J154" s="3366">
        <f>MIN('Part VI-Revenues &amp; Expenses'!$P$63/'Part VI-Revenues &amp; Expenses'!$P$65,'Part VI-Revenues &amp; Expenses'!$P$166/'Part VI-Revenues &amp; Expenses'!$P$168)</f>
        <v>1</v>
      </c>
      <c r="K154" s="3367"/>
      <c r="M154" s="3366">
        <f>MIN('Part VI-Revenues &amp; Expenses'!$P$63/'Part VI-Revenues &amp; Expenses'!$P$65,'Part VI-Revenues &amp; Expenses'!$P$166/'Part VI-Revenues &amp; Expenses'!$P$168)</f>
        <v>1</v>
      </c>
      <c r="N154" s="3367"/>
      <c r="P154" s="3366">
        <f>MIN('Part VI-Revenues &amp; Expenses'!$P$63/'Part VI-Revenues &amp; Expenses'!$P$65,'Part VI-Revenues &amp; Expenses'!$P$166/'Part VI-Revenues &amp; Expenses'!$P$168)</f>
        <v>1</v>
      </c>
      <c r="Q154" s="3367"/>
      <c r="R154" s="3321"/>
      <c r="S154" s="3322"/>
      <c r="T154" s="3323"/>
      <c r="V154" s="1254"/>
      <c r="W154" s="3306"/>
      <c r="X154" s="3307"/>
    </row>
    <row r="155" spans="1:24" s="323" customFormat="1" ht="14.1" customHeight="1">
      <c r="B155" s="323" t="s">
        <v>1997</v>
      </c>
      <c r="J155" s="3336">
        <f>J153*J154</f>
        <v>50027775.200000003</v>
      </c>
      <c r="K155" s="3337"/>
      <c r="M155" s="3336">
        <f>M153*M154</f>
        <v>0</v>
      </c>
      <c r="N155" s="3337"/>
      <c r="P155" s="3336">
        <f>P153*P154</f>
        <v>0</v>
      </c>
      <c r="Q155" s="3337"/>
      <c r="V155" s="1254"/>
      <c r="W155" s="3306"/>
      <c r="X155" s="3307"/>
    </row>
    <row r="156" spans="1:24" s="323" customFormat="1" ht="14.1" customHeight="1">
      <c r="B156" s="323" t="s">
        <v>1998</v>
      </c>
      <c r="J156" s="3341">
        <v>0.04</v>
      </c>
      <c r="K156" s="3342"/>
      <c r="M156" s="3341"/>
      <c r="N156" s="3342"/>
      <c r="P156" s="3341"/>
      <c r="Q156" s="3342"/>
      <c r="V156" s="1254"/>
      <c r="W156" s="3306"/>
      <c r="X156" s="3307"/>
    </row>
    <row r="157" spans="1:24" s="323" customFormat="1" ht="14.1" customHeight="1" thickBot="1">
      <c r="B157" s="323" t="s">
        <v>2476</v>
      </c>
      <c r="J157" s="3339">
        <f>J155*J156</f>
        <v>2001111.0080000001</v>
      </c>
      <c r="K157" s="3340"/>
      <c r="M157" s="3339">
        <f>M155*M156</f>
        <v>0</v>
      </c>
      <c r="N157" s="3340"/>
      <c r="P157" s="3339">
        <f>P155*P156</f>
        <v>0</v>
      </c>
      <c r="Q157" s="3340"/>
      <c r="V157" s="1261"/>
      <c r="W157" s="3308"/>
      <c r="X157" s="3309"/>
    </row>
    <row r="158" spans="1:24" s="323" customFormat="1" ht="14.1" customHeight="1" thickBot="1">
      <c r="B158" s="325" t="s">
        <v>1396</v>
      </c>
      <c r="J158" s="3167">
        <f>ROUNDDOWN(J157+M157+P157,0)</f>
        <v>2001111</v>
      </c>
      <c r="K158" s="3348"/>
      <c r="L158" s="3348"/>
      <c r="M158" s="3348"/>
      <c r="N158" s="3348"/>
      <c r="O158" s="3348"/>
      <c r="P158" s="3348"/>
      <c r="Q158" s="3168"/>
      <c r="V158" s="1256"/>
      <c r="W158" s="3310"/>
      <c r="X158" s="3311"/>
    </row>
    <row r="159" spans="1:24" s="323" customFormat="1" ht="6" customHeight="1">
      <c r="B159" s="413"/>
      <c r="L159" s="414"/>
      <c r="M159" s="414"/>
      <c r="N159" s="414"/>
      <c r="O159" s="414"/>
      <c r="V159" s="1257"/>
    </row>
    <row r="160" spans="1:24" s="323" customFormat="1" ht="14.1" customHeight="1">
      <c r="A160" s="482" t="s">
        <v>724</v>
      </c>
      <c r="B160" s="482" t="s">
        <v>1399</v>
      </c>
      <c r="H160" s="405"/>
      <c r="I160" s="405"/>
      <c r="L160" s="1198"/>
      <c r="M160" s="530"/>
      <c r="N160" s="1198"/>
      <c r="O160" s="1198"/>
      <c r="P160" s="1198"/>
      <c r="Q160" s="1198"/>
      <c r="R160" s="1198"/>
      <c r="S160" s="1198"/>
      <c r="T160" s="1198"/>
      <c r="V160" s="1257"/>
    </row>
    <row r="161" spans="2:24" s="2067" customFormat="1" ht="3" customHeight="1">
      <c r="H161" s="2068"/>
      <c r="I161" s="2068"/>
      <c r="M161" s="2069"/>
      <c r="O161" s="3444"/>
      <c r="P161" s="3444"/>
      <c r="Q161" s="3444"/>
      <c r="R161" s="3444"/>
      <c r="S161" s="3444"/>
      <c r="T161" s="3444"/>
      <c r="U161" s="3444"/>
      <c r="V161" s="3444"/>
    </row>
    <row r="162" spans="2:24" s="2067" customFormat="1" ht="14.1" customHeight="1">
      <c r="B162" s="2076" t="s">
        <v>4532</v>
      </c>
      <c r="H162" s="2068"/>
      <c r="I162" s="2068"/>
      <c r="M162" s="2069"/>
      <c r="O162" s="2071"/>
      <c r="P162" s="2071"/>
      <c r="Q162" s="2071"/>
      <c r="R162" s="2071"/>
      <c r="S162" s="2071"/>
      <c r="T162" s="2071"/>
      <c r="U162" s="2071"/>
      <c r="V162" s="2071"/>
    </row>
    <row r="163" spans="2:24" s="2067" customFormat="1" ht="15" customHeight="1">
      <c r="B163" s="2067" t="s">
        <v>4534</v>
      </c>
      <c r="J163" s="3445">
        <f>G132</f>
        <v>43012994</v>
      </c>
      <c r="K163" s="3446"/>
      <c r="L163" s="3447"/>
      <c r="V163" s="2072"/>
      <c r="W163" s="2070"/>
    </row>
    <row r="164" spans="2:24" s="2067" customFormat="1" ht="13.5" customHeight="1">
      <c r="B164" s="2067" t="s">
        <v>4536</v>
      </c>
      <c r="J164" s="3445">
        <f>'Part IV-A-Uses of Funds'!$G$83+'Part IV-A-Uses of Funds'!$G$105+SUM('Part IV-A-Uses of Funds'!$G$121:$H$123)</f>
        <v>1402360</v>
      </c>
      <c r="K164" s="3446"/>
      <c r="L164" s="3447"/>
      <c r="V164" s="2072"/>
      <c r="W164" s="2070"/>
    </row>
    <row r="165" spans="2:24" s="2067" customFormat="1" ht="13.5" customHeight="1">
      <c r="B165" s="2073" t="s">
        <v>4535</v>
      </c>
      <c r="J165" s="3445">
        <f>J163-J164</f>
        <v>41610634</v>
      </c>
      <c r="K165" s="3446"/>
      <c r="L165" s="3447"/>
      <c r="M165" s="3305" t="str">
        <f>IF(J165&lt;=J166, "","Exceeds Project Cost Limit!   Needs Cost Limit waiver.")</f>
        <v/>
      </c>
      <c r="N165" s="3305"/>
      <c r="O165" s="3305"/>
      <c r="P165" s="3305"/>
      <c r="Q165" s="3305"/>
      <c r="R165" s="3305"/>
      <c r="S165" s="3305"/>
      <c r="T165" s="3305"/>
      <c r="V165" s="2072"/>
      <c r="W165" s="2070"/>
    </row>
    <row r="166" spans="2:24" s="2067" customFormat="1" ht="13.5" customHeight="1">
      <c r="B166" s="2074" t="s">
        <v>2679</v>
      </c>
      <c r="C166" s="2073"/>
      <c r="D166" s="2073"/>
      <c r="J166" s="3445">
        <f>'Part VIII-Threshold Criteria'!$P$63</f>
        <v>47362202</v>
      </c>
      <c r="K166" s="3446"/>
      <c r="L166" s="3447"/>
      <c r="V166" s="2072"/>
      <c r="W166" s="2070"/>
    </row>
    <row r="167" spans="2:24" s="2067" customFormat="1" ht="3" customHeight="1">
      <c r="B167" s="2074"/>
      <c r="C167" s="2073"/>
      <c r="D167" s="2073"/>
      <c r="J167" s="2075"/>
      <c r="K167" s="2075"/>
      <c r="L167" s="2075"/>
      <c r="V167" s="2072"/>
      <c r="W167" s="2070"/>
    </row>
    <row r="168" spans="2:24" s="323" customFormat="1" ht="15" customHeight="1" thickBot="1">
      <c r="B168" s="325" t="s">
        <v>170</v>
      </c>
      <c r="O168" s="1198"/>
      <c r="P168" s="1198"/>
      <c r="Q168" s="1198"/>
      <c r="R168" s="1198"/>
      <c r="S168" s="1198"/>
      <c r="T168" s="1198"/>
      <c r="V168" s="1257"/>
      <c r="W168" s="482" t="str">
        <f>B160</f>
        <v>TAX CREDIT CALCULATION - GAP METHOD</v>
      </c>
    </row>
    <row r="169" spans="2:24" s="323" customFormat="1" ht="15" customHeight="1">
      <c r="B169" s="2067" t="s">
        <v>4537</v>
      </c>
      <c r="J169" s="3352">
        <f>MIN(J163,J166+J164)</f>
        <v>43012994</v>
      </c>
      <c r="K169" s="3353"/>
      <c r="L169" s="3354"/>
      <c r="M169" s="3330" t="s">
        <v>4560</v>
      </c>
      <c r="N169" s="3331"/>
      <c r="O169" s="3331"/>
      <c r="P169" s="3331"/>
      <c r="Q169" s="3331"/>
      <c r="R169" s="3332"/>
      <c r="S169" s="3330" t="s">
        <v>3503</v>
      </c>
      <c r="T169" s="3332"/>
      <c r="V169" s="1254"/>
      <c r="W169" s="3306"/>
      <c r="X169" s="3307"/>
    </row>
    <row r="170" spans="2:24" s="323" customFormat="1" ht="14.1" customHeight="1">
      <c r="B170" s="323" t="s">
        <v>258</v>
      </c>
      <c r="J170" s="3336">
        <f>'Part III-Sources of Funds'!$I$58-'Part III-Sources of Funds'!$I$42-'Part III-Sources of Funds'!$I$43-'Part III-Sources of Funds'!$I$49-'Part III-Sources of Funds'!$I$50</f>
        <v>13700000</v>
      </c>
      <c r="K170" s="3355"/>
      <c r="L170" s="3356"/>
      <c r="M170" s="3333"/>
      <c r="N170" s="3334"/>
      <c r="O170" s="3334"/>
      <c r="P170" s="3334"/>
      <c r="Q170" s="3334"/>
      <c r="R170" s="3335"/>
      <c r="S170" s="3333"/>
      <c r="T170" s="3335"/>
      <c r="V170" s="1254"/>
      <c r="W170" s="3306"/>
      <c r="X170" s="3307"/>
    </row>
    <row r="171" spans="2:24" s="323" customFormat="1" ht="14.1" customHeight="1">
      <c r="B171" s="323" t="s">
        <v>2176</v>
      </c>
      <c r="J171" s="3336">
        <f>+J169-J170</f>
        <v>29312994</v>
      </c>
      <c r="K171" s="3355"/>
      <c r="L171" s="3356"/>
      <c r="M171" s="3333"/>
      <c r="N171" s="3334"/>
      <c r="O171" s="3334"/>
      <c r="P171" s="3334"/>
      <c r="Q171" s="3334"/>
      <c r="R171" s="3335"/>
      <c r="S171" s="3333"/>
      <c r="T171" s="3335"/>
      <c r="V171" s="1254"/>
      <c r="W171" s="3306"/>
      <c r="X171" s="3307"/>
    </row>
    <row r="172" spans="2:24" s="323" customFormat="1" ht="14.1" customHeight="1" thickBot="1">
      <c r="B172" s="323" t="s">
        <v>1260</v>
      </c>
      <c r="J172" s="3361" t="str">
        <f>"/ 10"</f>
        <v>/ 10</v>
      </c>
      <c r="K172" s="3361"/>
      <c r="L172" s="3361"/>
      <c r="M172" s="3357" t="s">
        <v>2661</v>
      </c>
      <c r="N172" s="3358"/>
      <c r="O172" s="3359">
        <f>'Part III-Sources of Funds'!$I$42</f>
        <v>0</v>
      </c>
      <c r="P172" s="3359"/>
      <c r="Q172" s="3359"/>
      <c r="R172" s="3360"/>
      <c r="S172" s="464" t="s">
        <v>1623</v>
      </c>
      <c r="T172" s="465" t="s">
        <v>2889</v>
      </c>
      <c r="V172" s="1254"/>
      <c r="W172" s="3306"/>
      <c r="X172" s="3307"/>
    </row>
    <row r="173" spans="2:24" s="323" customFormat="1" ht="14.1" customHeight="1">
      <c r="B173" s="323" t="s">
        <v>1261</v>
      </c>
      <c r="J173" s="3336">
        <f>J171/10</f>
        <v>2931299.4</v>
      </c>
      <c r="K173" s="3355"/>
      <c r="L173" s="3337"/>
      <c r="M173" s="1198"/>
      <c r="N173" s="527"/>
      <c r="O173" s="527"/>
      <c r="P173" s="527"/>
      <c r="Q173" s="527"/>
      <c r="R173" s="527"/>
      <c r="V173" s="1257"/>
      <c r="W173" s="3306"/>
      <c r="X173" s="3307"/>
    </row>
    <row r="174" spans="2:24" s="323" customFormat="1" ht="14.1" customHeight="1">
      <c r="M174" s="344"/>
      <c r="N174" s="3056" t="s">
        <v>1262</v>
      </c>
      <c r="O174" s="3056"/>
      <c r="Q174" s="3056" t="s">
        <v>1754</v>
      </c>
      <c r="R174" s="3056"/>
      <c r="V174" s="1254"/>
      <c r="W174" s="3306"/>
      <c r="X174" s="3307"/>
    </row>
    <row r="175" spans="2:24" s="323" customFormat="1" ht="14.1" customHeight="1" thickBot="1">
      <c r="B175" s="323" t="s">
        <v>1453</v>
      </c>
      <c r="J175" s="3343">
        <f>N175+Q175</f>
        <v>1.42</v>
      </c>
      <c r="K175" s="3344"/>
      <c r="L175" s="3345"/>
      <c r="M175" s="1191" t="s">
        <v>1263</v>
      </c>
      <c r="N175" s="3346">
        <v>0.88</v>
      </c>
      <c r="O175" s="3347"/>
      <c r="P175" s="1191" t="s">
        <v>595</v>
      </c>
      <c r="Q175" s="3346">
        <v>0.54</v>
      </c>
      <c r="R175" s="3347"/>
      <c r="V175" s="1254"/>
      <c r="W175" s="3306"/>
      <c r="X175" s="3307"/>
    </row>
    <row r="176" spans="2:24" s="323" customFormat="1" ht="14.1" customHeight="1" thickBot="1">
      <c r="B176" s="325" t="s">
        <v>1397</v>
      </c>
      <c r="J176" s="3167">
        <f>ROUNDDOWN(IF(J175=0,"",J173/J175),0)</f>
        <v>2064295</v>
      </c>
      <c r="K176" s="3348"/>
      <c r="L176" s="3168"/>
      <c r="M176" s="344"/>
      <c r="N176" s="1198"/>
      <c r="O176" s="1198"/>
      <c r="V176" s="1254"/>
      <c r="W176" s="3306"/>
      <c r="X176" s="3307"/>
    </row>
    <row r="177" spans="1:24" s="323" customFormat="1" ht="6" customHeight="1">
      <c r="J177" s="415"/>
      <c r="K177" s="415"/>
      <c r="L177" s="415"/>
      <c r="M177" s="344"/>
      <c r="N177" s="1203"/>
      <c r="O177" s="1203"/>
      <c r="V177" s="1257"/>
      <c r="W177" s="3306"/>
      <c r="X177" s="3307"/>
    </row>
    <row r="178" spans="1:24" s="323" customFormat="1" ht="14.1" customHeight="1">
      <c r="A178" s="482" t="s">
        <v>1748</v>
      </c>
      <c r="B178" s="482" t="s">
        <v>4533</v>
      </c>
      <c r="H178" s="405"/>
      <c r="I178" s="405"/>
      <c r="L178" s="2064"/>
      <c r="M178" s="530"/>
      <c r="N178" s="2064"/>
      <c r="O178" s="2064"/>
      <c r="P178" s="2064"/>
      <c r="Q178" s="2064"/>
      <c r="R178" s="2064"/>
      <c r="S178" s="2064"/>
      <c r="T178" s="2064"/>
      <c r="V178" s="1257"/>
    </row>
    <row r="179" spans="1:24" s="2067" customFormat="1" ht="3" customHeight="1">
      <c r="H179" s="2068"/>
      <c r="I179" s="2068"/>
      <c r="M179" s="2069"/>
      <c r="O179" s="3444"/>
      <c r="P179" s="3444"/>
      <c r="Q179" s="3444"/>
      <c r="R179" s="3444"/>
      <c r="S179" s="3444"/>
      <c r="T179" s="3444"/>
      <c r="U179" s="3444"/>
      <c r="V179" s="3444"/>
    </row>
    <row r="180" spans="1:24" s="323" customFormat="1" ht="16.350000000000001" customHeight="1">
      <c r="B180" s="325" t="s">
        <v>4811</v>
      </c>
      <c r="J180" s="334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2001111</v>
      </c>
      <c r="K180" s="3350"/>
      <c r="L180" s="3351"/>
      <c r="M180" s="344"/>
      <c r="N180" s="1203"/>
      <c r="O180" s="1203"/>
      <c r="V180" s="1254"/>
      <c r="W180" s="3306"/>
      <c r="X180" s="3307"/>
    </row>
    <row r="181" spans="1:24" s="323" customFormat="1" ht="3" customHeight="1">
      <c r="J181" s="415"/>
      <c r="K181" s="415"/>
      <c r="L181" s="415"/>
      <c r="M181" s="344"/>
      <c r="N181" s="1203"/>
      <c r="O181" s="1203"/>
      <c r="V181" s="1257"/>
      <c r="W181" s="1252"/>
      <c r="X181" s="1253"/>
    </row>
    <row r="182" spans="1:24" s="323" customFormat="1" ht="16.350000000000001" customHeight="1">
      <c r="B182" s="325" t="s">
        <v>4812</v>
      </c>
      <c r="J182" s="3362">
        <v>2001110</v>
      </c>
      <c r="K182" s="3363"/>
      <c r="L182" s="3364"/>
      <c r="M182" s="416" t="str">
        <f>IF(J180=0,"",IF(J182&gt;J180,"ALLOCATION CANNOT EXCEED MAXIMUM - REVISE REQUEST (Try Round Down)!",""))</f>
        <v/>
      </c>
      <c r="N182" s="1203"/>
      <c r="O182" s="1203"/>
      <c r="V182" s="1254"/>
      <c r="W182" s="3306"/>
      <c r="X182" s="3307"/>
    </row>
    <row r="183" spans="1:24" s="323" customFormat="1" ht="3" customHeight="1">
      <c r="J183" s="415"/>
      <c r="K183" s="415"/>
      <c r="L183" s="415"/>
      <c r="M183" s="344"/>
      <c r="N183" s="1203"/>
      <c r="O183" s="1203"/>
      <c r="V183" s="1257"/>
      <c r="W183" s="1252"/>
      <c r="X183" s="1253"/>
    </row>
    <row r="184" spans="1:24" s="323" customFormat="1" ht="16.350000000000001" customHeight="1">
      <c r="A184" s="482"/>
      <c r="B184" s="482" t="s">
        <v>4813</v>
      </c>
      <c r="D184" s="344"/>
      <c r="E184" s="344"/>
      <c r="F184" s="328"/>
      <c r="J184" s="3326">
        <f>IF(J182="",0,+MIN(J180,J182))</f>
        <v>2001110</v>
      </c>
      <c r="K184" s="3327"/>
      <c r="L184" s="3328"/>
      <c r="N184" s="417"/>
      <c r="O184" s="417"/>
      <c r="P184" s="417"/>
      <c r="Q184" s="417"/>
      <c r="R184" s="417"/>
      <c r="S184" s="417"/>
      <c r="T184" s="417"/>
      <c r="V184" s="1254"/>
      <c r="W184" s="3306"/>
      <c r="X184" s="3307"/>
    </row>
    <row r="185" spans="1:24" ht="3" customHeight="1"/>
    <row r="186" spans="1:24" ht="6" customHeight="1"/>
    <row r="187" spans="1:24" ht="12" customHeight="1">
      <c r="A187" s="325" t="s">
        <v>1750</v>
      </c>
      <c r="B187" s="353" t="s">
        <v>555</v>
      </c>
      <c r="N187" s="325" t="s">
        <v>516</v>
      </c>
      <c r="O187" s="325" t="s">
        <v>77</v>
      </c>
    </row>
    <row r="188" spans="1:24" ht="352.5" customHeight="1">
      <c r="A188" s="3184" t="s">
        <v>7105</v>
      </c>
      <c r="B188" s="3184"/>
      <c r="C188" s="3184"/>
      <c r="D188" s="3184"/>
      <c r="E188" s="3184"/>
      <c r="F188" s="3184"/>
      <c r="G188" s="3184"/>
      <c r="H188" s="3184"/>
      <c r="I188" s="3184"/>
      <c r="J188" s="3184"/>
      <c r="K188" s="3184"/>
      <c r="L188" s="3184"/>
      <c r="M188" s="3184"/>
      <c r="N188" s="3329"/>
      <c r="O188" s="3329"/>
      <c r="P188" s="3329"/>
      <c r="Q188" s="3329"/>
      <c r="R188" s="3329"/>
      <c r="S188" s="3329"/>
      <c r="T188" s="3329"/>
      <c r="V188" s="1086"/>
      <c r="W188" s="3182" t="s">
        <v>2614</v>
      </c>
      <c r="X188" s="3182"/>
    </row>
    <row r="189" spans="1:24" ht="11.25" customHeight="1"/>
    <row r="190" spans="1:24" ht="12" customHeight="1"/>
    <row r="191" spans="1:24" ht="12" customHeight="1"/>
    <row r="192" spans="1:24" ht="14.4" customHeight="1"/>
    <row r="193" spans="1:1" s="323" customFormat="1" ht="14.4" customHeight="1"/>
    <row r="194" spans="1:1" s="323" customFormat="1" ht="14.4" customHeight="1"/>
    <row r="195" spans="1:1" s="323" customFormat="1" ht="14.4" customHeight="1"/>
    <row r="196" spans="1:1" ht="14.4" customHeight="1"/>
    <row r="197" spans="1:1" s="323" customFormat="1" ht="14.4" customHeight="1">
      <c r="A197" s="329"/>
    </row>
    <row r="198" spans="1:1" ht="14.4" customHeight="1"/>
    <row r="199" spans="1:1" s="323" customFormat="1" ht="14.4" customHeight="1"/>
    <row r="200" spans="1:1" s="323" customFormat="1" ht="14.4" customHeight="1">
      <c r="A200" s="329"/>
    </row>
    <row r="201" spans="1:1" s="323" customFormat="1" ht="14.4" customHeight="1">
      <c r="A201" s="535"/>
    </row>
    <row r="202" spans="1:1" s="323" customFormat="1" ht="14.4" customHeight="1"/>
    <row r="203" spans="1:1" s="323" customFormat="1" ht="14.4" customHeight="1">
      <c r="A203" s="370"/>
    </row>
    <row r="204" spans="1:1" s="323" customFormat="1" ht="14.4" customHeight="1">
      <c r="A204" s="370"/>
    </row>
    <row r="205" spans="1:1" s="323" customFormat="1" ht="14.4" customHeight="1">
      <c r="A205" s="370"/>
    </row>
    <row r="206" spans="1:1" s="323" customFormat="1" ht="14.4" customHeight="1"/>
    <row r="207" spans="1:1" s="32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32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109375" defaultRowHeight="13.2"/>
  <cols>
    <col min="1" max="1" width="7.109375" style="620" customWidth="1"/>
    <col min="2" max="2" width="12.88671875" style="620" customWidth="1"/>
    <col min="3" max="3" width="7.88671875" style="620" customWidth="1"/>
    <col min="4" max="4" width="12.88671875" style="620" customWidth="1"/>
    <col min="5" max="5" width="0.88671875" style="620" customWidth="1"/>
    <col min="6" max="6" width="46.88671875" style="620" customWidth="1"/>
    <col min="7" max="7" width="0.88671875" style="620" customWidth="1"/>
    <col min="8" max="8" width="46.88671875" style="620" customWidth="1"/>
    <col min="9" max="16384" width="9.109375" style="620"/>
  </cols>
  <sheetData>
    <row r="1" spans="1:14" ht="15.6">
      <c r="A1" s="3471" t="str">
        <f>CONCATENATE("PART FOUR (b) -  OTHER COSTS","  -  ",'Part I-Project Information'!$O$6," - ",'Part I-Project Information'!$F$34,"  -  ",'Part I-Project Information'!$F$38,"  -  ",'Part I-Project Information'!$J$39,",  ","County")</f>
        <v>PART FOUR (b) -  OTHER COSTS  -  2020-5 - Lakeview Terrace  -  Augusta  -  Richmond,  County</v>
      </c>
      <c r="B1" s="3472"/>
      <c r="C1" s="3472"/>
      <c r="D1" s="3472"/>
      <c r="E1" s="3472"/>
      <c r="F1" s="3472"/>
      <c r="G1" s="3472"/>
      <c r="H1" s="3472"/>
      <c r="I1" s="1052"/>
      <c r="J1" s="1052"/>
      <c r="K1" s="1052"/>
      <c r="L1" s="1052"/>
      <c r="M1" s="1052"/>
      <c r="N1" s="1052"/>
    </row>
    <row r="2" spans="1:14" ht="9" customHeight="1"/>
    <row r="3" spans="1:14" ht="57" customHeight="1">
      <c r="A3" s="3473" t="s">
        <v>3537</v>
      </c>
      <c r="B3" s="3474"/>
      <c r="C3" s="3474"/>
      <c r="D3" s="3474"/>
      <c r="E3" s="3474"/>
      <c r="F3" s="3474"/>
      <c r="G3" s="3474"/>
      <c r="H3" s="3475"/>
    </row>
    <row r="4" spans="1:14" ht="6" customHeight="1"/>
    <row r="5" spans="1:14" ht="38.25" customHeight="1">
      <c r="A5" s="3476" t="s">
        <v>3629</v>
      </c>
      <c r="B5" s="3476"/>
      <c r="C5" s="3476"/>
      <c r="D5" s="3476"/>
      <c r="F5" s="1053" t="s">
        <v>3528</v>
      </c>
      <c r="G5" s="633"/>
      <c r="H5" s="1053" t="s">
        <v>3529</v>
      </c>
    </row>
    <row r="6" spans="1:14" ht="6.75" customHeight="1">
      <c r="A6" s="633"/>
      <c r="B6" s="633"/>
      <c r="C6" s="633"/>
      <c r="D6" s="633"/>
    </row>
    <row r="7" spans="1:14" s="1055" customFormat="1" ht="4.5" customHeight="1">
      <c r="A7" s="1054"/>
      <c r="B7" s="1054"/>
      <c r="C7" s="1054"/>
      <c r="D7" s="1054"/>
      <c r="E7" s="1054"/>
      <c r="F7" s="1054"/>
      <c r="G7" s="1054"/>
    </row>
    <row r="8" spans="1:14" s="1055" customFormat="1">
      <c r="A8" s="1066" t="s">
        <v>99</v>
      </c>
      <c r="B8" s="1056"/>
      <c r="C8" s="1056"/>
      <c r="D8" s="1056"/>
      <c r="E8" s="1056"/>
      <c r="F8" s="1056"/>
      <c r="G8" s="1056"/>
      <c r="H8" s="1056"/>
    </row>
    <row r="9" spans="1:14" s="1055" customFormat="1" ht="41.25" customHeight="1">
      <c r="A9" s="3468" t="str">
        <f>'Part IV-A-Uses of Funds'!$C$14</f>
        <v>&lt;&lt; Enter description here; provide detail &amp; justification in tab Part IV-b &gt;&gt;</v>
      </c>
      <c r="B9" s="3469"/>
      <c r="C9" s="3469"/>
      <c r="D9" s="3470"/>
      <c r="F9" s="3465"/>
      <c r="G9" s="1056"/>
      <c r="H9" s="3465"/>
    </row>
    <row r="10" spans="1:14" s="1055" customFormat="1" ht="41.25" customHeight="1">
      <c r="A10" s="3459"/>
      <c r="B10" s="3460"/>
      <c r="C10" s="3460"/>
      <c r="D10" s="3461"/>
      <c r="F10" s="3466"/>
      <c r="G10" s="1056"/>
      <c r="H10" s="3466"/>
    </row>
    <row r="11" spans="1:14" s="1055" customFormat="1" ht="4.5" customHeight="1">
      <c r="F11" s="3466"/>
      <c r="G11" s="1056"/>
      <c r="H11" s="3466"/>
    </row>
    <row r="12" spans="1:14" s="1055" customFormat="1" ht="15" customHeight="1">
      <c r="A12" s="1065" t="s">
        <v>3531</v>
      </c>
      <c r="B12" s="1064">
        <f>'Part IV-A-Uses of Funds'!$G$14</f>
        <v>0</v>
      </c>
      <c r="C12" s="1065" t="s">
        <v>1746</v>
      </c>
      <c r="D12" s="1064">
        <f>'Part IV-A-Uses of Funds'!$J$14+'Part IV-A-Uses of Funds'!$M$14+'Part IV-A-Uses of Funds'!$P$14</f>
        <v>0</v>
      </c>
      <c r="F12" s="3466"/>
      <c r="G12" s="1056"/>
      <c r="H12" s="3466"/>
    </row>
    <row r="13" spans="1:14" s="1055" customFormat="1" ht="6" customHeight="1">
      <c r="A13" s="1056"/>
      <c r="B13" s="1057"/>
      <c r="C13" s="1056"/>
      <c r="D13" s="1056"/>
      <c r="F13" s="3466"/>
      <c r="G13" s="1058"/>
      <c r="H13" s="3466"/>
    </row>
    <row r="14" spans="1:14" s="1055" customFormat="1" ht="41.25" customHeight="1">
      <c r="A14" s="3468" t="str">
        <f>'Part IV-A-Uses of Funds'!$C$15</f>
        <v>&lt;&lt; Enter description here; provide detail &amp; justification in tab Part IV-b &gt;&gt;</v>
      </c>
      <c r="B14" s="3469"/>
      <c r="C14" s="3469"/>
      <c r="D14" s="3470"/>
      <c r="F14" s="3466"/>
      <c r="G14" s="1056"/>
      <c r="H14" s="3466"/>
    </row>
    <row r="15" spans="1:14" s="1055" customFormat="1" ht="41.25" customHeight="1">
      <c r="A15" s="3459"/>
      <c r="B15" s="3460"/>
      <c r="C15" s="3460"/>
      <c r="D15" s="3461"/>
      <c r="F15" s="3466"/>
      <c r="G15" s="1056"/>
      <c r="H15" s="3466"/>
    </row>
    <row r="16" spans="1:14" s="1055" customFormat="1" ht="4.5" customHeight="1">
      <c r="F16" s="3466"/>
      <c r="G16" s="1056"/>
      <c r="H16" s="3466"/>
    </row>
    <row r="17" spans="1:8" s="1055" customFormat="1" ht="15" customHeight="1">
      <c r="A17" s="1065" t="s">
        <v>3531</v>
      </c>
      <c r="B17" s="1064">
        <f>'Part IV-A-Uses of Funds'!$G$15</f>
        <v>0</v>
      </c>
      <c r="C17" s="1065" t="s">
        <v>1746</v>
      </c>
      <c r="D17" s="1064">
        <f>'Part IV-A-Uses of Funds'!$J$15+'Part IV-A-Uses of Funds'!$M$15+'Part IV-A-Uses of Funds'!$P$15</f>
        <v>0</v>
      </c>
      <c r="F17" s="3466"/>
      <c r="G17" s="1056"/>
      <c r="H17" s="3466"/>
    </row>
    <row r="18" spans="1:8" s="1055" customFormat="1" ht="6" customHeight="1">
      <c r="A18" s="1056"/>
      <c r="B18" s="1057"/>
      <c r="C18" s="1056"/>
      <c r="D18" s="1056"/>
      <c r="F18" s="3466"/>
      <c r="G18" s="1058"/>
      <c r="H18" s="3466"/>
    </row>
    <row r="19" spans="1:8" s="1055" customFormat="1" ht="41.25" customHeight="1">
      <c r="A19" s="3468" t="str">
        <f>'Part IV-A-Uses of Funds'!$C$16</f>
        <v>&lt;&lt; Enter description here; provide detail &amp; justification in tab Part IV-b &gt;&gt;</v>
      </c>
      <c r="B19" s="3469"/>
      <c r="C19" s="3469"/>
      <c r="D19" s="3470"/>
      <c r="F19" s="3466"/>
      <c r="G19" s="1056"/>
      <c r="H19" s="3466"/>
    </row>
    <row r="20" spans="1:8" s="1055" customFormat="1" ht="41.25" customHeight="1">
      <c r="A20" s="3459"/>
      <c r="B20" s="3460"/>
      <c r="C20" s="3460"/>
      <c r="D20" s="3461"/>
      <c r="F20" s="3466"/>
      <c r="G20" s="1056"/>
      <c r="H20" s="3466"/>
    </row>
    <row r="21" spans="1:8" s="1055" customFormat="1" ht="4.5" customHeight="1">
      <c r="F21" s="3466"/>
      <c r="G21" s="1056"/>
      <c r="H21" s="3466"/>
    </row>
    <row r="22" spans="1:8" s="1055" customFormat="1" ht="15" customHeight="1">
      <c r="A22" s="1065" t="s">
        <v>3531</v>
      </c>
      <c r="B22" s="1064">
        <f>'Part IV-A-Uses of Funds'!$G$16</f>
        <v>0</v>
      </c>
      <c r="C22" s="1065" t="s">
        <v>1746</v>
      </c>
      <c r="D22" s="1064">
        <f>'Part IV-A-Uses of Funds'!$J$16+'Part IV-A-Uses of Funds'!$M$16+'Part IV-A-Uses of Funds'!$P$16</f>
        <v>0</v>
      </c>
      <c r="F22" s="3466"/>
      <c r="G22" s="1056"/>
      <c r="H22" s="3466"/>
    </row>
    <row r="23" spans="1:8" s="1055" customFormat="1" ht="6" customHeight="1">
      <c r="A23" s="1056"/>
      <c r="B23" s="1057"/>
      <c r="C23" s="1056"/>
      <c r="D23" s="1056"/>
      <c r="F23" s="3467"/>
      <c r="G23" s="1058"/>
      <c r="H23" s="3467"/>
    </row>
    <row r="24" spans="1:8" s="1055" customFormat="1">
      <c r="A24" s="1066" t="s">
        <v>3530</v>
      </c>
      <c r="B24" s="1056"/>
      <c r="C24" s="1056"/>
      <c r="D24" s="1056"/>
      <c r="E24" s="1056"/>
      <c r="F24" s="1056"/>
      <c r="G24" s="1056"/>
    </row>
    <row r="25" spans="1:8" s="1055" customFormat="1" ht="41.25" customHeight="1">
      <c r="A25" s="3468" t="str">
        <f>'Part IV-A-Uses of Funds'!$C$41</f>
        <v>&lt;&lt; Enter description here; provide detail &amp; justification in tab Part IV-b &gt;&gt;</v>
      </c>
      <c r="B25" s="3469"/>
      <c r="C25" s="3469"/>
      <c r="D25" s="3470"/>
      <c r="E25" s="1056"/>
      <c r="F25" s="3462"/>
      <c r="G25" s="1056"/>
      <c r="H25" s="3462"/>
    </row>
    <row r="26" spans="1:8" s="1055" customFormat="1" ht="41.25" customHeight="1">
      <c r="A26" s="3459"/>
      <c r="B26" s="3460"/>
      <c r="C26" s="3460"/>
      <c r="D26" s="3461"/>
      <c r="E26" s="1056"/>
      <c r="F26" s="3463"/>
      <c r="G26" s="1056"/>
      <c r="H26" s="3463"/>
    </row>
    <row r="27" spans="1:8" s="1055" customFormat="1" ht="4.5" customHeight="1">
      <c r="A27" s="1056"/>
      <c r="B27" s="1056"/>
      <c r="C27" s="1056"/>
      <c r="D27" s="1056"/>
      <c r="E27" s="1056"/>
      <c r="F27" s="3463"/>
      <c r="G27" s="1056"/>
      <c r="H27" s="3463"/>
    </row>
    <row r="28" spans="1:8" s="1055" customFormat="1" ht="10.199999999999999">
      <c r="A28" s="1065" t="s">
        <v>3531</v>
      </c>
      <c r="B28" s="1064">
        <f>'Part IV-A-Uses of Funds'!$G$41</f>
        <v>0</v>
      </c>
      <c r="C28" s="1065" t="s">
        <v>1746</v>
      </c>
      <c r="D28" s="1064">
        <f>'Part IV-A-Uses of Funds'!$J$41+'Part IV-A-Uses of Funds'!$M$41+'Part IV-A-Uses of Funds'!$P$41</f>
        <v>0</v>
      </c>
      <c r="E28" s="1056"/>
      <c r="F28" s="3463"/>
      <c r="G28" s="1056"/>
      <c r="H28" s="3463"/>
    </row>
    <row r="29" spans="1:8" s="1055" customFormat="1" ht="6" customHeight="1">
      <c r="A29" s="1056"/>
      <c r="B29" s="1057"/>
      <c r="C29" s="1056"/>
      <c r="D29" s="1056"/>
      <c r="E29" s="1056"/>
      <c r="F29" s="3464"/>
      <c r="G29" s="1058"/>
      <c r="H29" s="3464"/>
    </row>
    <row r="30" spans="1:8" s="1055" customFormat="1">
      <c r="A30" s="1066" t="s">
        <v>704</v>
      </c>
      <c r="B30" s="1056"/>
      <c r="C30" s="1056"/>
      <c r="D30" s="1056"/>
      <c r="E30" s="1056"/>
      <c r="F30" s="1056"/>
      <c r="G30" s="1056"/>
    </row>
    <row r="31" spans="1:8" s="1055" customFormat="1" ht="41.25" customHeight="1">
      <c r="A31" s="3456" t="str">
        <f>'Part IV-A-Uses of Funds'!$C$62</f>
        <v>&lt;&lt; Enter description here; provide detail &amp; justification in tab Part IV-b &gt;&gt;</v>
      </c>
      <c r="B31" s="3457"/>
      <c r="C31" s="3457"/>
      <c r="D31" s="3458"/>
      <c r="E31" s="1056"/>
      <c r="F31" s="3465"/>
      <c r="G31" s="1056"/>
      <c r="H31" s="3465"/>
    </row>
    <row r="32" spans="1:8" s="1055" customFormat="1" ht="41.25" customHeight="1">
      <c r="A32" s="3459"/>
      <c r="B32" s="3460"/>
      <c r="C32" s="3460"/>
      <c r="D32" s="3461"/>
      <c r="E32" s="1056"/>
      <c r="F32" s="3466"/>
      <c r="G32" s="1056"/>
      <c r="H32" s="3466"/>
    </row>
    <row r="33" spans="1:8" s="1055" customFormat="1" ht="4.5" customHeight="1">
      <c r="A33" s="1056"/>
      <c r="B33" s="1056"/>
      <c r="C33" s="1056"/>
      <c r="D33" s="1056"/>
      <c r="E33" s="1056"/>
      <c r="F33" s="3466"/>
      <c r="G33" s="1056"/>
      <c r="H33" s="3466"/>
    </row>
    <row r="34" spans="1:8" s="1055" customFormat="1" ht="14.25" customHeight="1">
      <c r="A34" s="1065" t="s">
        <v>3531</v>
      </c>
      <c r="B34" s="1064">
        <f>'Part IV-A-Uses of Funds'!$G$62</f>
        <v>0</v>
      </c>
      <c r="C34" s="1065" t="s">
        <v>1746</v>
      </c>
      <c r="D34" s="1064">
        <f>'Part IV-A-Uses of Funds'!$J$62+'Part IV-A-Uses of Funds'!$M$62+'Part IV-A-Uses of Funds'!$P$62</f>
        <v>0</v>
      </c>
      <c r="E34" s="1056"/>
      <c r="F34" s="3466"/>
      <c r="G34" s="1056"/>
      <c r="H34" s="3466"/>
    </row>
    <row r="35" spans="1:8" s="1055" customFormat="1" ht="6" customHeight="1">
      <c r="D35" s="1056"/>
      <c r="E35" s="1056"/>
      <c r="F35" s="3466"/>
      <c r="G35" s="1058"/>
      <c r="H35" s="3466"/>
    </row>
    <row r="36" spans="1:8" s="1055" customFormat="1" ht="41.25" customHeight="1">
      <c r="A36" s="3456" t="str">
        <f>'Part IV-A-Uses of Funds'!$C$63</f>
        <v>&lt;&lt; Enter description here; provide detail &amp; justification in tab Part IV-b &gt;&gt;</v>
      </c>
      <c r="B36" s="3457"/>
      <c r="C36" s="3457"/>
      <c r="D36" s="3458"/>
      <c r="E36" s="1056"/>
      <c r="F36" s="3466"/>
      <c r="G36" s="1056"/>
      <c r="H36" s="3466"/>
    </row>
    <row r="37" spans="1:8" s="1055" customFormat="1" ht="41.25" customHeight="1">
      <c r="A37" s="3459"/>
      <c r="B37" s="3460"/>
      <c r="C37" s="3460"/>
      <c r="D37" s="3461"/>
      <c r="E37" s="1056"/>
      <c r="F37" s="3466"/>
      <c r="G37" s="1056"/>
      <c r="H37" s="3466"/>
    </row>
    <row r="38" spans="1:8" s="1055" customFormat="1" ht="4.5" customHeight="1">
      <c r="A38" s="1056"/>
      <c r="B38" s="1056"/>
      <c r="C38" s="1056"/>
      <c r="D38" s="1056"/>
      <c r="E38" s="1056"/>
      <c r="F38" s="3466"/>
      <c r="G38" s="1056"/>
      <c r="H38" s="3466"/>
    </row>
    <row r="39" spans="1:8" s="1055" customFormat="1" ht="14.25" customHeight="1">
      <c r="A39" s="1065" t="s">
        <v>3531</v>
      </c>
      <c r="B39" s="1064">
        <f>'Part IV-A-Uses of Funds'!$G$63</f>
        <v>0</v>
      </c>
      <c r="C39" s="1065" t="s">
        <v>1746</v>
      </c>
      <c r="D39" s="1064">
        <f>'Part IV-A-Uses of Funds'!$J$63+'Part IV-A-Uses of Funds'!$M$63+'Part IV-A-Uses of Funds'!$P$63</f>
        <v>0</v>
      </c>
      <c r="E39" s="1056"/>
      <c r="F39" s="3466"/>
      <c r="G39" s="1056"/>
      <c r="H39" s="3466"/>
    </row>
    <row r="40" spans="1:8" s="1055" customFormat="1" ht="6" customHeight="1">
      <c r="D40" s="1056"/>
      <c r="E40" s="1056"/>
      <c r="F40" s="3467"/>
      <c r="G40" s="1058"/>
      <c r="H40" s="3467"/>
    </row>
    <row r="41" spans="1:8" s="1055" customFormat="1">
      <c r="A41" s="1066" t="s">
        <v>467</v>
      </c>
      <c r="B41" s="1056"/>
      <c r="C41" s="1056"/>
      <c r="D41" s="1056"/>
      <c r="E41" s="1060"/>
      <c r="F41" s="1060"/>
      <c r="G41" s="1056"/>
    </row>
    <row r="42" spans="1:8" s="1055" customFormat="1" ht="41.25" customHeight="1">
      <c r="A42" s="3456" t="str">
        <f>'Part IV-A-Uses of Funds'!$C$76</f>
        <v>&lt;&lt; Enter description here; provide detail &amp; justification in tab Part IV-b &gt;&gt;</v>
      </c>
      <c r="B42" s="3457"/>
      <c r="C42" s="3457"/>
      <c r="D42" s="3458"/>
      <c r="F42" s="3462"/>
      <c r="G42" s="1056"/>
      <c r="H42" s="3462"/>
    </row>
    <row r="43" spans="1:8" s="1055" customFormat="1" ht="41.25" customHeight="1">
      <c r="A43" s="3459"/>
      <c r="B43" s="3460"/>
      <c r="C43" s="3460"/>
      <c r="D43" s="3461"/>
      <c r="E43" s="1056"/>
      <c r="F43" s="3463"/>
      <c r="G43" s="1056"/>
      <c r="H43" s="3463"/>
    </row>
    <row r="44" spans="1:8" s="1055" customFormat="1" ht="4.5" customHeight="1">
      <c r="A44" s="1056"/>
      <c r="B44" s="1056"/>
      <c r="C44" s="1056"/>
      <c r="D44" s="1056"/>
      <c r="E44" s="1056"/>
      <c r="F44" s="3463"/>
      <c r="G44" s="1056"/>
      <c r="H44" s="3463"/>
    </row>
    <row r="45" spans="1:8" s="1055" customFormat="1" ht="13.5" customHeight="1">
      <c r="A45" s="1065" t="s">
        <v>3531</v>
      </c>
      <c r="B45" s="1064">
        <f>'Part IV-A-Uses of Funds'!$G$76</f>
        <v>0</v>
      </c>
      <c r="C45" s="1065" t="s">
        <v>1746</v>
      </c>
      <c r="D45" s="1064">
        <f>'Part IV-A-Uses of Funds'!$J$76+'Part IV-A-Uses of Funds'!$M$76+'Part IV-A-Uses of Funds'!$P$76</f>
        <v>0</v>
      </c>
      <c r="E45" s="1056"/>
      <c r="F45" s="3463"/>
      <c r="G45" s="1056"/>
      <c r="H45" s="3463"/>
    </row>
    <row r="46" spans="1:8" s="1055" customFormat="1" ht="6" customHeight="1">
      <c r="A46" s="1056"/>
      <c r="B46" s="1057"/>
      <c r="C46" s="1056"/>
      <c r="D46" s="1056"/>
      <c r="E46" s="1056"/>
      <c r="F46" s="3464"/>
      <c r="G46" s="1058"/>
      <c r="H46" s="3464"/>
    </row>
    <row r="47" spans="1:8" s="1055" customFormat="1">
      <c r="A47" s="1066" t="s">
        <v>706</v>
      </c>
      <c r="B47" s="1056"/>
      <c r="C47" s="1056"/>
      <c r="D47" s="1056"/>
      <c r="E47" s="1056"/>
      <c r="F47" s="1056"/>
      <c r="G47" s="1056"/>
    </row>
    <row r="48" spans="1:8" s="1055" customFormat="1" ht="41.25" customHeight="1">
      <c r="A48" s="3456" t="str">
        <f>'Part IV-A-Uses of Funds'!$C$90</f>
        <v>Freddie Fees</v>
      </c>
      <c r="B48" s="3457"/>
      <c r="C48" s="3457"/>
      <c r="D48" s="3458"/>
      <c r="F48" s="3462"/>
      <c r="G48" s="1056"/>
    </row>
    <row r="49" spans="1:7" s="1055" customFormat="1" ht="41.25" customHeight="1">
      <c r="A49" s="3459"/>
      <c r="B49" s="3460"/>
      <c r="C49" s="3460"/>
      <c r="D49" s="3461"/>
      <c r="E49" s="1056"/>
      <c r="F49" s="3463"/>
      <c r="G49" s="1056"/>
    </row>
    <row r="50" spans="1:7" s="1055" customFormat="1" ht="3" customHeight="1">
      <c r="A50" s="1056"/>
      <c r="B50" s="1056"/>
      <c r="C50" s="1056"/>
      <c r="D50" s="1056"/>
      <c r="E50" s="1056"/>
      <c r="F50" s="3463"/>
      <c r="G50" s="1056"/>
    </row>
    <row r="51" spans="1:7" s="1055" customFormat="1" ht="13.5" customHeight="1">
      <c r="A51" s="1065" t="s">
        <v>3531</v>
      </c>
      <c r="B51" s="1064">
        <f>'Part IV-A-Uses of Funds'!$G$90</f>
        <v>68500</v>
      </c>
      <c r="C51" s="1059"/>
      <c r="D51" s="1059"/>
      <c r="E51" s="1056"/>
      <c r="F51" s="3463"/>
      <c r="G51" s="1056"/>
    </row>
    <row r="52" spans="1:7" s="1055" customFormat="1" ht="3.75" customHeight="1">
      <c r="A52" s="1056"/>
      <c r="B52" s="1056"/>
      <c r="C52" s="1056"/>
      <c r="D52" s="1056"/>
      <c r="E52" s="1056"/>
      <c r="F52" s="3464"/>
      <c r="G52" s="1058"/>
    </row>
    <row r="53" spans="1:7" s="1055" customFormat="1">
      <c r="A53" s="1066" t="s">
        <v>3532</v>
      </c>
      <c r="B53" s="1056"/>
      <c r="C53" s="1056"/>
      <c r="D53" s="1056"/>
      <c r="E53" s="1056"/>
      <c r="F53" s="1056"/>
      <c r="G53" s="1056"/>
    </row>
    <row r="54" spans="1:7" s="1055" customFormat="1" ht="41.25" customHeight="1">
      <c r="A54" s="3456" t="str">
        <f>'Part IV-A-Uses of Funds'!$C$103</f>
        <v>&lt;&lt; Enter description here; provide detail &amp; justification in tab Part IV-b &gt;&gt;</v>
      </c>
      <c r="B54" s="3457"/>
      <c r="C54" s="3457"/>
      <c r="D54" s="3458"/>
      <c r="F54" s="3465"/>
      <c r="G54" s="1056"/>
    </row>
    <row r="55" spans="1:7" s="1055" customFormat="1" ht="41.25" customHeight="1">
      <c r="A55" s="3459"/>
      <c r="B55" s="3460"/>
      <c r="C55" s="3460"/>
      <c r="D55" s="3461"/>
      <c r="E55" s="1056"/>
      <c r="F55" s="3466"/>
      <c r="G55" s="1056"/>
    </row>
    <row r="56" spans="1:7" s="1055" customFormat="1" ht="3" customHeight="1">
      <c r="A56" s="1056"/>
      <c r="B56" s="1056"/>
      <c r="C56" s="1056"/>
      <c r="D56" s="1056"/>
      <c r="E56" s="1056"/>
      <c r="F56" s="3466"/>
      <c r="G56" s="1056"/>
    </row>
    <row r="57" spans="1:7" s="1055" customFormat="1" ht="10.199999999999999">
      <c r="A57" s="1065" t="s">
        <v>3531</v>
      </c>
      <c r="B57" s="1064">
        <f>'Part IV-A-Uses of Funds'!$G$103</f>
        <v>0</v>
      </c>
      <c r="C57" s="1059"/>
      <c r="D57" s="1059"/>
      <c r="E57" s="1056"/>
      <c r="F57" s="3466"/>
      <c r="G57" s="1056"/>
    </row>
    <row r="58" spans="1:7" s="1055" customFormat="1" ht="3.75" customHeight="1">
      <c r="A58" s="1054"/>
      <c r="B58" s="1054"/>
      <c r="C58" s="1054"/>
      <c r="D58" s="1054"/>
      <c r="E58" s="1054"/>
      <c r="F58" s="3466"/>
      <c r="G58" s="1058"/>
    </row>
    <row r="59" spans="1:7" s="1055" customFormat="1" ht="41.25" customHeight="1">
      <c r="A59" s="3456" t="str">
        <f>'Part IV-A-Uses of Funds'!$C$104</f>
        <v>&lt;&lt; Enter description here; provide detail &amp; justification in tab Part IV-b &gt;&gt;</v>
      </c>
      <c r="B59" s="3457"/>
      <c r="C59" s="3457"/>
      <c r="D59" s="3458"/>
      <c r="F59" s="3466"/>
      <c r="G59" s="1056"/>
    </row>
    <row r="60" spans="1:7" s="1055" customFormat="1" ht="41.25" customHeight="1">
      <c r="A60" s="3459"/>
      <c r="B60" s="3460"/>
      <c r="C60" s="3460"/>
      <c r="D60" s="3461"/>
      <c r="E60" s="1056"/>
      <c r="F60" s="3466"/>
      <c r="G60" s="1056"/>
    </row>
    <row r="61" spans="1:7" s="1055" customFormat="1" ht="3" customHeight="1">
      <c r="A61" s="1056"/>
      <c r="B61" s="1056"/>
      <c r="C61" s="1056"/>
      <c r="D61" s="1056"/>
      <c r="E61" s="1056"/>
      <c r="F61" s="3466"/>
      <c r="G61" s="1056"/>
    </row>
    <row r="62" spans="1:7" s="1055" customFormat="1" ht="10.199999999999999">
      <c r="A62" s="1065" t="s">
        <v>3531</v>
      </c>
      <c r="B62" s="1064">
        <f>'Part IV-A-Uses of Funds'!$G$104</f>
        <v>0</v>
      </c>
      <c r="C62" s="1059"/>
      <c r="D62" s="1059"/>
      <c r="E62" s="1056"/>
      <c r="F62" s="3466"/>
      <c r="G62" s="1056"/>
    </row>
    <row r="63" spans="1:7" s="1055" customFormat="1" ht="3.75" customHeight="1">
      <c r="A63" s="1054"/>
      <c r="B63" s="1054"/>
      <c r="C63" s="1054"/>
      <c r="D63" s="1054"/>
      <c r="E63" s="1054"/>
      <c r="F63" s="3467"/>
      <c r="G63" s="1058"/>
    </row>
    <row r="64" spans="1:7" s="1055" customFormat="1">
      <c r="A64" s="1066" t="s">
        <v>3533</v>
      </c>
      <c r="B64" s="1056"/>
      <c r="C64" s="1056"/>
      <c r="D64" s="1056"/>
      <c r="E64" s="1056"/>
      <c r="F64" s="1056"/>
      <c r="G64" s="1056"/>
    </row>
    <row r="65" spans="1:8" s="1055" customFormat="1" ht="41.25" customHeight="1">
      <c r="A65" s="3456" t="str">
        <f>'Part IV-A-Uses of Funds'!$C$110</f>
        <v>&lt;&lt; Enter description here; provide detail &amp; justification in tab Part IV-b &gt;&gt;</v>
      </c>
      <c r="B65" s="3457"/>
      <c r="C65" s="3457"/>
      <c r="D65" s="3458"/>
      <c r="F65" s="3462"/>
      <c r="G65" s="1056"/>
    </row>
    <row r="66" spans="1:8" s="1055" customFormat="1" ht="41.25" customHeight="1">
      <c r="A66" s="3459"/>
      <c r="B66" s="3460"/>
      <c r="C66" s="3460"/>
      <c r="D66" s="3461"/>
      <c r="E66" s="1056"/>
      <c r="F66" s="3463"/>
      <c r="G66" s="1056"/>
    </row>
    <row r="67" spans="1:8" s="1055" customFormat="1" ht="3" customHeight="1">
      <c r="A67" s="1056"/>
      <c r="B67" s="1056"/>
      <c r="C67" s="1056"/>
      <c r="D67" s="1056"/>
      <c r="E67" s="1056"/>
      <c r="F67" s="3463"/>
      <c r="G67" s="1056"/>
    </row>
    <row r="68" spans="1:8" s="1055" customFormat="1" ht="10.199999999999999">
      <c r="A68" s="1065" t="s">
        <v>3531</v>
      </c>
      <c r="B68" s="1064">
        <f>'Part IV-A-Uses of Funds'!$G$110</f>
        <v>0</v>
      </c>
      <c r="C68" s="1059"/>
      <c r="D68" s="1059"/>
      <c r="E68" s="1056"/>
      <c r="F68" s="3463"/>
      <c r="G68" s="1056"/>
    </row>
    <row r="69" spans="1:8" s="1055" customFormat="1" ht="3.75" customHeight="1">
      <c r="A69" s="1056"/>
      <c r="B69" s="1057"/>
      <c r="C69" s="1056"/>
      <c r="D69" s="1056"/>
      <c r="E69" s="1056"/>
      <c r="F69" s="3464"/>
      <c r="G69" s="1058"/>
    </row>
    <row r="70" spans="1:8" s="1055" customFormat="1">
      <c r="A70" s="1066" t="s">
        <v>1282</v>
      </c>
      <c r="B70" s="1056"/>
      <c r="C70" s="1056"/>
      <c r="D70" s="1056"/>
      <c r="E70" s="1056"/>
      <c r="F70" s="1056"/>
      <c r="G70" s="1056"/>
    </row>
    <row r="71" spans="1:8" s="1055" customFormat="1" ht="41.25" customHeight="1">
      <c r="A71" s="3456" t="str">
        <f>'Part IV-A-Uses of Funds'!$C$125</f>
        <v xml:space="preserve">Taxes, Insurance &amp; Replacement Reserve </v>
      </c>
      <c r="B71" s="3457"/>
      <c r="C71" s="3457"/>
      <c r="D71" s="3458"/>
      <c r="F71" s="3462"/>
      <c r="G71" s="1056"/>
      <c r="H71" s="3462"/>
    </row>
    <row r="72" spans="1:8" s="1055" customFormat="1" ht="41.25" customHeight="1">
      <c r="A72" s="3459"/>
      <c r="B72" s="3460"/>
      <c r="C72" s="3460"/>
      <c r="D72" s="3461"/>
      <c r="E72" s="1056"/>
      <c r="F72" s="3463"/>
      <c r="G72" s="1056"/>
      <c r="H72" s="3463"/>
    </row>
    <row r="73" spans="1:8" s="1055" customFormat="1" ht="4.5" customHeight="1">
      <c r="A73" s="1056"/>
      <c r="B73" s="1056"/>
      <c r="C73" s="1056"/>
      <c r="D73" s="1056"/>
      <c r="E73" s="1056"/>
      <c r="F73" s="3463"/>
      <c r="G73" s="1056"/>
      <c r="H73" s="3463"/>
    </row>
    <row r="74" spans="1:8" s="1055" customFormat="1" ht="12.75" customHeight="1">
      <c r="A74" s="1065" t="s">
        <v>3531</v>
      </c>
      <c r="B74" s="1064">
        <f>'Part IV-A-Uses of Funds'!$G$125</f>
        <v>170000</v>
      </c>
      <c r="C74" s="1065" t="s">
        <v>1746</v>
      </c>
      <c r="D74" s="1064">
        <f>'Part IV-A-Uses of Funds'!$J$125+'Part IV-A-Uses of Funds'!$M$125+'Part IV-A-Uses of Funds'!$P$125</f>
        <v>0</v>
      </c>
      <c r="E74" s="1056"/>
      <c r="F74" s="3463"/>
      <c r="G74" s="1056"/>
      <c r="H74" s="3463"/>
    </row>
    <row r="75" spans="1:8" s="1055" customFormat="1" ht="6" customHeight="1">
      <c r="A75" s="1056"/>
      <c r="B75" s="1057"/>
      <c r="C75" s="1056"/>
      <c r="D75" s="1056"/>
      <c r="E75" s="1056"/>
      <c r="F75" s="3464"/>
      <c r="G75" s="1058"/>
      <c r="H75" s="3464"/>
    </row>
    <row r="76" spans="1:8" s="1055" customFormat="1">
      <c r="A76" s="1066" t="s">
        <v>3534</v>
      </c>
      <c r="B76" s="1057"/>
      <c r="C76" s="1056"/>
      <c r="D76" s="1056"/>
      <c r="E76" s="1056"/>
      <c r="F76" s="1056"/>
      <c r="G76" s="1058"/>
    </row>
    <row r="77" spans="1:8" s="1055" customFormat="1" ht="41.25" customHeight="1">
      <c r="A77" s="3456" t="str">
        <f>'Part IV-A-Uses of Funds'!$C$129</f>
        <v>&lt;&lt; Enter description here; provide detail &amp; justification in tab Part IV-b &gt;&gt;</v>
      </c>
      <c r="B77" s="3457"/>
      <c r="C77" s="3457"/>
      <c r="D77" s="3458"/>
      <c r="F77" s="3462"/>
      <c r="G77" s="1056"/>
      <c r="H77" s="3462"/>
    </row>
    <row r="78" spans="1:8" s="1055" customFormat="1" ht="41.25" customHeight="1">
      <c r="A78" s="3459"/>
      <c r="B78" s="3460"/>
      <c r="C78" s="3460"/>
      <c r="D78" s="3461"/>
      <c r="E78" s="1056"/>
      <c r="F78" s="3463"/>
      <c r="G78" s="1056"/>
      <c r="H78" s="3463"/>
    </row>
    <row r="79" spans="1:8" s="1055" customFormat="1" ht="4.5" customHeight="1">
      <c r="A79" s="1056"/>
      <c r="B79" s="1056"/>
      <c r="C79" s="1056"/>
      <c r="D79" s="1056"/>
      <c r="E79" s="1056"/>
      <c r="F79" s="3463"/>
      <c r="G79" s="1056"/>
      <c r="H79" s="3463"/>
    </row>
    <row r="80" spans="1:8" s="1055" customFormat="1" ht="12.75" customHeight="1">
      <c r="A80" s="1065" t="s">
        <v>3531</v>
      </c>
      <c r="B80" s="1064">
        <f>'Part IV-A-Uses of Funds'!$G$129</f>
        <v>0</v>
      </c>
      <c r="C80" s="1065" t="s">
        <v>1746</v>
      </c>
      <c r="D80" s="1064">
        <f>'Part IV-A-Uses of Funds'!$J$129+'Part IV-A-Uses of Funds'!$M$129+'Part IV-A-Uses of Funds'!$P$129</f>
        <v>0</v>
      </c>
      <c r="E80" s="1061"/>
      <c r="F80" s="3463"/>
      <c r="G80" s="1056"/>
      <c r="H80" s="3463"/>
    </row>
    <row r="81" spans="4:8" s="1055" customFormat="1" ht="6" customHeight="1">
      <c r="D81" s="1062"/>
      <c r="E81" s="1063"/>
      <c r="F81" s="3464"/>
      <c r="G81" s="1058"/>
      <c r="H81" s="3464"/>
    </row>
    <row r="82" spans="4:8" s="1055" customFormat="1" ht="10.199999999999999"/>
    <row r="83" spans="4:8" s="1055" customFormat="1" ht="10.199999999999999"/>
    <row r="84" spans="4:8" s="1055" customFormat="1" ht="10.199999999999999"/>
    <row r="85" spans="4:8" s="1055" customFormat="1" ht="10.199999999999999"/>
    <row r="86" spans="4:8" s="1055" customFormat="1" ht="10.199999999999999"/>
    <row r="87" spans="4:8" s="1055" customFormat="1" ht="10.199999999999999"/>
    <row r="88" spans="4:8" s="1055" customFormat="1" ht="10.199999999999999"/>
    <row r="89" spans="4:8" s="1055" customFormat="1" ht="10.199999999999999"/>
    <row r="90" spans="4:8" s="1055" customFormat="1" ht="10.199999999999999"/>
    <row r="91" spans="4:8" s="1055" customFormat="1" ht="10.199999999999999"/>
    <row r="92" spans="4:8" s="1055" customFormat="1" ht="10.199999999999999"/>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B43" sqref="B43:M43"/>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3500" t="str">
        <f>CONCATENATE("PART FIVE - UTILITY ALLOWANCES","  -  ",'Part I-Project Information'!$O$6," ",'Part I-Project Information'!$F$34,", ",'Part I-Project Information'!F38,", ",'Part I-Project Information'!J39," County")</f>
        <v>PART FIVE - UTILITY ALLOWANCES  -  2020-5 Lakeview Terrace, Augusta, Richmond County</v>
      </c>
      <c r="B1" s="3501"/>
      <c r="C1" s="3501"/>
      <c r="D1" s="3501"/>
      <c r="E1" s="3501"/>
      <c r="F1" s="3501"/>
      <c r="G1" s="3501"/>
      <c r="H1" s="3501"/>
      <c r="I1" s="3501"/>
      <c r="J1" s="3501"/>
      <c r="K1" s="3501"/>
      <c r="L1" s="3501"/>
      <c r="M1" s="3501"/>
      <c r="N1" s="10"/>
      <c r="O1" s="10"/>
      <c r="P1" s="10"/>
      <c r="Q1" s="10"/>
      <c r="R1" s="16"/>
      <c r="S1" s="16"/>
      <c r="T1" s="16"/>
    </row>
    <row r="2" spans="1:20" s="8" customFormat="1" ht="7.5" customHeight="1"/>
    <row r="3" spans="1:20" s="8" customFormat="1" ht="12.75" customHeight="1">
      <c r="B3" s="3502" t="str">
        <f>'Part I-Project Information'!$B$6</f>
        <v>July 15, 2020 Version (4%)</v>
      </c>
      <c r="C3" s="3502"/>
      <c r="D3" s="3502"/>
      <c r="E3" s="3502"/>
      <c r="F3" s="4" t="s">
        <v>4123</v>
      </c>
      <c r="I3" s="2065" t="str">
        <f>VLOOKUP('Part I-Project Information'!$J$39,'DCA Underwriting Assumptions'!$G$173:$H$332,2)</f>
        <v>Local PHA</v>
      </c>
    </row>
    <row r="4" spans="1:20" s="8" customFormat="1" ht="6" customHeight="1"/>
    <row r="5" spans="1:20">
      <c r="A5" s="277" t="s">
        <v>3616</v>
      </c>
    </row>
    <row r="6" spans="1:20" ht="6" customHeight="1">
      <c r="A6" s="8"/>
    </row>
    <row r="7" spans="1:20" s="8" customFormat="1">
      <c r="A7" s="13" t="s">
        <v>598</v>
      </c>
      <c r="B7" s="13" t="s">
        <v>2171</v>
      </c>
      <c r="F7" s="1" t="s">
        <v>2453</v>
      </c>
      <c r="G7" s="1"/>
      <c r="H7" s="1"/>
      <c r="I7" s="3480" t="s">
        <v>7106</v>
      </c>
      <c r="J7" s="3481"/>
      <c r="K7" s="3481"/>
      <c r="L7" s="3481"/>
      <c r="M7" s="3482"/>
    </row>
    <row r="8" spans="1:20" s="8" customFormat="1" ht="13.35" customHeight="1">
      <c r="A8" s="13"/>
      <c r="F8" s="1" t="s">
        <v>618</v>
      </c>
      <c r="G8" s="1"/>
      <c r="H8" s="33"/>
      <c r="I8" s="3493">
        <v>44372</v>
      </c>
      <c r="J8" s="3494"/>
      <c r="K8" s="6" t="s">
        <v>525</v>
      </c>
      <c r="L8" s="3495" t="s">
        <v>7005</v>
      </c>
      <c r="M8" s="3496"/>
    </row>
    <row r="9" spans="1:20" s="8" customFormat="1" ht="4.5" customHeight="1">
      <c r="A9" s="13"/>
    </row>
    <row r="10" spans="1:20" s="13" customFormat="1">
      <c r="B10" s="271"/>
      <c r="C10" s="271"/>
      <c r="D10" s="271"/>
      <c r="E10" s="271"/>
      <c r="F10" s="3489" t="s">
        <v>592</v>
      </c>
      <c r="G10" s="3489"/>
      <c r="I10" s="3490" t="s">
        <v>196</v>
      </c>
      <c r="J10" s="3490"/>
      <c r="K10" s="3490"/>
      <c r="L10" s="3490"/>
      <c r="M10" s="3490"/>
    </row>
    <row r="11" spans="1:20" s="13" customFormat="1">
      <c r="B11" s="271" t="s">
        <v>778</v>
      </c>
      <c r="D11" s="271" t="s">
        <v>1566</v>
      </c>
      <c r="F11" s="1213" t="s">
        <v>624</v>
      </c>
      <c r="G11" s="1213" t="s">
        <v>1804</v>
      </c>
      <c r="I11" s="272" t="s">
        <v>551</v>
      </c>
      <c r="J11" s="273">
        <v>1</v>
      </c>
      <c r="K11" s="273">
        <v>2</v>
      </c>
      <c r="L11" s="273">
        <v>3</v>
      </c>
      <c r="M11" s="273">
        <v>4</v>
      </c>
    </row>
    <row r="12" spans="1:20" s="8" customFormat="1" ht="12" customHeight="1">
      <c r="B12" s="1988" t="s">
        <v>1806</v>
      </c>
      <c r="C12" s="1989"/>
      <c r="D12" s="3491" t="s">
        <v>1563</v>
      </c>
      <c r="E12" s="3492"/>
      <c r="F12" s="278" t="s">
        <v>433</v>
      </c>
      <c r="G12" s="278"/>
      <c r="H12" s="1159"/>
      <c r="I12" s="1983"/>
      <c r="J12" s="1983">
        <v>25</v>
      </c>
      <c r="K12" s="1983">
        <v>26</v>
      </c>
      <c r="L12" s="1983">
        <v>27</v>
      </c>
      <c r="M12" s="1983"/>
      <c r="O12" s="3477" t="s">
        <v>3628</v>
      </c>
      <c r="P12" s="3477"/>
    </row>
    <row r="13" spans="1:20" s="8" customFormat="1" ht="12" customHeight="1">
      <c r="B13" s="1990" t="s">
        <v>1564</v>
      </c>
      <c r="C13" s="1991"/>
      <c r="D13" s="3478" t="s">
        <v>1563</v>
      </c>
      <c r="E13" s="3479"/>
      <c r="F13" s="279" t="s">
        <v>433</v>
      </c>
      <c r="G13" s="279"/>
      <c r="H13" s="1158"/>
      <c r="I13" s="1984"/>
      <c r="J13" s="1984">
        <v>4</v>
      </c>
      <c r="K13" s="1984">
        <v>6</v>
      </c>
      <c r="L13" s="1985">
        <v>8</v>
      </c>
      <c r="M13" s="1985"/>
      <c r="O13" s="3477"/>
      <c r="P13" s="3477"/>
    </row>
    <row r="14" spans="1:20" s="8" customFormat="1" ht="12" customHeight="1">
      <c r="B14" s="1992" t="s">
        <v>1565</v>
      </c>
      <c r="C14" s="1993"/>
      <c r="D14" s="3478" t="s">
        <v>1563</v>
      </c>
      <c r="E14" s="3479"/>
      <c r="F14" s="279" t="s">
        <v>433</v>
      </c>
      <c r="G14" s="279"/>
      <c r="H14" s="274"/>
      <c r="I14" s="1984"/>
      <c r="J14" s="1984">
        <v>10</v>
      </c>
      <c r="K14" s="1984">
        <v>13</v>
      </c>
      <c r="L14" s="1985">
        <v>16</v>
      </c>
      <c r="M14" s="1985"/>
      <c r="O14" s="3477"/>
      <c r="P14" s="3477"/>
    </row>
    <row r="15" spans="1:20" s="8" customFormat="1" ht="12" customHeight="1">
      <c r="B15" s="1994" t="s">
        <v>458</v>
      </c>
      <c r="C15" s="1995"/>
      <c r="D15" s="1994" t="s">
        <v>1563</v>
      </c>
      <c r="E15" s="275"/>
      <c r="F15" s="279" t="s">
        <v>433</v>
      </c>
      <c r="G15" s="279"/>
      <c r="H15" s="1157"/>
      <c r="I15" s="1984"/>
      <c r="J15" s="1984">
        <v>10</v>
      </c>
      <c r="K15" s="1984">
        <v>14</v>
      </c>
      <c r="L15" s="1985">
        <v>21</v>
      </c>
      <c r="M15" s="1985"/>
      <c r="O15" s="3477"/>
      <c r="P15" s="3477"/>
    </row>
    <row r="16" spans="1:20" s="8" customFormat="1" ht="12" customHeight="1">
      <c r="B16" s="1996" t="s">
        <v>3613</v>
      </c>
      <c r="C16" s="1991"/>
      <c r="D16" s="1990" t="s">
        <v>1563</v>
      </c>
      <c r="E16" s="1156"/>
      <c r="F16" s="279"/>
      <c r="G16" s="279" t="s">
        <v>433</v>
      </c>
      <c r="H16" s="1158"/>
      <c r="I16" s="1984"/>
      <c r="J16" s="1984"/>
      <c r="K16" s="1984"/>
      <c r="L16" s="1985"/>
      <c r="M16" s="1985"/>
      <c r="O16" s="3477"/>
      <c r="P16" s="3477"/>
    </row>
    <row r="17" spans="1:19" s="8" customFormat="1" ht="12" customHeight="1">
      <c r="B17" s="1996" t="s">
        <v>3614</v>
      </c>
      <c r="C17" s="1991"/>
      <c r="D17" s="1990" t="s">
        <v>1563</v>
      </c>
      <c r="E17" s="1156"/>
      <c r="F17" s="279"/>
      <c r="G17" s="279" t="s">
        <v>433</v>
      </c>
      <c r="H17" s="1158"/>
      <c r="I17" s="1984"/>
      <c r="J17" s="1984"/>
      <c r="K17" s="1984"/>
      <c r="L17" s="1985"/>
      <c r="M17" s="1985"/>
      <c r="O17" s="3477"/>
      <c r="P17" s="3477"/>
    </row>
    <row r="18" spans="1:19" s="8" customFormat="1" ht="12" customHeight="1">
      <c r="B18" s="1997" t="s">
        <v>3615</v>
      </c>
      <c r="C18" s="1993"/>
      <c r="D18" s="1992" t="s">
        <v>1563</v>
      </c>
      <c r="E18" s="1156"/>
      <c r="F18" s="279" t="s">
        <v>433</v>
      </c>
      <c r="G18" s="279"/>
      <c r="H18" s="274"/>
      <c r="I18" s="1984"/>
      <c r="J18" s="1984">
        <v>17</v>
      </c>
      <c r="K18" s="1984">
        <v>23</v>
      </c>
      <c r="L18" s="1985">
        <v>30</v>
      </c>
      <c r="M18" s="1985"/>
      <c r="O18" s="3477"/>
      <c r="P18" s="3477"/>
    </row>
    <row r="19" spans="1:19" s="8" customFormat="1" ht="12" customHeight="1">
      <c r="B19" s="1994" t="s">
        <v>1343</v>
      </c>
      <c r="C19" s="1995"/>
      <c r="D19" s="2000" t="s">
        <v>3351</v>
      </c>
      <c r="E19" s="1982" t="s">
        <v>2886</v>
      </c>
      <c r="F19" s="279" t="s">
        <v>433</v>
      </c>
      <c r="G19" s="279"/>
      <c r="H19" s="1157"/>
      <c r="I19" s="1984"/>
      <c r="J19" s="1984">
        <v>47</v>
      </c>
      <c r="K19" s="1984">
        <v>59</v>
      </c>
      <c r="L19" s="1985">
        <v>80</v>
      </c>
      <c r="M19" s="1985"/>
      <c r="O19" s="3477"/>
      <c r="P19" s="3477"/>
    </row>
    <row r="20" spans="1:19" s="8" customFormat="1" ht="12" customHeight="1">
      <c r="B20" s="1998" t="s">
        <v>1805</v>
      </c>
      <c r="C20" s="1999"/>
      <c r="D20" s="276"/>
      <c r="E20" s="248"/>
      <c r="F20" s="279"/>
      <c r="G20" s="279" t="s">
        <v>433</v>
      </c>
      <c r="H20" s="1158"/>
      <c r="I20" s="1984"/>
      <c r="J20" s="1984"/>
      <c r="K20" s="1984"/>
      <c r="L20" s="1985"/>
      <c r="M20" s="1985"/>
      <c r="O20" s="3477"/>
      <c r="P20" s="3477"/>
    </row>
    <row r="21" spans="1:19" s="8" customFormat="1" ht="12" customHeight="1">
      <c r="B21" s="1998" t="s">
        <v>723</v>
      </c>
      <c r="C21" s="3497"/>
      <c r="D21" s="3498"/>
      <c r="E21" s="3499"/>
      <c r="F21" s="280"/>
      <c r="G21" s="280"/>
      <c r="H21" s="1160"/>
      <c r="I21" s="1986"/>
      <c r="J21" s="1986"/>
      <c r="K21" s="1986"/>
      <c r="L21" s="1987"/>
      <c r="M21" s="1987"/>
      <c r="O21" s="3477"/>
      <c r="P21" s="3477"/>
    </row>
    <row r="22" spans="1:19" s="8" customFormat="1">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113</v>
      </c>
      <c r="K22" s="154">
        <f>IF(SUM(K12:K21)=0,0,IF(OR($D12="&lt;&lt;Select Fuel &gt;&gt;",$D13="&lt;&lt;Select Fuel &gt;&gt;",$D14="&lt;&lt;Select Fuel &gt;&gt;"),"Select Fuel",IF($E19="&lt;Select&gt;","Submeter?",SUM(K12:K21))))</f>
        <v>141</v>
      </c>
      <c r="L22" s="154">
        <f>IF(SUM(L12:L21)=0,0,IF(OR($D12="&lt;&lt;Select Fuel &gt;&gt;",$D13="&lt;&lt;Select Fuel &gt;&gt;",$D14="&lt;&lt;Select Fuel &gt;&gt;"),"Select Fuel",IF($E19="&lt;Select&gt;","Submeter?",SUM(L12:L21))))</f>
        <v>182</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2172</v>
      </c>
      <c r="F24" s="1" t="s">
        <v>2453</v>
      </c>
      <c r="G24" s="1"/>
      <c r="H24" s="1"/>
      <c r="I24" s="3480"/>
      <c r="J24" s="3481"/>
      <c r="K24" s="3481"/>
      <c r="L24" s="3481"/>
      <c r="M24" s="3482"/>
    </row>
    <row r="25" spans="1:19" s="8" customFormat="1" ht="13.35" customHeight="1">
      <c r="A25" s="13"/>
      <c r="B25" s="13"/>
      <c r="F25" s="1" t="s">
        <v>618</v>
      </c>
      <c r="G25" s="1"/>
      <c r="H25" s="33"/>
      <c r="I25" s="3493"/>
      <c r="J25" s="3494"/>
      <c r="K25" s="6" t="s">
        <v>525</v>
      </c>
      <c r="L25" s="3495"/>
      <c r="M25" s="3496"/>
    </row>
    <row r="26" spans="1:19" s="8" customFormat="1" ht="4.5" customHeight="1">
      <c r="A26" s="13"/>
    </row>
    <row r="27" spans="1:19" s="13" customFormat="1">
      <c r="B27" s="271"/>
      <c r="C27" s="271"/>
      <c r="D27" s="271"/>
      <c r="E27" s="271"/>
      <c r="F27" s="3489" t="s">
        <v>592</v>
      </c>
      <c r="G27" s="3489"/>
      <c r="I27" s="3490" t="s">
        <v>196</v>
      </c>
      <c r="J27" s="3490"/>
      <c r="K27" s="3490"/>
      <c r="L27" s="3490"/>
      <c r="M27" s="3490"/>
    </row>
    <row r="28" spans="1:19" s="13" customFormat="1">
      <c r="B28" s="271" t="s">
        <v>778</v>
      </c>
      <c r="D28" s="271" t="s">
        <v>1566</v>
      </c>
      <c r="F28" s="1213" t="s">
        <v>624</v>
      </c>
      <c r="G28" s="1213" t="s">
        <v>1804</v>
      </c>
      <c r="I28" s="272" t="s">
        <v>551</v>
      </c>
      <c r="J28" s="273">
        <v>1</v>
      </c>
      <c r="K28" s="273">
        <v>2</v>
      </c>
      <c r="L28" s="273">
        <v>3</v>
      </c>
      <c r="M28" s="273">
        <v>4</v>
      </c>
    </row>
    <row r="29" spans="1:19" s="8" customFormat="1" ht="12" customHeight="1">
      <c r="B29" s="1988" t="s">
        <v>1806</v>
      </c>
      <c r="C29" s="1989"/>
      <c r="D29" s="3491" t="s">
        <v>1774</v>
      </c>
      <c r="E29" s="3492"/>
      <c r="F29" s="278"/>
      <c r="G29" s="278"/>
      <c r="H29" s="1159"/>
      <c r="I29" s="1983"/>
      <c r="J29" s="1983"/>
      <c r="K29" s="1983"/>
      <c r="L29" s="1983"/>
      <c r="M29" s="1983"/>
      <c r="O29" s="3477" t="s">
        <v>3628</v>
      </c>
      <c r="P29" s="3477"/>
    </row>
    <row r="30" spans="1:19" s="8" customFormat="1" ht="12" customHeight="1">
      <c r="B30" s="1990" t="s">
        <v>1564</v>
      </c>
      <c r="C30" s="1991"/>
      <c r="D30" s="3478" t="s">
        <v>1774</v>
      </c>
      <c r="E30" s="3479"/>
      <c r="F30" s="279"/>
      <c r="G30" s="279"/>
      <c r="H30" s="1158"/>
      <c r="I30" s="1984"/>
      <c r="J30" s="1984"/>
      <c r="K30" s="1984"/>
      <c r="L30" s="1985"/>
      <c r="M30" s="1985"/>
      <c r="O30" s="3477"/>
      <c r="P30" s="3477"/>
    </row>
    <row r="31" spans="1:19" s="8" customFormat="1" ht="12" customHeight="1">
      <c r="B31" s="1992" t="s">
        <v>1565</v>
      </c>
      <c r="C31" s="1993"/>
      <c r="D31" s="3478" t="s">
        <v>1774</v>
      </c>
      <c r="E31" s="3479"/>
      <c r="F31" s="279"/>
      <c r="G31" s="279"/>
      <c r="H31" s="274"/>
      <c r="I31" s="1984"/>
      <c r="J31" s="1984"/>
      <c r="K31" s="1984"/>
      <c r="L31" s="1985"/>
      <c r="M31" s="1985"/>
      <c r="O31" s="3477"/>
      <c r="P31" s="3477"/>
    </row>
    <row r="32" spans="1:19" s="8" customFormat="1" ht="12" customHeight="1">
      <c r="B32" s="1994" t="s">
        <v>458</v>
      </c>
      <c r="C32" s="1995"/>
      <c r="D32" s="1994" t="s">
        <v>1563</v>
      </c>
      <c r="E32" s="275"/>
      <c r="F32" s="279"/>
      <c r="G32" s="279"/>
      <c r="H32" s="1157"/>
      <c r="I32" s="1984"/>
      <c r="J32" s="1984"/>
      <c r="K32" s="1984"/>
      <c r="L32" s="1985"/>
      <c r="M32" s="1985"/>
      <c r="O32" s="3477"/>
      <c r="P32" s="3477"/>
    </row>
    <row r="33" spans="1:19" s="8" customFormat="1" ht="12" customHeight="1">
      <c r="B33" s="1996" t="s">
        <v>3613</v>
      </c>
      <c r="C33" s="1991"/>
      <c r="D33" s="1990" t="s">
        <v>1563</v>
      </c>
      <c r="E33" s="1156"/>
      <c r="F33" s="279"/>
      <c r="G33" s="279"/>
      <c r="H33" s="1158"/>
      <c r="I33" s="1984"/>
      <c r="J33" s="1984"/>
      <c r="K33" s="1984"/>
      <c r="L33" s="1985"/>
      <c r="M33" s="1985"/>
      <c r="O33" s="3477"/>
      <c r="P33" s="3477"/>
    </row>
    <row r="34" spans="1:19" s="8" customFormat="1" ht="12" customHeight="1">
      <c r="B34" s="1996" t="s">
        <v>3614</v>
      </c>
      <c r="C34" s="1991"/>
      <c r="D34" s="1990" t="s">
        <v>1563</v>
      </c>
      <c r="E34" s="1156"/>
      <c r="F34" s="279"/>
      <c r="G34" s="279"/>
      <c r="H34" s="1158"/>
      <c r="I34" s="1984"/>
      <c r="J34" s="1984"/>
      <c r="K34" s="1984"/>
      <c r="L34" s="1985"/>
      <c r="M34" s="1985"/>
      <c r="O34" s="3477"/>
      <c r="P34" s="3477"/>
    </row>
    <row r="35" spans="1:19" s="8" customFormat="1" ht="12" customHeight="1">
      <c r="B35" s="1997" t="s">
        <v>3615</v>
      </c>
      <c r="C35" s="1993"/>
      <c r="D35" s="1992" t="s">
        <v>1563</v>
      </c>
      <c r="E35" s="1156"/>
      <c r="F35" s="279"/>
      <c r="G35" s="279"/>
      <c r="H35" s="274"/>
      <c r="I35" s="1984"/>
      <c r="J35" s="1984"/>
      <c r="K35" s="1984"/>
      <c r="L35" s="1985"/>
      <c r="M35" s="1985"/>
      <c r="O35" s="3477"/>
      <c r="P35" s="3477"/>
    </row>
    <row r="36" spans="1:19" s="8" customFormat="1" ht="12" customHeight="1">
      <c r="B36" s="1994" t="s">
        <v>1343</v>
      </c>
      <c r="C36" s="1995"/>
      <c r="D36" s="2000" t="s">
        <v>3351</v>
      </c>
      <c r="E36" s="1982" t="s">
        <v>197</v>
      </c>
      <c r="F36" s="279"/>
      <c r="G36" s="279"/>
      <c r="H36" s="1157"/>
      <c r="I36" s="1984"/>
      <c r="J36" s="1984"/>
      <c r="K36" s="1984"/>
      <c r="L36" s="1985"/>
      <c r="M36" s="1985"/>
      <c r="O36" s="3477"/>
      <c r="P36" s="3477"/>
    </row>
    <row r="37" spans="1:19" s="8" customFormat="1" ht="12" customHeight="1">
      <c r="B37" s="1998" t="s">
        <v>1805</v>
      </c>
      <c r="C37" s="1999"/>
      <c r="D37" s="276"/>
      <c r="E37" s="248"/>
      <c r="F37" s="279"/>
      <c r="G37" s="279"/>
      <c r="H37" s="1158"/>
      <c r="I37" s="1984"/>
      <c r="J37" s="1984"/>
      <c r="K37" s="1984"/>
      <c r="L37" s="1985"/>
      <c r="M37" s="1985"/>
      <c r="O37" s="3477"/>
      <c r="P37" s="3477"/>
    </row>
    <row r="38" spans="1:19" s="8" customFormat="1" ht="12" customHeight="1">
      <c r="B38" s="1998" t="s">
        <v>723</v>
      </c>
      <c r="C38" s="3497"/>
      <c r="D38" s="3498"/>
      <c r="E38" s="3499"/>
      <c r="F38" s="280"/>
      <c r="G38" s="280"/>
      <c r="H38" s="1160"/>
      <c r="I38" s="1986"/>
      <c r="J38" s="1986"/>
      <c r="K38" s="1986"/>
      <c r="L38" s="1987"/>
      <c r="M38" s="1987"/>
      <c r="O38" s="3477"/>
      <c r="P38" s="3477"/>
    </row>
    <row r="39" spans="1:19" s="8" customFormat="1">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3352</v>
      </c>
      <c r="D41" s="27"/>
      <c r="E41" s="27"/>
      <c r="F41" s="81"/>
      <c r="G41" s="81"/>
      <c r="I41" s="1213"/>
      <c r="J41" s="1213"/>
      <c r="K41" s="1213"/>
      <c r="L41" s="1213"/>
      <c r="M41" s="1213"/>
    </row>
    <row r="42" spans="1:19" s="8" customFormat="1" ht="12" customHeight="1">
      <c r="A42" s="13"/>
      <c r="B42" s="13" t="s">
        <v>555</v>
      </c>
      <c r="M42" s="27"/>
      <c r="N42" s="27"/>
      <c r="O42" s="27"/>
      <c r="P42" s="27"/>
      <c r="Q42" s="27"/>
      <c r="R42" s="27"/>
      <c r="S42" s="27"/>
    </row>
    <row r="43" spans="1:19" s="8" customFormat="1" ht="24.75" customHeight="1">
      <c r="B43" s="3483" t="s">
        <v>7108</v>
      </c>
      <c r="C43" s="3484"/>
      <c r="D43" s="3484"/>
      <c r="E43" s="3484"/>
      <c r="F43" s="3484"/>
      <c r="G43" s="3484"/>
      <c r="H43" s="3484"/>
      <c r="I43" s="3484"/>
      <c r="J43" s="3484"/>
      <c r="K43" s="3484"/>
      <c r="L43" s="3484"/>
      <c r="M43" s="3485"/>
      <c r="N43" s="27"/>
      <c r="O43" s="2878" t="s">
        <v>2614</v>
      </c>
      <c r="P43" s="2878"/>
      <c r="Q43" s="2878"/>
      <c r="R43" s="2878"/>
      <c r="S43" s="2878"/>
    </row>
    <row r="44" spans="1:19" s="8" customFormat="1" ht="3" customHeight="1">
      <c r="M44" s="27"/>
      <c r="N44" s="27"/>
      <c r="O44" s="2878"/>
      <c r="P44" s="2878"/>
      <c r="Q44" s="2878"/>
      <c r="R44" s="2878"/>
      <c r="S44" s="2878"/>
    </row>
    <row r="45" spans="1:19" s="8" customFormat="1" ht="12" customHeight="1">
      <c r="A45" s="13"/>
      <c r="B45" s="13" t="s">
        <v>1799</v>
      </c>
      <c r="M45" s="27"/>
      <c r="N45" s="27"/>
      <c r="O45" s="2878"/>
      <c r="P45" s="2878"/>
      <c r="Q45" s="2878"/>
      <c r="R45" s="2878"/>
      <c r="S45" s="2878"/>
    </row>
    <row r="46" spans="1:19" s="8" customFormat="1" ht="24.75" customHeight="1">
      <c r="B46" s="3486"/>
      <c r="C46" s="3487"/>
      <c r="D46" s="3487"/>
      <c r="E46" s="3487"/>
      <c r="F46" s="3487"/>
      <c r="G46" s="3487"/>
      <c r="H46" s="3487"/>
      <c r="I46" s="3487"/>
      <c r="J46" s="3487"/>
      <c r="K46" s="3487"/>
      <c r="L46" s="3487"/>
      <c r="M46" s="3488"/>
      <c r="N46" s="27"/>
      <c r="O46" s="2878"/>
      <c r="P46" s="2878"/>
      <c r="Q46" s="2878"/>
      <c r="R46" s="2878"/>
      <c r="S46" s="2878"/>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Brian Waterfield</cp:lastModifiedBy>
  <cp:lastPrinted>2020-05-19T19:16:11Z</cp:lastPrinted>
  <dcterms:created xsi:type="dcterms:W3CDTF">2005-09-15T20:51:37Z</dcterms:created>
  <dcterms:modified xsi:type="dcterms:W3CDTF">2021-09-02T00:44:39Z</dcterms:modified>
</cp:coreProperties>
</file>